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2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L:\Rates &amp; FX\DPP\Latam Currency Debt\Planilla Simulacion\"/>
    </mc:Choice>
  </mc:AlternateContent>
  <bookViews>
    <workbookView minimized="1" xWindow="20700" yWindow="105" windowWidth="17715" windowHeight="12345" tabRatio="690" xr2:uid="{00000000-000D-0000-FFFF-FFFF00000000}"/>
  </bookViews>
  <sheets>
    <sheet name="Dataset" sheetId="1" r:id="rId1"/>
    <sheet name="Resumen" sheetId="10" r:id="rId2"/>
    <sheet name="retorno absoluto" sheetId="8" r:id="rId3"/>
    <sheet name="credito" sheetId="2" r:id="rId4"/>
    <sheet name="credito latam" sheetId="12" r:id="rId5"/>
    <sheet name="renta fija" sheetId="9" r:id="rId6"/>
    <sheet name="renta variable" sheetId="7" r:id="rId7"/>
    <sheet name="Historical" sheetId="11" r:id="rId8"/>
  </sheets>
  <definedNames>
    <definedName name="_xlnm._FilterDatabase" localSheetId="0" hidden="1">Dataset!$A$1:$AQ$590</definedName>
    <definedName name="A" localSheetId="5">'renta fija'!$A$1:$AF$110</definedName>
    <definedName name="Print_Area" localSheetId="5">'renta fija'!$A$1:$AF$110</definedName>
  </definedNames>
  <calcPr calcId="171027"/>
  <fileRecoveryPr autoRecover="0"/>
</workbook>
</file>

<file path=xl/calcChain.xml><?xml version="1.0" encoding="utf-8"?>
<calcChain xmlns="http://schemas.openxmlformats.org/spreadsheetml/2006/main">
  <c r="C4" i="8" l="1"/>
  <c r="C4" i="2"/>
  <c r="C4" i="12"/>
  <c r="C4" i="9"/>
  <c r="B4" i="7"/>
  <c r="L39" i="7" l="1"/>
  <c r="M39" i="7"/>
  <c r="N39" i="7"/>
  <c r="O39" i="7"/>
  <c r="P39" i="7"/>
  <c r="L40" i="7"/>
  <c r="M40" i="7"/>
  <c r="N40" i="7"/>
  <c r="O40" i="7"/>
  <c r="P40" i="7"/>
  <c r="L41" i="7"/>
  <c r="M41" i="7"/>
  <c r="N41" i="7"/>
  <c r="O41" i="7"/>
  <c r="P41" i="7"/>
  <c r="L42" i="7"/>
  <c r="M42" i="7"/>
  <c r="N42" i="7"/>
  <c r="O42" i="7"/>
  <c r="P42" i="7"/>
  <c r="L43" i="7"/>
  <c r="M43" i="7"/>
  <c r="N43" i="7"/>
  <c r="O43" i="7"/>
  <c r="P43" i="7"/>
  <c r="L44" i="7"/>
  <c r="M44" i="7"/>
  <c r="N44" i="7"/>
  <c r="O44" i="7"/>
  <c r="P44" i="7"/>
  <c r="L45" i="7"/>
  <c r="M45" i="7"/>
  <c r="N45" i="7"/>
  <c r="O45" i="7"/>
  <c r="P45" i="7"/>
  <c r="L46" i="7"/>
  <c r="M46" i="7"/>
  <c r="N46" i="7"/>
  <c r="O46" i="7"/>
  <c r="P46" i="7"/>
  <c r="L47" i="7"/>
  <c r="M47" i="7"/>
  <c r="N47" i="7"/>
  <c r="O47" i="7"/>
  <c r="P47" i="7"/>
  <c r="L48" i="7"/>
  <c r="M48" i="7"/>
  <c r="N48" i="7"/>
  <c r="O48" i="7"/>
  <c r="P48" i="7"/>
  <c r="L49" i="7"/>
  <c r="M49" i="7"/>
  <c r="N49" i="7"/>
  <c r="O49" i="7"/>
  <c r="P49" i="7"/>
  <c r="L50" i="7"/>
  <c r="M50" i="7"/>
  <c r="N50" i="7"/>
  <c r="O50" i="7"/>
  <c r="P50" i="7"/>
  <c r="L51" i="7"/>
  <c r="M51" i="7"/>
  <c r="N51" i="7"/>
  <c r="O51" i="7"/>
  <c r="P51" i="7"/>
  <c r="L52" i="7"/>
  <c r="M52" i="7"/>
  <c r="N52" i="7"/>
  <c r="O52" i="7"/>
  <c r="P52" i="7"/>
  <c r="L53" i="7"/>
  <c r="M53" i="7"/>
  <c r="N53" i="7"/>
  <c r="O53" i="7"/>
  <c r="P53" i="7"/>
  <c r="D39" i="2"/>
  <c r="E39" i="2"/>
  <c r="F39" i="2"/>
  <c r="G39" i="2"/>
  <c r="D40" i="2"/>
  <c r="E40" i="2"/>
  <c r="F40" i="2"/>
  <c r="G40" i="2"/>
  <c r="D41" i="2"/>
  <c r="E41" i="2"/>
  <c r="F41" i="2"/>
  <c r="G41" i="2"/>
  <c r="D42" i="2"/>
  <c r="E42" i="2"/>
  <c r="F42" i="2"/>
  <c r="G42" i="2"/>
  <c r="D43" i="2"/>
  <c r="E43" i="2"/>
  <c r="F43" i="2"/>
  <c r="G43" i="2"/>
  <c r="D44" i="2"/>
  <c r="E44" i="2"/>
  <c r="F44" i="2"/>
  <c r="G44" i="2"/>
  <c r="G45" i="2" l="1"/>
  <c r="F45" i="2"/>
  <c r="E45" i="2"/>
  <c r="D45" i="2"/>
  <c r="B3" i="10" l="1"/>
  <c r="AC59" i="10" l="1"/>
  <c r="AD59" i="10"/>
  <c r="AB58" i="10" l="1"/>
  <c r="AA58" i="10"/>
  <c r="Z58" i="10"/>
  <c r="Y58" i="10"/>
  <c r="X58" i="10"/>
  <c r="W58" i="10"/>
  <c r="V58" i="10"/>
  <c r="U58" i="10"/>
  <c r="T58" i="10"/>
  <c r="S58" i="10"/>
  <c r="R58" i="10"/>
  <c r="Q58" i="10"/>
  <c r="P58" i="10"/>
  <c r="O58" i="10"/>
  <c r="N58" i="10"/>
  <c r="M58" i="10"/>
  <c r="L58" i="10"/>
  <c r="K58" i="10"/>
  <c r="J58" i="10"/>
  <c r="I58" i="10"/>
  <c r="H58" i="10"/>
  <c r="G58" i="10"/>
  <c r="F58" i="10"/>
  <c r="E58" i="10"/>
  <c r="E57" i="10"/>
  <c r="D24" i="12" l="1"/>
  <c r="D17" i="9" l="1"/>
  <c r="D38" i="9"/>
  <c r="I20" i="2" l="1"/>
  <c r="H20" i="2"/>
  <c r="G20" i="2"/>
  <c r="F20" i="2"/>
  <c r="E20" i="2"/>
  <c r="D20" i="2"/>
  <c r="D31" i="2"/>
  <c r="I33" i="2"/>
  <c r="H33" i="2"/>
  <c r="G33" i="2"/>
  <c r="F33" i="2"/>
  <c r="E33" i="2"/>
  <c r="D33" i="2"/>
  <c r="I34" i="8" l="1"/>
  <c r="H34" i="8"/>
  <c r="G34" i="8"/>
  <c r="F34" i="8"/>
  <c r="E34" i="8"/>
  <c r="D34" i="8"/>
  <c r="I33" i="8"/>
  <c r="H33" i="8"/>
  <c r="G33" i="8"/>
  <c r="F33" i="8"/>
  <c r="E33" i="8"/>
  <c r="D33" i="8"/>
  <c r="H44" i="2" l="1"/>
  <c r="I32" i="2"/>
  <c r="H32" i="2"/>
  <c r="G32" i="2"/>
  <c r="F32" i="2"/>
  <c r="E32" i="2"/>
  <c r="D32" i="2"/>
  <c r="D47" i="8" l="1"/>
  <c r="E47" i="8"/>
  <c r="F47" i="8"/>
  <c r="G47" i="8"/>
  <c r="D46" i="8"/>
  <c r="D32" i="8"/>
  <c r="AH50" i="2" l="1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49" i="2"/>
  <c r="J21" i="11" l="1"/>
  <c r="Z21" i="11" s="1"/>
  <c r="J20" i="11"/>
  <c r="Y20" i="11" s="1"/>
  <c r="J19" i="11"/>
  <c r="X19" i="11" s="1"/>
  <c r="J18" i="11"/>
  <c r="W18" i="11" s="1"/>
  <c r="J17" i="11"/>
  <c r="V17" i="11" s="1"/>
  <c r="J16" i="11"/>
  <c r="U16" i="11" s="1"/>
  <c r="J15" i="11"/>
  <c r="S15" i="11" s="1"/>
  <c r="J14" i="11"/>
  <c r="X14" i="11" s="1"/>
  <c r="J13" i="11"/>
  <c r="X13" i="11" s="1"/>
  <c r="J12" i="11"/>
  <c r="W12" i="11" s="1"/>
  <c r="J11" i="11"/>
  <c r="V11" i="11" s="1"/>
  <c r="J10" i="11"/>
  <c r="S10" i="11" s="1"/>
  <c r="J9" i="11"/>
  <c r="S9" i="11" s="1"/>
  <c r="J8" i="11"/>
  <c r="R8" i="11" s="1"/>
  <c r="J7" i="11"/>
  <c r="Z7" i="11" s="1"/>
  <c r="J6" i="11"/>
  <c r="X6" i="11" s="1"/>
  <c r="J5" i="11"/>
  <c r="X5" i="11" s="1"/>
  <c r="J4" i="11"/>
  <c r="W4" i="11" s="1"/>
  <c r="J3" i="11"/>
  <c r="U3" i="11" s="1"/>
  <c r="J2" i="11"/>
  <c r="S2" i="11" s="1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O57" i="10"/>
  <c r="N57" i="10"/>
  <c r="M57" i="10"/>
  <c r="L57" i="10"/>
  <c r="K57" i="10"/>
  <c r="J57" i="10"/>
  <c r="I57" i="10"/>
  <c r="H57" i="10"/>
  <c r="G57" i="10"/>
  <c r="F57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O56" i="10"/>
  <c r="N56" i="10"/>
  <c r="M56" i="10"/>
  <c r="L56" i="10"/>
  <c r="K56" i="10"/>
  <c r="J56" i="10"/>
  <c r="I56" i="10"/>
  <c r="H56" i="10"/>
  <c r="G56" i="10"/>
  <c r="F56" i="10"/>
  <c r="E56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AB51" i="10"/>
  <c r="AB59" i="10" s="1"/>
  <c r="AA51" i="10"/>
  <c r="Z51" i="10"/>
  <c r="Z59" i="10" s="1"/>
  <c r="Y51" i="10"/>
  <c r="X51" i="10"/>
  <c r="X59" i="10" s="1"/>
  <c r="W51" i="10"/>
  <c r="W59" i="10" s="1"/>
  <c r="V51" i="10"/>
  <c r="V59" i="10" s="1"/>
  <c r="U51" i="10"/>
  <c r="U59" i="10" s="1"/>
  <c r="T51" i="10"/>
  <c r="T59" i="10" s="1"/>
  <c r="S51" i="10"/>
  <c r="R51" i="10"/>
  <c r="R59" i="10" s="1"/>
  <c r="Q51" i="10"/>
  <c r="P51" i="10"/>
  <c r="P59" i="10" s="1"/>
  <c r="O51" i="10"/>
  <c r="O59" i="10" s="1"/>
  <c r="N51" i="10"/>
  <c r="N59" i="10" s="1"/>
  <c r="M51" i="10"/>
  <c r="M59" i="10" s="1"/>
  <c r="L51" i="10"/>
  <c r="L59" i="10" s="1"/>
  <c r="K51" i="10"/>
  <c r="J51" i="10"/>
  <c r="J59" i="10" s="1"/>
  <c r="I51" i="10"/>
  <c r="H51" i="10"/>
  <c r="H59" i="10" s="1"/>
  <c r="G51" i="10"/>
  <c r="G59" i="10" s="1"/>
  <c r="F51" i="10"/>
  <c r="F59" i="10" s="1"/>
  <c r="E51" i="10"/>
  <c r="E59" i="10" s="1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O47" i="10"/>
  <c r="N47" i="10"/>
  <c r="M47" i="10"/>
  <c r="L47" i="10"/>
  <c r="K47" i="10"/>
  <c r="J47" i="10"/>
  <c r="I47" i="10"/>
  <c r="H47" i="10"/>
  <c r="G47" i="10"/>
  <c r="F47" i="10"/>
  <c r="E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O46" i="10"/>
  <c r="N46" i="10"/>
  <c r="M46" i="10"/>
  <c r="L46" i="10"/>
  <c r="K46" i="10"/>
  <c r="J46" i="10"/>
  <c r="I46" i="10"/>
  <c r="H46" i="10"/>
  <c r="G46" i="10"/>
  <c r="F46" i="10"/>
  <c r="E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O45" i="10"/>
  <c r="N45" i="10"/>
  <c r="M45" i="10"/>
  <c r="L45" i="10"/>
  <c r="K45" i="10"/>
  <c r="J45" i="10"/>
  <c r="I45" i="10"/>
  <c r="H45" i="10"/>
  <c r="G45" i="10"/>
  <c r="F45" i="10"/>
  <c r="E45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O44" i="10"/>
  <c r="N44" i="10"/>
  <c r="M44" i="10"/>
  <c r="L44" i="10"/>
  <c r="K44" i="10"/>
  <c r="J44" i="10"/>
  <c r="I44" i="10"/>
  <c r="H44" i="10"/>
  <c r="G44" i="10"/>
  <c r="F44" i="10"/>
  <c r="E44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O43" i="10"/>
  <c r="N43" i="10"/>
  <c r="M43" i="10"/>
  <c r="L43" i="10"/>
  <c r="K43" i="10"/>
  <c r="J43" i="10"/>
  <c r="I43" i="10"/>
  <c r="H43" i="10"/>
  <c r="G43" i="10"/>
  <c r="F43" i="10"/>
  <c r="E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E41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E40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AB10" i="10"/>
  <c r="AA10" i="10"/>
  <c r="AA50" i="10" s="1"/>
  <c r="Z10" i="10"/>
  <c r="Z50" i="10" s="1"/>
  <c r="Y10" i="10"/>
  <c r="Y50" i="10" s="1"/>
  <c r="X10" i="10"/>
  <c r="X50" i="10" s="1"/>
  <c r="W10" i="10"/>
  <c r="W50" i="10" s="1"/>
  <c r="V10" i="10"/>
  <c r="V50" i="10" s="1"/>
  <c r="U10" i="10"/>
  <c r="T10" i="10"/>
  <c r="T50" i="10" s="1"/>
  <c r="S10" i="10"/>
  <c r="S50" i="10" s="1"/>
  <c r="R10" i="10"/>
  <c r="R50" i="10" s="1"/>
  <c r="Q10" i="10"/>
  <c r="Q50" i="10" s="1"/>
  <c r="P10" i="10"/>
  <c r="O10" i="10"/>
  <c r="O50" i="10" s="1"/>
  <c r="N10" i="10"/>
  <c r="N50" i="10" s="1"/>
  <c r="M10" i="10"/>
  <c r="M50" i="10" s="1"/>
  <c r="L10" i="10"/>
  <c r="L50" i="10" s="1"/>
  <c r="K10" i="10"/>
  <c r="K50" i="10" s="1"/>
  <c r="J10" i="10"/>
  <c r="J50" i="10" s="1"/>
  <c r="I10" i="10"/>
  <c r="I50" i="10" s="1"/>
  <c r="H10" i="10"/>
  <c r="H50" i="10" s="1"/>
  <c r="G10" i="10"/>
  <c r="G50" i="10" s="1"/>
  <c r="F10" i="10"/>
  <c r="F50" i="10" s="1"/>
  <c r="E10" i="10"/>
  <c r="E50" i="10" s="1"/>
  <c r="P58" i="7"/>
  <c r="O58" i="7"/>
  <c r="N58" i="7"/>
  <c r="M58" i="7"/>
  <c r="L58" i="7"/>
  <c r="P57" i="7"/>
  <c r="O57" i="7"/>
  <c r="N57" i="7"/>
  <c r="M57" i="7"/>
  <c r="L57" i="7"/>
  <c r="P56" i="7"/>
  <c r="O56" i="7"/>
  <c r="N56" i="7"/>
  <c r="M56" i="7"/>
  <c r="L56" i="7"/>
  <c r="P55" i="7"/>
  <c r="O55" i="7"/>
  <c r="N55" i="7"/>
  <c r="M55" i="7"/>
  <c r="L55" i="7"/>
  <c r="P54" i="7"/>
  <c r="O54" i="7"/>
  <c r="N54" i="7"/>
  <c r="M54" i="7"/>
  <c r="L54" i="7"/>
  <c r="P34" i="7"/>
  <c r="O34" i="7"/>
  <c r="N34" i="7"/>
  <c r="M34" i="7"/>
  <c r="L34" i="7"/>
  <c r="K34" i="7"/>
  <c r="H34" i="7"/>
  <c r="G34" i="7"/>
  <c r="F34" i="7"/>
  <c r="E34" i="7"/>
  <c r="D34" i="7"/>
  <c r="C34" i="7"/>
  <c r="P33" i="7"/>
  <c r="O33" i="7"/>
  <c r="N33" i="7"/>
  <c r="M33" i="7"/>
  <c r="L33" i="7"/>
  <c r="K33" i="7"/>
  <c r="H33" i="7"/>
  <c r="G33" i="7"/>
  <c r="F33" i="7"/>
  <c r="E33" i="7"/>
  <c r="D33" i="7"/>
  <c r="C33" i="7"/>
  <c r="P32" i="7"/>
  <c r="O32" i="7"/>
  <c r="N32" i="7"/>
  <c r="M32" i="7"/>
  <c r="L32" i="7"/>
  <c r="K32" i="7"/>
  <c r="H32" i="7"/>
  <c r="G32" i="7"/>
  <c r="F32" i="7"/>
  <c r="E32" i="7"/>
  <c r="D32" i="7"/>
  <c r="C32" i="7"/>
  <c r="P31" i="7"/>
  <c r="O31" i="7"/>
  <c r="N31" i="7"/>
  <c r="M31" i="7"/>
  <c r="L31" i="7"/>
  <c r="K31" i="7"/>
  <c r="H31" i="7"/>
  <c r="G31" i="7"/>
  <c r="F31" i="7"/>
  <c r="E31" i="7"/>
  <c r="D31" i="7"/>
  <c r="C31" i="7"/>
  <c r="P30" i="7"/>
  <c r="O30" i="7"/>
  <c r="N30" i="7"/>
  <c r="M30" i="7"/>
  <c r="L30" i="7"/>
  <c r="K30" i="7"/>
  <c r="H30" i="7"/>
  <c r="G30" i="7"/>
  <c r="F30" i="7"/>
  <c r="E30" i="7"/>
  <c r="D30" i="7"/>
  <c r="C30" i="7"/>
  <c r="P29" i="7"/>
  <c r="O29" i="7"/>
  <c r="N29" i="7"/>
  <c r="M29" i="7"/>
  <c r="L29" i="7"/>
  <c r="K29" i="7"/>
  <c r="H29" i="7"/>
  <c r="G29" i="7"/>
  <c r="F29" i="7"/>
  <c r="E29" i="7"/>
  <c r="D29" i="7"/>
  <c r="C29" i="7"/>
  <c r="P28" i="7"/>
  <c r="O28" i="7"/>
  <c r="N28" i="7"/>
  <c r="M28" i="7"/>
  <c r="L28" i="7"/>
  <c r="K28" i="7"/>
  <c r="H28" i="7"/>
  <c r="G28" i="7"/>
  <c r="F28" i="7"/>
  <c r="E28" i="7"/>
  <c r="D28" i="7"/>
  <c r="C28" i="7"/>
  <c r="P27" i="7"/>
  <c r="O27" i="7"/>
  <c r="N27" i="7"/>
  <c r="M27" i="7"/>
  <c r="L27" i="7"/>
  <c r="K27" i="7"/>
  <c r="H27" i="7"/>
  <c r="G27" i="7"/>
  <c r="F27" i="7"/>
  <c r="E27" i="7"/>
  <c r="D27" i="7"/>
  <c r="C27" i="7"/>
  <c r="P26" i="7"/>
  <c r="O26" i="7"/>
  <c r="N26" i="7"/>
  <c r="M26" i="7"/>
  <c r="L26" i="7"/>
  <c r="K26" i="7"/>
  <c r="H26" i="7"/>
  <c r="G26" i="7"/>
  <c r="F26" i="7"/>
  <c r="E26" i="7"/>
  <c r="D26" i="7"/>
  <c r="C26" i="7"/>
  <c r="P25" i="7"/>
  <c r="O25" i="7"/>
  <c r="N25" i="7"/>
  <c r="M25" i="7"/>
  <c r="L25" i="7"/>
  <c r="K25" i="7"/>
  <c r="H25" i="7"/>
  <c r="G25" i="7"/>
  <c r="F25" i="7"/>
  <c r="E25" i="7"/>
  <c r="D25" i="7"/>
  <c r="C25" i="7"/>
  <c r="P24" i="7"/>
  <c r="O24" i="7"/>
  <c r="N24" i="7"/>
  <c r="M24" i="7"/>
  <c r="L24" i="7"/>
  <c r="K24" i="7"/>
  <c r="H24" i="7"/>
  <c r="G24" i="7"/>
  <c r="F24" i="7"/>
  <c r="E24" i="7"/>
  <c r="D24" i="7"/>
  <c r="C24" i="7"/>
  <c r="P23" i="7"/>
  <c r="O23" i="7"/>
  <c r="N23" i="7"/>
  <c r="M23" i="7"/>
  <c r="L23" i="7"/>
  <c r="K23" i="7"/>
  <c r="H23" i="7"/>
  <c r="G23" i="7"/>
  <c r="F23" i="7"/>
  <c r="E23" i="7"/>
  <c r="D23" i="7"/>
  <c r="C23" i="7"/>
  <c r="P22" i="7"/>
  <c r="O22" i="7"/>
  <c r="N22" i="7"/>
  <c r="M22" i="7"/>
  <c r="L22" i="7"/>
  <c r="K22" i="7"/>
  <c r="H22" i="7"/>
  <c r="G22" i="7"/>
  <c r="F22" i="7"/>
  <c r="E22" i="7"/>
  <c r="D22" i="7"/>
  <c r="C22" i="7"/>
  <c r="P21" i="7"/>
  <c r="O21" i="7"/>
  <c r="N21" i="7"/>
  <c r="M21" i="7"/>
  <c r="L21" i="7"/>
  <c r="K21" i="7"/>
  <c r="H21" i="7"/>
  <c r="G21" i="7"/>
  <c r="F21" i="7"/>
  <c r="E21" i="7"/>
  <c r="D21" i="7"/>
  <c r="C21" i="7"/>
  <c r="P20" i="7"/>
  <c r="O20" i="7"/>
  <c r="N20" i="7"/>
  <c r="M20" i="7"/>
  <c r="L20" i="7"/>
  <c r="K20" i="7"/>
  <c r="H20" i="7"/>
  <c r="G20" i="7"/>
  <c r="F20" i="7"/>
  <c r="E20" i="7"/>
  <c r="D20" i="7"/>
  <c r="C20" i="7"/>
  <c r="AE44" i="9"/>
  <c r="AC44" i="9"/>
  <c r="AB44" i="9"/>
  <c r="AA44" i="9"/>
  <c r="Z44" i="9"/>
  <c r="Y44" i="9"/>
  <c r="X44" i="9"/>
  <c r="W44" i="9"/>
  <c r="V44" i="9"/>
  <c r="U44" i="9"/>
  <c r="T44" i="9"/>
  <c r="AE43" i="9"/>
  <c r="AC43" i="9"/>
  <c r="AB43" i="9"/>
  <c r="AA43" i="9"/>
  <c r="Z43" i="9"/>
  <c r="Y43" i="9"/>
  <c r="X43" i="9"/>
  <c r="W43" i="9"/>
  <c r="V43" i="9"/>
  <c r="U43" i="9"/>
  <c r="T43" i="9"/>
  <c r="AE42" i="9"/>
  <c r="AC42" i="9"/>
  <c r="AB42" i="9"/>
  <c r="AA42" i="9"/>
  <c r="Z42" i="9"/>
  <c r="Y42" i="9"/>
  <c r="X42" i="9"/>
  <c r="W42" i="9"/>
  <c r="V42" i="9"/>
  <c r="U42" i="9"/>
  <c r="T42" i="9"/>
  <c r="AE41" i="9"/>
  <c r="AC41" i="9"/>
  <c r="AB41" i="9"/>
  <c r="AA41" i="9"/>
  <c r="Z41" i="9"/>
  <c r="Y41" i="9"/>
  <c r="X41" i="9"/>
  <c r="W41" i="9"/>
  <c r="V41" i="9"/>
  <c r="U41" i="9"/>
  <c r="T41" i="9"/>
  <c r="P41" i="9"/>
  <c r="O41" i="9"/>
  <c r="N41" i="9"/>
  <c r="M41" i="9"/>
  <c r="L41" i="9"/>
  <c r="AE40" i="9"/>
  <c r="AC40" i="9"/>
  <c r="AB40" i="9"/>
  <c r="AA40" i="9"/>
  <c r="Z40" i="9"/>
  <c r="Y40" i="9"/>
  <c r="X40" i="9"/>
  <c r="W40" i="9"/>
  <c r="V40" i="9"/>
  <c r="U40" i="9"/>
  <c r="T40" i="9"/>
  <c r="P40" i="9"/>
  <c r="O40" i="9"/>
  <c r="N40" i="9"/>
  <c r="M40" i="9"/>
  <c r="L40" i="9"/>
  <c r="H40" i="9"/>
  <c r="G40" i="9"/>
  <c r="F40" i="9"/>
  <c r="E40" i="9"/>
  <c r="D40" i="9"/>
  <c r="AE39" i="9"/>
  <c r="AC39" i="9"/>
  <c r="AB39" i="9"/>
  <c r="AA39" i="9"/>
  <c r="Z39" i="9"/>
  <c r="Y39" i="9"/>
  <c r="X39" i="9"/>
  <c r="W39" i="9"/>
  <c r="V39" i="9"/>
  <c r="U39" i="9"/>
  <c r="T39" i="9"/>
  <c r="P39" i="9"/>
  <c r="O39" i="9"/>
  <c r="N39" i="9"/>
  <c r="M39" i="9"/>
  <c r="L39" i="9"/>
  <c r="H39" i="9"/>
  <c r="G39" i="9"/>
  <c r="F39" i="9"/>
  <c r="E39" i="9"/>
  <c r="D39" i="9"/>
  <c r="AE38" i="9"/>
  <c r="AC38" i="9"/>
  <c r="AB38" i="9"/>
  <c r="AA38" i="9"/>
  <c r="Z38" i="9"/>
  <c r="Y38" i="9"/>
  <c r="X38" i="9"/>
  <c r="W38" i="9"/>
  <c r="V38" i="9"/>
  <c r="U38" i="9"/>
  <c r="T38" i="9"/>
  <c r="P38" i="9"/>
  <c r="O38" i="9"/>
  <c r="N38" i="9"/>
  <c r="M38" i="9"/>
  <c r="L38" i="9"/>
  <c r="H38" i="9"/>
  <c r="G38" i="9"/>
  <c r="F38" i="9"/>
  <c r="E38" i="9"/>
  <c r="AE37" i="9"/>
  <c r="AC37" i="9"/>
  <c r="AB37" i="9"/>
  <c r="AA37" i="9"/>
  <c r="Z37" i="9"/>
  <c r="Y37" i="9"/>
  <c r="X37" i="9"/>
  <c r="W37" i="9"/>
  <c r="V37" i="9"/>
  <c r="U37" i="9"/>
  <c r="T37" i="9"/>
  <c r="P37" i="9"/>
  <c r="O37" i="9"/>
  <c r="N37" i="9"/>
  <c r="M37" i="9"/>
  <c r="L37" i="9"/>
  <c r="AE36" i="9"/>
  <c r="AC36" i="9"/>
  <c r="AB36" i="9"/>
  <c r="AA36" i="9"/>
  <c r="Z36" i="9"/>
  <c r="Y36" i="9"/>
  <c r="X36" i="9"/>
  <c r="W36" i="9"/>
  <c r="V36" i="9"/>
  <c r="U36" i="9"/>
  <c r="T36" i="9"/>
  <c r="P36" i="9"/>
  <c r="O36" i="9"/>
  <c r="N36" i="9"/>
  <c r="M36" i="9"/>
  <c r="L36" i="9"/>
  <c r="AE35" i="9"/>
  <c r="AC35" i="9"/>
  <c r="AB35" i="9"/>
  <c r="AA35" i="9"/>
  <c r="Z35" i="9"/>
  <c r="Y35" i="9"/>
  <c r="X35" i="9"/>
  <c r="W35" i="9"/>
  <c r="V35" i="9"/>
  <c r="U35" i="9"/>
  <c r="T35" i="9"/>
  <c r="P35" i="9"/>
  <c r="O35" i="9"/>
  <c r="N35" i="9"/>
  <c r="M35" i="9"/>
  <c r="L35" i="9"/>
  <c r="AE34" i="9"/>
  <c r="AC34" i="9"/>
  <c r="AB34" i="9"/>
  <c r="AA34" i="9"/>
  <c r="Z34" i="9"/>
  <c r="Y34" i="9"/>
  <c r="X34" i="9"/>
  <c r="W34" i="9"/>
  <c r="V34" i="9"/>
  <c r="U34" i="9"/>
  <c r="T34" i="9"/>
  <c r="P34" i="9"/>
  <c r="O34" i="9"/>
  <c r="N34" i="9"/>
  <c r="M34" i="9"/>
  <c r="L34" i="9"/>
  <c r="AE33" i="9"/>
  <c r="AC33" i="9"/>
  <c r="AB33" i="9"/>
  <c r="AA33" i="9"/>
  <c r="Z33" i="9"/>
  <c r="Y33" i="9"/>
  <c r="X33" i="9"/>
  <c r="W33" i="9"/>
  <c r="V33" i="9"/>
  <c r="U33" i="9"/>
  <c r="T33" i="9"/>
  <c r="P33" i="9"/>
  <c r="O33" i="9"/>
  <c r="N33" i="9"/>
  <c r="M33" i="9"/>
  <c r="L33" i="9"/>
  <c r="AE32" i="9"/>
  <c r="AC32" i="9"/>
  <c r="AB32" i="9"/>
  <c r="AA32" i="9"/>
  <c r="Z32" i="9"/>
  <c r="Y32" i="9"/>
  <c r="X32" i="9"/>
  <c r="W32" i="9"/>
  <c r="V32" i="9"/>
  <c r="U32" i="9"/>
  <c r="T32" i="9"/>
  <c r="P32" i="9"/>
  <c r="O32" i="9"/>
  <c r="N32" i="9"/>
  <c r="M32" i="9"/>
  <c r="L32" i="9"/>
  <c r="I32" i="9"/>
  <c r="H32" i="9"/>
  <c r="G32" i="9"/>
  <c r="F32" i="9"/>
  <c r="E32" i="9"/>
  <c r="D32" i="9"/>
  <c r="AE31" i="9"/>
  <c r="AC31" i="9"/>
  <c r="AB31" i="9"/>
  <c r="AA31" i="9"/>
  <c r="Z31" i="9"/>
  <c r="Y31" i="9"/>
  <c r="X31" i="9"/>
  <c r="W31" i="9"/>
  <c r="V31" i="9"/>
  <c r="U31" i="9"/>
  <c r="T31" i="9"/>
  <c r="I31" i="9"/>
  <c r="H31" i="9"/>
  <c r="G31" i="9"/>
  <c r="F31" i="9"/>
  <c r="E31" i="9"/>
  <c r="D31" i="9"/>
  <c r="AE30" i="9"/>
  <c r="AC30" i="9"/>
  <c r="AB30" i="9"/>
  <c r="AA30" i="9"/>
  <c r="Z30" i="9"/>
  <c r="Y30" i="9"/>
  <c r="X30" i="9"/>
  <c r="W30" i="9"/>
  <c r="V30" i="9"/>
  <c r="U30" i="9"/>
  <c r="T30" i="9"/>
  <c r="I30" i="9"/>
  <c r="H30" i="9"/>
  <c r="G30" i="9"/>
  <c r="F30" i="9"/>
  <c r="E30" i="9"/>
  <c r="D30" i="9"/>
  <c r="AE29" i="9"/>
  <c r="AC29" i="9"/>
  <c r="AB29" i="9"/>
  <c r="AA29" i="9"/>
  <c r="Z29" i="9"/>
  <c r="Y29" i="9"/>
  <c r="X29" i="9"/>
  <c r="W29" i="9"/>
  <c r="V29" i="9"/>
  <c r="U29" i="9"/>
  <c r="T29" i="9"/>
  <c r="I29" i="9"/>
  <c r="H29" i="9"/>
  <c r="G29" i="9"/>
  <c r="F29" i="9"/>
  <c r="E29" i="9"/>
  <c r="D29" i="9"/>
  <c r="AE28" i="9"/>
  <c r="AC28" i="9"/>
  <c r="AB28" i="9"/>
  <c r="AA28" i="9"/>
  <c r="Z28" i="9"/>
  <c r="Y28" i="9"/>
  <c r="X28" i="9"/>
  <c r="W28" i="9"/>
  <c r="V28" i="9"/>
  <c r="U28" i="9"/>
  <c r="T28" i="9"/>
  <c r="I28" i="9"/>
  <c r="H28" i="9"/>
  <c r="G28" i="9"/>
  <c r="F28" i="9"/>
  <c r="E28" i="9"/>
  <c r="D28" i="9"/>
  <c r="AE27" i="9"/>
  <c r="AC27" i="9"/>
  <c r="AB27" i="9"/>
  <c r="AA27" i="9"/>
  <c r="Z27" i="9"/>
  <c r="Y27" i="9"/>
  <c r="X27" i="9"/>
  <c r="W27" i="9"/>
  <c r="V27" i="9"/>
  <c r="U27" i="9"/>
  <c r="T27" i="9"/>
  <c r="I27" i="9"/>
  <c r="H27" i="9"/>
  <c r="G27" i="9"/>
  <c r="F27" i="9"/>
  <c r="E27" i="9"/>
  <c r="D27" i="9"/>
  <c r="AE26" i="9"/>
  <c r="AC26" i="9"/>
  <c r="AB26" i="9"/>
  <c r="AA26" i="9"/>
  <c r="Z26" i="9"/>
  <c r="Y26" i="9"/>
  <c r="X26" i="9"/>
  <c r="W26" i="9"/>
  <c r="V26" i="9"/>
  <c r="U26" i="9"/>
  <c r="T26" i="9"/>
  <c r="P26" i="9"/>
  <c r="O26" i="9"/>
  <c r="N26" i="9"/>
  <c r="M26" i="9"/>
  <c r="L26" i="9"/>
  <c r="I26" i="9"/>
  <c r="H26" i="9"/>
  <c r="G26" i="9"/>
  <c r="F26" i="9"/>
  <c r="E26" i="9"/>
  <c r="D26" i="9"/>
  <c r="AE25" i="9"/>
  <c r="AC25" i="9"/>
  <c r="AB25" i="9"/>
  <c r="AA25" i="9"/>
  <c r="Z25" i="9"/>
  <c r="Y25" i="9"/>
  <c r="X25" i="9"/>
  <c r="W25" i="9"/>
  <c r="V25" i="9"/>
  <c r="U25" i="9"/>
  <c r="T25" i="9"/>
  <c r="P25" i="9"/>
  <c r="O25" i="9"/>
  <c r="N25" i="9"/>
  <c r="M25" i="9"/>
  <c r="L25" i="9"/>
  <c r="I25" i="9"/>
  <c r="H25" i="9"/>
  <c r="G25" i="9"/>
  <c r="F25" i="9"/>
  <c r="E25" i="9"/>
  <c r="D25" i="9"/>
  <c r="AE24" i="9"/>
  <c r="AC24" i="9"/>
  <c r="AB24" i="9"/>
  <c r="AA24" i="9"/>
  <c r="Z24" i="9"/>
  <c r="Y24" i="9"/>
  <c r="X24" i="9"/>
  <c r="W24" i="9"/>
  <c r="V24" i="9"/>
  <c r="U24" i="9"/>
  <c r="T24" i="9"/>
  <c r="P24" i="9"/>
  <c r="O24" i="9"/>
  <c r="N24" i="9"/>
  <c r="M24" i="9"/>
  <c r="L24" i="9"/>
  <c r="I24" i="9"/>
  <c r="H24" i="9"/>
  <c r="G24" i="9"/>
  <c r="F24" i="9"/>
  <c r="E24" i="9"/>
  <c r="D24" i="9"/>
  <c r="AE23" i="9"/>
  <c r="AC23" i="9"/>
  <c r="AB23" i="9"/>
  <c r="AA23" i="9"/>
  <c r="Z23" i="9"/>
  <c r="Y23" i="9"/>
  <c r="X23" i="9"/>
  <c r="W23" i="9"/>
  <c r="V23" i="9"/>
  <c r="U23" i="9"/>
  <c r="T23" i="9"/>
  <c r="P23" i="9"/>
  <c r="O23" i="9"/>
  <c r="N23" i="9"/>
  <c r="M23" i="9"/>
  <c r="L23" i="9"/>
  <c r="I23" i="9"/>
  <c r="H23" i="9"/>
  <c r="G23" i="9"/>
  <c r="F23" i="9"/>
  <c r="E23" i="9"/>
  <c r="D23" i="9"/>
  <c r="AE22" i="9"/>
  <c r="AC22" i="9"/>
  <c r="AB22" i="9"/>
  <c r="AA22" i="9"/>
  <c r="Z22" i="9"/>
  <c r="Y22" i="9"/>
  <c r="X22" i="9"/>
  <c r="W22" i="9"/>
  <c r="V22" i="9"/>
  <c r="U22" i="9"/>
  <c r="T22" i="9"/>
  <c r="P22" i="9"/>
  <c r="O22" i="9"/>
  <c r="N22" i="9"/>
  <c r="M22" i="9"/>
  <c r="L22" i="9"/>
  <c r="I22" i="9"/>
  <c r="H22" i="9"/>
  <c r="G22" i="9"/>
  <c r="F22" i="9"/>
  <c r="E22" i="9"/>
  <c r="D22" i="9"/>
  <c r="AE21" i="9"/>
  <c r="AC21" i="9"/>
  <c r="AB21" i="9"/>
  <c r="AA21" i="9"/>
  <c r="Z21" i="9"/>
  <c r="Y21" i="9"/>
  <c r="X21" i="9"/>
  <c r="W21" i="9"/>
  <c r="V21" i="9"/>
  <c r="U21" i="9"/>
  <c r="T21" i="9"/>
  <c r="P21" i="9"/>
  <c r="O21" i="9"/>
  <c r="N21" i="9"/>
  <c r="M21" i="9"/>
  <c r="L21" i="9"/>
  <c r="I21" i="9"/>
  <c r="H21" i="9"/>
  <c r="G21" i="9"/>
  <c r="F21" i="9"/>
  <c r="E21" i="9"/>
  <c r="D21" i="9"/>
  <c r="AE20" i="9"/>
  <c r="AC20" i="9"/>
  <c r="AB20" i="9"/>
  <c r="AA20" i="9"/>
  <c r="Z20" i="9"/>
  <c r="Y20" i="9"/>
  <c r="X20" i="9"/>
  <c r="W20" i="9"/>
  <c r="V20" i="9"/>
  <c r="U20" i="9"/>
  <c r="T20" i="9"/>
  <c r="P20" i="9"/>
  <c r="O20" i="9"/>
  <c r="N20" i="9"/>
  <c r="M20" i="9"/>
  <c r="L20" i="9"/>
  <c r="I20" i="9"/>
  <c r="H20" i="9"/>
  <c r="G20" i="9"/>
  <c r="F20" i="9"/>
  <c r="E20" i="9"/>
  <c r="D20" i="9"/>
  <c r="AE19" i="9"/>
  <c r="AC19" i="9"/>
  <c r="AB19" i="9"/>
  <c r="AA19" i="9"/>
  <c r="Z19" i="9"/>
  <c r="Y19" i="9"/>
  <c r="X19" i="9"/>
  <c r="W19" i="9"/>
  <c r="V19" i="9"/>
  <c r="U19" i="9"/>
  <c r="T19" i="9"/>
  <c r="P19" i="9"/>
  <c r="O19" i="9"/>
  <c r="N19" i="9"/>
  <c r="M19" i="9"/>
  <c r="L19" i="9"/>
  <c r="I19" i="9"/>
  <c r="H19" i="9"/>
  <c r="G19" i="9"/>
  <c r="F19" i="9"/>
  <c r="E19" i="9"/>
  <c r="D19" i="9"/>
  <c r="AE18" i="9"/>
  <c r="AC18" i="9"/>
  <c r="AB18" i="9"/>
  <c r="AA18" i="9"/>
  <c r="Z18" i="9"/>
  <c r="Y18" i="9"/>
  <c r="X18" i="9"/>
  <c r="W18" i="9"/>
  <c r="V18" i="9"/>
  <c r="U18" i="9"/>
  <c r="T18" i="9"/>
  <c r="P18" i="9"/>
  <c r="O18" i="9"/>
  <c r="N18" i="9"/>
  <c r="M18" i="9"/>
  <c r="L18" i="9"/>
  <c r="I18" i="9"/>
  <c r="H18" i="9"/>
  <c r="G18" i="9"/>
  <c r="F18" i="9"/>
  <c r="E18" i="9"/>
  <c r="D18" i="9"/>
  <c r="AE17" i="9"/>
  <c r="AC17" i="9"/>
  <c r="AB17" i="9"/>
  <c r="AA17" i="9"/>
  <c r="Z17" i="9"/>
  <c r="Y17" i="9"/>
  <c r="X17" i="9"/>
  <c r="W17" i="9"/>
  <c r="V17" i="9"/>
  <c r="U17" i="9"/>
  <c r="T17" i="9"/>
  <c r="P17" i="9"/>
  <c r="O17" i="9"/>
  <c r="N17" i="9"/>
  <c r="M17" i="9"/>
  <c r="L17" i="9"/>
  <c r="I17" i="9"/>
  <c r="H17" i="9"/>
  <c r="G17" i="9"/>
  <c r="F17" i="9"/>
  <c r="E17" i="9"/>
  <c r="S102" i="12"/>
  <c r="R102" i="12"/>
  <c r="Q102" i="12"/>
  <c r="P102" i="12"/>
  <c r="O102" i="12"/>
  <c r="N102" i="12"/>
  <c r="M102" i="12"/>
  <c r="K102" i="12"/>
  <c r="J102" i="12"/>
  <c r="I102" i="12"/>
  <c r="H102" i="12"/>
  <c r="G102" i="12"/>
  <c r="F102" i="12"/>
  <c r="E102" i="12"/>
  <c r="S101" i="12"/>
  <c r="R101" i="12"/>
  <c r="Q101" i="12"/>
  <c r="P101" i="12"/>
  <c r="O101" i="12"/>
  <c r="N101" i="12"/>
  <c r="M101" i="12"/>
  <c r="K101" i="12"/>
  <c r="J101" i="12"/>
  <c r="I101" i="12"/>
  <c r="H101" i="12"/>
  <c r="G101" i="12"/>
  <c r="F101" i="12"/>
  <c r="E101" i="12"/>
  <c r="S100" i="12"/>
  <c r="R100" i="12"/>
  <c r="Q100" i="12"/>
  <c r="P100" i="12"/>
  <c r="O100" i="12"/>
  <c r="N100" i="12"/>
  <c r="M100" i="12"/>
  <c r="K100" i="12"/>
  <c r="J100" i="12"/>
  <c r="I100" i="12"/>
  <c r="H100" i="12"/>
  <c r="G100" i="12"/>
  <c r="F100" i="12"/>
  <c r="E100" i="12"/>
  <c r="S99" i="12"/>
  <c r="R99" i="12"/>
  <c r="Q99" i="12"/>
  <c r="P99" i="12"/>
  <c r="O99" i="12"/>
  <c r="N99" i="12"/>
  <c r="M99" i="12"/>
  <c r="K99" i="12"/>
  <c r="J99" i="12"/>
  <c r="I99" i="12"/>
  <c r="H99" i="12"/>
  <c r="G99" i="12"/>
  <c r="F99" i="12"/>
  <c r="E99" i="12"/>
  <c r="S98" i="12"/>
  <c r="R98" i="12"/>
  <c r="Q98" i="12"/>
  <c r="P98" i="12"/>
  <c r="O98" i="12"/>
  <c r="N98" i="12"/>
  <c r="M98" i="12"/>
  <c r="K98" i="12"/>
  <c r="J98" i="12"/>
  <c r="I98" i="12"/>
  <c r="H98" i="12"/>
  <c r="G98" i="12"/>
  <c r="F98" i="12"/>
  <c r="E98" i="12"/>
  <c r="S97" i="12"/>
  <c r="R97" i="12"/>
  <c r="Q97" i="12"/>
  <c r="P97" i="12"/>
  <c r="O97" i="12"/>
  <c r="N97" i="12"/>
  <c r="M97" i="12"/>
  <c r="K97" i="12"/>
  <c r="J97" i="12"/>
  <c r="I97" i="12"/>
  <c r="H97" i="12"/>
  <c r="G97" i="12"/>
  <c r="F97" i="12"/>
  <c r="E97" i="12"/>
  <c r="S96" i="12"/>
  <c r="R96" i="12"/>
  <c r="Q96" i="12"/>
  <c r="P96" i="12"/>
  <c r="O96" i="12"/>
  <c r="N96" i="12"/>
  <c r="M96" i="12"/>
  <c r="K96" i="12"/>
  <c r="J96" i="12"/>
  <c r="I96" i="12"/>
  <c r="H96" i="12"/>
  <c r="G96" i="12"/>
  <c r="F96" i="12"/>
  <c r="E96" i="12"/>
  <c r="S95" i="12"/>
  <c r="R95" i="12"/>
  <c r="Q95" i="12"/>
  <c r="P95" i="12"/>
  <c r="O95" i="12"/>
  <c r="N95" i="12"/>
  <c r="M95" i="12"/>
  <c r="K95" i="12"/>
  <c r="J95" i="12"/>
  <c r="I95" i="12"/>
  <c r="H95" i="12"/>
  <c r="G95" i="12"/>
  <c r="F95" i="12"/>
  <c r="E95" i="12"/>
  <c r="S94" i="12"/>
  <c r="R94" i="12"/>
  <c r="Q94" i="12"/>
  <c r="P94" i="12"/>
  <c r="O94" i="12"/>
  <c r="N94" i="12"/>
  <c r="M94" i="12"/>
  <c r="K94" i="12"/>
  <c r="J94" i="12"/>
  <c r="I94" i="12"/>
  <c r="H94" i="12"/>
  <c r="G94" i="12"/>
  <c r="F94" i="12"/>
  <c r="E94" i="12"/>
  <c r="S93" i="12"/>
  <c r="R93" i="12"/>
  <c r="Q93" i="12"/>
  <c r="P93" i="12"/>
  <c r="O93" i="12"/>
  <c r="N93" i="12"/>
  <c r="M93" i="12"/>
  <c r="K93" i="12"/>
  <c r="J93" i="12"/>
  <c r="I93" i="12"/>
  <c r="H93" i="12"/>
  <c r="G93" i="12"/>
  <c r="F93" i="12"/>
  <c r="E93" i="12"/>
  <c r="S92" i="12"/>
  <c r="R92" i="12"/>
  <c r="Q92" i="12"/>
  <c r="P92" i="12"/>
  <c r="O92" i="12"/>
  <c r="N92" i="12"/>
  <c r="M92" i="12"/>
  <c r="K92" i="12"/>
  <c r="J92" i="12"/>
  <c r="I92" i="12"/>
  <c r="H92" i="12"/>
  <c r="G92" i="12"/>
  <c r="F92" i="12"/>
  <c r="E92" i="12"/>
  <c r="S91" i="12"/>
  <c r="R91" i="12"/>
  <c r="Q91" i="12"/>
  <c r="P91" i="12"/>
  <c r="O91" i="12"/>
  <c r="N91" i="12"/>
  <c r="M91" i="12"/>
  <c r="K91" i="12"/>
  <c r="J91" i="12"/>
  <c r="I91" i="12"/>
  <c r="H91" i="12"/>
  <c r="G91" i="12"/>
  <c r="F91" i="12"/>
  <c r="E91" i="12"/>
  <c r="S90" i="12"/>
  <c r="R90" i="12"/>
  <c r="Q90" i="12"/>
  <c r="P90" i="12"/>
  <c r="O90" i="12"/>
  <c r="N90" i="12"/>
  <c r="M90" i="12"/>
  <c r="K90" i="12"/>
  <c r="J90" i="12"/>
  <c r="I90" i="12"/>
  <c r="H90" i="12"/>
  <c r="G90" i="12"/>
  <c r="F90" i="12"/>
  <c r="E90" i="12"/>
  <c r="S89" i="12"/>
  <c r="R89" i="12"/>
  <c r="Q89" i="12"/>
  <c r="P89" i="12"/>
  <c r="O89" i="12"/>
  <c r="N89" i="12"/>
  <c r="M89" i="12"/>
  <c r="K89" i="12"/>
  <c r="J89" i="12"/>
  <c r="I89" i="12"/>
  <c r="H89" i="12"/>
  <c r="G89" i="12"/>
  <c r="F89" i="12"/>
  <c r="E89" i="12"/>
  <c r="S88" i="12"/>
  <c r="R88" i="12"/>
  <c r="Q88" i="12"/>
  <c r="P88" i="12"/>
  <c r="O88" i="12"/>
  <c r="N88" i="12"/>
  <c r="M88" i="12"/>
  <c r="K88" i="12"/>
  <c r="J88" i="12"/>
  <c r="I88" i="12"/>
  <c r="H88" i="12"/>
  <c r="G88" i="12"/>
  <c r="F88" i="12"/>
  <c r="E88" i="12"/>
  <c r="S87" i="12"/>
  <c r="R87" i="12"/>
  <c r="Q87" i="12"/>
  <c r="P87" i="12"/>
  <c r="O87" i="12"/>
  <c r="N87" i="12"/>
  <c r="M87" i="12"/>
  <c r="K87" i="12"/>
  <c r="J87" i="12"/>
  <c r="I87" i="12"/>
  <c r="H87" i="12"/>
  <c r="G87" i="12"/>
  <c r="F87" i="12"/>
  <c r="E87" i="12"/>
  <c r="AE81" i="12"/>
  <c r="AD81" i="12"/>
  <c r="AC81" i="12"/>
  <c r="AB81" i="12"/>
  <c r="AA81" i="12"/>
  <c r="Z81" i="12"/>
  <c r="Y81" i="12"/>
  <c r="X81" i="12"/>
  <c r="W81" i="12"/>
  <c r="V81" i="12"/>
  <c r="U81" i="12"/>
  <c r="T81" i="12"/>
  <c r="S81" i="12"/>
  <c r="Q81" i="12"/>
  <c r="P81" i="12"/>
  <c r="O81" i="12"/>
  <c r="N81" i="12"/>
  <c r="M81" i="12"/>
  <c r="L81" i="12"/>
  <c r="K81" i="12"/>
  <c r="J81" i="12"/>
  <c r="I81" i="12"/>
  <c r="H81" i="12"/>
  <c r="G81" i="12"/>
  <c r="F81" i="12"/>
  <c r="E81" i="12"/>
  <c r="AE80" i="12"/>
  <c r="AD80" i="12"/>
  <c r="AC80" i="12"/>
  <c r="AB80" i="12"/>
  <c r="AA80" i="12"/>
  <c r="Z80" i="12"/>
  <c r="Y80" i="12"/>
  <c r="X80" i="12"/>
  <c r="W80" i="12"/>
  <c r="V80" i="12"/>
  <c r="U80" i="12"/>
  <c r="T80" i="12"/>
  <c r="S80" i="12"/>
  <c r="Q80" i="12"/>
  <c r="P80" i="12"/>
  <c r="O80" i="12"/>
  <c r="N80" i="12"/>
  <c r="M80" i="12"/>
  <c r="L80" i="12"/>
  <c r="K80" i="12"/>
  <c r="J80" i="12"/>
  <c r="I80" i="12"/>
  <c r="H80" i="12"/>
  <c r="G80" i="12"/>
  <c r="F80" i="12"/>
  <c r="E80" i="12"/>
  <c r="AE79" i="12"/>
  <c r="AD79" i="12"/>
  <c r="AC79" i="12"/>
  <c r="AB79" i="12"/>
  <c r="AA79" i="12"/>
  <c r="Z79" i="12"/>
  <c r="Y79" i="12"/>
  <c r="X79" i="12"/>
  <c r="W79" i="12"/>
  <c r="V79" i="12"/>
  <c r="U79" i="12"/>
  <c r="T79" i="12"/>
  <c r="S79" i="12"/>
  <c r="Q79" i="12"/>
  <c r="P79" i="12"/>
  <c r="O79" i="12"/>
  <c r="N79" i="12"/>
  <c r="M79" i="12"/>
  <c r="L79" i="12"/>
  <c r="K79" i="12"/>
  <c r="J79" i="12"/>
  <c r="I79" i="12"/>
  <c r="H79" i="12"/>
  <c r="G79" i="12"/>
  <c r="F79" i="12"/>
  <c r="E79" i="12"/>
  <c r="AE78" i="12"/>
  <c r="AD78" i="12"/>
  <c r="AC78" i="12"/>
  <c r="AB78" i="12"/>
  <c r="AA78" i="12"/>
  <c r="Z78" i="12"/>
  <c r="Y78" i="12"/>
  <c r="X78" i="12"/>
  <c r="W78" i="12"/>
  <c r="V78" i="12"/>
  <c r="U78" i="12"/>
  <c r="T78" i="12"/>
  <c r="S78" i="12"/>
  <c r="Q78" i="12"/>
  <c r="P78" i="12"/>
  <c r="O78" i="12"/>
  <c r="N78" i="12"/>
  <c r="M78" i="12"/>
  <c r="L78" i="12"/>
  <c r="K78" i="12"/>
  <c r="J78" i="12"/>
  <c r="I78" i="12"/>
  <c r="H78" i="12"/>
  <c r="G78" i="12"/>
  <c r="F78" i="12"/>
  <c r="E78" i="12"/>
  <c r="AE77" i="12"/>
  <c r="AD77" i="12"/>
  <c r="AC77" i="12"/>
  <c r="AB77" i="12"/>
  <c r="AA77" i="12"/>
  <c r="Z77" i="12"/>
  <c r="Y77" i="12"/>
  <c r="X77" i="12"/>
  <c r="W77" i="12"/>
  <c r="V77" i="12"/>
  <c r="U77" i="12"/>
  <c r="T77" i="12"/>
  <c r="S77" i="12"/>
  <c r="Q77" i="12"/>
  <c r="P77" i="12"/>
  <c r="O77" i="12"/>
  <c r="N77" i="12"/>
  <c r="M77" i="12"/>
  <c r="L77" i="12"/>
  <c r="K77" i="12"/>
  <c r="J77" i="12"/>
  <c r="I77" i="12"/>
  <c r="H77" i="12"/>
  <c r="G77" i="12"/>
  <c r="F77" i="12"/>
  <c r="E77" i="12"/>
  <c r="AE76" i="12"/>
  <c r="AD76" i="12"/>
  <c r="AC76" i="12"/>
  <c r="AB76" i="12"/>
  <c r="AA76" i="12"/>
  <c r="Z76" i="12"/>
  <c r="Y76" i="12"/>
  <c r="X76" i="12"/>
  <c r="W76" i="12"/>
  <c r="V76" i="12"/>
  <c r="U76" i="12"/>
  <c r="T76" i="12"/>
  <c r="S76" i="12"/>
  <c r="Q76" i="12"/>
  <c r="P76" i="12"/>
  <c r="O76" i="12"/>
  <c r="N76" i="12"/>
  <c r="M76" i="12"/>
  <c r="L76" i="12"/>
  <c r="K76" i="12"/>
  <c r="J76" i="12"/>
  <c r="I76" i="12"/>
  <c r="H76" i="12"/>
  <c r="G76" i="12"/>
  <c r="F76" i="12"/>
  <c r="E76" i="12"/>
  <c r="AE75" i="12"/>
  <c r="AD75" i="12"/>
  <c r="AC75" i="12"/>
  <c r="AB75" i="12"/>
  <c r="AA75" i="12"/>
  <c r="Z75" i="12"/>
  <c r="Y75" i="12"/>
  <c r="X75" i="12"/>
  <c r="W75" i="12"/>
  <c r="V75" i="12"/>
  <c r="U75" i="12"/>
  <c r="T75" i="12"/>
  <c r="S75" i="12"/>
  <c r="Q75" i="12"/>
  <c r="P75" i="12"/>
  <c r="O75" i="12"/>
  <c r="N75" i="12"/>
  <c r="M75" i="12"/>
  <c r="L75" i="12"/>
  <c r="K75" i="12"/>
  <c r="J75" i="12"/>
  <c r="I75" i="12"/>
  <c r="H75" i="12"/>
  <c r="G75" i="12"/>
  <c r="F75" i="12"/>
  <c r="E75" i="12"/>
  <c r="AE74" i="12"/>
  <c r="AD74" i="12"/>
  <c r="AC74" i="12"/>
  <c r="AB74" i="12"/>
  <c r="AA74" i="12"/>
  <c r="Z74" i="12"/>
  <c r="Y74" i="12"/>
  <c r="X74" i="12"/>
  <c r="W74" i="12"/>
  <c r="V74" i="12"/>
  <c r="U74" i="12"/>
  <c r="T74" i="12"/>
  <c r="S74" i="12"/>
  <c r="Q74" i="12"/>
  <c r="P74" i="12"/>
  <c r="O74" i="12"/>
  <c r="N74" i="12"/>
  <c r="M74" i="12"/>
  <c r="L74" i="12"/>
  <c r="K74" i="12"/>
  <c r="J74" i="12"/>
  <c r="I74" i="12"/>
  <c r="H74" i="12"/>
  <c r="G74" i="12"/>
  <c r="F74" i="12"/>
  <c r="E74" i="12"/>
  <c r="AE73" i="12"/>
  <c r="AD73" i="12"/>
  <c r="AC73" i="12"/>
  <c r="AB73" i="12"/>
  <c r="AA73" i="12"/>
  <c r="Z73" i="12"/>
  <c r="Y73" i="12"/>
  <c r="X73" i="12"/>
  <c r="W73" i="12"/>
  <c r="V73" i="12"/>
  <c r="U73" i="12"/>
  <c r="T73" i="12"/>
  <c r="S73" i="12"/>
  <c r="Q73" i="12"/>
  <c r="P73" i="12"/>
  <c r="O73" i="12"/>
  <c r="N73" i="12"/>
  <c r="M73" i="12"/>
  <c r="L73" i="12"/>
  <c r="K73" i="12"/>
  <c r="J73" i="12"/>
  <c r="I73" i="12"/>
  <c r="H73" i="12"/>
  <c r="G73" i="12"/>
  <c r="F73" i="12"/>
  <c r="E73" i="12"/>
  <c r="AE72" i="12"/>
  <c r="AD72" i="12"/>
  <c r="AC72" i="12"/>
  <c r="AB72" i="12"/>
  <c r="AA72" i="12"/>
  <c r="Z72" i="12"/>
  <c r="Y72" i="12"/>
  <c r="X72" i="12"/>
  <c r="W72" i="12"/>
  <c r="V72" i="12"/>
  <c r="U72" i="12"/>
  <c r="T72" i="12"/>
  <c r="S72" i="12"/>
  <c r="Q72" i="12"/>
  <c r="P72" i="12"/>
  <c r="O72" i="12"/>
  <c r="N72" i="12"/>
  <c r="M72" i="12"/>
  <c r="L72" i="12"/>
  <c r="K72" i="12"/>
  <c r="J72" i="12"/>
  <c r="I72" i="12"/>
  <c r="H72" i="12"/>
  <c r="G72" i="12"/>
  <c r="F72" i="12"/>
  <c r="E72" i="12"/>
  <c r="AE71" i="12"/>
  <c r="AD71" i="12"/>
  <c r="AC71" i="12"/>
  <c r="AB71" i="12"/>
  <c r="AA71" i="12"/>
  <c r="Z71" i="12"/>
  <c r="Y71" i="12"/>
  <c r="X71" i="12"/>
  <c r="W71" i="12"/>
  <c r="V71" i="12"/>
  <c r="U71" i="12"/>
  <c r="T71" i="12"/>
  <c r="S71" i="12"/>
  <c r="Q71" i="12"/>
  <c r="P71" i="12"/>
  <c r="O71" i="12"/>
  <c r="N71" i="12"/>
  <c r="M71" i="12"/>
  <c r="L71" i="12"/>
  <c r="K71" i="12"/>
  <c r="J71" i="12"/>
  <c r="I71" i="12"/>
  <c r="H71" i="12"/>
  <c r="G71" i="12"/>
  <c r="F71" i="12"/>
  <c r="E71" i="12"/>
  <c r="AE70" i="12"/>
  <c r="AD70" i="12"/>
  <c r="AC70" i="12"/>
  <c r="AB70" i="12"/>
  <c r="AA70" i="12"/>
  <c r="Z70" i="12"/>
  <c r="Y70" i="12"/>
  <c r="X70" i="12"/>
  <c r="W70" i="12"/>
  <c r="V70" i="12"/>
  <c r="U70" i="12"/>
  <c r="T70" i="12"/>
  <c r="S70" i="12"/>
  <c r="Q70" i="12"/>
  <c r="P70" i="12"/>
  <c r="O70" i="12"/>
  <c r="N70" i="12"/>
  <c r="M70" i="12"/>
  <c r="L70" i="12"/>
  <c r="K70" i="12"/>
  <c r="J70" i="12"/>
  <c r="I70" i="12"/>
  <c r="H70" i="12"/>
  <c r="G70" i="12"/>
  <c r="F70" i="12"/>
  <c r="E70" i="12"/>
  <c r="AE69" i="12"/>
  <c r="AD69" i="12"/>
  <c r="AC69" i="12"/>
  <c r="AB69" i="12"/>
  <c r="AA69" i="12"/>
  <c r="Z69" i="12"/>
  <c r="Y69" i="12"/>
  <c r="X69" i="12"/>
  <c r="W69" i="12"/>
  <c r="V69" i="12"/>
  <c r="U69" i="12"/>
  <c r="T69" i="12"/>
  <c r="S69" i="12"/>
  <c r="Q69" i="12"/>
  <c r="P69" i="12"/>
  <c r="O69" i="12"/>
  <c r="N69" i="12"/>
  <c r="M69" i="12"/>
  <c r="L69" i="12"/>
  <c r="K69" i="12"/>
  <c r="J69" i="12"/>
  <c r="I69" i="12"/>
  <c r="H69" i="12"/>
  <c r="G69" i="12"/>
  <c r="F69" i="12"/>
  <c r="E69" i="12"/>
  <c r="AE68" i="12"/>
  <c r="AD68" i="12"/>
  <c r="AC68" i="12"/>
  <c r="AB68" i="12"/>
  <c r="AA68" i="12"/>
  <c r="Z68" i="12"/>
  <c r="Y68" i="12"/>
  <c r="X68" i="12"/>
  <c r="W68" i="12"/>
  <c r="V68" i="12"/>
  <c r="U68" i="12"/>
  <c r="T68" i="12"/>
  <c r="S68" i="12"/>
  <c r="Q68" i="12"/>
  <c r="P68" i="12"/>
  <c r="O68" i="12"/>
  <c r="N68" i="12"/>
  <c r="M68" i="12"/>
  <c r="L68" i="12"/>
  <c r="K68" i="12"/>
  <c r="J68" i="12"/>
  <c r="I68" i="12"/>
  <c r="H68" i="12"/>
  <c r="G68" i="12"/>
  <c r="F68" i="12"/>
  <c r="E68" i="12"/>
  <c r="AE67" i="12"/>
  <c r="AD67" i="12"/>
  <c r="AC67" i="12"/>
  <c r="AB67" i="12"/>
  <c r="AA67" i="12"/>
  <c r="Z67" i="12"/>
  <c r="Y67" i="12"/>
  <c r="X67" i="12"/>
  <c r="W67" i="12"/>
  <c r="V67" i="12"/>
  <c r="U67" i="12"/>
  <c r="T67" i="12"/>
  <c r="S67" i="12"/>
  <c r="Q67" i="12"/>
  <c r="P67" i="12"/>
  <c r="O67" i="12"/>
  <c r="N67" i="12"/>
  <c r="M67" i="12"/>
  <c r="L67" i="12"/>
  <c r="K67" i="12"/>
  <c r="J67" i="12"/>
  <c r="I67" i="12"/>
  <c r="H67" i="12"/>
  <c r="G67" i="12"/>
  <c r="F67" i="12"/>
  <c r="E67" i="12"/>
  <c r="AE66" i="12"/>
  <c r="AD66" i="12"/>
  <c r="AC66" i="12"/>
  <c r="AB66" i="12"/>
  <c r="AA66" i="12"/>
  <c r="Z66" i="12"/>
  <c r="Y66" i="12"/>
  <c r="X66" i="12"/>
  <c r="W66" i="12"/>
  <c r="V66" i="12"/>
  <c r="U66" i="12"/>
  <c r="T66" i="12"/>
  <c r="S66" i="12"/>
  <c r="Q66" i="12"/>
  <c r="P66" i="12"/>
  <c r="O66" i="12"/>
  <c r="N66" i="12"/>
  <c r="M66" i="12"/>
  <c r="L66" i="12"/>
  <c r="K66" i="12"/>
  <c r="J66" i="12"/>
  <c r="I66" i="12"/>
  <c r="H66" i="12"/>
  <c r="G66" i="12"/>
  <c r="F66" i="12"/>
  <c r="E66" i="12"/>
  <c r="AG60" i="12"/>
  <c r="AF60" i="12"/>
  <c r="AE60" i="12"/>
  <c r="AD60" i="12"/>
  <c r="AC60" i="12"/>
  <c r="AB60" i="12"/>
  <c r="AA60" i="12"/>
  <c r="Y60" i="12"/>
  <c r="X60" i="12"/>
  <c r="W60" i="12"/>
  <c r="V60" i="12"/>
  <c r="U60" i="12"/>
  <c r="T60" i="12"/>
  <c r="S60" i="12"/>
  <c r="R60" i="12"/>
  <c r="Q60" i="12"/>
  <c r="P60" i="12"/>
  <c r="O60" i="12"/>
  <c r="N60" i="12"/>
  <c r="M60" i="12"/>
  <c r="K60" i="12"/>
  <c r="J60" i="12"/>
  <c r="I60" i="12"/>
  <c r="H60" i="12"/>
  <c r="G60" i="12"/>
  <c r="F60" i="12"/>
  <c r="E60" i="12"/>
  <c r="AG59" i="12"/>
  <c r="AF59" i="12"/>
  <c r="AE59" i="12"/>
  <c r="AD59" i="12"/>
  <c r="AC59" i="12"/>
  <c r="AB59" i="12"/>
  <c r="AA59" i="12"/>
  <c r="Y59" i="12"/>
  <c r="X59" i="12"/>
  <c r="W59" i="12"/>
  <c r="V59" i="12"/>
  <c r="U59" i="12"/>
  <c r="T59" i="12"/>
  <c r="S59" i="12"/>
  <c r="R59" i="12"/>
  <c r="Q59" i="12"/>
  <c r="P59" i="12"/>
  <c r="O59" i="12"/>
  <c r="N59" i="12"/>
  <c r="M59" i="12"/>
  <c r="K59" i="12"/>
  <c r="J59" i="12"/>
  <c r="I59" i="12"/>
  <c r="H59" i="12"/>
  <c r="G59" i="12"/>
  <c r="F59" i="12"/>
  <c r="E59" i="12"/>
  <c r="AG58" i="12"/>
  <c r="AF58" i="12"/>
  <c r="AE58" i="12"/>
  <c r="AD58" i="12"/>
  <c r="AC58" i="12"/>
  <c r="AB58" i="12"/>
  <c r="AA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K58" i="12"/>
  <c r="J58" i="12"/>
  <c r="I58" i="12"/>
  <c r="H58" i="12"/>
  <c r="G58" i="12"/>
  <c r="F58" i="12"/>
  <c r="E58" i="12"/>
  <c r="AG57" i="12"/>
  <c r="AF57" i="12"/>
  <c r="AE57" i="12"/>
  <c r="AD57" i="12"/>
  <c r="AC57" i="12"/>
  <c r="AB57" i="12"/>
  <c r="AA57" i="12"/>
  <c r="Y57" i="12"/>
  <c r="X57" i="12"/>
  <c r="W57" i="12"/>
  <c r="V57" i="12"/>
  <c r="U57" i="12"/>
  <c r="T57" i="12"/>
  <c r="S57" i="12"/>
  <c r="R57" i="12"/>
  <c r="Q57" i="12"/>
  <c r="P57" i="12"/>
  <c r="O57" i="12"/>
  <c r="N57" i="12"/>
  <c r="M57" i="12"/>
  <c r="K57" i="12"/>
  <c r="J57" i="12"/>
  <c r="I57" i="12"/>
  <c r="H57" i="12"/>
  <c r="G57" i="12"/>
  <c r="F57" i="12"/>
  <c r="E57" i="12"/>
  <c r="AG56" i="12"/>
  <c r="AF56" i="12"/>
  <c r="AE56" i="12"/>
  <c r="AD56" i="12"/>
  <c r="AC56" i="12"/>
  <c r="AB56" i="12"/>
  <c r="AA56" i="12"/>
  <c r="Y56" i="12"/>
  <c r="X56" i="12"/>
  <c r="W56" i="12"/>
  <c r="V56" i="12"/>
  <c r="U56" i="12"/>
  <c r="T56" i="12"/>
  <c r="S56" i="12"/>
  <c r="R56" i="12"/>
  <c r="Q56" i="12"/>
  <c r="P56" i="12"/>
  <c r="O56" i="12"/>
  <c r="N56" i="12"/>
  <c r="M56" i="12"/>
  <c r="K56" i="12"/>
  <c r="J56" i="12"/>
  <c r="I56" i="12"/>
  <c r="H56" i="12"/>
  <c r="G56" i="12"/>
  <c r="F56" i="12"/>
  <c r="E56" i="12"/>
  <c r="AG55" i="12"/>
  <c r="AF55" i="12"/>
  <c r="AE55" i="12"/>
  <c r="AD55" i="12"/>
  <c r="AC55" i="12"/>
  <c r="AB55" i="12"/>
  <c r="AA55" i="12"/>
  <c r="Y55" i="12"/>
  <c r="X55" i="12"/>
  <c r="W55" i="12"/>
  <c r="V55" i="12"/>
  <c r="U55" i="12"/>
  <c r="T55" i="12"/>
  <c r="S55" i="12"/>
  <c r="R55" i="12"/>
  <c r="Q55" i="12"/>
  <c r="P55" i="12"/>
  <c r="O55" i="12"/>
  <c r="N55" i="12"/>
  <c r="M55" i="12"/>
  <c r="K55" i="12"/>
  <c r="J55" i="12"/>
  <c r="I55" i="12"/>
  <c r="H55" i="12"/>
  <c r="G55" i="12"/>
  <c r="F55" i="12"/>
  <c r="E55" i="12"/>
  <c r="AG54" i="12"/>
  <c r="AF54" i="12"/>
  <c r="AE54" i="12"/>
  <c r="AD54" i="12"/>
  <c r="AC54" i="12"/>
  <c r="AB54" i="12"/>
  <c r="AA54" i="12"/>
  <c r="Y54" i="12"/>
  <c r="X54" i="12"/>
  <c r="W54" i="12"/>
  <c r="V54" i="12"/>
  <c r="U54" i="12"/>
  <c r="T54" i="12"/>
  <c r="S54" i="12"/>
  <c r="R54" i="12"/>
  <c r="Q54" i="12"/>
  <c r="P54" i="12"/>
  <c r="O54" i="12"/>
  <c r="N54" i="12"/>
  <c r="M54" i="12"/>
  <c r="K54" i="12"/>
  <c r="J54" i="12"/>
  <c r="I54" i="12"/>
  <c r="H54" i="12"/>
  <c r="G54" i="12"/>
  <c r="F54" i="12"/>
  <c r="E54" i="12"/>
  <c r="AG53" i="12"/>
  <c r="AF53" i="12"/>
  <c r="AE53" i="12"/>
  <c r="AD53" i="12"/>
  <c r="AC53" i="12"/>
  <c r="AB53" i="12"/>
  <c r="AA53" i="12"/>
  <c r="Y53" i="12"/>
  <c r="X53" i="12"/>
  <c r="W53" i="12"/>
  <c r="V53" i="12"/>
  <c r="U53" i="12"/>
  <c r="T53" i="12"/>
  <c r="S53" i="12"/>
  <c r="R53" i="12"/>
  <c r="Q53" i="12"/>
  <c r="P53" i="12"/>
  <c r="O53" i="12"/>
  <c r="N53" i="12"/>
  <c r="M53" i="12"/>
  <c r="K53" i="12"/>
  <c r="J53" i="12"/>
  <c r="I53" i="12"/>
  <c r="H53" i="12"/>
  <c r="G53" i="12"/>
  <c r="F53" i="12"/>
  <c r="E53" i="12"/>
  <c r="AG52" i="12"/>
  <c r="AF52" i="12"/>
  <c r="AE52" i="12"/>
  <c r="AD52" i="12"/>
  <c r="AC52" i="12"/>
  <c r="AB52" i="12"/>
  <c r="AA52" i="12"/>
  <c r="Y52" i="12"/>
  <c r="X52" i="12"/>
  <c r="W52" i="12"/>
  <c r="V52" i="12"/>
  <c r="U52" i="12"/>
  <c r="T52" i="12"/>
  <c r="S52" i="12"/>
  <c r="R52" i="12"/>
  <c r="Q52" i="12"/>
  <c r="P52" i="12"/>
  <c r="O52" i="12"/>
  <c r="N52" i="12"/>
  <c r="M52" i="12"/>
  <c r="K52" i="12"/>
  <c r="J52" i="12"/>
  <c r="I52" i="12"/>
  <c r="H52" i="12"/>
  <c r="G52" i="12"/>
  <c r="F52" i="12"/>
  <c r="E52" i="12"/>
  <c r="AG51" i="12"/>
  <c r="AF51" i="12"/>
  <c r="AE51" i="12"/>
  <c r="AD51" i="12"/>
  <c r="AC51" i="12"/>
  <c r="AB51" i="12"/>
  <c r="AA51" i="12"/>
  <c r="Y51" i="12"/>
  <c r="X51" i="12"/>
  <c r="W51" i="12"/>
  <c r="V51" i="12"/>
  <c r="U51" i="12"/>
  <c r="T51" i="12"/>
  <c r="S51" i="12"/>
  <c r="R51" i="12"/>
  <c r="Q51" i="12"/>
  <c r="P51" i="12"/>
  <c r="O51" i="12"/>
  <c r="N51" i="12"/>
  <c r="M51" i="12"/>
  <c r="K51" i="12"/>
  <c r="J51" i="12"/>
  <c r="I51" i="12"/>
  <c r="H51" i="12"/>
  <c r="G51" i="12"/>
  <c r="F51" i="12"/>
  <c r="E51" i="12"/>
  <c r="AG50" i="12"/>
  <c r="AF50" i="12"/>
  <c r="AE50" i="12"/>
  <c r="AD50" i="12"/>
  <c r="AC50" i="12"/>
  <c r="AB50" i="12"/>
  <c r="AA50" i="12"/>
  <c r="Y50" i="12"/>
  <c r="X50" i="12"/>
  <c r="W50" i="12"/>
  <c r="V50" i="12"/>
  <c r="U50" i="12"/>
  <c r="T50" i="12"/>
  <c r="S50" i="12"/>
  <c r="R50" i="12"/>
  <c r="Q50" i="12"/>
  <c r="P50" i="12"/>
  <c r="O50" i="12"/>
  <c r="N50" i="12"/>
  <c r="M50" i="12"/>
  <c r="K50" i="12"/>
  <c r="J50" i="12"/>
  <c r="I50" i="12"/>
  <c r="H50" i="12"/>
  <c r="G50" i="12"/>
  <c r="F50" i="12"/>
  <c r="E50" i="12"/>
  <c r="AG49" i="12"/>
  <c r="AF49" i="12"/>
  <c r="AE49" i="12"/>
  <c r="AD49" i="12"/>
  <c r="AC49" i="12"/>
  <c r="AB49" i="12"/>
  <c r="AA49" i="12"/>
  <c r="Y49" i="12"/>
  <c r="X49" i="12"/>
  <c r="W49" i="12"/>
  <c r="V49" i="12"/>
  <c r="U49" i="12"/>
  <c r="T49" i="12"/>
  <c r="S49" i="12"/>
  <c r="R49" i="12"/>
  <c r="Q49" i="12"/>
  <c r="P49" i="12"/>
  <c r="O49" i="12"/>
  <c r="N49" i="12"/>
  <c r="M49" i="12"/>
  <c r="K49" i="12"/>
  <c r="J49" i="12"/>
  <c r="I49" i="12"/>
  <c r="H49" i="12"/>
  <c r="G49" i="12"/>
  <c r="F49" i="12"/>
  <c r="E49" i="12"/>
  <c r="AG48" i="12"/>
  <c r="AF48" i="12"/>
  <c r="AE48" i="12"/>
  <c r="AD48" i="12"/>
  <c r="AC48" i="12"/>
  <c r="AB48" i="12"/>
  <c r="AA48" i="12"/>
  <c r="Y48" i="12"/>
  <c r="X48" i="12"/>
  <c r="W48" i="12"/>
  <c r="V48" i="12"/>
  <c r="U48" i="12"/>
  <c r="T48" i="12"/>
  <c r="S48" i="12"/>
  <c r="R48" i="12"/>
  <c r="Q48" i="12"/>
  <c r="P48" i="12"/>
  <c r="O48" i="12"/>
  <c r="N48" i="12"/>
  <c r="M48" i="12"/>
  <c r="K48" i="12"/>
  <c r="J48" i="12"/>
  <c r="I48" i="12"/>
  <c r="H48" i="12"/>
  <c r="G48" i="12"/>
  <c r="F48" i="12"/>
  <c r="E48" i="12"/>
  <c r="AG47" i="12"/>
  <c r="AF47" i="12"/>
  <c r="AE47" i="12"/>
  <c r="AD47" i="12"/>
  <c r="AC47" i="12"/>
  <c r="AB47" i="12"/>
  <c r="AA47" i="12"/>
  <c r="Y47" i="12"/>
  <c r="X47" i="12"/>
  <c r="W47" i="12"/>
  <c r="V47" i="12"/>
  <c r="U47" i="12"/>
  <c r="T47" i="12"/>
  <c r="S47" i="12"/>
  <c r="R47" i="12"/>
  <c r="Q47" i="12"/>
  <c r="P47" i="12"/>
  <c r="O47" i="12"/>
  <c r="N47" i="12"/>
  <c r="M47" i="12"/>
  <c r="K47" i="12"/>
  <c r="J47" i="12"/>
  <c r="I47" i="12"/>
  <c r="H47" i="12"/>
  <c r="G47" i="12"/>
  <c r="F47" i="12"/>
  <c r="E47" i="12"/>
  <c r="AG46" i="12"/>
  <c r="AF46" i="12"/>
  <c r="AE46" i="12"/>
  <c r="AD46" i="12"/>
  <c r="AC46" i="12"/>
  <c r="AB46" i="12"/>
  <c r="AA46" i="12"/>
  <c r="Y46" i="12"/>
  <c r="X46" i="12"/>
  <c r="W46" i="12"/>
  <c r="V46" i="12"/>
  <c r="U46" i="12"/>
  <c r="T46" i="12"/>
  <c r="S46" i="12"/>
  <c r="R46" i="12"/>
  <c r="Q46" i="12"/>
  <c r="P46" i="12"/>
  <c r="O46" i="12"/>
  <c r="N46" i="12"/>
  <c r="M46" i="12"/>
  <c r="K46" i="12"/>
  <c r="J46" i="12"/>
  <c r="I46" i="12"/>
  <c r="H46" i="12"/>
  <c r="G46" i="12"/>
  <c r="F46" i="12"/>
  <c r="E46" i="12"/>
  <c r="AG45" i="12"/>
  <c r="AF45" i="12"/>
  <c r="AE45" i="12"/>
  <c r="AD45" i="12"/>
  <c r="AC45" i="12"/>
  <c r="AB45" i="12"/>
  <c r="AA45" i="12"/>
  <c r="Y45" i="12"/>
  <c r="X45" i="12"/>
  <c r="W45" i="12"/>
  <c r="V45" i="12"/>
  <c r="U45" i="12"/>
  <c r="T45" i="12"/>
  <c r="S45" i="12"/>
  <c r="R45" i="12"/>
  <c r="Q45" i="12"/>
  <c r="P45" i="12"/>
  <c r="O45" i="12"/>
  <c r="N45" i="12"/>
  <c r="M45" i="12"/>
  <c r="K45" i="12"/>
  <c r="J45" i="12"/>
  <c r="I45" i="12"/>
  <c r="H45" i="12"/>
  <c r="G45" i="12"/>
  <c r="F45" i="12"/>
  <c r="E45" i="12"/>
  <c r="R41" i="12"/>
  <c r="Q41" i="12"/>
  <c r="P41" i="12"/>
  <c r="O41" i="12"/>
  <c r="N41" i="12"/>
  <c r="M41" i="12"/>
  <c r="L41" i="12"/>
  <c r="R40" i="12"/>
  <c r="Q40" i="12"/>
  <c r="P40" i="12"/>
  <c r="O40" i="12"/>
  <c r="N40" i="12"/>
  <c r="M40" i="12"/>
  <c r="L40" i="12"/>
  <c r="R39" i="12"/>
  <c r="Q39" i="12"/>
  <c r="P39" i="12"/>
  <c r="O39" i="12"/>
  <c r="N39" i="12"/>
  <c r="M39" i="12"/>
  <c r="L39" i="12"/>
  <c r="R38" i="12"/>
  <c r="Q38" i="12"/>
  <c r="P38" i="12"/>
  <c r="O38" i="12"/>
  <c r="N38" i="12"/>
  <c r="M38" i="12"/>
  <c r="L38" i="12"/>
  <c r="R37" i="12"/>
  <c r="Q37" i="12"/>
  <c r="P37" i="12"/>
  <c r="O37" i="12"/>
  <c r="N37" i="12"/>
  <c r="M37" i="12"/>
  <c r="L37" i="12"/>
  <c r="R36" i="12"/>
  <c r="Q36" i="12"/>
  <c r="P36" i="12"/>
  <c r="O36" i="12"/>
  <c r="N36" i="12"/>
  <c r="M36" i="12"/>
  <c r="L36" i="12"/>
  <c r="R35" i="12"/>
  <c r="Q35" i="12"/>
  <c r="P35" i="12"/>
  <c r="O35" i="12"/>
  <c r="N35" i="12"/>
  <c r="M35" i="12"/>
  <c r="L35" i="12"/>
  <c r="H35" i="12"/>
  <c r="G35" i="12"/>
  <c r="F35" i="12"/>
  <c r="E35" i="12"/>
  <c r="D35" i="12"/>
  <c r="R34" i="12"/>
  <c r="Q34" i="12"/>
  <c r="P34" i="12"/>
  <c r="O34" i="12"/>
  <c r="N34" i="12"/>
  <c r="M34" i="12"/>
  <c r="L34" i="12"/>
  <c r="H34" i="12"/>
  <c r="G34" i="12"/>
  <c r="F34" i="12"/>
  <c r="E34" i="12"/>
  <c r="D34" i="12"/>
  <c r="R33" i="12"/>
  <c r="Q33" i="12"/>
  <c r="P33" i="12"/>
  <c r="O33" i="12"/>
  <c r="N33" i="12"/>
  <c r="M33" i="12"/>
  <c r="L33" i="12"/>
  <c r="H33" i="12"/>
  <c r="G33" i="12"/>
  <c r="F33" i="12"/>
  <c r="E33" i="12"/>
  <c r="D33" i="12"/>
  <c r="R32" i="12"/>
  <c r="Q32" i="12"/>
  <c r="P32" i="12"/>
  <c r="O32" i="12"/>
  <c r="N32" i="12"/>
  <c r="M32" i="12"/>
  <c r="L32" i="12"/>
  <c r="H32" i="12"/>
  <c r="G32" i="12"/>
  <c r="F32" i="12"/>
  <c r="E32" i="12"/>
  <c r="D32" i="12"/>
  <c r="R26" i="12"/>
  <c r="Q26" i="12"/>
  <c r="P26" i="12"/>
  <c r="O26" i="12"/>
  <c r="N26" i="12"/>
  <c r="M26" i="12"/>
  <c r="L26" i="12"/>
  <c r="R25" i="12"/>
  <c r="Q25" i="12"/>
  <c r="P25" i="12"/>
  <c r="O25" i="12"/>
  <c r="N25" i="12"/>
  <c r="M25" i="12"/>
  <c r="L25" i="12"/>
  <c r="R24" i="12"/>
  <c r="Q24" i="12"/>
  <c r="P24" i="12"/>
  <c r="O24" i="12"/>
  <c r="N24" i="12"/>
  <c r="M24" i="12"/>
  <c r="L24" i="12"/>
  <c r="I24" i="12"/>
  <c r="H24" i="12"/>
  <c r="G24" i="12"/>
  <c r="F24" i="12"/>
  <c r="E24" i="12"/>
  <c r="R23" i="12"/>
  <c r="Q23" i="12"/>
  <c r="P23" i="12"/>
  <c r="O23" i="12"/>
  <c r="N23" i="12"/>
  <c r="M23" i="12"/>
  <c r="L23" i="12"/>
  <c r="I23" i="12"/>
  <c r="H23" i="12"/>
  <c r="G23" i="12"/>
  <c r="F23" i="12"/>
  <c r="E23" i="12"/>
  <c r="D23" i="12"/>
  <c r="R22" i="12"/>
  <c r="Q22" i="12"/>
  <c r="P22" i="12"/>
  <c r="O22" i="12"/>
  <c r="N22" i="12"/>
  <c r="M22" i="12"/>
  <c r="L22" i="12"/>
  <c r="I22" i="12"/>
  <c r="H22" i="12"/>
  <c r="G22" i="12"/>
  <c r="F22" i="12"/>
  <c r="E22" i="12"/>
  <c r="D22" i="12"/>
  <c r="R21" i="12"/>
  <c r="Q21" i="12"/>
  <c r="P21" i="12"/>
  <c r="O21" i="12"/>
  <c r="N21" i="12"/>
  <c r="M21" i="12"/>
  <c r="L21" i="12"/>
  <c r="I21" i="12"/>
  <c r="H21" i="12"/>
  <c r="G21" i="12"/>
  <c r="F21" i="12"/>
  <c r="E21" i="12"/>
  <c r="D21" i="12"/>
  <c r="R20" i="12"/>
  <c r="Q20" i="12"/>
  <c r="P20" i="12"/>
  <c r="O20" i="12"/>
  <c r="N20" i="12"/>
  <c r="M20" i="12"/>
  <c r="L20" i="12"/>
  <c r="I20" i="12"/>
  <c r="H20" i="12"/>
  <c r="G20" i="12"/>
  <c r="F20" i="12"/>
  <c r="E20" i="12"/>
  <c r="D20" i="12"/>
  <c r="R19" i="12"/>
  <c r="Q19" i="12"/>
  <c r="P19" i="12"/>
  <c r="O19" i="12"/>
  <c r="N19" i="12"/>
  <c r="M19" i="12"/>
  <c r="L19" i="12"/>
  <c r="I19" i="12"/>
  <c r="H19" i="12"/>
  <c r="G19" i="12"/>
  <c r="F19" i="12"/>
  <c r="E19" i="12"/>
  <c r="D19" i="12"/>
  <c r="R18" i="12"/>
  <c r="Q18" i="12"/>
  <c r="P18" i="12"/>
  <c r="O18" i="12"/>
  <c r="N18" i="12"/>
  <c r="M18" i="12"/>
  <c r="L18" i="12"/>
  <c r="I18" i="12"/>
  <c r="H18" i="12"/>
  <c r="G18" i="12"/>
  <c r="F18" i="12"/>
  <c r="E18" i="12"/>
  <c r="D18" i="12"/>
  <c r="R17" i="12"/>
  <c r="Q17" i="12"/>
  <c r="P17" i="12"/>
  <c r="O17" i="12"/>
  <c r="N17" i="12"/>
  <c r="M17" i="12"/>
  <c r="L17" i="12"/>
  <c r="I17" i="12"/>
  <c r="H17" i="12"/>
  <c r="G17" i="12"/>
  <c r="F17" i="12"/>
  <c r="E17" i="12"/>
  <c r="D17" i="12"/>
  <c r="U106" i="2"/>
  <c r="T106" i="2"/>
  <c r="S106" i="2"/>
  <c r="R106" i="2"/>
  <c r="Q106" i="2"/>
  <c r="P106" i="2"/>
  <c r="O106" i="2"/>
  <c r="N106" i="2"/>
  <c r="L106" i="2"/>
  <c r="K106" i="2"/>
  <c r="J106" i="2"/>
  <c r="I106" i="2"/>
  <c r="H106" i="2"/>
  <c r="G106" i="2"/>
  <c r="F106" i="2"/>
  <c r="E106" i="2"/>
  <c r="U105" i="2"/>
  <c r="T105" i="2"/>
  <c r="S105" i="2"/>
  <c r="R105" i="2"/>
  <c r="Q105" i="2"/>
  <c r="P105" i="2"/>
  <c r="O105" i="2"/>
  <c r="N105" i="2"/>
  <c r="L105" i="2"/>
  <c r="K105" i="2"/>
  <c r="J105" i="2"/>
  <c r="I105" i="2"/>
  <c r="H105" i="2"/>
  <c r="G105" i="2"/>
  <c r="F105" i="2"/>
  <c r="E105" i="2"/>
  <c r="U104" i="2"/>
  <c r="T104" i="2"/>
  <c r="S104" i="2"/>
  <c r="R104" i="2"/>
  <c r="Q104" i="2"/>
  <c r="P104" i="2"/>
  <c r="O104" i="2"/>
  <c r="N104" i="2"/>
  <c r="L104" i="2"/>
  <c r="K104" i="2"/>
  <c r="J104" i="2"/>
  <c r="I104" i="2"/>
  <c r="H104" i="2"/>
  <c r="G104" i="2"/>
  <c r="F104" i="2"/>
  <c r="E104" i="2"/>
  <c r="U103" i="2"/>
  <c r="T103" i="2"/>
  <c r="S103" i="2"/>
  <c r="R103" i="2"/>
  <c r="Q103" i="2"/>
  <c r="P103" i="2"/>
  <c r="O103" i="2"/>
  <c r="N103" i="2"/>
  <c r="L103" i="2"/>
  <c r="K103" i="2"/>
  <c r="J103" i="2"/>
  <c r="I103" i="2"/>
  <c r="H103" i="2"/>
  <c r="G103" i="2"/>
  <c r="F103" i="2"/>
  <c r="E103" i="2"/>
  <c r="U102" i="2"/>
  <c r="T102" i="2"/>
  <c r="S102" i="2"/>
  <c r="R102" i="2"/>
  <c r="Q102" i="2"/>
  <c r="P102" i="2"/>
  <c r="O102" i="2"/>
  <c r="N102" i="2"/>
  <c r="L102" i="2"/>
  <c r="K102" i="2"/>
  <c r="J102" i="2"/>
  <c r="I102" i="2"/>
  <c r="H102" i="2"/>
  <c r="G102" i="2"/>
  <c r="F102" i="2"/>
  <c r="E102" i="2"/>
  <c r="U101" i="2"/>
  <c r="T101" i="2"/>
  <c r="S101" i="2"/>
  <c r="R101" i="2"/>
  <c r="Q101" i="2"/>
  <c r="P101" i="2"/>
  <c r="O101" i="2"/>
  <c r="N101" i="2"/>
  <c r="L101" i="2"/>
  <c r="K101" i="2"/>
  <c r="J101" i="2"/>
  <c r="I101" i="2"/>
  <c r="H101" i="2"/>
  <c r="G101" i="2"/>
  <c r="F101" i="2"/>
  <c r="E101" i="2"/>
  <c r="U100" i="2"/>
  <c r="T100" i="2"/>
  <c r="S100" i="2"/>
  <c r="R100" i="2"/>
  <c r="Q100" i="2"/>
  <c r="P100" i="2"/>
  <c r="O100" i="2"/>
  <c r="N100" i="2"/>
  <c r="L100" i="2"/>
  <c r="K100" i="2"/>
  <c r="J100" i="2"/>
  <c r="I100" i="2"/>
  <c r="H100" i="2"/>
  <c r="G100" i="2"/>
  <c r="F100" i="2"/>
  <c r="E100" i="2"/>
  <c r="U99" i="2"/>
  <c r="T99" i="2"/>
  <c r="S99" i="2"/>
  <c r="R99" i="2"/>
  <c r="Q99" i="2"/>
  <c r="P99" i="2"/>
  <c r="O99" i="2"/>
  <c r="N99" i="2"/>
  <c r="L99" i="2"/>
  <c r="K99" i="2"/>
  <c r="J99" i="2"/>
  <c r="I99" i="2"/>
  <c r="H99" i="2"/>
  <c r="G99" i="2"/>
  <c r="F99" i="2"/>
  <c r="E99" i="2"/>
  <c r="U98" i="2"/>
  <c r="T98" i="2"/>
  <c r="S98" i="2"/>
  <c r="R98" i="2"/>
  <c r="Q98" i="2"/>
  <c r="P98" i="2"/>
  <c r="O98" i="2"/>
  <c r="N98" i="2"/>
  <c r="L98" i="2"/>
  <c r="K98" i="2"/>
  <c r="J98" i="2"/>
  <c r="I98" i="2"/>
  <c r="H98" i="2"/>
  <c r="G98" i="2"/>
  <c r="F98" i="2"/>
  <c r="E98" i="2"/>
  <c r="AH98" i="2"/>
  <c r="AG98" i="2"/>
  <c r="AF98" i="2"/>
  <c r="AE98" i="2"/>
  <c r="AD98" i="2"/>
  <c r="U97" i="2"/>
  <c r="T97" i="2"/>
  <c r="S97" i="2"/>
  <c r="R97" i="2"/>
  <c r="Q97" i="2"/>
  <c r="P97" i="2"/>
  <c r="O97" i="2"/>
  <c r="N97" i="2"/>
  <c r="L97" i="2"/>
  <c r="K97" i="2"/>
  <c r="J97" i="2"/>
  <c r="I97" i="2"/>
  <c r="H97" i="2"/>
  <c r="G97" i="2"/>
  <c r="F97" i="2"/>
  <c r="E97" i="2"/>
  <c r="AH97" i="2"/>
  <c r="AG97" i="2"/>
  <c r="AF97" i="2"/>
  <c r="AE97" i="2"/>
  <c r="AD97" i="2"/>
  <c r="U96" i="2"/>
  <c r="T96" i="2"/>
  <c r="S96" i="2"/>
  <c r="R96" i="2"/>
  <c r="Q96" i="2"/>
  <c r="P96" i="2"/>
  <c r="O96" i="2"/>
  <c r="N96" i="2"/>
  <c r="L96" i="2"/>
  <c r="K96" i="2"/>
  <c r="J96" i="2"/>
  <c r="I96" i="2"/>
  <c r="H96" i="2"/>
  <c r="G96" i="2"/>
  <c r="F96" i="2"/>
  <c r="E96" i="2"/>
  <c r="AH96" i="2"/>
  <c r="AG96" i="2"/>
  <c r="AF96" i="2"/>
  <c r="AE96" i="2"/>
  <c r="AD96" i="2"/>
  <c r="U95" i="2"/>
  <c r="T95" i="2"/>
  <c r="S95" i="2"/>
  <c r="R95" i="2"/>
  <c r="Q95" i="2"/>
  <c r="P95" i="2"/>
  <c r="O95" i="2"/>
  <c r="N95" i="2"/>
  <c r="L95" i="2"/>
  <c r="K95" i="2"/>
  <c r="J95" i="2"/>
  <c r="I95" i="2"/>
  <c r="H95" i="2"/>
  <c r="G95" i="2"/>
  <c r="F95" i="2"/>
  <c r="E95" i="2"/>
  <c r="AH95" i="2"/>
  <c r="AG95" i="2"/>
  <c r="AF95" i="2"/>
  <c r="AE95" i="2"/>
  <c r="AD95" i="2"/>
  <c r="U94" i="2"/>
  <c r="T94" i="2"/>
  <c r="S94" i="2"/>
  <c r="R94" i="2"/>
  <c r="Q94" i="2"/>
  <c r="P94" i="2"/>
  <c r="O94" i="2"/>
  <c r="N94" i="2"/>
  <c r="L94" i="2"/>
  <c r="K94" i="2"/>
  <c r="J94" i="2"/>
  <c r="I94" i="2"/>
  <c r="H94" i="2"/>
  <c r="G94" i="2"/>
  <c r="F94" i="2"/>
  <c r="E94" i="2"/>
  <c r="AH94" i="2"/>
  <c r="AG94" i="2"/>
  <c r="AF94" i="2"/>
  <c r="AE94" i="2"/>
  <c r="AD94" i="2"/>
  <c r="U93" i="2"/>
  <c r="T93" i="2"/>
  <c r="S93" i="2"/>
  <c r="R93" i="2"/>
  <c r="Q93" i="2"/>
  <c r="P93" i="2"/>
  <c r="O93" i="2"/>
  <c r="N93" i="2"/>
  <c r="L93" i="2"/>
  <c r="K93" i="2"/>
  <c r="J93" i="2"/>
  <c r="I93" i="2"/>
  <c r="H93" i="2"/>
  <c r="G93" i="2"/>
  <c r="F93" i="2"/>
  <c r="E93" i="2"/>
  <c r="AH93" i="2"/>
  <c r="AG93" i="2"/>
  <c r="AF93" i="2"/>
  <c r="AE93" i="2"/>
  <c r="AD93" i="2"/>
  <c r="U92" i="2"/>
  <c r="T92" i="2"/>
  <c r="S92" i="2"/>
  <c r="R92" i="2"/>
  <c r="Q92" i="2"/>
  <c r="P92" i="2"/>
  <c r="O92" i="2"/>
  <c r="N92" i="2"/>
  <c r="L92" i="2"/>
  <c r="K92" i="2"/>
  <c r="J92" i="2"/>
  <c r="I92" i="2"/>
  <c r="H92" i="2"/>
  <c r="G92" i="2"/>
  <c r="F92" i="2"/>
  <c r="E92" i="2"/>
  <c r="AH92" i="2"/>
  <c r="AG92" i="2"/>
  <c r="AF92" i="2"/>
  <c r="AE92" i="2"/>
  <c r="AD92" i="2"/>
  <c r="U91" i="2"/>
  <c r="T91" i="2"/>
  <c r="S91" i="2"/>
  <c r="R91" i="2"/>
  <c r="Q91" i="2"/>
  <c r="P91" i="2"/>
  <c r="O91" i="2"/>
  <c r="N91" i="2"/>
  <c r="L91" i="2"/>
  <c r="K91" i="2"/>
  <c r="J91" i="2"/>
  <c r="I91" i="2"/>
  <c r="H91" i="2"/>
  <c r="G91" i="2"/>
  <c r="F91" i="2"/>
  <c r="E91" i="2"/>
  <c r="AH91" i="2"/>
  <c r="AG91" i="2"/>
  <c r="AF91" i="2"/>
  <c r="AE91" i="2"/>
  <c r="AD91" i="2"/>
  <c r="AH90" i="2"/>
  <c r="AG90" i="2"/>
  <c r="AF90" i="2"/>
  <c r="AE90" i="2"/>
  <c r="AD90" i="2"/>
  <c r="AH89" i="2"/>
  <c r="AG89" i="2"/>
  <c r="AF89" i="2"/>
  <c r="AE89" i="2"/>
  <c r="AD89" i="2"/>
  <c r="AH88" i="2"/>
  <c r="AG88" i="2"/>
  <c r="AF88" i="2"/>
  <c r="AE88" i="2"/>
  <c r="AD88" i="2"/>
  <c r="Y87" i="2"/>
  <c r="X87" i="2"/>
  <c r="W87" i="2"/>
  <c r="V87" i="2"/>
  <c r="U87" i="2"/>
  <c r="T87" i="2"/>
  <c r="S87" i="2"/>
  <c r="R87" i="2"/>
  <c r="Q87" i="2"/>
  <c r="P87" i="2"/>
  <c r="N87" i="2"/>
  <c r="M87" i="2"/>
  <c r="L87" i="2"/>
  <c r="K87" i="2"/>
  <c r="J87" i="2"/>
  <c r="I87" i="2"/>
  <c r="H87" i="2"/>
  <c r="G87" i="2"/>
  <c r="F87" i="2"/>
  <c r="E87" i="2"/>
  <c r="AH87" i="2"/>
  <c r="AG87" i="2"/>
  <c r="AF87" i="2"/>
  <c r="AE87" i="2"/>
  <c r="AD87" i="2"/>
  <c r="Y86" i="2"/>
  <c r="X86" i="2"/>
  <c r="W86" i="2"/>
  <c r="V86" i="2"/>
  <c r="U86" i="2"/>
  <c r="T86" i="2"/>
  <c r="S86" i="2"/>
  <c r="R86" i="2"/>
  <c r="Q86" i="2"/>
  <c r="P86" i="2"/>
  <c r="N86" i="2"/>
  <c r="M86" i="2"/>
  <c r="L86" i="2"/>
  <c r="K86" i="2"/>
  <c r="J86" i="2"/>
  <c r="I86" i="2"/>
  <c r="H86" i="2"/>
  <c r="G86" i="2"/>
  <c r="F86" i="2"/>
  <c r="E86" i="2"/>
  <c r="AH86" i="2"/>
  <c r="AG86" i="2"/>
  <c r="AF86" i="2"/>
  <c r="AE86" i="2"/>
  <c r="AD86" i="2"/>
  <c r="Y85" i="2"/>
  <c r="X85" i="2"/>
  <c r="W85" i="2"/>
  <c r="V85" i="2"/>
  <c r="U85" i="2"/>
  <c r="T85" i="2"/>
  <c r="S85" i="2"/>
  <c r="R85" i="2"/>
  <c r="Q85" i="2"/>
  <c r="P85" i="2"/>
  <c r="N85" i="2"/>
  <c r="M85" i="2"/>
  <c r="L85" i="2"/>
  <c r="K85" i="2"/>
  <c r="J85" i="2"/>
  <c r="I85" i="2"/>
  <c r="H85" i="2"/>
  <c r="G85" i="2"/>
  <c r="F85" i="2"/>
  <c r="E85" i="2"/>
  <c r="AH85" i="2"/>
  <c r="AG85" i="2"/>
  <c r="AF85" i="2"/>
  <c r="AE85" i="2"/>
  <c r="AD85" i="2"/>
  <c r="Y84" i="2"/>
  <c r="X84" i="2"/>
  <c r="W84" i="2"/>
  <c r="V84" i="2"/>
  <c r="U84" i="2"/>
  <c r="T84" i="2"/>
  <c r="S84" i="2"/>
  <c r="R84" i="2"/>
  <c r="Q84" i="2"/>
  <c r="P84" i="2"/>
  <c r="N84" i="2"/>
  <c r="M84" i="2"/>
  <c r="L84" i="2"/>
  <c r="K84" i="2"/>
  <c r="J84" i="2"/>
  <c r="I84" i="2"/>
  <c r="H84" i="2"/>
  <c r="G84" i="2"/>
  <c r="F84" i="2"/>
  <c r="E84" i="2"/>
  <c r="AH84" i="2"/>
  <c r="AG84" i="2"/>
  <c r="AF84" i="2"/>
  <c r="AE84" i="2"/>
  <c r="AD84" i="2"/>
  <c r="Y83" i="2"/>
  <c r="X83" i="2"/>
  <c r="W83" i="2"/>
  <c r="V83" i="2"/>
  <c r="U83" i="2"/>
  <c r="T83" i="2"/>
  <c r="S83" i="2"/>
  <c r="R83" i="2"/>
  <c r="Q83" i="2"/>
  <c r="P83" i="2"/>
  <c r="N83" i="2"/>
  <c r="M83" i="2"/>
  <c r="L83" i="2"/>
  <c r="K83" i="2"/>
  <c r="J83" i="2"/>
  <c r="I83" i="2"/>
  <c r="H83" i="2"/>
  <c r="G83" i="2"/>
  <c r="F83" i="2"/>
  <c r="E83" i="2"/>
  <c r="AH83" i="2"/>
  <c r="AG83" i="2"/>
  <c r="AF83" i="2"/>
  <c r="AE83" i="2"/>
  <c r="AD83" i="2"/>
  <c r="Y82" i="2"/>
  <c r="X82" i="2"/>
  <c r="W82" i="2"/>
  <c r="V82" i="2"/>
  <c r="U82" i="2"/>
  <c r="T82" i="2"/>
  <c r="S82" i="2"/>
  <c r="R82" i="2"/>
  <c r="Q82" i="2"/>
  <c r="P82" i="2"/>
  <c r="N82" i="2"/>
  <c r="M82" i="2"/>
  <c r="L82" i="2"/>
  <c r="K82" i="2"/>
  <c r="J82" i="2"/>
  <c r="I82" i="2"/>
  <c r="H82" i="2"/>
  <c r="G82" i="2"/>
  <c r="F82" i="2"/>
  <c r="E82" i="2"/>
  <c r="AH82" i="2"/>
  <c r="AG82" i="2"/>
  <c r="AF82" i="2"/>
  <c r="AE82" i="2"/>
  <c r="AD82" i="2"/>
  <c r="Y81" i="2"/>
  <c r="X81" i="2"/>
  <c r="W81" i="2"/>
  <c r="V81" i="2"/>
  <c r="U81" i="2"/>
  <c r="T81" i="2"/>
  <c r="S81" i="2"/>
  <c r="R81" i="2"/>
  <c r="Q81" i="2"/>
  <c r="P81" i="2"/>
  <c r="N81" i="2"/>
  <c r="M81" i="2"/>
  <c r="L81" i="2"/>
  <c r="K81" i="2"/>
  <c r="J81" i="2"/>
  <c r="I81" i="2"/>
  <c r="H81" i="2"/>
  <c r="G81" i="2"/>
  <c r="F81" i="2"/>
  <c r="E81" i="2"/>
  <c r="AH81" i="2"/>
  <c r="AG81" i="2"/>
  <c r="AF81" i="2"/>
  <c r="AE81" i="2"/>
  <c r="AD81" i="2"/>
  <c r="Y80" i="2"/>
  <c r="X80" i="2"/>
  <c r="W80" i="2"/>
  <c r="V80" i="2"/>
  <c r="U80" i="2"/>
  <c r="T80" i="2"/>
  <c r="S80" i="2"/>
  <c r="R80" i="2"/>
  <c r="Q80" i="2"/>
  <c r="P80" i="2"/>
  <c r="N80" i="2"/>
  <c r="M80" i="2"/>
  <c r="L80" i="2"/>
  <c r="K80" i="2"/>
  <c r="J80" i="2"/>
  <c r="I80" i="2"/>
  <c r="H80" i="2"/>
  <c r="G80" i="2"/>
  <c r="F80" i="2"/>
  <c r="E80" i="2"/>
  <c r="AH80" i="2"/>
  <c r="AG80" i="2"/>
  <c r="AF80" i="2"/>
  <c r="AE80" i="2"/>
  <c r="AD80" i="2"/>
  <c r="Y79" i="2"/>
  <c r="X79" i="2"/>
  <c r="W79" i="2"/>
  <c r="V79" i="2"/>
  <c r="U79" i="2"/>
  <c r="T79" i="2"/>
  <c r="S79" i="2"/>
  <c r="R79" i="2"/>
  <c r="Q79" i="2"/>
  <c r="P79" i="2"/>
  <c r="N79" i="2"/>
  <c r="M79" i="2"/>
  <c r="L79" i="2"/>
  <c r="K79" i="2"/>
  <c r="J79" i="2"/>
  <c r="I79" i="2"/>
  <c r="H79" i="2"/>
  <c r="G79" i="2"/>
  <c r="F79" i="2"/>
  <c r="E79" i="2"/>
  <c r="AH79" i="2"/>
  <c r="AG79" i="2"/>
  <c r="AF79" i="2"/>
  <c r="AE79" i="2"/>
  <c r="AD79" i="2"/>
  <c r="Y78" i="2"/>
  <c r="X78" i="2"/>
  <c r="W78" i="2"/>
  <c r="V78" i="2"/>
  <c r="U78" i="2"/>
  <c r="T78" i="2"/>
  <c r="S78" i="2"/>
  <c r="R78" i="2"/>
  <c r="Q78" i="2"/>
  <c r="P78" i="2"/>
  <c r="N78" i="2"/>
  <c r="M78" i="2"/>
  <c r="L78" i="2"/>
  <c r="K78" i="2"/>
  <c r="J78" i="2"/>
  <c r="I78" i="2"/>
  <c r="H78" i="2"/>
  <c r="G78" i="2"/>
  <c r="F78" i="2"/>
  <c r="E78" i="2"/>
  <c r="AH78" i="2"/>
  <c r="AG78" i="2"/>
  <c r="AF78" i="2"/>
  <c r="AE78" i="2"/>
  <c r="AD78" i="2"/>
  <c r="Y77" i="2"/>
  <c r="X77" i="2"/>
  <c r="W77" i="2"/>
  <c r="V77" i="2"/>
  <c r="U77" i="2"/>
  <c r="T77" i="2"/>
  <c r="S77" i="2"/>
  <c r="R77" i="2"/>
  <c r="Q77" i="2"/>
  <c r="P77" i="2"/>
  <c r="N77" i="2"/>
  <c r="M77" i="2"/>
  <c r="L77" i="2"/>
  <c r="K77" i="2"/>
  <c r="J77" i="2"/>
  <c r="I77" i="2"/>
  <c r="H77" i="2"/>
  <c r="G77" i="2"/>
  <c r="F77" i="2"/>
  <c r="E77" i="2"/>
  <c r="AH77" i="2"/>
  <c r="AG77" i="2"/>
  <c r="AF77" i="2"/>
  <c r="AE77" i="2"/>
  <c r="AD77" i="2"/>
  <c r="Y76" i="2"/>
  <c r="X76" i="2"/>
  <c r="W76" i="2"/>
  <c r="V76" i="2"/>
  <c r="U76" i="2"/>
  <c r="T76" i="2"/>
  <c r="S76" i="2"/>
  <c r="R76" i="2"/>
  <c r="Q76" i="2"/>
  <c r="P76" i="2"/>
  <c r="N76" i="2"/>
  <c r="M76" i="2"/>
  <c r="L76" i="2"/>
  <c r="K76" i="2"/>
  <c r="J76" i="2"/>
  <c r="I76" i="2"/>
  <c r="H76" i="2"/>
  <c r="G76" i="2"/>
  <c r="F76" i="2"/>
  <c r="E76" i="2"/>
  <c r="AH76" i="2"/>
  <c r="AG76" i="2"/>
  <c r="AF76" i="2"/>
  <c r="AE76" i="2"/>
  <c r="AD76" i="2"/>
  <c r="Y75" i="2"/>
  <c r="X75" i="2"/>
  <c r="W75" i="2"/>
  <c r="V75" i="2"/>
  <c r="U75" i="2"/>
  <c r="T75" i="2"/>
  <c r="S75" i="2"/>
  <c r="R75" i="2"/>
  <c r="Q75" i="2"/>
  <c r="P75" i="2"/>
  <c r="N75" i="2"/>
  <c r="M75" i="2"/>
  <c r="L75" i="2"/>
  <c r="K75" i="2"/>
  <c r="J75" i="2"/>
  <c r="I75" i="2"/>
  <c r="H75" i="2"/>
  <c r="G75" i="2"/>
  <c r="F75" i="2"/>
  <c r="E75" i="2"/>
  <c r="AH75" i="2"/>
  <c r="AG75" i="2"/>
  <c r="AF75" i="2"/>
  <c r="AE75" i="2"/>
  <c r="AD75" i="2"/>
  <c r="Y74" i="2"/>
  <c r="X74" i="2"/>
  <c r="W74" i="2"/>
  <c r="V74" i="2"/>
  <c r="U74" i="2"/>
  <c r="T74" i="2"/>
  <c r="S74" i="2"/>
  <c r="R74" i="2"/>
  <c r="Q74" i="2"/>
  <c r="P74" i="2"/>
  <c r="N74" i="2"/>
  <c r="M74" i="2"/>
  <c r="L74" i="2"/>
  <c r="K74" i="2"/>
  <c r="J74" i="2"/>
  <c r="I74" i="2"/>
  <c r="H74" i="2"/>
  <c r="G74" i="2"/>
  <c r="F74" i="2"/>
  <c r="E74" i="2"/>
  <c r="AH74" i="2"/>
  <c r="AG74" i="2"/>
  <c r="AF74" i="2"/>
  <c r="AE74" i="2"/>
  <c r="AD74" i="2"/>
  <c r="Y73" i="2"/>
  <c r="X73" i="2"/>
  <c r="W73" i="2"/>
  <c r="V73" i="2"/>
  <c r="U73" i="2"/>
  <c r="T73" i="2"/>
  <c r="S73" i="2"/>
  <c r="R73" i="2"/>
  <c r="Q73" i="2"/>
  <c r="P73" i="2"/>
  <c r="N73" i="2"/>
  <c r="M73" i="2"/>
  <c r="L73" i="2"/>
  <c r="K73" i="2"/>
  <c r="J73" i="2"/>
  <c r="I73" i="2"/>
  <c r="H73" i="2"/>
  <c r="G73" i="2"/>
  <c r="F73" i="2"/>
  <c r="E73" i="2"/>
  <c r="AH73" i="2"/>
  <c r="AG73" i="2"/>
  <c r="AF73" i="2"/>
  <c r="AE73" i="2"/>
  <c r="AD73" i="2"/>
  <c r="Y72" i="2"/>
  <c r="X72" i="2"/>
  <c r="W72" i="2"/>
  <c r="V72" i="2"/>
  <c r="U72" i="2"/>
  <c r="T72" i="2"/>
  <c r="S72" i="2"/>
  <c r="R72" i="2"/>
  <c r="Q72" i="2"/>
  <c r="P72" i="2"/>
  <c r="N72" i="2"/>
  <c r="M72" i="2"/>
  <c r="L72" i="2"/>
  <c r="K72" i="2"/>
  <c r="J72" i="2"/>
  <c r="I72" i="2"/>
  <c r="H72" i="2"/>
  <c r="G72" i="2"/>
  <c r="F72" i="2"/>
  <c r="E72" i="2"/>
  <c r="AH72" i="2"/>
  <c r="AG72" i="2"/>
  <c r="AF72" i="2"/>
  <c r="AE72" i="2"/>
  <c r="AD72" i="2"/>
  <c r="AH71" i="2"/>
  <c r="AG71" i="2"/>
  <c r="AF71" i="2"/>
  <c r="AE71" i="2"/>
  <c r="AD71" i="2"/>
  <c r="AH65" i="2"/>
  <c r="AG65" i="2"/>
  <c r="AF65" i="2"/>
  <c r="AE65" i="2"/>
  <c r="AD64" i="2"/>
  <c r="AC64" i="2"/>
  <c r="AB64" i="2"/>
  <c r="AA64" i="2"/>
  <c r="Z64" i="2"/>
  <c r="Y64" i="2"/>
  <c r="W64" i="2"/>
  <c r="V64" i="2"/>
  <c r="U64" i="2"/>
  <c r="T64" i="2"/>
  <c r="S64" i="2"/>
  <c r="R64" i="2"/>
  <c r="Q64" i="2"/>
  <c r="P64" i="2"/>
  <c r="N64" i="2"/>
  <c r="M64" i="2"/>
  <c r="L64" i="2"/>
  <c r="K64" i="2"/>
  <c r="J64" i="2"/>
  <c r="I64" i="2"/>
  <c r="H64" i="2"/>
  <c r="G64" i="2"/>
  <c r="F64" i="2"/>
  <c r="E64" i="2"/>
  <c r="AD63" i="2"/>
  <c r="AC63" i="2"/>
  <c r="AB63" i="2"/>
  <c r="AA63" i="2"/>
  <c r="Z63" i="2"/>
  <c r="Y63" i="2"/>
  <c r="W63" i="2"/>
  <c r="V63" i="2"/>
  <c r="U63" i="2"/>
  <c r="T63" i="2"/>
  <c r="S63" i="2"/>
  <c r="R63" i="2"/>
  <c r="Q63" i="2"/>
  <c r="P63" i="2"/>
  <c r="N63" i="2"/>
  <c r="M63" i="2"/>
  <c r="L63" i="2"/>
  <c r="K63" i="2"/>
  <c r="J63" i="2"/>
  <c r="I63" i="2"/>
  <c r="H63" i="2"/>
  <c r="G63" i="2"/>
  <c r="F63" i="2"/>
  <c r="E63" i="2"/>
  <c r="AD62" i="2"/>
  <c r="AC62" i="2"/>
  <c r="AB62" i="2"/>
  <c r="AA62" i="2"/>
  <c r="Z62" i="2"/>
  <c r="Y62" i="2"/>
  <c r="W62" i="2"/>
  <c r="V62" i="2"/>
  <c r="U62" i="2"/>
  <c r="T62" i="2"/>
  <c r="S62" i="2"/>
  <c r="R62" i="2"/>
  <c r="Q62" i="2"/>
  <c r="P62" i="2"/>
  <c r="N62" i="2"/>
  <c r="M62" i="2"/>
  <c r="L62" i="2"/>
  <c r="K62" i="2"/>
  <c r="J62" i="2"/>
  <c r="I62" i="2"/>
  <c r="H62" i="2"/>
  <c r="G62" i="2"/>
  <c r="F62" i="2"/>
  <c r="E62" i="2"/>
  <c r="AD61" i="2"/>
  <c r="AC61" i="2"/>
  <c r="AB61" i="2"/>
  <c r="AA61" i="2"/>
  <c r="Z61" i="2"/>
  <c r="Y61" i="2"/>
  <c r="W61" i="2"/>
  <c r="V61" i="2"/>
  <c r="U61" i="2"/>
  <c r="T61" i="2"/>
  <c r="S61" i="2"/>
  <c r="R61" i="2"/>
  <c r="Q61" i="2"/>
  <c r="P61" i="2"/>
  <c r="N61" i="2"/>
  <c r="M61" i="2"/>
  <c r="L61" i="2"/>
  <c r="K61" i="2"/>
  <c r="J61" i="2"/>
  <c r="I61" i="2"/>
  <c r="H61" i="2"/>
  <c r="G61" i="2"/>
  <c r="F61" i="2"/>
  <c r="E61" i="2"/>
  <c r="AD60" i="2"/>
  <c r="AC60" i="2"/>
  <c r="AB60" i="2"/>
  <c r="AA60" i="2"/>
  <c r="Z60" i="2"/>
  <c r="Y60" i="2"/>
  <c r="W60" i="2"/>
  <c r="V60" i="2"/>
  <c r="U60" i="2"/>
  <c r="T60" i="2"/>
  <c r="S60" i="2"/>
  <c r="R60" i="2"/>
  <c r="Q60" i="2"/>
  <c r="P60" i="2"/>
  <c r="N60" i="2"/>
  <c r="M60" i="2"/>
  <c r="L60" i="2"/>
  <c r="K60" i="2"/>
  <c r="J60" i="2"/>
  <c r="I60" i="2"/>
  <c r="H60" i="2"/>
  <c r="G60" i="2"/>
  <c r="F60" i="2"/>
  <c r="E60" i="2"/>
  <c r="AD59" i="2"/>
  <c r="AC59" i="2"/>
  <c r="AB59" i="2"/>
  <c r="AA59" i="2"/>
  <c r="Z59" i="2"/>
  <c r="Y59" i="2"/>
  <c r="W59" i="2"/>
  <c r="V59" i="2"/>
  <c r="U59" i="2"/>
  <c r="T59" i="2"/>
  <c r="S59" i="2"/>
  <c r="R59" i="2"/>
  <c r="Q59" i="2"/>
  <c r="P59" i="2"/>
  <c r="N59" i="2"/>
  <c r="M59" i="2"/>
  <c r="L59" i="2"/>
  <c r="K59" i="2"/>
  <c r="J59" i="2"/>
  <c r="I59" i="2"/>
  <c r="H59" i="2"/>
  <c r="G59" i="2"/>
  <c r="F59" i="2"/>
  <c r="E59" i="2"/>
  <c r="AD58" i="2"/>
  <c r="AC58" i="2"/>
  <c r="AB58" i="2"/>
  <c r="AA58" i="2"/>
  <c r="Z58" i="2"/>
  <c r="Y58" i="2"/>
  <c r="W58" i="2"/>
  <c r="V58" i="2"/>
  <c r="U58" i="2"/>
  <c r="T58" i="2"/>
  <c r="S58" i="2"/>
  <c r="R58" i="2"/>
  <c r="Q58" i="2"/>
  <c r="P58" i="2"/>
  <c r="N58" i="2"/>
  <c r="M58" i="2"/>
  <c r="L58" i="2"/>
  <c r="K58" i="2"/>
  <c r="J58" i="2"/>
  <c r="I58" i="2"/>
  <c r="H58" i="2"/>
  <c r="G58" i="2"/>
  <c r="F58" i="2"/>
  <c r="E58" i="2"/>
  <c r="AD57" i="2"/>
  <c r="AC57" i="2"/>
  <c r="AB57" i="2"/>
  <c r="AA57" i="2"/>
  <c r="Z57" i="2"/>
  <c r="Y57" i="2"/>
  <c r="W57" i="2"/>
  <c r="V57" i="2"/>
  <c r="U57" i="2"/>
  <c r="T57" i="2"/>
  <c r="S57" i="2"/>
  <c r="R57" i="2"/>
  <c r="Q57" i="2"/>
  <c r="P57" i="2"/>
  <c r="N57" i="2"/>
  <c r="M57" i="2"/>
  <c r="L57" i="2"/>
  <c r="K57" i="2"/>
  <c r="J57" i="2"/>
  <c r="I57" i="2"/>
  <c r="H57" i="2"/>
  <c r="G57" i="2"/>
  <c r="F57" i="2"/>
  <c r="E57" i="2"/>
  <c r="AD56" i="2"/>
  <c r="AC56" i="2"/>
  <c r="AB56" i="2"/>
  <c r="AA56" i="2"/>
  <c r="Z56" i="2"/>
  <c r="Y56" i="2"/>
  <c r="W56" i="2"/>
  <c r="V56" i="2"/>
  <c r="U56" i="2"/>
  <c r="T56" i="2"/>
  <c r="S56" i="2"/>
  <c r="R56" i="2"/>
  <c r="Q56" i="2"/>
  <c r="P56" i="2"/>
  <c r="N56" i="2"/>
  <c r="M56" i="2"/>
  <c r="L56" i="2"/>
  <c r="K56" i="2"/>
  <c r="J56" i="2"/>
  <c r="I56" i="2"/>
  <c r="H56" i="2"/>
  <c r="G56" i="2"/>
  <c r="F56" i="2"/>
  <c r="E56" i="2"/>
  <c r="AD55" i="2"/>
  <c r="AC55" i="2"/>
  <c r="AB55" i="2"/>
  <c r="AA55" i="2"/>
  <c r="Z55" i="2"/>
  <c r="Y55" i="2"/>
  <c r="W55" i="2"/>
  <c r="V55" i="2"/>
  <c r="U55" i="2"/>
  <c r="T55" i="2"/>
  <c r="S55" i="2"/>
  <c r="R55" i="2"/>
  <c r="Q55" i="2"/>
  <c r="P55" i="2"/>
  <c r="N55" i="2"/>
  <c r="M55" i="2"/>
  <c r="L55" i="2"/>
  <c r="K55" i="2"/>
  <c r="J55" i="2"/>
  <c r="I55" i="2"/>
  <c r="H55" i="2"/>
  <c r="G55" i="2"/>
  <c r="F55" i="2"/>
  <c r="E55" i="2"/>
  <c r="AD54" i="2"/>
  <c r="AC54" i="2"/>
  <c r="AB54" i="2"/>
  <c r="AA54" i="2"/>
  <c r="Z54" i="2"/>
  <c r="Y54" i="2"/>
  <c r="W54" i="2"/>
  <c r="V54" i="2"/>
  <c r="U54" i="2"/>
  <c r="T54" i="2"/>
  <c r="S54" i="2"/>
  <c r="R54" i="2"/>
  <c r="Q54" i="2"/>
  <c r="P54" i="2"/>
  <c r="N54" i="2"/>
  <c r="M54" i="2"/>
  <c r="L54" i="2"/>
  <c r="K54" i="2"/>
  <c r="J54" i="2"/>
  <c r="I54" i="2"/>
  <c r="H54" i="2"/>
  <c r="G54" i="2"/>
  <c r="F54" i="2"/>
  <c r="E54" i="2"/>
  <c r="AD53" i="2"/>
  <c r="AC53" i="2"/>
  <c r="AB53" i="2"/>
  <c r="AA53" i="2"/>
  <c r="Z53" i="2"/>
  <c r="Y53" i="2"/>
  <c r="W53" i="2"/>
  <c r="V53" i="2"/>
  <c r="U53" i="2"/>
  <c r="T53" i="2"/>
  <c r="S53" i="2"/>
  <c r="R53" i="2"/>
  <c r="Q53" i="2"/>
  <c r="P53" i="2"/>
  <c r="N53" i="2"/>
  <c r="M53" i="2"/>
  <c r="L53" i="2"/>
  <c r="K53" i="2"/>
  <c r="J53" i="2"/>
  <c r="I53" i="2"/>
  <c r="H53" i="2"/>
  <c r="G53" i="2"/>
  <c r="F53" i="2"/>
  <c r="E53" i="2"/>
  <c r="AD52" i="2"/>
  <c r="AC52" i="2"/>
  <c r="AB52" i="2"/>
  <c r="AA52" i="2"/>
  <c r="Z52" i="2"/>
  <c r="Y52" i="2"/>
  <c r="W52" i="2"/>
  <c r="V52" i="2"/>
  <c r="U52" i="2"/>
  <c r="T52" i="2"/>
  <c r="S52" i="2"/>
  <c r="R52" i="2"/>
  <c r="Q52" i="2"/>
  <c r="P52" i="2"/>
  <c r="N52" i="2"/>
  <c r="M52" i="2"/>
  <c r="L52" i="2"/>
  <c r="K52" i="2"/>
  <c r="J52" i="2"/>
  <c r="I52" i="2"/>
  <c r="H52" i="2"/>
  <c r="G52" i="2"/>
  <c r="F52" i="2"/>
  <c r="E52" i="2"/>
  <c r="AD51" i="2"/>
  <c r="AC51" i="2"/>
  <c r="AB51" i="2"/>
  <c r="AA51" i="2"/>
  <c r="Z51" i="2"/>
  <c r="Y51" i="2"/>
  <c r="W51" i="2"/>
  <c r="V51" i="2"/>
  <c r="U51" i="2"/>
  <c r="T51" i="2"/>
  <c r="S51" i="2"/>
  <c r="R51" i="2"/>
  <c r="Q51" i="2"/>
  <c r="P51" i="2"/>
  <c r="N51" i="2"/>
  <c r="M51" i="2"/>
  <c r="L51" i="2"/>
  <c r="K51" i="2"/>
  <c r="J51" i="2"/>
  <c r="I51" i="2"/>
  <c r="H51" i="2"/>
  <c r="G51" i="2"/>
  <c r="F51" i="2"/>
  <c r="E51" i="2"/>
  <c r="AD50" i="2"/>
  <c r="AC50" i="2"/>
  <c r="AB50" i="2"/>
  <c r="AA50" i="2"/>
  <c r="Z50" i="2"/>
  <c r="Y50" i="2"/>
  <c r="W50" i="2"/>
  <c r="V50" i="2"/>
  <c r="U50" i="2"/>
  <c r="T50" i="2"/>
  <c r="S50" i="2"/>
  <c r="R50" i="2"/>
  <c r="Q50" i="2"/>
  <c r="P50" i="2"/>
  <c r="N50" i="2"/>
  <c r="M50" i="2"/>
  <c r="L50" i="2"/>
  <c r="K50" i="2"/>
  <c r="J50" i="2"/>
  <c r="I50" i="2"/>
  <c r="H50" i="2"/>
  <c r="G50" i="2"/>
  <c r="F50" i="2"/>
  <c r="E50" i="2"/>
  <c r="AD49" i="2"/>
  <c r="AC49" i="2"/>
  <c r="AB49" i="2"/>
  <c r="AA49" i="2"/>
  <c r="Z49" i="2"/>
  <c r="Y49" i="2"/>
  <c r="Y65" i="2" s="1"/>
  <c r="W49" i="2"/>
  <c r="V49" i="2"/>
  <c r="U49" i="2"/>
  <c r="T49" i="2"/>
  <c r="T65" i="2" s="1"/>
  <c r="S49" i="2"/>
  <c r="R49" i="2"/>
  <c r="Q49" i="2"/>
  <c r="P49" i="2"/>
  <c r="P65" i="2" s="1"/>
  <c r="N49" i="2"/>
  <c r="M49" i="2"/>
  <c r="L49" i="2"/>
  <c r="K49" i="2"/>
  <c r="K65" i="2" s="1"/>
  <c r="J49" i="2"/>
  <c r="I49" i="2"/>
  <c r="H49" i="2"/>
  <c r="G49" i="2"/>
  <c r="G65" i="2" s="1"/>
  <c r="F49" i="2"/>
  <c r="E49" i="2"/>
  <c r="R41" i="2"/>
  <c r="Q41" i="2"/>
  <c r="P41" i="2"/>
  <c r="O41" i="2"/>
  <c r="N41" i="2"/>
  <c r="M41" i="2"/>
  <c r="L41" i="2"/>
  <c r="H43" i="2"/>
  <c r="R40" i="2"/>
  <c r="Q40" i="2"/>
  <c r="P40" i="2"/>
  <c r="O40" i="2"/>
  <c r="N40" i="2"/>
  <c r="M40" i="2"/>
  <c r="L40" i="2"/>
  <c r="H42" i="2"/>
  <c r="R39" i="2"/>
  <c r="Q39" i="2"/>
  <c r="P39" i="2"/>
  <c r="O39" i="2"/>
  <c r="N39" i="2"/>
  <c r="M39" i="2"/>
  <c r="L39" i="2"/>
  <c r="H41" i="2"/>
  <c r="R38" i="2"/>
  <c r="Q38" i="2"/>
  <c r="P38" i="2"/>
  <c r="O38" i="2"/>
  <c r="N38" i="2"/>
  <c r="M38" i="2"/>
  <c r="L38" i="2"/>
  <c r="H40" i="2"/>
  <c r="R37" i="2"/>
  <c r="Q37" i="2"/>
  <c r="P37" i="2"/>
  <c r="O37" i="2"/>
  <c r="N37" i="2"/>
  <c r="M37" i="2"/>
  <c r="L37" i="2"/>
  <c r="H39" i="2"/>
  <c r="R36" i="2"/>
  <c r="Q36" i="2"/>
  <c r="P36" i="2"/>
  <c r="O36" i="2"/>
  <c r="N36" i="2"/>
  <c r="M36" i="2"/>
  <c r="L36" i="2"/>
  <c r="R35" i="2"/>
  <c r="Q35" i="2"/>
  <c r="P35" i="2"/>
  <c r="O35" i="2"/>
  <c r="N35" i="2"/>
  <c r="M35" i="2"/>
  <c r="L35" i="2"/>
  <c r="R34" i="2"/>
  <c r="Q34" i="2"/>
  <c r="P34" i="2"/>
  <c r="O34" i="2"/>
  <c r="N34" i="2"/>
  <c r="M34" i="2"/>
  <c r="L34" i="2"/>
  <c r="R33" i="2"/>
  <c r="Q33" i="2"/>
  <c r="P33" i="2"/>
  <c r="O33" i="2"/>
  <c r="N33" i="2"/>
  <c r="M33" i="2"/>
  <c r="L33" i="2"/>
  <c r="R32" i="2"/>
  <c r="Q32" i="2"/>
  <c r="P32" i="2"/>
  <c r="O32" i="2"/>
  <c r="N32" i="2"/>
  <c r="M32" i="2"/>
  <c r="L32" i="2"/>
  <c r="I31" i="2"/>
  <c r="H31" i="2"/>
  <c r="G31" i="2"/>
  <c r="F31" i="2"/>
  <c r="E31" i="2"/>
  <c r="I30" i="2"/>
  <c r="H30" i="2"/>
  <c r="G30" i="2"/>
  <c r="F30" i="2"/>
  <c r="E30" i="2"/>
  <c r="D30" i="2"/>
  <c r="I29" i="2"/>
  <c r="H29" i="2"/>
  <c r="G29" i="2"/>
  <c r="F29" i="2"/>
  <c r="E29" i="2"/>
  <c r="D29" i="2"/>
  <c r="R27" i="2"/>
  <c r="Q27" i="2"/>
  <c r="P27" i="2"/>
  <c r="O27" i="2"/>
  <c r="N27" i="2"/>
  <c r="M27" i="2"/>
  <c r="L27" i="2"/>
  <c r="I28" i="2"/>
  <c r="H28" i="2"/>
  <c r="G28" i="2"/>
  <c r="F28" i="2"/>
  <c r="E28" i="2"/>
  <c r="D28" i="2"/>
  <c r="R26" i="2"/>
  <c r="Q26" i="2"/>
  <c r="P26" i="2"/>
  <c r="O26" i="2"/>
  <c r="N26" i="2"/>
  <c r="M26" i="2"/>
  <c r="L26" i="2"/>
  <c r="I27" i="2"/>
  <c r="H27" i="2"/>
  <c r="G27" i="2"/>
  <c r="F27" i="2"/>
  <c r="E27" i="2"/>
  <c r="D27" i="2"/>
  <c r="R25" i="2"/>
  <c r="Q25" i="2"/>
  <c r="P25" i="2"/>
  <c r="O25" i="2"/>
  <c r="N25" i="2"/>
  <c r="M25" i="2"/>
  <c r="L25" i="2"/>
  <c r="I26" i="2"/>
  <c r="H26" i="2"/>
  <c r="G26" i="2"/>
  <c r="F26" i="2"/>
  <c r="E26" i="2"/>
  <c r="D26" i="2"/>
  <c r="R24" i="2"/>
  <c r="Q24" i="2"/>
  <c r="P24" i="2"/>
  <c r="O24" i="2"/>
  <c r="N24" i="2"/>
  <c r="M24" i="2"/>
  <c r="L24" i="2"/>
  <c r="I25" i="2"/>
  <c r="H25" i="2"/>
  <c r="G25" i="2"/>
  <c r="F25" i="2"/>
  <c r="E25" i="2"/>
  <c r="D25" i="2"/>
  <c r="R23" i="2"/>
  <c r="Q23" i="2"/>
  <c r="P23" i="2"/>
  <c r="O23" i="2"/>
  <c r="N23" i="2"/>
  <c r="M23" i="2"/>
  <c r="L23" i="2"/>
  <c r="I24" i="2"/>
  <c r="H24" i="2"/>
  <c r="G24" i="2"/>
  <c r="F24" i="2"/>
  <c r="E24" i="2"/>
  <c r="D24" i="2"/>
  <c r="R22" i="2"/>
  <c r="Q22" i="2"/>
  <c r="P22" i="2"/>
  <c r="O22" i="2"/>
  <c r="N22" i="2"/>
  <c r="M22" i="2"/>
  <c r="L22" i="2"/>
  <c r="I23" i="2"/>
  <c r="H23" i="2"/>
  <c r="G23" i="2"/>
  <c r="F23" i="2"/>
  <c r="E23" i="2"/>
  <c r="D23" i="2"/>
  <c r="R21" i="2"/>
  <c r="Q21" i="2"/>
  <c r="P21" i="2"/>
  <c r="O21" i="2"/>
  <c r="N21" i="2"/>
  <c r="M21" i="2"/>
  <c r="L21" i="2"/>
  <c r="I22" i="2"/>
  <c r="H22" i="2"/>
  <c r="G22" i="2"/>
  <c r="F22" i="2"/>
  <c r="E22" i="2"/>
  <c r="D22" i="2"/>
  <c r="R20" i="2"/>
  <c r="Q20" i="2"/>
  <c r="P20" i="2"/>
  <c r="O20" i="2"/>
  <c r="N20" i="2"/>
  <c r="M20" i="2"/>
  <c r="L20" i="2"/>
  <c r="I21" i="2"/>
  <c r="H21" i="2"/>
  <c r="G21" i="2"/>
  <c r="F21" i="2"/>
  <c r="E21" i="2"/>
  <c r="D21" i="2"/>
  <c r="R19" i="2"/>
  <c r="Q19" i="2"/>
  <c r="P19" i="2"/>
  <c r="O19" i="2"/>
  <c r="N19" i="2"/>
  <c r="M19" i="2"/>
  <c r="L19" i="2"/>
  <c r="I19" i="2"/>
  <c r="H19" i="2"/>
  <c r="G19" i="2"/>
  <c r="F19" i="2"/>
  <c r="E19" i="2"/>
  <c r="D19" i="2"/>
  <c r="R18" i="2"/>
  <c r="Q18" i="2"/>
  <c r="P18" i="2"/>
  <c r="O18" i="2"/>
  <c r="N18" i="2"/>
  <c r="M18" i="2"/>
  <c r="L18" i="2"/>
  <c r="I18" i="2"/>
  <c r="H18" i="2"/>
  <c r="G18" i="2"/>
  <c r="F18" i="2"/>
  <c r="E18" i="2"/>
  <c r="D18" i="2"/>
  <c r="I17" i="2"/>
  <c r="H17" i="2"/>
  <c r="G17" i="2"/>
  <c r="F17" i="2"/>
  <c r="E17" i="2"/>
  <c r="D17" i="2"/>
  <c r="I16" i="2"/>
  <c r="H16" i="2"/>
  <c r="G16" i="2"/>
  <c r="F16" i="2"/>
  <c r="E16" i="2"/>
  <c r="D16" i="2"/>
  <c r="AJ122" i="8"/>
  <c r="AI122" i="8"/>
  <c r="AH122" i="8"/>
  <c r="AG122" i="8"/>
  <c r="AF122" i="8"/>
  <c r="AJ121" i="8"/>
  <c r="AI121" i="8"/>
  <c r="AH121" i="8"/>
  <c r="AG121" i="8"/>
  <c r="AF121" i="8"/>
  <c r="AJ120" i="8"/>
  <c r="AI120" i="8"/>
  <c r="AH120" i="8"/>
  <c r="AG120" i="8"/>
  <c r="AF120" i="8"/>
  <c r="AJ119" i="8"/>
  <c r="AI119" i="8"/>
  <c r="AH119" i="8"/>
  <c r="AG119" i="8"/>
  <c r="AF119" i="8"/>
  <c r="AJ118" i="8"/>
  <c r="AI118" i="8"/>
  <c r="AH118" i="8"/>
  <c r="AG118" i="8"/>
  <c r="AF118" i="8"/>
  <c r="AJ117" i="8"/>
  <c r="AI117" i="8"/>
  <c r="AH117" i="8"/>
  <c r="AG117" i="8"/>
  <c r="AF117" i="8"/>
  <c r="AJ116" i="8"/>
  <c r="AI116" i="8"/>
  <c r="AH116" i="8"/>
  <c r="AG116" i="8"/>
  <c r="AF116" i="8"/>
  <c r="AJ115" i="8"/>
  <c r="AI115" i="8"/>
  <c r="AH115" i="8"/>
  <c r="AG115" i="8"/>
  <c r="AF115" i="8"/>
  <c r="AJ114" i="8"/>
  <c r="AI114" i="8"/>
  <c r="AH114" i="8"/>
  <c r="AG114" i="8"/>
  <c r="AF114" i="8"/>
  <c r="AJ113" i="8"/>
  <c r="AI113" i="8"/>
  <c r="AH113" i="8"/>
  <c r="AG113" i="8"/>
  <c r="AF113" i="8"/>
  <c r="AJ112" i="8"/>
  <c r="AI112" i="8"/>
  <c r="AH112" i="8"/>
  <c r="AG112" i="8"/>
  <c r="AF112" i="8"/>
  <c r="AJ111" i="8"/>
  <c r="AI111" i="8"/>
  <c r="AH111" i="8"/>
  <c r="AG111" i="8"/>
  <c r="AF111" i="8"/>
  <c r="AJ110" i="8"/>
  <c r="AI110" i="8"/>
  <c r="AH110" i="8"/>
  <c r="AG110" i="8"/>
  <c r="AF110" i="8"/>
  <c r="AJ109" i="8"/>
  <c r="AI109" i="8"/>
  <c r="AH109" i="8"/>
  <c r="AG109" i="8"/>
  <c r="AF109" i="8"/>
  <c r="AJ108" i="8"/>
  <c r="AI108" i="8"/>
  <c r="AH108" i="8"/>
  <c r="AG108" i="8"/>
  <c r="AF108" i="8"/>
  <c r="AJ107" i="8"/>
  <c r="AI107" i="8"/>
  <c r="AH107" i="8"/>
  <c r="AG107" i="8"/>
  <c r="AF107" i="8"/>
  <c r="AJ106" i="8"/>
  <c r="AI106" i="8"/>
  <c r="AH106" i="8"/>
  <c r="AG106" i="8"/>
  <c r="AF106" i="8"/>
  <c r="AJ105" i="8"/>
  <c r="AI105" i="8"/>
  <c r="AH105" i="8"/>
  <c r="AG105" i="8"/>
  <c r="AF105" i="8"/>
  <c r="AJ104" i="8"/>
  <c r="AI104" i="8"/>
  <c r="AH104" i="8"/>
  <c r="AG104" i="8"/>
  <c r="AF104" i="8"/>
  <c r="AJ103" i="8"/>
  <c r="AI103" i="8"/>
  <c r="AH103" i="8"/>
  <c r="AG103" i="8"/>
  <c r="AF103" i="8"/>
  <c r="AJ102" i="8"/>
  <c r="AI102" i="8"/>
  <c r="AH102" i="8"/>
  <c r="AG102" i="8"/>
  <c r="AF102" i="8"/>
  <c r="AJ101" i="8"/>
  <c r="AI101" i="8"/>
  <c r="AH101" i="8"/>
  <c r="AG101" i="8"/>
  <c r="AF101" i="8"/>
  <c r="AJ100" i="8"/>
  <c r="AI100" i="8"/>
  <c r="AH100" i="8"/>
  <c r="AG100" i="8"/>
  <c r="AF100" i="8"/>
  <c r="AJ99" i="8"/>
  <c r="AI99" i="8"/>
  <c r="AH99" i="8"/>
  <c r="AG99" i="8"/>
  <c r="AF99" i="8"/>
  <c r="AJ98" i="8"/>
  <c r="AI98" i="8"/>
  <c r="AH98" i="8"/>
  <c r="AG98" i="8"/>
  <c r="AF98" i="8"/>
  <c r="AJ97" i="8"/>
  <c r="AI97" i="8"/>
  <c r="AH97" i="8"/>
  <c r="AG97" i="8"/>
  <c r="AF97" i="8"/>
  <c r="AJ96" i="8"/>
  <c r="AI96" i="8"/>
  <c r="AH96" i="8"/>
  <c r="AG96" i="8"/>
  <c r="AF96" i="8"/>
  <c r="AJ95" i="8"/>
  <c r="AI95" i="8"/>
  <c r="AH95" i="8"/>
  <c r="AG95" i="8"/>
  <c r="AF95" i="8"/>
  <c r="AM89" i="8"/>
  <c r="AL89" i="8"/>
  <c r="AK89" i="8"/>
  <c r="AJ89" i="8"/>
  <c r="AI89" i="8"/>
  <c r="AH89" i="8"/>
  <c r="AG89" i="8"/>
  <c r="AF89" i="8"/>
  <c r="AE89" i="8"/>
  <c r="AD89" i="8"/>
  <c r="AC89" i="8"/>
  <c r="AA89" i="8"/>
  <c r="Z89" i="8"/>
  <c r="Y89" i="8"/>
  <c r="X89" i="8"/>
  <c r="W89" i="8"/>
  <c r="V89" i="8"/>
  <c r="U89" i="8"/>
  <c r="T89" i="8"/>
  <c r="S89" i="8"/>
  <c r="R89" i="8"/>
  <c r="Q89" i="8"/>
  <c r="O89" i="8"/>
  <c r="N89" i="8"/>
  <c r="M89" i="8"/>
  <c r="L89" i="8"/>
  <c r="K89" i="8"/>
  <c r="J89" i="8"/>
  <c r="I89" i="8"/>
  <c r="H89" i="8"/>
  <c r="G89" i="8"/>
  <c r="F89" i="8"/>
  <c r="E89" i="8"/>
  <c r="AM88" i="8"/>
  <c r="AL88" i="8"/>
  <c r="AK88" i="8"/>
  <c r="AJ88" i="8"/>
  <c r="AI88" i="8"/>
  <c r="AH88" i="8"/>
  <c r="AG88" i="8"/>
  <c r="AF88" i="8"/>
  <c r="AE88" i="8"/>
  <c r="AD88" i="8"/>
  <c r="AC88" i="8"/>
  <c r="AA88" i="8"/>
  <c r="Z88" i="8"/>
  <c r="Y88" i="8"/>
  <c r="X88" i="8"/>
  <c r="W88" i="8"/>
  <c r="V88" i="8"/>
  <c r="U88" i="8"/>
  <c r="T88" i="8"/>
  <c r="S88" i="8"/>
  <c r="R88" i="8"/>
  <c r="Q88" i="8"/>
  <c r="O88" i="8"/>
  <c r="N88" i="8"/>
  <c r="M88" i="8"/>
  <c r="L88" i="8"/>
  <c r="K88" i="8"/>
  <c r="J88" i="8"/>
  <c r="I88" i="8"/>
  <c r="H88" i="8"/>
  <c r="G88" i="8"/>
  <c r="F88" i="8"/>
  <c r="E88" i="8"/>
  <c r="AM87" i="8"/>
  <c r="AL87" i="8"/>
  <c r="AK87" i="8"/>
  <c r="AJ87" i="8"/>
  <c r="AI87" i="8"/>
  <c r="AH87" i="8"/>
  <c r="AG87" i="8"/>
  <c r="AF87" i="8"/>
  <c r="AE87" i="8"/>
  <c r="AD87" i="8"/>
  <c r="AC87" i="8"/>
  <c r="AA87" i="8"/>
  <c r="Z87" i="8"/>
  <c r="Y87" i="8"/>
  <c r="X87" i="8"/>
  <c r="W87" i="8"/>
  <c r="V87" i="8"/>
  <c r="U87" i="8"/>
  <c r="T87" i="8"/>
  <c r="S87" i="8"/>
  <c r="R87" i="8"/>
  <c r="Q87" i="8"/>
  <c r="O87" i="8"/>
  <c r="N87" i="8"/>
  <c r="M87" i="8"/>
  <c r="L87" i="8"/>
  <c r="K87" i="8"/>
  <c r="J87" i="8"/>
  <c r="I87" i="8"/>
  <c r="H87" i="8"/>
  <c r="G87" i="8"/>
  <c r="F87" i="8"/>
  <c r="E87" i="8"/>
  <c r="AM86" i="8"/>
  <c r="AL86" i="8"/>
  <c r="AK86" i="8"/>
  <c r="AJ86" i="8"/>
  <c r="AI86" i="8"/>
  <c r="AH86" i="8"/>
  <c r="AG86" i="8"/>
  <c r="AF86" i="8"/>
  <c r="AE86" i="8"/>
  <c r="AD86" i="8"/>
  <c r="AC86" i="8"/>
  <c r="AA86" i="8"/>
  <c r="Z86" i="8"/>
  <c r="Y86" i="8"/>
  <c r="X86" i="8"/>
  <c r="W86" i="8"/>
  <c r="V86" i="8"/>
  <c r="U86" i="8"/>
  <c r="T86" i="8"/>
  <c r="S86" i="8"/>
  <c r="R86" i="8"/>
  <c r="Q86" i="8"/>
  <c r="O86" i="8"/>
  <c r="N86" i="8"/>
  <c r="M86" i="8"/>
  <c r="L86" i="8"/>
  <c r="K86" i="8"/>
  <c r="J86" i="8"/>
  <c r="I86" i="8"/>
  <c r="H86" i="8"/>
  <c r="G86" i="8"/>
  <c r="F86" i="8"/>
  <c r="E86" i="8"/>
  <c r="AM85" i="8"/>
  <c r="AL85" i="8"/>
  <c r="AK85" i="8"/>
  <c r="AJ85" i="8"/>
  <c r="AI85" i="8"/>
  <c r="AH85" i="8"/>
  <c r="AG85" i="8"/>
  <c r="AF85" i="8"/>
  <c r="AE85" i="8"/>
  <c r="AD85" i="8"/>
  <c r="AC85" i="8"/>
  <c r="AA85" i="8"/>
  <c r="Z85" i="8"/>
  <c r="Y85" i="8"/>
  <c r="X85" i="8"/>
  <c r="W85" i="8"/>
  <c r="V85" i="8"/>
  <c r="U85" i="8"/>
  <c r="T85" i="8"/>
  <c r="S85" i="8"/>
  <c r="R85" i="8"/>
  <c r="Q85" i="8"/>
  <c r="O85" i="8"/>
  <c r="N85" i="8"/>
  <c r="M85" i="8"/>
  <c r="L85" i="8"/>
  <c r="K85" i="8"/>
  <c r="J85" i="8"/>
  <c r="I85" i="8"/>
  <c r="H85" i="8"/>
  <c r="G85" i="8"/>
  <c r="F85" i="8"/>
  <c r="E85" i="8"/>
  <c r="AM84" i="8"/>
  <c r="AL84" i="8"/>
  <c r="AK84" i="8"/>
  <c r="AJ84" i="8"/>
  <c r="AI84" i="8"/>
  <c r="AH84" i="8"/>
  <c r="AG84" i="8"/>
  <c r="AF84" i="8"/>
  <c r="AE84" i="8"/>
  <c r="AD84" i="8"/>
  <c r="AC84" i="8"/>
  <c r="AA84" i="8"/>
  <c r="Z84" i="8"/>
  <c r="Y84" i="8"/>
  <c r="X84" i="8"/>
  <c r="W84" i="8"/>
  <c r="V84" i="8"/>
  <c r="U84" i="8"/>
  <c r="T84" i="8"/>
  <c r="S84" i="8"/>
  <c r="R84" i="8"/>
  <c r="Q84" i="8"/>
  <c r="O84" i="8"/>
  <c r="N84" i="8"/>
  <c r="M84" i="8"/>
  <c r="L84" i="8"/>
  <c r="K84" i="8"/>
  <c r="J84" i="8"/>
  <c r="I84" i="8"/>
  <c r="H84" i="8"/>
  <c r="G84" i="8"/>
  <c r="F84" i="8"/>
  <c r="E84" i="8"/>
  <c r="AM83" i="8"/>
  <c r="AL83" i="8"/>
  <c r="AK83" i="8"/>
  <c r="AJ83" i="8"/>
  <c r="AI83" i="8"/>
  <c r="AH83" i="8"/>
  <c r="AG83" i="8"/>
  <c r="AF83" i="8"/>
  <c r="AE83" i="8"/>
  <c r="AD83" i="8"/>
  <c r="AC83" i="8"/>
  <c r="AA83" i="8"/>
  <c r="Z83" i="8"/>
  <c r="Y83" i="8"/>
  <c r="X83" i="8"/>
  <c r="W83" i="8"/>
  <c r="V83" i="8"/>
  <c r="U83" i="8"/>
  <c r="T83" i="8"/>
  <c r="S83" i="8"/>
  <c r="R83" i="8"/>
  <c r="Q83" i="8"/>
  <c r="O83" i="8"/>
  <c r="N83" i="8"/>
  <c r="M83" i="8"/>
  <c r="L83" i="8"/>
  <c r="K83" i="8"/>
  <c r="J83" i="8"/>
  <c r="I83" i="8"/>
  <c r="H83" i="8"/>
  <c r="G83" i="8"/>
  <c r="F83" i="8"/>
  <c r="E83" i="8"/>
  <c r="AM82" i="8"/>
  <c r="AL82" i="8"/>
  <c r="AK82" i="8"/>
  <c r="AJ82" i="8"/>
  <c r="AI82" i="8"/>
  <c r="AH82" i="8"/>
  <c r="AG82" i="8"/>
  <c r="AF82" i="8"/>
  <c r="AE82" i="8"/>
  <c r="AD82" i="8"/>
  <c r="AC82" i="8"/>
  <c r="AA82" i="8"/>
  <c r="Z82" i="8"/>
  <c r="Y82" i="8"/>
  <c r="X82" i="8"/>
  <c r="W82" i="8"/>
  <c r="V82" i="8"/>
  <c r="U82" i="8"/>
  <c r="T82" i="8"/>
  <c r="S82" i="8"/>
  <c r="R82" i="8"/>
  <c r="Q82" i="8"/>
  <c r="O82" i="8"/>
  <c r="N82" i="8"/>
  <c r="M82" i="8"/>
  <c r="L82" i="8"/>
  <c r="K82" i="8"/>
  <c r="J82" i="8"/>
  <c r="I82" i="8"/>
  <c r="H82" i="8"/>
  <c r="G82" i="8"/>
  <c r="F82" i="8"/>
  <c r="E82" i="8"/>
  <c r="AM81" i="8"/>
  <c r="AL81" i="8"/>
  <c r="AK81" i="8"/>
  <c r="AJ81" i="8"/>
  <c r="AI81" i="8"/>
  <c r="AH81" i="8"/>
  <c r="AG81" i="8"/>
  <c r="AF81" i="8"/>
  <c r="AE81" i="8"/>
  <c r="AD81" i="8"/>
  <c r="AC81" i="8"/>
  <c r="AA81" i="8"/>
  <c r="Z81" i="8"/>
  <c r="Y81" i="8"/>
  <c r="X81" i="8"/>
  <c r="W81" i="8"/>
  <c r="V81" i="8"/>
  <c r="U81" i="8"/>
  <c r="T81" i="8"/>
  <c r="S81" i="8"/>
  <c r="R81" i="8"/>
  <c r="Q81" i="8"/>
  <c r="O81" i="8"/>
  <c r="N81" i="8"/>
  <c r="M81" i="8"/>
  <c r="L81" i="8"/>
  <c r="K81" i="8"/>
  <c r="J81" i="8"/>
  <c r="I81" i="8"/>
  <c r="H81" i="8"/>
  <c r="G81" i="8"/>
  <c r="F81" i="8"/>
  <c r="E81" i="8"/>
  <c r="AM80" i="8"/>
  <c r="AL80" i="8"/>
  <c r="AK80" i="8"/>
  <c r="AJ80" i="8"/>
  <c r="AI80" i="8"/>
  <c r="AH80" i="8"/>
  <c r="AG80" i="8"/>
  <c r="AF80" i="8"/>
  <c r="AE80" i="8"/>
  <c r="AD80" i="8"/>
  <c r="AC80" i="8"/>
  <c r="AA80" i="8"/>
  <c r="Z80" i="8"/>
  <c r="Y80" i="8"/>
  <c r="X80" i="8"/>
  <c r="W80" i="8"/>
  <c r="V80" i="8"/>
  <c r="U80" i="8"/>
  <c r="T80" i="8"/>
  <c r="S80" i="8"/>
  <c r="R80" i="8"/>
  <c r="Q80" i="8"/>
  <c r="O80" i="8"/>
  <c r="N80" i="8"/>
  <c r="M80" i="8"/>
  <c r="L80" i="8"/>
  <c r="K80" i="8"/>
  <c r="J80" i="8"/>
  <c r="I80" i="8"/>
  <c r="H80" i="8"/>
  <c r="G80" i="8"/>
  <c r="F80" i="8"/>
  <c r="E80" i="8"/>
  <c r="AM79" i="8"/>
  <c r="AL79" i="8"/>
  <c r="AK79" i="8"/>
  <c r="AJ79" i="8"/>
  <c r="AI79" i="8"/>
  <c r="AH79" i="8"/>
  <c r="AG79" i="8"/>
  <c r="AF79" i="8"/>
  <c r="AE79" i="8"/>
  <c r="AD79" i="8"/>
  <c r="AC79" i="8"/>
  <c r="AA79" i="8"/>
  <c r="Z79" i="8"/>
  <c r="Y79" i="8"/>
  <c r="X79" i="8"/>
  <c r="W79" i="8"/>
  <c r="V79" i="8"/>
  <c r="U79" i="8"/>
  <c r="T79" i="8"/>
  <c r="S79" i="8"/>
  <c r="R79" i="8"/>
  <c r="Q79" i="8"/>
  <c r="O79" i="8"/>
  <c r="N79" i="8"/>
  <c r="M79" i="8"/>
  <c r="L79" i="8"/>
  <c r="K79" i="8"/>
  <c r="J79" i="8"/>
  <c r="I79" i="8"/>
  <c r="H79" i="8"/>
  <c r="G79" i="8"/>
  <c r="F79" i="8"/>
  <c r="E79" i="8"/>
  <c r="AM78" i="8"/>
  <c r="AL78" i="8"/>
  <c r="AK78" i="8"/>
  <c r="AJ78" i="8"/>
  <c r="AI78" i="8"/>
  <c r="AH78" i="8"/>
  <c r="AG78" i="8"/>
  <c r="AF78" i="8"/>
  <c r="AE78" i="8"/>
  <c r="AD78" i="8"/>
  <c r="AC78" i="8"/>
  <c r="AA78" i="8"/>
  <c r="Z78" i="8"/>
  <c r="Y78" i="8"/>
  <c r="X78" i="8"/>
  <c r="W78" i="8"/>
  <c r="V78" i="8"/>
  <c r="U78" i="8"/>
  <c r="T78" i="8"/>
  <c r="S78" i="8"/>
  <c r="R78" i="8"/>
  <c r="Q78" i="8"/>
  <c r="O78" i="8"/>
  <c r="N78" i="8"/>
  <c r="M78" i="8"/>
  <c r="L78" i="8"/>
  <c r="K78" i="8"/>
  <c r="J78" i="8"/>
  <c r="I78" i="8"/>
  <c r="H78" i="8"/>
  <c r="G78" i="8"/>
  <c r="F78" i="8"/>
  <c r="E78" i="8"/>
  <c r="AM77" i="8"/>
  <c r="AL77" i="8"/>
  <c r="AK77" i="8"/>
  <c r="AJ77" i="8"/>
  <c r="AI77" i="8"/>
  <c r="AH77" i="8"/>
  <c r="AG77" i="8"/>
  <c r="AF77" i="8"/>
  <c r="AE77" i="8"/>
  <c r="AD77" i="8"/>
  <c r="AC77" i="8"/>
  <c r="AA77" i="8"/>
  <c r="Z77" i="8"/>
  <c r="Y77" i="8"/>
  <c r="X77" i="8"/>
  <c r="W77" i="8"/>
  <c r="V77" i="8"/>
  <c r="U77" i="8"/>
  <c r="T77" i="8"/>
  <c r="S77" i="8"/>
  <c r="R77" i="8"/>
  <c r="Q77" i="8"/>
  <c r="O77" i="8"/>
  <c r="N77" i="8"/>
  <c r="M77" i="8"/>
  <c r="L77" i="8"/>
  <c r="K77" i="8"/>
  <c r="J77" i="8"/>
  <c r="I77" i="8"/>
  <c r="H77" i="8"/>
  <c r="G77" i="8"/>
  <c r="F77" i="8"/>
  <c r="E77" i="8"/>
  <c r="AM76" i="8"/>
  <c r="AL76" i="8"/>
  <c r="AK76" i="8"/>
  <c r="AJ76" i="8"/>
  <c r="AI76" i="8"/>
  <c r="AH76" i="8"/>
  <c r="AG76" i="8"/>
  <c r="AF76" i="8"/>
  <c r="AE76" i="8"/>
  <c r="AD76" i="8"/>
  <c r="AC76" i="8"/>
  <c r="AA76" i="8"/>
  <c r="Z76" i="8"/>
  <c r="Y76" i="8"/>
  <c r="X76" i="8"/>
  <c r="W76" i="8"/>
  <c r="V76" i="8"/>
  <c r="U76" i="8"/>
  <c r="T76" i="8"/>
  <c r="S76" i="8"/>
  <c r="R76" i="8"/>
  <c r="Q76" i="8"/>
  <c r="O76" i="8"/>
  <c r="N76" i="8"/>
  <c r="M76" i="8"/>
  <c r="L76" i="8"/>
  <c r="K76" i="8"/>
  <c r="J76" i="8"/>
  <c r="I76" i="8"/>
  <c r="H76" i="8"/>
  <c r="G76" i="8"/>
  <c r="F76" i="8"/>
  <c r="E76" i="8"/>
  <c r="AM75" i="8"/>
  <c r="AL75" i="8"/>
  <c r="AK75" i="8"/>
  <c r="AJ75" i="8"/>
  <c r="AI75" i="8"/>
  <c r="AH75" i="8"/>
  <c r="AG75" i="8"/>
  <c r="AF75" i="8"/>
  <c r="AE75" i="8"/>
  <c r="AD75" i="8"/>
  <c r="AC75" i="8"/>
  <c r="AA75" i="8"/>
  <c r="Z75" i="8"/>
  <c r="Y75" i="8"/>
  <c r="X75" i="8"/>
  <c r="W75" i="8"/>
  <c r="V75" i="8"/>
  <c r="U75" i="8"/>
  <c r="T75" i="8"/>
  <c r="S75" i="8"/>
  <c r="R75" i="8"/>
  <c r="Q75" i="8"/>
  <c r="O75" i="8"/>
  <c r="N75" i="8"/>
  <c r="M75" i="8"/>
  <c r="L75" i="8"/>
  <c r="K75" i="8"/>
  <c r="J75" i="8"/>
  <c r="I75" i="8"/>
  <c r="H75" i="8"/>
  <c r="G75" i="8"/>
  <c r="F75" i="8"/>
  <c r="E75" i="8"/>
  <c r="AM74" i="8"/>
  <c r="AL74" i="8"/>
  <c r="AK74" i="8"/>
  <c r="AJ74" i="8"/>
  <c r="AI74" i="8"/>
  <c r="AH74" i="8"/>
  <c r="AG74" i="8"/>
  <c r="AF74" i="8"/>
  <c r="AE74" i="8"/>
  <c r="AD74" i="8"/>
  <c r="AC74" i="8"/>
  <c r="AA74" i="8"/>
  <c r="Z74" i="8"/>
  <c r="Y74" i="8"/>
  <c r="X74" i="8"/>
  <c r="W74" i="8"/>
  <c r="V74" i="8"/>
  <c r="U74" i="8"/>
  <c r="T74" i="8"/>
  <c r="S74" i="8"/>
  <c r="R74" i="8"/>
  <c r="Q74" i="8"/>
  <c r="O74" i="8"/>
  <c r="N74" i="8"/>
  <c r="M74" i="8"/>
  <c r="L74" i="8"/>
  <c r="K74" i="8"/>
  <c r="J74" i="8"/>
  <c r="I74" i="8"/>
  <c r="H74" i="8"/>
  <c r="G74" i="8"/>
  <c r="F74" i="8"/>
  <c r="E74" i="8"/>
  <c r="AD68" i="8"/>
  <c r="AC68" i="8"/>
  <c r="AB68" i="8"/>
  <c r="AA68" i="8"/>
  <c r="Z68" i="8"/>
  <c r="Y68" i="8"/>
  <c r="X68" i="8"/>
  <c r="W68" i="8"/>
  <c r="U68" i="8"/>
  <c r="T68" i="8"/>
  <c r="S68" i="8"/>
  <c r="R68" i="8"/>
  <c r="Q68" i="8"/>
  <c r="P68" i="8"/>
  <c r="O68" i="8"/>
  <c r="N68" i="8"/>
  <c r="L68" i="8"/>
  <c r="K68" i="8"/>
  <c r="J68" i="8"/>
  <c r="I68" i="8"/>
  <c r="H68" i="8"/>
  <c r="G68" i="8"/>
  <c r="F68" i="8"/>
  <c r="E68" i="8"/>
  <c r="AD67" i="8"/>
  <c r="AC67" i="8"/>
  <c r="AB67" i="8"/>
  <c r="AA67" i="8"/>
  <c r="Z67" i="8"/>
  <c r="Y67" i="8"/>
  <c r="X67" i="8"/>
  <c r="W67" i="8"/>
  <c r="U67" i="8"/>
  <c r="T67" i="8"/>
  <c r="S67" i="8"/>
  <c r="R67" i="8"/>
  <c r="Q67" i="8"/>
  <c r="P67" i="8"/>
  <c r="O67" i="8"/>
  <c r="N67" i="8"/>
  <c r="L67" i="8"/>
  <c r="K67" i="8"/>
  <c r="J67" i="8"/>
  <c r="I67" i="8"/>
  <c r="H67" i="8"/>
  <c r="G67" i="8"/>
  <c r="F67" i="8"/>
  <c r="E67" i="8"/>
  <c r="AD66" i="8"/>
  <c r="AC66" i="8"/>
  <c r="AB66" i="8"/>
  <c r="AA66" i="8"/>
  <c r="Z66" i="8"/>
  <c r="Y66" i="8"/>
  <c r="X66" i="8"/>
  <c r="W66" i="8"/>
  <c r="U66" i="8"/>
  <c r="T66" i="8"/>
  <c r="S66" i="8"/>
  <c r="R66" i="8"/>
  <c r="Q66" i="8"/>
  <c r="P66" i="8"/>
  <c r="O66" i="8"/>
  <c r="N66" i="8"/>
  <c r="L66" i="8"/>
  <c r="K66" i="8"/>
  <c r="J66" i="8"/>
  <c r="I66" i="8"/>
  <c r="H66" i="8"/>
  <c r="G66" i="8"/>
  <c r="F66" i="8"/>
  <c r="E66" i="8"/>
  <c r="AD65" i="8"/>
  <c r="AC65" i="8"/>
  <c r="AB65" i="8"/>
  <c r="AA65" i="8"/>
  <c r="Z65" i="8"/>
  <c r="Y65" i="8"/>
  <c r="X65" i="8"/>
  <c r="W65" i="8"/>
  <c r="U65" i="8"/>
  <c r="T65" i="8"/>
  <c r="S65" i="8"/>
  <c r="R65" i="8"/>
  <c r="Q65" i="8"/>
  <c r="P65" i="8"/>
  <c r="O65" i="8"/>
  <c r="N65" i="8"/>
  <c r="L65" i="8"/>
  <c r="K65" i="8"/>
  <c r="J65" i="8"/>
  <c r="I65" i="8"/>
  <c r="H65" i="8"/>
  <c r="G65" i="8"/>
  <c r="F65" i="8"/>
  <c r="E65" i="8"/>
  <c r="AD64" i="8"/>
  <c r="AC64" i="8"/>
  <c r="AB64" i="8"/>
  <c r="AA64" i="8"/>
  <c r="Z64" i="8"/>
  <c r="Y64" i="8"/>
  <c r="X64" i="8"/>
  <c r="W64" i="8"/>
  <c r="U64" i="8"/>
  <c r="T64" i="8"/>
  <c r="S64" i="8"/>
  <c r="R64" i="8"/>
  <c r="Q64" i="8"/>
  <c r="P64" i="8"/>
  <c r="O64" i="8"/>
  <c r="N64" i="8"/>
  <c r="L64" i="8"/>
  <c r="K64" i="8"/>
  <c r="J64" i="8"/>
  <c r="I64" i="8"/>
  <c r="H64" i="8"/>
  <c r="G64" i="8"/>
  <c r="F64" i="8"/>
  <c r="E64" i="8"/>
  <c r="AD63" i="8"/>
  <c r="AC63" i="8"/>
  <c r="AB63" i="8"/>
  <c r="AA63" i="8"/>
  <c r="Z63" i="8"/>
  <c r="Y63" i="8"/>
  <c r="X63" i="8"/>
  <c r="W63" i="8"/>
  <c r="U63" i="8"/>
  <c r="T63" i="8"/>
  <c r="S63" i="8"/>
  <c r="R63" i="8"/>
  <c r="Q63" i="8"/>
  <c r="P63" i="8"/>
  <c r="O63" i="8"/>
  <c r="N63" i="8"/>
  <c r="L63" i="8"/>
  <c r="K63" i="8"/>
  <c r="J63" i="8"/>
  <c r="I63" i="8"/>
  <c r="H63" i="8"/>
  <c r="G63" i="8"/>
  <c r="F63" i="8"/>
  <c r="E63" i="8"/>
  <c r="AD62" i="8"/>
  <c r="AC62" i="8"/>
  <c r="AB62" i="8"/>
  <c r="AA62" i="8"/>
  <c r="Z62" i="8"/>
  <c r="Y62" i="8"/>
  <c r="X62" i="8"/>
  <c r="W62" i="8"/>
  <c r="U62" i="8"/>
  <c r="T62" i="8"/>
  <c r="S62" i="8"/>
  <c r="R62" i="8"/>
  <c r="Q62" i="8"/>
  <c r="P62" i="8"/>
  <c r="O62" i="8"/>
  <c r="N62" i="8"/>
  <c r="L62" i="8"/>
  <c r="K62" i="8"/>
  <c r="J62" i="8"/>
  <c r="I62" i="8"/>
  <c r="H62" i="8"/>
  <c r="G62" i="8"/>
  <c r="F62" i="8"/>
  <c r="E62" i="8"/>
  <c r="AD61" i="8"/>
  <c r="AC61" i="8"/>
  <c r="AB61" i="8"/>
  <c r="AA61" i="8"/>
  <c r="Z61" i="8"/>
  <c r="Y61" i="8"/>
  <c r="X61" i="8"/>
  <c r="W61" i="8"/>
  <c r="U61" i="8"/>
  <c r="T61" i="8"/>
  <c r="S61" i="8"/>
  <c r="R61" i="8"/>
  <c r="Q61" i="8"/>
  <c r="P61" i="8"/>
  <c r="O61" i="8"/>
  <c r="N61" i="8"/>
  <c r="L61" i="8"/>
  <c r="K61" i="8"/>
  <c r="J61" i="8"/>
  <c r="I61" i="8"/>
  <c r="H61" i="8"/>
  <c r="G61" i="8"/>
  <c r="F61" i="8"/>
  <c r="E61" i="8"/>
  <c r="AD60" i="8"/>
  <c r="AC60" i="8"/>
  <c r="AB60" i="8"/>
  <c r="AA60" i="8"/>
  <c r="Z60" i="8"/>
  <c r="Y60" i="8"/>
  <c r="X60" i="8"/>
  <c r="W60" i="8"/>
  <c r="U60" i="8"/>
  <c r="T60" i="8"/>
  <c r="S60" i="8"/>
  <c r="R60" i="8"/>
  <c r="Q60" i="8"/>
  <c r="P60" i="8"/>
  <c r="O60" i="8"/>
  <c r="N60" i="8"/>
  <c r="L60" i="8"/>
  <c r="K60" i="8"/>
  <c r="J60" i="8"/>
  <c r="I60" i="8"/>
  <c r="H60" i="8"/>
  <c r="G60" i="8"/>
  <c r="F60" i="8"/>
  <c r="E60" i="8"/>
  <c r="AD59" i="8"/>
  <c r="AC59" i="8"/>
  <c r="AB59" i="8"/>
  <c r="AA59" i="8"/>
  <c r="Z59" i="8"/>
  <c r="Y59" i="8"/>
  <c r="X59" i="8"/>
  <c r="W59" i="8"/>
  <c r="U59" i="8"/>
  <c r="T59" i="8"/>
  <c r="S59" i="8"/>
  <c r="R59" i="8"/>
  <c r="Q59" i="8"/>
  <c r="P59" i="8"/>
  <c r="O59" i="8"/>
  <c r="N59" i="8"/>
  <c r="L59" i="8"/>
  <c r="K59" i="8"/>
  <c r="J59" i="8"/>
  <c r="I59" i="8"/>
  <c r="H59" i="8"/>
  <c r="G59" i="8"/>
  <c r="F59" i="8"/>
  <c r="E59" i="8"/>
  <c r="AD58" i="8"/>
  <c r="AC58" i="8"/>
  <c r="AB58" i="8"/>
  <c r="AA58" i="8"/>
  <c r="Z58" i="8"/>
  <c r="Y58" i="8"/>
  <c r="X58" i="8"/>
  <c r="W58" i="8"/>
  <c r="U58" i="8"/>
  <c r="T58" i="8"/>
  <c r="S58" i="8"/>
  <c r="R58" i="8"/>
  <c r="Q58" i="8"/>
  <c r="P58" i="8"/>
  <c r="O58" i="8"/>
  <c r="N58" i="8"/>
  <c r="L58" i="8"/>
  <c r="K58" i="8"/>
  <c r="J58" i="8"/>
  <c r="I58" i="8"/>
  <c r="H58" i="8"/>
  <c r="G58" i="8"/>
  <c r="F58" i="8"/>
  <c r="E58" i="8"/>
  <c r="AD57" i="8"/>
  <c r="AC57" i="8"/>
  <c r="AB57" i="8"/>
  <c r="AA57" i="8"/>
  <c r="Z57" i="8"/>
  <c r="Y57" i="8"/>
  <c r="X57" i="8"/>
  <c r="W57" i="8"/>
  <c r="U57" i="8"/>
  <c r="T57" i="8"/>
  <c r="S57" i="8"/>
  <c r="R57" i="8"/>
  <c r="Q57" i="8"/>
  <c r="P57" i="8"/>
  <c r="O57" i="8"/>
  <c r="N57" i="8"/>
  <c r="L57" i="8"/>
  <c r="K57" i="8"/>
  <c r="J57" i="8"/>
  <c r="I57" i="8"/>
  <c r="H57" i="8"/>
  <c r="G57" i="8"/>
  <c r="F57" i="8"/>
  <c r="E57" i="8"/>
  <c r="AD56" i="8"/>
  <c r="AC56" i="8"/>
  <c r="AB56" i="8"/>
  <c r="AA56" i="8"/>
  <c r="Z56" i="8"/>
  <c r="Y56" i="8"/>
  <c r="X56" i="8"/>
  <c r="W56" i="8"/>
  <c r="U56" i="8"/>
  <c r="T56" i="8"/>
  <c r="S56" i="8"/>
  <c r="R56" i="8"/>
  <c r="Q56" i="8"/>
  <c r="P56" i="8"/>
  <c r="O56" i="8"/>
  <c r="N56" i="8"/>
  <c r="L56" i="8"/>
  <c r="K56" i="8"/>
  <c r="J56" i="8"/>
  <c r="I56" i="8"/>
  <c r="H56" i="8"/>
  <c r="G56" i="8"/>
  <c r="F56" i="8"/>
  <c r="E56" i="8"/>
  <c r="AD55" i="8"/>
  <c r="AC55" i="8"/>
  <c r="AB55" i="8"/>
  <c r="AA55" i="8"/>
  <c r="Z55" i="8"/>
  <c r="Y55" i="8"/>
  <c r="X55" i="8"/>
  <c r="W55" i="8"/>
  <c r="U55" i="8"/>
  <c r="T55" i="8"/>
  <c r="S55" i="8"/>
  <c r="R55" i="8"/>
  <c r="Q55" i="8"/>
  <c r="P55" i="8"/>
  <c r="O55" i="8"/>
  <c r="N55" i="8"/>
  <c r="L55" i="8"/>
  <c r="K55" i="8"/>
  <c r="J55" i="8"/>
  <c r="I55" i="8"/>
  <c r="H55" i="8"/>
  <c r="G55" i="8"/>
  <c r="F55" i="8"/>
  <c r="E55" i="8"/>
  <c r="AD54" i="8"/>
  <c r="AC54" i="8"/>
  <c r="AB54" i="8"/>
  <c r="AA54" i="8"/>
  <c r="Z54" i="8"/>
  <c r="Y54" i="8"/>
  <c r="X54" i="8"/>
  <c r="W54" i="8"/>
  <c r="U54" i="8"/>
  <c r="T54" i="8"/>
  <c r="S54" i="8"/>
  <c r="R54" i="8"/>
  <c r="Q54" i="8"/>
  <c r="P54" i="8"/>
  <c r="O54" i="8"/>
  <c r="N54" i="8"/>
  <c r="L54" i="8"/>
  <c r="K54" i="8"/>
  <c r="J54" i="8"/>
  <c r="I54" i="8"/>
  <c r="H54" i="8"/>
  <c r="G54" i="8"/>
  <c r="F54" i="8"/>
  <c r="E54" i="8"/>
  <c r="AD53" i="8"/>
  <c r="AD69" i="8" s="1"/>
  <c r="AC53" i="8"/>
  <c r="AC69" i="8" s="1"/>
  <c r="AB53" i="8"/>
  <c r="AA53" i="8"/>
  <c r="AA69" i="8" s="1"/>
  <c r="Z53" i="8"/>
  <c r="Z69" i="8" s="1"/>
  <c r="Y53" i="8"/>
  <c r="Y69" i="8" s="1"/>
  <c r="X53" i="8"/>
  <c r="W53" i="8"/>
  <c r="U53" i="8"/>
  <c r="T53" i="8"/>
  <c r="S53" i="8"/>
  <c r="R53" i="8"/>
  <c r="Q53" i="8"/>
  <c r="Q69" i="8" s="1"/>
  <c r="P53" i="8"/>
  <c r="P69" i="8" s="1"/>
  <c r="O53" i="8"/>
  <c r="O69" i="8" s="1"/>
  <c r="N53" i="8"/>
  <c r="N69" i="8" s="1"/>
  <c r="L53" i="8"/>
  <c r="K53" i="8"/>
  <c r="J53" i="8"/>
  <c r="I53" i="8"/>
  <c r="I69" i="8" s="1"/>
  <c r="H53" i="8"/>
  <c r="H69" i="8" s="1"/>
  <c r="G53" i="8"/>
  <c r="G69" i="8" s="1"/>
  <c r="F53" i="8"/>
  <c r="E53" i="8"/>
  <c r="E69" i="8" s="1"/>
  <c r="G46" i="8"/>
  <c r="F46" i="8"/>
  <c r="E46" i="8"/>
  <c r="G45" i="8"/>
  <c r="F45" i="8"/>
  <c r="E45" i="8"/>
  <c r="D45" i="8"/>
  <c r="G44" i="8"/>
  <c r="F44" i="8"/>
  <c r="E44" i="8"/>
  <c r="D44" i="8"/>
  <c r="G43" i="8"/>
  <c r="F43" i="8"/>
  <c r="E43" i="8"/>
  <c r="D43" i="8"/>
  <c r="R41" i="8"/>
  <c r="Q41" i="8"/>
  <c r="P41" i="8"/>
  <c r="O41" i="8"/>
  <c r="N41" i="8"/>
  <c r="M41" i="8"/>
  <c r="G42" i="8"/>
  <c r="F42" i="8"/>
  <c r="E42" i="8"/>
  <c r="D42" i="8"/>
  <c r="R40" i="8"/>
  <c r="Q40" i="8"/>
  <c r="P40" i="8"/>
  <c r="O40" i="8"/>
  <c r="N40" i="8"/>
  <c r="M40" i="8"/>
  <c r="G41" i="8"/>
  <c r="F41" i="8"/>
  <c r="E41" i="8"/>
  <c r="D41" i="8"/>
  <c r="R39" i="8"/>
  <c r="Q39" i="8"/>
  <c r="P39" i="8"/>
  <c r="O39" i="8"/>
  <c r="N39" i="8"/>
  <c r="M39" i="8"/>
  <c r="G40" i="8"/>
  <c r="F40" i="8"/>
  <c r="E40" i="8"/>
  <c r="D40" i="8"/>
  <c r="R38" i="8"/>
  <c r="Q38" i="8"/>
  <c r="P38" i="8"/>
  <c r="O38" i="8"/>
  <c r="N38" i="8"/>
  <c r="M38" i="8"/>
  <c r="R37" i="8"/>
  <c r="Q37" i="8"/>
  <c r="P37" i="8"/>
  <c r="O37" i="8"/>
  <c r="N37" i="8"/>
  <c r="M37" i="8"/>
  <c r="R36" i="8"/>
  <c r="Q36" i="8"/>
  <c r="P36" i="8"/>
  <c r="O36" i="8"/>
  <c r="N36" i="8"/>
  <c r="M36" i="8"/>
  <c r="R35" i="8"/>
  <c r="Q35" i="8"/>
  <c r="P35" i="8"/>
  <c r="O35" i="8"/>
  <c r="N35" i="8"/>
  <c r="M35" i="8"/>
  <c r="R34" i="8"/>
  <c r="Q34" i="8"/>
  <c r="P34" i="8"/>
  <c r="O34" i="8"/>
  <c r="N34" i="8"/>
  <c r="M34" i="8"/>
  <c r="R33" i="8"/>
  <c r="Q33" i="8"/>
  <c r="P33" i="8"/>
  <c r="O33" i="8"/>
  <c r="N33" i="8"/>
  <c r="M33" i="8"/>
  <c r="R32" i="8"/>
  <c r="Q32" i="8"/>
  <c r="P32" i="8"/>
  <c r="O32" i="8"/>
  <c r="N32" i="8"/>
  <c r="M32" i="8"/>
  <c r="I32" i="8"/>
  <c r="H32" i="8"/>
  <c r="G32" i="8"/>
  <c r="F32" i="8"/>
  <c r="E32" i="8"/>
  <c r="I31" i="8"/>
  <c r="H31" i="8"/>
  <c r="G31" i="8"/>
  <c r="F31" i="8"/>
  <c r="E31" i="8"/>
  <c r="D31" i="8"/>
  <c r="I30" i="8"/>
  <c r="H30" i="8"/>
  <c r="G30" i="8"/>
  <c r="F30" i="8"/>
  <c r="E30" i="8"/>
  <c r="D30" i="8"/>
  <c r="I29" i="8"/>
  <c r="H29" i="8"/>
  <c r="G29" i="8"/>
  <c r="F29" i="8"/>
  <c r="E29" i="8"/>
  <c r="D29" i="8"/>
  <c r="I28" i="8"/>
  <c r="H28" i="8"/>
  <c r="G28" i="8"/>
  <c r="F28" i="8"/>
  <c r="E28" i="8"/>
  <c r="D28" i="8"/>
  <c r="I27" i="8"/>
  <c r="H27" i="8"/>
  <c r="G27" i="8"/>
  <c r="F27" i="8"/>
  <c r="E27" i="8"/>
  <c r="D27" i="8"/>
  <c r="I26" i="8"/>
  <c r="H26" i="8"/>
  <c r="G26" i="8"/>
  <c r="F26" i="8"/>
  <c r="E26" i="8"/>
  <c r="D26" i="8"/>
  <c r="I25" i="8"/>
  <c r="H25" i="8"/>
  <c r="G25" i="8"/>
  <c r="F25" i="8"/>
  <c r="E25" i="8"/>
  <c r="D25" i="8"/>
  <c r="R24" i="8"/>
  <c r="Q24" i="8"/>
  <c r="P24" i="8"/>
  <c r="O24" i="8"/>
  <c r="N24" i="8"/>
  <c r="M24" i="8"/>
  <c r="I24" i="8"/>
  <c r="H24" i="8"/>
  <c r="G24" i="8"/>
  <c r="F24" i="8"/>
  <c r="E24" i="8"/>
  <c r="D24" i="8"/>
  <c r="R23" i="8"/>
  <c r="Q23" i="8"/>
  <c r="P23" i="8"/>
  <c r="O23" i="8"/>
  <c r="N23" i="8"/>
  <c r="M23" i="8"/>
  <c r="I23" i="8"/>
  <c r="H23" i="8"/>
  <c r="G23" i="8"/>
  <c r="F23" i="8"/>
  <c r="E23" i="8"/>
  <c r="D23" i="8"/>
  <c r="R22" i="8"/>
  <c r="Q22" i="8"/>
  <c r="P22" i="8"/>
  <c r="O22" i="8"/>
  <c r="N22" i="8"/>
  <c r="M22" i="8"/>
  <c r="I22" i="8"/>
  <c r="H22" i="8"/>
  <c r="G22" i="8"/>
  <c r="F22" i="8"/>
  <c r="E22" i="8"/>
  <c r="D22" i="8"/>
  <c r="R21" i="8"/>
  <c r="Q21" i="8"/>
  <c r="P21" i="8"/>
  <c r="O21" i="8"/>
  <c r="N21" i="8"/>
  <c r="M21" i="8"/>
  <c r="I21" i="8"/>
  <c r="H21" i="8"/>
  <c r="G21" i="8"/>
  <c r="F21" i="8"/>
  <c r="E21" i="8"/>
  <c r="D21" i="8"/>
  <c r="R20" i="8"/>
  <c r="Q20" i="8"/>
  <c r="P20" i="8"/>
  <c r="O20" i="8"/>
  <c r="N20" i="8"/>
  <c r="M20" i="8"/>
  <c r="I20" i="8"/>
  <c r="H20" i="8"/>
  <c r="G20" i="8"/>
  <c r="F20" i="8"/>
  <c r="E20" i="8"/>
  <c r="D20" i="8"/>
  <c r="R19" i="8"/>
  <c r="Q19" i="8"/>
  <c r="P19" i="8"/>
  <c r="O19" i="8"/>
  <c r="N19" i="8"/>
  <c r="M19" i="8"/>
  <c r="I19" i="8"/>
  <c r="H19" i="8"/>
  <c r="G19" i="8"/>
  <c r="F19" i="8"/>
  <c r="E19" i="8"/>
  <c r="D19" i="8"/>
  <c r="R18" i="8"/>
  <c r="Q18" i="8"/>
  <c r="P18" i="8"/>
  <c r="O18" i="8"/>
  <c r="N18" i="8"/>
  <c r="M18" i="8"/>
  <c r="I18" i="8"/>
  <c r="H18" i="8"/>
  <c r="G18" i="8"/>
  <c r="F18" i="8"/>
  <c r="E18" i="8"/>
  <c r="D18" i="8"/>
  <c r="R17" i="8"/>
  <c r="Q17" i="8"/>
  <c r="P17" i="8"/>
  <c r="O17" i="8"/>
  <c r="N17" i="8"/>
  <c r="M17" i="8"/>
  <c r="I17" i="8"/>
  <c r="H17" i="8"/>
  <c r="G17" i="8"/>
  <c r="F17" i="8"/>
  <c r="E17" i="8"/>
  <c r="D17" i="8"/>
  <c r="R16" i="8"/>
  <c r="Q16" i="8"/>
  <c r="P16" i="8"/>
  <c r="O16" i="8"/>
  <c r="N16" i="8"/>
  <c r="M16" i="8"/>
  <c r="I16" i="8"/>
  <c r="H16" i="8"/>
  <c r="G16" i="8"/>
  <c r="F16" i="8"/>
  <c r="E16" i="8"/>
  <c r="D16" i="8"/>
  <c r="R15" i="8"/>
  <c r="Q15" i="8"/>
  <c r="P15" i="8"/>
  <c r="O15" i="8"/>
  <c r="N15" i="8"/>
  <c r="M15" i="8"/>
  <c r="I15" i="8"/>
  <c r="H15" i="8"/>
  <c r="G15" i="8"/>
  <c r="F15" i="8"/>
  <c r="E15" i="8"/>
  <c r="D15" i="8"/>
  <c r="D41" i="9" l="1"/>
  <c r="D36" i="12"/>
  <c r="E36" i="12"/>
  <c r="F36" i="12"/>
  <c r="W69" i="8"/>
  <c r="R69" i="8"/>
  <c r="T69" i="8"/>
  <c r="L69" i="8"/>
  <c r="K69" i="8"/>
  <c r="X69" i="8"/>
  <c r="S69" i="8"/>
  <c r="AB69" i="8"/>
  <c r="F69" i="8"/>
  <c r="J69" i="8"/>
  <c r="U69" i="8"/>
  <c r="G48" i="8"/>
  <c r="P50" i="10"/>
  <c r="AB50" i="10"/>
  <c r="I59" i="10"/>
  <c r="Q59" i="10"/>
  <c r="Y59" i="10"/>
  <c r="K59" i="10"/>
  <c r="S59" i="10"/>
  <c r="AA59" i="10"/>
  <c r="U50" i="10"/>
  <c r="D48" i="8"/>
  <c r="E48" i="8"/>
  <c r="F48" i="8"/>
  <c r="L82" i="12"/>
  <c r="U82" i="12"/>
  <c r="AC82" i="12"/>
  <c r="M103" i="12"/>
  <c r="I33" i="9"/>
  <c r="U45" i="9"/>
  <c r="AC45" i="9"/>
  <c r="M6" i="11"/>
  <c r="D34" i="2"/>
  <c r="V3" i="11"/>
  <c r="Z11" i="11"/>
  <c r="N6" i="11"/>
  <c r="Q3" i="11"/>
  <c r="Q6" i="11"/>
  <c r="W3" i="11"/>
  <c r="M7" i="11"/>
  <c r="Q11" i="11"/>
  <c r="N7" i="11"/>
  <c r="R11" i="11"/>
  <c r="V7" i="11"/>
  <c r="W7" i="11"/>
  <c r="K82" i="12"/>
  <c r="T82" i="12"/>
  <c r="AB82" i="12"/>
  <c r="K103" i="12"/>
  <c r="AD18" i="9"/>
  <c r="AF18" i="9" s="1"/>
  <c r="H45" i="2"/>
  <c r="U2" i="11"/>
  <c r="Y6" i="11"/>
  <c r="R10" i="11"/>
  <c r="M3" i="11"/>
  <c r="N3" i="11"/>
  <c r="O4" i="11"/>
  <c r="Z6" i="11"/>
  <c r="M9" i="11"/>
  <c r="U10" i="11"/>
  <c r="R12" i="11"/>
  <c r="P17" i="11"/>
  <c r="Z3" i="11"/>
  <c r="Q10" i="11"/>
  <c r="O3" i="11"/>
  <c r="R4" i="11"/>
  <c r="X9" i="11"/>
  <c r="W10" i="11"/>
  <c r="X12" i="11"/>
  <c r="Y10" i="11"/>
  <c r="P18" i="11"/>
  <c r="R3" i="11"/>
  <c r="L10" i="11"/>
  <c r="P13" i="11"/>
  <c r="R18" i="11"/>
  <c r="M10" i="11"/>
  <c r="P10" i="11"/>
  <c r="AH46" i="12"/>
  <c r="L50" i="12"/>
  <c r="AH54" i="12"/>
  <c r="L58" i="12"/>
  <c r="T91" i="12"/>
  <c r="T95" i="12"/>
  <c r="T99" i="12"/>
  <c r="AI79" i="2"/>
  <c r="AI87" i="2"/>
  <c r="AI91" i="2"/>
  <c r="P5" i="11"/>
  <c r="R6" i="11"/>
  <c r="L14" i="11"/>
  <c r="W14" i="11"/>
  <c r="Q17" i="11"/>
  <c r="Y18" i="11"/>
  <c r="M2" i="11"/>
  <c r="Y2" i="11"/>
  <c r="N2" i="11"/>
  <c r="Z2" i="11"/>
  <c r="O9" i="11"/>
  <c r="P2" i="11"/>
  <c r="X3" i="11"/>
  <c r="Y5" i="11"/>
  <c r="U6" i="11"/>
  <c r="R7" i="11"/>
  <c r="P9" i="11"/>
  <c r="N10" i="11"/>
  <c r="Z10" i="11"/>
  <c r="O12" i="11"/>
  <c r="M14" i="11"/>
  <c r="Y14" i="11"/>
  <c r="X17" i="11"/>
  <c r="Z18" i="11"/>
  <c r="Q2" i="11"/>
  <c r="V6" i="11"/>
  <c r="U9" i="11"/>
  <c r="N14" i="11"/>
  <c r="Z14" i="11"/>
  <c r="Y17" i="11"/>
  <c r="R2" i="11"/>
  <c r="L6" i="11"/>
  <c r="W6" i="11"/>
  <c r="V9" i="11"/>
  <c r="N11" i="11"/>
  <c r="P14" i="11"/>
  <c r="Z17" i="11"/>
  <c r="Q19" i="11"/>
  <c r="Q14" i="11"/>
  <c r="Z19" i="11"/>
  <c r="Y9" i="11"/>
  <c r="R14" i="11"/>
  <c r="V2" i="11"/>
  <c r="L2" i="11"/>
  <c r="W2" i="11"/>
  <c r="X4" i="11"/>
  <c r="P6" i="11"/>
  <c r="L9" i="11"/>
  <c r="V10" i="11"/>
  <c r="W11" i="11"/>
  <c r="Y13" i="11"/>
  <c r="U14" i="11"/>
  <c r="O17" i="11"/>
  <c r="Q18" i="11"/>
  <c r="R20" i="11"/>
  <c r="V14" i="11"/>
  <c r="AK118" i="8"/>
  <c r="I90" i="8"/>
  <c r="R90" i="8"/>
  <c r="Z90" i="8"/>
  <c r="AI90" i="8"/>
  <c r="AN77" i="8"/>
  <c r="P78" i="8"/>
  <c r="O50" i="2"/>
  <c r="X50" i="2"/>
  <c r="AI50" i="2"/>
  <c r="E33" i="9"/>
  <c r="Y45" i="9"/>
  <c r="F41" i="9"/>
  <c r="M59" i="7"/>
  <c r="AI63" i="2"/>
  <c r="F33" i="9"/>
  <c r="Z45" i="9"/>
  <c r="G41" i="9"/>
  <c r="AI58" i="2"/>
  <c r="AK122" i="8"/>
  <c r="O60" i="2"/>
  <c r="O61" i="2"/>
  <c r="O62" i="2"/>
  <c r="O63" i="2"/>
  <c r="O64" i="2"/>
  <c r="AH99" i="2"/>
  <c r="G88" i="2"/>
  <c r="P88" i="2"/>
  <c r="X88" i="2"/>
  <c r="Z78" i="2"/>
  <c r="O80" i="2"/>
  <c r="Z86" i="2"/>
  <c r="H107" i="2"/>
  <c r="Q107" i="2"/>
  <c r="M98" i="2"/>
  <c r="V98" i="2"/>
  <c r="M99" i="2"/>
  <c r="V99" i="2"/>
  <c r="M100" i="2"/>
  <c r="V100" i="2"/>
  <c r="M101" i="2"/>
  <c r="V101" i="2"/>
  <c r="M102" i="2"/>
  <c r="V102" i="2"/>
  <c r="M103" i="2"/>
  <c r="V103" i="2"/>
  <c r="M104" i="2"/>
  <c r="V104" i="2"/>
  <c r="M105" i="2"/>
  <c r="V105" i="2"/>
  <c r="M106" i="2"/>
  <c r="V106" i="2"/>
  <c r="M61" i="12"/>
  <c r="U61" i="12"/>
  <c r="AD61" i="12"/>
  <c r="Z50" i="12"/>
  <c r="Z53" i="12"/>
  <c r="Z58" i="12"/>
  <c r="AF67" i="12"/>
  <c r="AF71" i="12"/>
  <c r="AF75" i="12"/>
  <c r="AF79" i="12"/>
  <c r="V45" i="9"/>
  <c r="AE45" i="9"/>
  <c r="AD24" i="9"/>
  <c r="AF24" i="9" s="1"/>
  <c r="AD25" i="9"/>
  <c r="AF25" i="9" s="1"/>
  <c r="AD28" i="9"/>
  <c r="AF28" i="9" s="1"/>
  <c r="AD29" i="9"/>
  <c r="AF29" i="9" s="1"/>
  <c r="AK96" i="8"/>
  <c r="AK104" i="8"/>
  <c r="M54" i="8"/>
  <c r="V54" i="8"/>
  <c r="AE54" i="8"/>
  <c r="M55" i="8"/>
  <c r="V55" i="8"/>
  <c r="AE55" i="8"/>
  <c r="M56" i="8"/>
  <c r="V56" i="8"/>
  <c r="AE56" i="8"/>
  <c r="M57" i="8"/>
  <c r="V57" i="8"/>
  <c r="AE57" i="8"/>
  <c r="M58" i="8"/>
  <c r="V58" i="8"/>
  <c r="AE58" i="8"/>
  <c r="M59" i="8"/>
  <c r="V59" i="8"/>
  <c r="AK109" i="8"/>
  <c r="AK112" i="8"/>
  <c r="D35" i="8"/>
  <c r="AK100" i="8"/>
  <c r="AK108" i="8"/>
  <c r="AK116" i="8"/>
  <c r="P75" i="8"/>
  <c r="AB75" i="8"/>
  <c r="AB80" i="8"/>
  <c r="AN80" i="8"/>
  <c r="P83" i="8"/>
  <c r="AB83" i="8"/>
  <c r="AN85" i="8"/>
  <c r="P86" i="8"/>
  <c r="AB88" i="8"/>
  <c r="AN88" i="8"/>
  <c r="AK102" i="8"/>
  <c r="R15" i="11"/>
  <c r="P4" i="11"/>
  <c r="Y4" i="11"/>
  <c r="Q5" i="11"/>
  <c r="Z5" i="11"/>
  <c r="S7" i="11"/>
  <c r="L8" i="11"/>
  <c r="U8" i="11"/>
  <c r="O11" i="11"/>
  <c r="X11" i="11"/>
  <c r="P12" i="11"/>
  <c r="Y12" i="11"/>
  <c r="Q13" i="11"/>
  <c r="Z13" i="11"/>
  <c r="O2" i="11"/>
  <c r="X2" i="11"/>
  <c r="P3" i="11"/>
  <c r="Y3" i="11"/>
  <c r="Q4" i="11"/>
  <c r="Z4" i="11"/>
  <c r="R5" i="11"/>
  <c r="S6" i="11"/>
  <c r="L7" i="11"/>
  <c r="U7" i="11"/>
  <c r="M8" i="11"/>
  <c r="V8" i="11"/>
  <c r="N9" i="11"/>
  <c r="W9" i="11"/>
  <c r="O10" i="11"/>
  <c r="X10" i="11"/>
  <c r="P11" i="11"/>
  <c r="Y11" i="11"/>
  <c r="Q12" i="11"/>
  <c r="Z12" i="11"/>
  <c r="R13" i="11"/>
  <c r="S14" i="11"/>
  <c r="L15" i="11"/>
  <c r="U15" i="11"/>
  <c r="M16" i="11"/>
  <c r="V16" i="11"/>
  <c r="N17" i="11"/>
  <c r="W17" i="11"/>
  <c r="O18" i="11"/>
  <c r="X18" i="11"/>
  <c r="P19" i="11"/>
  <c r="Y19" i="11"/>
  <c r="Q20" i="11"/>
  <c r="Z20" i="11"/>
  <c r="R21" i="11"/>
  <c r="S5" i="11"/>
  <c r="N8" i="11"/>
  <c r="W8" i="11"/>
  <c r="S13" i="11"/>
  <c r="M15" i="11"/>
  <c r="V15" i="11"/>
  <c r="N16" i="11"/>
  <c r="W16" i="11"/>
  <c r="S21" i="11"/>
  <c r="S8" i="11"/>
  <c r="S4" i="11"/>
  <c r="U5" i="11"/>
  <c r="S12" i="11"/>
  <c r="L13" i="11"/>
  <c r="U13" i="11"/>
  <c r="N15" i="11"/>
  <c r="W15" i="11"/>
  <c r="O16" i="11"/>
  <c r="X16" i="11"/>
  <c r="R19" i="11"/>
  <c r="S20" i="11"/>
  <c r="L21" i="11"/>
  <c r="U21" i="11"/>
  <c r="L5" i="11"/>
  <c r="O8" i="11"/>
  <c r="X8" i="11"/>
  <c r="S11" i="11"/>
  <c r="L12" i="11"/>
  <c r="U12" i="11"/>
  <c r="M13" i="11"/>
  <c r="V13" i="11"/>
  <c r="O15" i="11"/>
  <c r="X15" i="11"/>
  <c r="P16" i="11"/>
  <c r="Y16" i="11"/>
  <c r="S19" i="11"/>
  <c r="L20" i="11"/>
  <c r="U20" i="11"/>
  <c r="M21" i="11"/>
  <c r="V21" i="11"/>
  <c r="S3" i="11"/>
  <c r="L4" i="11"/>
  <c r="U4" i="11"/>
  <c r="M5" i="11"/>
  <c r="V5" i="11"/>
  <c r="O7" i="11"/>
  <c r="X7" i="11"/>
  <c r="P8" i="11"/>
  <c r="Y8" i="11"/>
  <c r="Q9" i="11"/>
  <c r="Z9" i="11"/>
  <c r="L3" i="11"/>
  <c r="M4" i="11"/>
  <c r="V4" i="11"/>
  <c r="N5" i="11"/>
  <c r="W5" i="11"/>
  <c r="O6" i="11"/>
  <c r="P7" i="11"/>
  <c r="Y7" i="11"/>
  <c r="Q8" i="11"/>
  <c r="Z8" i="11"/>
  <c r="R9" i="11"/>
  <c r="L11" i="11"/>
  <c r="U11" i="11"/>
  <c r="M12" i="11"/>
  <c r="V12" i="11"/>
  <c r="N13" i="11"/>
  <c r="W13" i="11"/>
  <c r="O14" i="11"/>
  <c r="P15" i="11"/>
  <c r="Y15" i="11"/>
  <c r="Q16" i="11"/>
  <c r="Z16" i="11"/>
  <c r="R17" i="11"/>
  <c r="S18" i="11"/>
  <c r="L19" i="11"/>
  <c r="U19" i="11"/>
  <c r="M20" i="11"/>
  <c r="V20" i="11"/>
  <c r="N21" i="11"/>
  <c r="W21" i="11"/>
  <c r="N4" i="11"/>
  <c r="O5" i="11"/>
  <c r="Q7" i="11"/>
  <c r="M11" i="11"/>
  <c r="N12" i="11"/>
  <c r="O13" i="11"/>
  <c r="Q15" i="11"/>
  <c r="Z15" i="11"/>
  <c r="R16" i="11"/>
  <c r="S17" i="11"/>
  <c r="L18" i="11"/>
  <c r="U18" i="11"/>
  <c r="M19" i="11"/>
  <c r="V19" i="11"/>
  <c r="N20" i="11"/>
  <c r="W20" i="11"/>
  <c r="O21" i="11"/>
  <c r="X21" i="11"/>
  <c r="S16" i="11"/>
  <c r="L17" i="11"/>
  <c r="U17" i="11"/>
  <c r="M18" i="11"/>
  <c r="V18" i="11"/>
  <c r="N19" i="11"/>
  <c r="W19" i="11"/>
  <c r="O20" i="11"/>
  <c r="X20" i="11"/>
  <c r="P21" i="11"/>
  <c r="Y21" i="11"/>
  <c r="L16" i="11"/>
  <c r="M17" i="11"/>
  <c r="N18" i="11"/>
  <c r="O19" i="11"/>
  <c r="P20" i="11"/>
  <c r="Q21" i="11"/>
  <c r="G90" i="8"/>
  <c r="O90" i="8"/>
  <c r="X90" i="8"/>
  <c r="AG90" i="8"/>
  <c r="AN75" i="8"/>
  <c r="P76" i="8"/>
  <c r="AB78" i="8"/>
  <c r="AN78" i="8"/>
  <c r="P81" i="8"/>
  <c r="AB81" i="8"/>
  <c r="AN83" i="8"/>
  <c r="P84" i="8"/>
  <c r="AB86" i="8"/>
  <c r="AN86" i="8"/>
  <c r="P89" i="8"/>
  <c r="AB89" i="8"/>
  <c r="AH123" i="8"/>
  <c r="AK103" i="8"/>
  <c r="AK120" i="8"/>
  <c r="E35" i="8"/>
  <c r="H90" i="8"/>
  <c r="Q90" i="8"/>
  <c r="Y90" i="8"/>
  <c r="AH90" i="8"/>
  <c r="AI123" i="8"/>
  <c r="AK97" i="8"/>
  <c r="AK106" i="8"/>
  <c r="AK111" i="8"/>
  <c r="AK117" i="8"/>
  <c r="AJ123" i="8"/>
  <c r="F34" i="2"/>
  <c r="AK119" i="8"/>
  <c r="G34" i="2"/>
  <c r="H35" i="8"/>
  <c r="K90" i="8"/>
  <c r="T90" i="8"/>
  <c r="AC90" i="8"/>
  <c r="AK90" i="8"/>
  <c r="P77" i="8"/>
  <c r="AB77" i="8"/>
  <c r="AN79" i="8"/>
  <c r="P80" i="8"/>
  <c r="AB82" i="8"/>
  <c r="AN82" i="8"/>
  <c r="P85" i="8"/>
  <c r="AB85" i="8"/>
  <c r="AN87" i="8"/>
  <c r="P88" i="8"/>
  <c r="AK113" i="8"/>
  <c r="G35" i="8"/>
  <c r="I35" i="8"/>
  <c r="L90" i="8"/>
  <c r="U90" i="8"/>
  <c r="AD90" i="8"/>
  <c r="AL90" i="8"/>
  <c r="AK107" i="8"/>
  <c r="J65" i="2"/>
  <c r="S65" i="2"/>
  <c r="AI55" i="2"/>
  <c r="AI62" i="2"/>
  <c r="AI64" i="2"/>
  <c r="AF99" i="2"/>
  <c r="J88" i="2"/>
  <c r="S88" i="2"/>
  <c r="AI74" i="2"/>
  <c r="Z75" i="2"/>
  <c r="O77" i="2"/>
  <c r="AI82" i="2"/>
  <c r="Z83" i="2"/>
  <c r="O85" i="2"/>
  <c r="AI90" i="2"/>
  <c r="K107" i="2"/>
  <c r="T107" i="2"/>
  <c r="M97" i="2"/>
  <c r="V97" i="2"/>
  <c r="AI98" i="2"/>
  <c r="F25" i="12"/>
  <c r="H36" i="12"/>
  <c r="G61" i="12"/>
  <c r="P61" i="12"/>
  <c r="X61" i="12"/>
  <c r="AG61" i="12"/>
  <c r="Z47" i="12"/>
  <c r="AH47" i="12"/>
  <c r="L51" i="12"/>
  <c r="AH52" i="12"/>
  <c r="Z55" i="12"/>
  <c r="AH55" i="12"/>
  <c r="L59" i="12"/>
  <c r="AH60" i="12"/>
  <c r="G82" i="12"/>
  <c r="O82" i="12"/>
  <c r="X82" i="12"/>
  <c r="R67" i="12"/>
  <c r="AF70" i="12"/>
  <c r="R71" i="12"/>
  <c r="AF74" i="12"/>
  <c r="R75" i="12"/>
  <c r="AF78" i="12"/>
  <c r="R79" i="12"/>
  <c r="G103" i="12"/>
  <c r="P103" i="12"/>
  <c r="L90" i="12"/>
  <c r="L94" i="12"/>
  <c r="L98" i="12"/>
  <c r="L102" i="12"/>
  <c r="AD20" i="9"/>
  <c r="AF20" i="9" s="1"/>
  <c r="AD34" i="9"/>
  <c r="AF34" i="9" s="1"/>
  <c r="AD44" i="9"/>
  <c r="AF44" i="9" s="1"/>
  <c r="AI71" i="2"/>
  <c r="AG99" i="2"/>
  <c r="K88" i="2"/>
  <c r="T88" i="2"/>
  <c r="Z74" i="2"/>
  <c r="AI75" i="2"/>
  <c r="O76" i="2"/>
  <c r="Z82" i="2"/>
  <c r="AI83" i="2"/>
  <c r="O84" i="2"/>
  <c r="L107" i="2"/>
  <c r="U107" i="2"/>
  <c r="M94" i="2"/>
  <c r="V94" i="2"/>
  <c r="AI95" i="2"/>
  <c r="H61" i="12"/>
  <c r="Q61" i="12"/>
  <c r="Y61" i="12"/>
  <c r="L46" i="12"/>
  <c r="Z46" i="12"/>
  <c r="Z49" i="12"/>
  <c r="AH50" i="12"/>
  <c r="L54" i="12"/>
  <c r="Z54" i="12"/>
  <c r="Z57" i="12"/>
  <c r="AH58" i="12"/>
  <c r="H82" i="12"/>
  <c r="P82" i="12"/>
  <c r="Y82" i="12"/>
  <c r="AF69" i="12"/>
  <c r="AF73" i="12"/>
  <c r="AF77" i="12"/>
  <c r="AF81" i="12"/>
  <c r="H103" i="12"/>
  <c r="Q103" i="12"/>
  <c r="T89" i="12"/>
  <c r="T93" i="12"/>
  <c r="T97" i="12"/>
  <c r="T101" i="12"/>
  <c r="AD19" i="9"/>
  <c r="AF19" i="9" s="1"/>
  <c r="AD31" i="9"/>
  <c r="AF31" i="9" s="1"/>
  <c r="AD39" i="9"/>
  <c r="AF39" i="9" s="1"/>
  <c r="AD42" i="9"/>
  <c r="AF42" i="9" s="1"/>
  <c r="AE59" i="8"/>
  <c r="M60" i="8"/>
  <c r="V60" i="8"/>
  <c r="AE60" i="8"/>
  <c r="M61" i="8"/>
  <c r="V61" i="8"/>
  <c r="AE61" i="8"/>
  <c r="M62" i="8"/>
  <c r="V62" i="8"/>
  <c r="AE62" i="8"/>
  <c r="M63" i="8"/>
  <c r="V63" i="8"/>
  <c r="AE63" i="8"/>
  <c r="M64" i="8"/>
  <c r="V64" i="8"/>
  <c r="AE64" i="8"/>
  <c r="M65" i="8"/>
  <c r="V65" i="8"/>
  <c r="AE65" i="8"/>
  <c r="M66" i="8"/>
  <c r="V66" i="8"/>
  <c r="AE66" i="8"/>
  <c r="M67" i="8"/>
  <c r="V67" i="8"/>
  <c r="AE67" i="8"/>
  <c r="M68" i="8"/>
  <c r="V68" i="8"/>
  <c r="AE68" i="8"/>
  <c r="E90" i="8"/>
  <c r="M90" i="8"/>
  <c r="V90" i="8"/>
  <c r="AE90" i="8"/>
  <c r="AM90" i="8"/>
  <c r="AB76" i="8"/>
  <c r="AN76" i="8"/>
  <c r="P79" i="8"/>
  <c r="AB79" i="8"/>
  <c r="AN81" i="8"/>
  <c r="P82" i="8"/>
  <c r="AB84" i="8"/>
  <c r="AN84" i="8"/>
  <c r="P87" i="8"/>
  <c r="AB87" i="8"/>
  <c r="AN89" i="8"/>
  <c r="AK95" i="8"/>
  <c r="AK101" i="8"/>
  <c r="AK110" i="8"/>
  <c r="H34" i="2"/>
  <c r="L65" i="2"/>
  <c r="U65" i="2"/>
  <c r="AD65" i="2"/>
  <c r="AE99" i="2"/>
  <c r="L88" i="2"/>
  <c r="U88" i="2"/>
  <c r="AI76" i="2"/>
  <c r="Z77" i="2"/>
  <c r="O79" i="2"/>
  <c r="AI84" i="2"/>
  <c r="Z85" i="2"/>
  <c r="O87" i="2"/>
  <c r="E107" i="2"/>
  <c r="N107" i="2"/>
  <c r="AI92" i="2"/>
  <c r="H25" i="12"/>
  <c r="I61" i="12"/>
  <c r="R61" i="12"/>
  <c r="AA61" i="12"/>
  <c r="Z52" i="12"/>
  <c r="AH53" i="12"/>
  <c r="Z60" i="12"/>
  <c r="I82" i="12"/>
  <c r="Q82" i="12"/>
  <c r="Z82" i="12"/>
  <c r="I103" i="12"/>
  <c r="R103" i="12"/>
  <c r="L89" i="12"/>
  <c r="L93" i="12"/>
  <c r="L97" i="12"/>
  <c r="L101" i="12"/>
  <c r="G33" i="9"/>
  <c r="AA45" i="9"/>
  <c r="AD36" i="9"/>
  <c r="AF36" i="9" s="1"/>
  <c r="H41" i="9"/>
  <c r="F90" i="8"/>
  <c r="N90" i="8"/>
  <c r="W90" i="8"/>
  <c r="AF90" i="8"/>
  <c r="AG123" i="8"/>
  <c r="AK98" i="8"/>
  <c r="AK115" i="8"/>
  <c r="AK121" i="8"/>
  <c r="I34" i="2"/>
  <c r="E65" i="2"/>
  <c r="M65" i="2"/>
  <c r="V65" i="2"/>
  <c r="E88" i="2"/>
  <c r="M88" i="2"/>
  <c r="V88" i="2"/>
  <c r="Z76" i="2"/>
  <c r="AI77" i="2"/>
  <c r="O78" i="2"/>
  <c r="Z84" i="2"/>
  <c r="AI85" i="2"/>
  <c r="O86" i="2"/>
  <c r="AI89" i="2"/>
  <c r="F107" i="2"/>
  <c r="O107" i="2"/>
  <c r="M96" i="2"/>
  <c r="V96" i="2"/>
  <c r="AI97" i="2"/>
  <c r="I25" i="12"/>
  <c r="J61" i="12"/>
  <c r="S61" i="12"/>
  <c r="AB61" i="12"/>
  <c r="L49" i="12"/>
  <c r="L52" i="12"/>
  <c r="L57" i="12"/>
  <c r="L60" i="12"/>
  <c r="J82" i="12"/>
  <c r="S82" i="12"/>
  <c r="AA82" i="12"/>
  <c r="R68" i="12"/>
  <c r="R72" i="12"/>
  <c r="R76" i="12"/>
  <c r="R80" i="12"/>
  <c r="J103" i="12"/>
  <c r="S103" i="12"/>
  <c r="T88" i="12"/>
  <c r="T92" i="12"/>
  <c r="T96" i="12"/>
  <c r="T100" i="12"/>
  <c r="H33" i="9"/>
  <c r="T45" i="9"/>
  <c r="AB45" i="9"/>
  <c r="AD27" i="9"/>
  <c r="AF27" i="9" s="1"/>
  <c r="AD35" i="9"/>
  <c r="AF35" i="9" s="1"/>
  <c r="AD38" i="9"/>
  <c r="AF38" i="9" s="1"/>
  <c r="F65" i="2"/>
  <c r="N65" i="2"/>
  <c r="W65" i="2"/>
  <c r="O52" i="2"/>
  <c r="O53" i="2"/>
  <c r="O54" i="2"/>
  <c r="O55" i="2"/>
  <c r="O56" i="2"/>
  <c r="F88" i="2"/>
  <c r="N88" i="2"/>
  <c r="W88" i="2"/>
  <c r="O73" i="2"/>
  <c r="AI78" i="2"/>
  <c r="Z79" i="2"/>
  <c r="O81" i="2"/>
  <c r="AI86" i="2"/>
  <c r="Z87" i="2"/>
  <c r="G107" i="2"/>
  <c r="P107" i="2"/>
  <c r="M93" i="2"/>
  <c r="V93" i="2"/>
  <c r="AI94" i="2"/>
  <c r="K61" i="12"/>
  <c r="T61" i="12"/>
  <c r="AC61" i="12"/>
  <c r="L47" i="12"/>
  <c r="AH48" i="12"/>
  <c r="Z51" i="12"/>
  <c r="AH51" i="12"/>
  <c r="L55" i="12"/>
  <c r="AH56" i="12"/>
  <c r="Z59" i="12"/>
  <c r="AH59" i="12"/>
  <c r="AF68" i="12"/>
  <c r="R69" i="12"/>
  <c r="AF72" i="12"/>
  <c r="R73" i="12"/>
  <c r="AF76" i="12"/>
  <c r="R77" i="12"/>
  <c r="AF80" i="12"/>
  <c r="R81" i="12"/>
  <c r="L88" i="12"/>
  <c r="L92" i="12"/>
  <c r="L96" i="12"/>
  <c r="L100" i="12"/>
  <c r="AD26" i="9"/>
  <c r="AF26" i="9" s="1"/>
  <c r="AD37" i="9"/>
  <c r="AF37" i="9" s="1"/>
  <c r="H65" i="2"/>
  <c r="Q65" i="2"/>
  <c r="Z65" i="2"/>
  <c r="O51" i="2"/>
  <c r="X51" i="2"/>
  <c r="AI51" i="2"/>
  <c r="X52" i="2"/>
  <c r="AI52" i="2"/>
  <c r="X53" i="2"/>
  <c r="AI53" i="2"/>
  <c r="X54" i="2"/>
  <c r="X55" i="2"/>
  <c r="X56" i="2"/>
  <c r="O57" i="2"/>
  <c r="X57" i="2"/>
  <c r="O58" i="2"/>
  <c r="X58" i="2"/>
  <c r="AI72" i="2"/>
  <c r="H88" i="2"/>
  <c r="Q88" i="2"/>
  <c r="Y88" i="2"/>
  <c r="Z73" i="2"/>
  <c r="O75" i="2"/>
  <c r="AI80" i="2"/>
  <c r="Z81" i="2"/>
  <c r="O83" i="2"/>
  <c r="AI88" i="2"/>
  <c r="I107" i="2"/>
  <c r="R107" i="2"/>
  <c r="M95" i="2"/>
  <c r="V95" i="2"/>
  <c r="AI96" i="2"/>
  <c r="E61" i="12"/>
  <c r="N61" i="12"/>
  <c r="V61" i="12"/>
  <c r="AE61" i="12"/>
  <c r="Z48" i="12"/>
  <c r="AH49" i="12"/>
  <c r="Z56" i="12"/>
  <c r="AH57" i="12"/>
  <c r="E82" i="12"/>
  <c r="M82" i="12"/>
  <c r="V82" i="12"/>
  <c r="AD82" i="12"/>
  <c r="E103" i="12"/>
  <c r="N103" i="12"/>
  <c r="L91" i="12"/>
  <c r="L95" i="12"/>
  <c r="L99" i="12"/>
  <c r="W45" i="9"/>
  <c r="AD22" i="9"/>
  <c r="AF22" i="9" s="1"/>
  <c r="AD30" i="9"/>
  <c r="AF30" i="9" s="1"/>
  <c r="AD41" i="9"/>
  <c r="AF41" i="9" s="1"/>
  <c r="AD43" i="9"/>
  <c r="AF43" i="9" s="1"/>
  <c r="N59" i="7"/>
  <c r="J90" i="8"/>
  <c r="S90" i="8"/>
  <c r="AA90" i="8"/>
  <c r="AJ90" i="8"/>
  <c r="AK99" i="8"/>
  <c r="AK105" i="8"/>
  <c r="AK114" i="8"/>
  <c r="E34" i="2"/>
  <c r="I65" i="2"/>
  <c r="R65" i="2"/>
  <c r="AA65" i="2"/>
  <c r="AI54" i="2"/>
  <c r="AI56" i="2"/>
  <c r="AI57" i="2"/>
  <c r="O59" i="2"/>
  <c r="X59" i="2"/>
  <c r="AI59" i="2"/>
  <c r="X60" i="2"/>
  <c r="AI60" i="2"/>
  <c r="X61" i="2"/>
  <c r="AI61" i="2"/>
  <c r="X62" i="2"/>
  <c r="X63" i="2"/>
  <c r="X64" i="2"/>
  <c r="I88" i="2"/>
  <c r="R88" i="2"/>
  <c r="AI73" i="2"/>
  <c r="O74" i="2"/>
  <c r="Z80" i="2"/>
  <c r="AI81" i="2"/>
  <c r="O82" i="2"/>
  <c r="J107" i="2"/>
  <c r="S107" i="2"/>
  <c r="M92" i="2"/>
  <c r="V92" i="2"/>
  <c r="AI93" i="2"/>
  <c r="E25" i="12"/>
  <c r="G36" i="12"/>
  <c r="L45" i="12"/>
  <c r="O61" i="12"/>
  <c r="W61" i="12"/>
  <c r="AF61" i="12"/>
  <c r="L48" i="12"/>
  <c r="L53" i="12"/>
  <c r="L56" i="12"/>
  <c r="F82" i="12"/>
  <c r="N82" i="12"/>
  <c r="W82" i="12"/>
  <c r="AE82" i="12"/>
  <c r="R70" i="12"/>
  <c r="R74" i="12"/>
  <c r="R78" i="12"/>
  <c r="F103" i="12"/>
  <c r="O103" i="12"/>
  <c r="T90" i="12"/>
  <c r="T94" i="12"/>
  <c r="T98" i="12"/>
  <c r="T102" i="12"/>
  <c r="D33" i="9"/>
  <c r="X45" i="9"/>
  <c r="AD21" i="9"/>
  <c r="AF21" i="9" s="1"/>
  <c r="AD23" i="9"/>
  <c r="AF23" i="9" s="1"/>
  <c r="AD32" i="9"/>
  <c r="AF32" i="9" s="1"/>
  <c r="AD33" i="9"/>
  <c r="AF33" i="9" s="1"/>
  <c r="E41" i="9"/>
  <c r="AD40" i="9"/>
  <c r="AF40" i="9" s="1"/>
  <c r="L59" i="7"/>
  <c r="O59" i="7"/>
  <c r="P59" i="7"/>
  <c r="P74" i="8"/>
  <c r="AN74" i="8"/>
  <c r="M91" i="2"/>
  <c r="AF123" i="8"/>
  <c r="V91" i="2"/>
  <c r="M53" i="8"/>
  <c r="O49" i="2"/>
  <c r="AI49" i="2"/>
  <c r="O72" i="2"/>
  <c r="AD99" i="2"/>
  <c r="V53" i="8"/>
  <c r="X49" i="2"/>
  <c r="D25" i="12"/>
  <c r="AE53" i="8"/>
  <c r="AB74" i="8"/>
  <c r="Z72" i="2"/>
  <c r="F35" i="8"/>
  <c r="G25" i="12"/>
  <c r="F61" i="12"/>
  <c r="AF66" i="12"/>
  <c r="L87" i="12"/>
  <c r="T87" i="12"/>
  <c r="AD17" i="9"/>
  <c r="R66" i="12"/>
  <c r="Z45" i="12"/>
  <c r="AH45" i="12"/>
  <c r="AE69" i="8" l="1"/>
  <c r="V69" i="8"/>
  <c r="M69" i="8"/>
  <c r="T14" i="11"/>
  <c r="T3" i="11"/>
  <c r="T2" i="11"/>
  <c r="T9" i="11"/>
  <c r="T4" i="11"/>
  <c r="T10" i="11"/>
  <c r="T6" i="11"/>
  <c r="T17" i="11"/>
  <c r="L103" i="12"/>
  <c r="O65" i="2"/>
  <c r="X65" i="2"/>
  <c r="V107" i="2"/>
  <c r="T13" i="11"/>
  <c r="Z61" i="12"/>
  <c r="O88" i="2"/>
  <c r="AI65" i="2"/>
  <c r="T103" i="12"/>
  <c r="AI99" i="2"/>
  <c r="AH61" i="12"/>
  <c r="AF82" i="12"/>
  <c r="M107" i="2"/>
  <c r="L61" i="12"/>
  <c r="P90" i="8"/>
  <c r="R82" i="12"/>
  <c r="Z88" i="2"/>
  <c r="T11" i="11"/>
  <c r="T5" i="11"/>
  <c r="AB90" i="8"/>
  <c r="AK123" i="8"/>
  <c r="T21" i="11"/>
  <c r="T7" i="11"/>
  <c r="T8" i="11"/>
  <c r="T18" i="11"/>
  <c r="T20" i="11"/>
  <c r="T19" i="11"/>
  <c r="T12" i="11"/>
  <c r="T15" i="11"/>
  <c r="T16" i="11"/>
  <c r="AN90" i="8"/>
  <c r="AD45" i="9"/>
  <c r="AF17" i="9"/>
  <c r="AF45" i="9" s="1"/>
</calcChain>
</file>

<file path=xl/sharedStrings.xml><?xml version="1.0" encoding="utf-8"?>
<sst xmlns="http://schemas.openxmlformats.org/spreadsheetml/2006/main" count="30517" uniqueCount="1760">
  <si>
    <t>benchmark_id</t>
  </si>
  <si>
    <t>cantidad</t>
  </si>
  <si>
    <t>codigo_emi</t>
  </si>
  <si>
    <t>codigo_fdo</t>
  </si>
  <si>
    <t>codigo_ins</t>
  </si>
  <si>
    <t>ctd</t>
  </si>
  <si>
    <t>ctr</t>
  </si>
  <si>
    <t>duration_x</t>
  </si>
  <si>
    <t>duration_y</t>
  </si>
  <si>
    <t>fec_vtco</t>
  </si>
  <si>
    <t>fecha_x</t>
  </si>
  <si>
    <t>fecha_y</t>
  </si>
  <si>
    <t>index_x</t>
  </si>
  <si>
    <t>index_y</t>
  </si>
  <si>
    <t>mcr_x</t>
  </si>
  <si>
    <t>mcr_y</t>
  </si>
  <si>
    <t>moneda_x</t>
  </si>
  <si>
    <t>moneda_y</t>
  </si>
  <si>
    <t>monto</t>
  </si>
  <si>
    <t>nombre_instrumento</t>
  </si>
  <si>
    <t>nominal</t>
  </si>
  <si>
    <t>pcr</t>
  </si>
  <si>
    <t>precio</t>
  </si>
  <si>
    <t>riesgo_x</t>
  </si>
  <si>
    <t>riesgo_y</t>
  </si>
  <si>
    <t>tasa_x</t>
  </si>
  <si>
    <t>tasa_y</t>
  </si>
  <si>
    <t>weight_active</t>
  </si>
  <si>
    <t>weight_x</t>
  </si>
  <si>
    <t>DEUDA CORP</t>
  </si>
  <si>
    <t>US$</t>
  </si>
  <si>
    <t>CL</t>
  </si>
  <si>
    <t>UF</t>
  </si>
  <si>
    <t>AA</t>
  </si>
  <si>
    <t>AA-</t>
  </si>
  <si>
    <t>Consumo</t>
  </si>
  <si>
    <t>AA+</t>
  </si>
  <si>
    <t>Otros</t>
  </si>
  <si>
    <t>Diversificados</t>
  </si>
  <si>
    <t>$</t>
  </si>
  <si>
    <t>Salud</t>
  </si>
  <si>
    <t>Financieras</t>
  </si>
  <si>
    <t>AAA</t>
  </si>
  <si>
    <t>Comunicaciones</t>
  </si>
  <si>
    <t>Industriales</t>
  </si>
  <si>
    <t>Caja</t>
  </si>
  <si>
    <t>Caja Activos $</t>
  </si>
  <si>
    <t>N/A</t>
  </si>
  <si>
    <t>Caja Pasivos $</t>
  </si>
  <si>
    <t>EU</t>
  </si>
  <si>
    <t>Caja Pasivos EU</t>
  </si>
  <si>
    <t>Caja Activos US$</t>
  </si>
  <si>
    <t>N-1+</t>
  </si>
  <si>
    <t>SPREADCORP</t>
  </si>
  <si>
    <t>BBB</t>
  </si>
  <si>
    <t>A</t>
  </si>
  <si>
    <t>Retail</t>
  </si>
  <si>
    <t>Transporte</t>
  </si>
  <si>
    <t>Telecomunicaciones</t>
  </si>
  <si>
    <t>DEUDA 360</t>
  </si>
  <si>
    <t>LIQUIDEZ</t>
  </si>
  <si>
    <t>RENTA</t>
  </si>
  <si>
    <t>MACRO 1.5</t>
  </si>
  <si>
    <t>MACRO CLP3</t>
  </si>
  <si>
    <t>Depósitos UF</t>
  </si>
  <si>
    <t>Facturas</t>
  </si>
  <si>
    <t>Total</t>
  </si>
  <si>
    <t>Gobierno UF</t>
  </si>
  <si>
    <t>tipo_instrumento_x</t>
  </si>
  <si>
    <t>tipo_instrumento_y</t>
  </si>
  <si>
    <t>weight</t>
  </si>
  <si>
    <t>mcr</t>
  </si>
  <si>
    <t>duration</t>
  </si>
  <si>
    <t>Spread UF</t>
  </si>
  <si>
    <t>Información de Uso Interno - No distribuir</t>
  </si>
  <si>
    <t>exposure</t>
  </si>
  <si>
    <t>dep $</t>
  </si>
  <si>
    <t>dep UF</t>
  </si>
  <si>
    <t>gob $</t>
  </si>
  <si>
    <t>gob UF</t>
  </si>
  <si>
    <t>spread $</t>
  </si>
  <si>
    <t>spread UF</t>
  </si>
  <si>
    <t>spread US$</t>
  </si>
  <si>
    <t>otros</t>
  </si>
  <si>
    <t>total</t>
  </si>
  <si>
    <t>ranking</t>
  </si>
  <si>
    <t>instrument</t>
  </si>
  <si>
    <t>IMT E-PLUS</t>
  </si>
  <si>
    <t>Alimentos</t>
  </si>
  <si>
    <t>Utilities</t>
  </si>
  <si>
    <t>dep US$</t>
  </si>
  <si>
    <t>Gobierno EU</t>
  </si>
  <si>
    <t>FX Forwards EU</t>
  </si>
  <si>
    <t>FX EU</t>
  </si>
  <si>
    <t>gob EU</t>
  </si>
  <si>
    <t>Depósitos $</t>
  </si>
  <si>
    <t>Gobierno $</t>
  </si>
  <si>
    <t>Spread US$</t>
  </si>
  <si>
    <t>Spread $</t>
  </si>
  <si>
    <t>FX Forwards $</t>
  </si>
  <si>
    <t>FX Forwards US$</t>
  </si>
  <si>
    <t>FX $</t>
  </si>
  <si>
    <t>FX US$</t>
  </si>
  <si>
    <t>ESTRATEGIA</t>
  </si>
  <si>
    <t>SMALLCAP</t>
  </si>
  <si>
    <t>weight_y</t>
  </si>
  <si>
    <t>sector_x</t>
  </si>
  <si>
    <t>sector_y</t>
  </si>
  <si>
    <t>Forwards</t>
  </si>
  <si>
    <t>index</t>
  </si>
  <si>
    <t>currency</t>
  </si>
  <si>
    <t xml:space="preserve"> weight decomposition by rating</t>
  </si>
  <si>
    <t>Summary view</t>
  </si>
  <si>
    <t>facturas</t>
  </si>
  <si>
    <t>letras</t>
  </si>
  <si>
    <t>Sector view</t>
  </si>
  <si>
    <t>M_MARKET</t>
  </si>
  <si>
    <t>Depósitos US$</t>
  </si>
  <si>
    <t>Gobierno US$</t>
  </si>
  <si>
    <t>FX Forwards UF</t>
  </si>
  <si>
    <t>gob US$</t>
  </si>
  <si>
    <t>Top 15 holdings by weight</t>
  </si>
  <si>
    <t>Gob $</t>
  </si>
  <si>
    <t>0-3</t>
  </si>
  <si>
    <t>3-5</t>
  </si>
  <si>
    <t>5-10</t>
  </si>
  <si>
    <t>10+</t>
  </si>
  <si>
    <t>Gob UF</t>
  </si>
  <si>
    <t>Gob Otros</t>
  </si>
  <si>
    <t>AAA ó AA</t>
  </si>
  <si>
    <t>A ó menos</t>
  </si>
  <si>
    <t>Spread Otros</t>
  </si>
  <si>
    <t>IIF</t>
  </si>
  <si>
    <t>0-90</t>
  </si>
  <si>
    <t>90-180</t>
  </si>
  <si>
    <t>180+</t>
  </si>
  <si>
    <t>Risk budget</t>
  </si>
  <si>
    <t xml:space="preserve"> </t>
  </si>
  <si>
    <t>Fecha</t>
  </si>
  <si>
    <t>Fondo</t>
  </si>
  <si>
    <t>Duration</t>
  </si>
  <si>
    <t>Total TE</t>
  </si>
  <si>
    <t>A+</t>
  </si>
  <si>
    <t>CO</t>
  </si>
  <si>
    <t>BB</t>
  </si>
  <si>
    <t>MX</t>
  </si>
  <si>
    <t>BBB-</t>
  </si>
  <si>
    <t>PE</t>
  </si>
  <si>
    <t>BBB+</t>
  </si>
  <si>
    <t>BB+</t>
  </si>
  <si>
    <t>A-</t>
  </si>
  <si>
    <t>LATAM IG</t>
  </si>
  <si>
    <t>riesgo_internacional_x</t>
  </si>
  <si>
    <t>riesgo_internacional_y</t>
  </si>
  <si>
    <t>BB-</t>
  </si>
  <si>
    <t>pais_emisor_x</t>
  </si>
  <si>
    <t>pais_emisor_y</t>
  </si>
  <si>
    <t>BR</t>
  </si>
  <si>
    <t>PA</t>
  </si>
  <si>
    <t>CAJA $ 1</t>
  </si>
  <si>
    <t>CAJA $ 2</t>
  </si>
  <si>
    <t>CAJA US$ 1</t>
  </si>
  <si>
    <t>CAJA EU 2</t>
  </si>
  <si>
    <t>B</t>
  </si>
  <si>
    <t>nombre_emisor_x</t>
  </si>
  <si>
    <t>Entretenimiento</t>
  </si>
  <si>
    <t>Gobierno MX</t>
  </si>
  <si>
    <t>gob MX</t>
  </si>
  <si>
    <t>cty</t>
  </si>
  <si>
    <t>yield</t>
  </si>
  <si>
    <t>gobMX</t>
  </si>
  <si>
    <t>Gobierno REA</t>
  </si>
  <si>
    <t>REA</t>
  </si>
  <si>
    <t>gob REA</t>
  </si>
  <si>
    <t>FX</t>
  </si>
  <si>
    <t>Energia</t>
  </si>
  <si>
    <t>Construccion</t>
  </si>
  <si>
    <t>Materiales Basicos</t>
  </si>
  <si>
    <t>Servicios Basicos</t>
  </si>
  <si>
    <t>Tecnologia</t>
  </si>
  <si>
    <t>Mineria</t>
  </si>
  <si>
    <t>Banco BBVA</t>
  </si>
  <si>
    <t>Gobierno</t>
  </si>
  <si>
    <t>Codigo_Fdo</t>
  </si>
  <si>
    <t>Metric</t>
  </si>
  <si>
    <t>Slice</t>
  </si>
  <si>
    <t>chile</t>
  </si>
  <si>
    <t>mexico</t>
  </si>
  <si>
    <t>colombia</t>
  </si>
  <si>
    <t>peru</t>
  </si>
  <si>
    <t>brazil</t>
  </si>
  <si>
    <t>other</t>
  </si>
  <si>
    <t>Chile</t>
  </si>
  <si>
    <t>Mexico</t>
  </si>
  <si>
    <t>Colombia</t>
  </si>
  <si>
    <t>Peru</t>
  </si>
  <si>
    <t>Brazil</t>
  </si>
  <si>
    <t>Panama</t>
  </si>
  <si>
    <t>Cash</t>
  </si>
  <si>
    <t>Other</t>
  </si>
  <si>
    <t>Banco Santander</t>
  </si>
  <si>
    <t>Forward  Banco Santander long leg</t>
  </si>
  <si>
    <t>FX Forward</t>
  </si>
  <si>
    <t>BBVA</t>
  </si>
  <si>
    <t>SANTANDER</t>
  </si>
  <si>
    <t>Forward  Banco Santander short leg</t>
  </si>
  <si>
    <t>BCI</t>
  </si>
  <si>
    <t>PAGARE NR</t>
  </si>
  <si>
    <t>Deposito Banco BCI</t>
  </si>
  <si>
    <t>Deposito</t>
  </si>
  <si>
    <t>ESTADO</t>
  </si>
  <si>
    <t>Banco Estado</t>
  </si>
  <si>
    <t>Deposito Banco Estado</t>
  </si>
  <si>
    <t>Banco Falabella</t>
  </si>
  <si>
    <t>Deposito Banco Santander</t>
  </si>
  <si>
    <t>SCOTIABANK</t>
  </si>
  <si>
    <t>Scotiabank</t>
  </si>
  <si>
    <t>Deposito Banco Scotiabank</t>
  </si>
  <si>
    <t>N-1</t>
  </si>
  <si>
    <t>ITAUCORP</t>
  </si>
  <si>
    <t>Itau/Corpbanca</t>
  </si>
  <si>
    <t>Deposito Banco Itaucorp</t>
  </si>
  <si>
    <t>INTERNACIO</t>
  </si>
  <si>
    <t>Banco Internacional</t>
  </si>
  <si>
    <t>Deposito Banco Internacio</t>
  </si>
  <si>
    <t>RIPLEY</t>
  </si>
  <si>
    <t>Banco Ripley</t>
  </si>
  <si>
    <t>Deposito Banco Ripley</t>
  </si>
  <si>
    <t>CHILE</t>
  </si>
  <si>
    <t>Banco de Chile</t>
  </si>
  <si>
    <t>Deposito Banco Chile</t>
  </si>
  <si>
    <t>PAGARE R</t>
  </si>
  <si>
    <t>Index_Id</t>
  </si>
  <si>
    <t>SOL</t>
  </si>
  <si>
    <t>Gobierno SOL</t>
  </si>
  <si>
    <t>gob SOL</t>
  </si>
  <si>
    <t>Deposito Banco BBVA</t>
  </si>
  <si>
    <t>Bono Corporativo</t>
  </si>
  <si>
    <t>FALABELLA</t>
  </si>
  <si>
    <t>Deposito Banco Falabella</t>
  </si>
  <si>
    <t>Leverage</t>
  </si>
  <si>
    <t>BANCOLOMBIA</t>
  </si>
  <si>
    <t>CMPC</t>
  </si>
  <si>
    <t>Empresas CMPC S.A.</t>
  </si>
  <si>
    <t>Bono CMPC</t>
  </si>
  <si>
    <t>CMPCCI1918</t>
  </si>
  <si>
    <t>TANNER SF</t>
  </si>
  <si>
    <t>Tanner</t>
  </si>
  <si>
    <t>Banco Security</t>
  </si>
  <si>
    <t>Banco Consorcio</t>
  </si>
  <si>
    <t>BICE</t>
  </si>
  <si>
    <t>COOPEUCH</t>
  </si>
  <si>
    <t>CAJA US$ 2</t>
  </si>
  <si>
    <t>Caja Pasivos US$</t>
  </si>
  <si>
    <t>CONSORCIO</t>
  </si>
  <si>
    <t>Deposito Banco Consorcio</t>
  </si>
  <si>
    <t>SECURITY</t>
  </si>
  <si>
    <t>Deposito Banco Security</t>
  </si>
  <si>
    <t>Deposito Banco Bice</t>
  </si>
  <si>
    <t>HSBC</t>
  </si>
  <si>
    <t>Deposito Banco Hsbc</t>
  </si>
  <si>
    <t>Deposito Banco Tanner Sf</t>
  </si>
  <si>
    <t>CCB</t>
  </si>
  <si>
    <t>China Construction Bank</t>
  </si>
  <si>
    <t>Deposito CCB</t>
  </si>
  <si>
    <t>FBANCOLOMB</t>
  </si>
  <si>
    <t>Deposito USD Bancolombia</t>
  </si>
  <si>
    <t>Forward  Banco BBVA long leg</t>
  </si>
  <si>
    <t>FWDCLUS51518</t>
  </si>
  <si>
    <t>FWDCLUS51718</t>
  </si>
  <si>
    <t>FWDUSCL51618</t>
  </si>
  <si>
    <t>Forward  Banco BBVA short leg</t>
  </si>
  <si>
    <t>FWDUSCL51718</t>
  </si>
  <si>
    <t>CAJA MACRO 1.5</t>
  </si>
  <si>
    <t>CAJA EU 1</t>
  </si>
  <si>
    <t>Caja Activos EU</t>
  </si>
  <si>
    <t>BTP</t>
  </si>
  <si>
    <t>BTP0450321</t>
  </si>
  <si>
    <t>Tesorería General de la República</t>
  </si>
  <si>
    <t>Bono Tesorería en CLP</t>
  </si>
  <si>
    <t>Bono de Gobierno</t>
  </si>
  <si>
    <t>BCP</t>
  </si>
  <si>
    <t>BCP0600322</t>
  </si>
  <si>
    <t>Banco Central de Chile</t>
  </si>
  <si>
    <t>Bono Bullet Bco Central En Pesos</t>
  </si>
  <si>
    <t>BTP0500335</t>
  </si>
  <si>
    <t>BTU</t>
  </si>
  <si>
    <t>BTU0300120</t>
  </si>
  <si>
    <t>Bono Tesorería en UF</t>
  </si>
  <si>
    <t>BTU0150321</t>
  </si>
  <si>
    <t>BTU0150326</t>
  </si>
  <si>
    <t>BTU0200335</t>
  </si>
  <si>
    <t>FWDCLUS51618</t>
  </si>
  <si>
    <t>CAJA MACRO CLP3</t>
  </si>
  <si>
    <t>CAJA Leverage 2</t>
  </si>
  <si>
    <t>Caja Pasivos Leverage</t>
  </si>
  <si>
    <t>BOSTONSEC</t>
  </si>
  <si>
    <t>BBOTS-P1A</t>
  </si>
  <si>
    <t>EF Securitizadora S.A.</t>
  </si>
  <si>
    <t>Bono Boston Securitizadora P1A</t>
  </si>
  <si>
    <t>BBFALABELL</t>
  </si>
  <si>
    <t>BFAL-B0510</t>
  </si>
  <si>
    <t>Bono Banco Falabella</t>
  </si>
  <si>
    <t>SANT-CHILE</t>
  </si>
  <si>
    <t>SANT0920</t>
  </si>
  <si>
    <t>Bono Banco Santander</t>
  </si>
  <si>
    <t>CERO</t>
  </si>
  <si>
    <t>CERO010320</t>
  </si>
  <si>
    <t>Bono Cero Cupon Banco Central de Chile</t>
  </si>
  <si>
    <t>BVL</t>
  </si>
  <si>
    <t>BVL2BV0925</t>
  </si>
  <si>
    <t>Ministerio VYU</t>
  </si>
  <si>
    <t>Bono Ministerio De Vivienda Leasing</t>
  </si>
  <si>
    <t>BVL2CX0625</t>
  </si>
  <si>
    <t>BVL2CW0629</t>
  </si>
  <si>
    <t>BVL2CW0928</t>
  </si>
  <si>
    <t>AESGENER</t>
  </si>
  <si>
    <t>AES Gener S.A.</t>
  </si>
  <si>
    <t>Accion</t>
  </si>
  <si>
    <t>Aguas Andina S.A.</t>
  </si>
  <si>
    <t>BANMEDICA</t>
  </si>
  <si>
    <t>Banmedica</t>
  </si>
  <si>
    <t>Banco De Credito E Inversiones</t>
  </si>
  <si>
    <t>BSANTANDER</t>
  </si>
  <si>
    <t>Banco Santander Chile</t>
  </si>
  <si>
    <t>CAP</t>
  </si>
  <si>
    <t>CENCOSUD</t>
  </si>
  <si>
    <t>Cencosud S.A.</t>
  </si>
  <si>
    <t>Banco De Chile</t>
  </si>
  <si>
    <t>Empresas Cmpc S.A.</t>
  </si>
  <si>
    <t>COLBUN</t>
  </si>
  <si>
    <t>Colbún S.A.</t>
  </si>
  <si>
    <t>CONCHATORO</t>
  </si>
  <si>
    <t>Concha y Toro</t>
  </si>
  <si>
    <t>Concha Y Toro</t>
  </si>
  <si>
    <t>COPEC</t>
  </si>
  <si>
    <t>Empresas Copec S.A.</t>
  </si>
  <si>
    <t>CRISTALES</t>
  </si>
  <si>
    <t>Cristalerias De Chile S.A.</t>
  </si>
  <si>
    <t>EMBONOR</t>
  </si>
  <si>
    <t>EMBONOR-B</t>
  </si>
  <si>
    <t>Coca Cola Embonor S.A.</t>
  </si>
  <si>
    <t>ENELAM</t>
  </si>
  <si>
    <t>Enel Americas S.A.</t>
  </si>
  <si>
    <t>Enersis Amercias S.A.</t>
  </si>
  <si>
    <t>ENELGXCH</t>
  </si>
  <si>
    <t>Enel Generacion Chile S.A.</t>
  </si>
  <si>
    <t>Enel Generacion S.A.</t>
  </si>
  <si>
    <t>ENTEL</t>
  </si>
  <si>
    <t>FALAB.SACI</t>
  </si>
  <si>
    <t>FALABELLA SACI</t>
  </si>
  <si>
    <t>S.A.C.I. Falabella</t>
  </si>
  <si>
    <t>Itau Corpbanca</t>
  </si>
  <si>
    <t>LAN</t>
  </si>
  <si>
    <t>LTM</t>
  </si>
  <si>
    <t>LATAM</t>
  </si>
  <si>
    <t>MASISA</t>
  </si>
  <si>
    <t>Masisa</t>
  </si>
  <si>
    <t>Parque Arauco S.A.</t>
  </si>
  <si>
    <t>QUINENCO</t>
  </si>
  <si>
    <t>Quiñenco S.A.</t>
  </si>
  <si>
    <t>SALFACORP</t>
  </si>
  <si>
    <t>Salfa Corp.</t>
  </si>
  <si>
    <t>SK</t>
  </si>
  <si>
    <t>Sigdo Koppers S.A.</t>
  </si>
  <si>
    <t>SMSAAM</t>
  </si>
  <si>
    <t>Sociedad Matriz SAAM S.A.</t>
  </si>
  <si>
    <t>SONDA</t>
  </si>
  <si>
    <t>Sonda S.A.</t>
  </si>
  <si>
    <t>SOQUIMICH</t>
  </si>
  <si>
    <t>SQM-B</t>
  </si>
  <si>
    <t>SQM S.A.</t>
  </si>
  <si>
    <t>Soc Quimica Minera De Chile S.A.</t>
  </si>
  <si>
    <t>TRICOT</t>
  </si>
  <si>
    <t>Tricot</t>
  </si>
  <si>
    <t>Tricot S.A.</t>
  </si>
  <si>
    <t>AQUACHILE</t>
  </si>
  <si>
    <t>Empresas AquaChile S.A.</t>
  </si>
  <si>
    <t>Empresas Aquachile S. A.</t>
  </si>
  <si>
    <t>CEMENTOS</t>
  </si>
  <si>
    <t>Cementos Bio-Bio S.A.</t>
  </si>
  <si>
    <t>HITES</t>
  </si>
  <si>
    <t>Empresas Hites S.A.</t>
  </si>
  <si>
    <t>INDISA</t>
  </si>
  <si>
    <t>INDISA S.A.</t>
  </si>
  <si>
    <t>Instituto De Diagnostico S.A.</t>
  </si>
  <si>
    <t>MULTIFOODS</t>
  </si>
  <si>
    <t>Multiexport Foods S.A.</t>
  </si>
  <si>
    <t>PAZ</t>
  </si>
  <si>
    <t>Paz Corp. S.A.</t>
  </si>
  <si>
    <t>Paz Corp S.A.</t>
  </si>
  <si>
    <t>Salfacorp S.A.</t>
  </si>
  <si>
    <t>Sociedad Smsaam</t>
  </si>
  <si>
    <t>SMU</t>
  </si>
  <si>
    <t>SMU S.A.</t>
  </si>
  <si>
    <t>Sonda</t>
  </si>
  <si>
    <t>VSPT</t>
  </si>
  <si>
    <t>Viña San Pedro Tarapacá</t>
  </si>
  <si>
    <t>WATTS</t>
  </si>
  <si>
    <t>Watts</t>
  </si>
  <si>
    <t>BBRIPLEY</t>
  </si>
  <si>
    <t>BRPL-A0414</t>
  </si>
  <si>
    <t>Bono Bancario Ripley</t>
  </si>
  <si>
    <t>BSKSA-B</t>
  </si>
  <si>
    <t>Bono Sk</t>
  </si>
  <si>
    <t>BRPL-K0315</t>
  </si>
  <si>
    <t>BRPL-L0315</t>
  </si>
  <si>
    <t>BBCHILE</t>
  </si>
  <si>
    <t>BCHIAI0213</t>
  </si>
  <si>
    <t>Bono Banco Chile</t>
  </si>
  <si>
    <t>BCHIUI0611</t>
  </si>
  <si>
    <t>BBESTADO</t>
  </si>
  <si>
    <t>BEST-H1207</t>
  </si>
  <si>
    <t>Bono Banco Estado</t>
  </si>
  <si>
    <t>BBSANT-CHI</t>
  </si>
  <si>
    <t>BSTDE20111</t>
  </si>
  <si>
    <t>BSTDY30208</t>
  </si>
  <si>
    <t>BBSCOTIABA</t>
  </si>
  <si>
    <t>BBNS-P0413</t>
  </si>
  <si>
    <t>Bono Scotiabank</t>
  </si>
  <si>
    <t>AGROSUPER</t>
  </si>
  <si>
    <t>Agrosuper</t>
  </si>
  <si>
    <t>Bono Agrosuper S.A.</t>
  </si>
  <si>
    <t>AGUAS</t>
  </si>
  <si>
    <t>BAGUA-R</t>
  </si>
  <si>
    <t>Bono Aguas Andinas</t>
  </si>
  <si>
    <t>BBBVA</t>
  </si>
  <si>
    <t>BBBVJ40413</t>
  </si>
  <si>
    <t>Bono Banco BBVA</t>
  </si>
  <si>
    <t>BBBVM21011</t>
  </si>
  <si>
    <t>BBSECURITY</t>
  </si>
  <si>
    <t>BSECB21112</t>
  </si>
  <si>
    <t>Bono Banco Security</t>
  </si>
  <si>
    <t>BSECK10108</t>
  </si>
  <si>
    <t>BCENC-E</t>
  </si>
  <si>
    <t>Bono Cencosud S.A.</t>
  </si>
  <si>
    <t>BCTOR-F</t>
  </si>
  <si>
    <t>Bono Concha Y Toro</t>
  </si>
  <si>
    <t>ENAP</t>
  </si>
  <si>
    <t>Bonos Enap</t>
  </si>
  <si>
    <t>LOS ANDES</t>
  </si>
  <si>
    <t>BCAJ-J1215</t>
  </si>
  <si>
    <t>Caja Los Andes</t>
  </si>
  <si>
    <t>Bono Caja Los Andes</t>
  </si>
  <si>
    <t>BQUIN-G</t>
  </si>
  <si>
    <t>Bono Quinenco</t>
  </si>
  <si>
    <t>BCHIUN1011</t>
  </si>
  <si>
    <t>BESTJ31008</t>
  </si>
  <si>
    <t>BESTJ50109</t>
  </si>
  <si>
    <t>BBNS-U0414</t>
  </si>
  <si>
    <t>TECNOCONTR</t>
  </si>
  <si>
    <t>BCOSJ-A</t>
  </si>
  <si>
    <t>San José Tecnocontrol</t>
  </si>
  <si>
    <t>Bono Constructora San Jose</t>
  </si>
  <si>
    <t>ARAUCO</t>
  </si>
  <si>
    <t>BARAU-J</t>
  </si>
  <si>
    <t>Celulosa Arauco y Constitución</t>
  </si>
  <si>
    <t>Bono Celulosa Arauco</t>
  </si>
  <si>
    <t>BARAU-Q</t>
  </si>
  <si>
    <t>BBCONSORC</t>
  </si>
  <si>
    <t>BCNO-H0414</t>
  </si>
  <si>
    <t>Bono Banco Consorcio</t>
  </si>
  <si>
    <t>BBCORPBANC</t>
  </si>
  <si>
    <t>BCOR-R0110</t>
  </si>
  <si>
    <t>Bono Corpbanca</t>
  </si>
  <si>
    <t>BCORAI0710</t>
  </si>
  <si>
    <t>BBICE</t>
  </si>
  <si>
    <t>BBIC580314</t>
  </si>
  <si>
    <t>Bono Banco Bice</t>
  </si>
  <si>
    <t>BBITAU</t>
  </si>
  <si>
    <t>BITA-N0612</t>
  </si>
  <si>
    <t>Bono Banco Itaucorp</t>
  </si>
  <si>
    <t>BITAAI0415</t>
  </si>
  <si>
    <t>BSECB40615</t>
  </si>
  <si>
    <t>BSECM10109</t>
  </si>
  <si>
    <t>BSECR10611</t>
  </si>
  <si>
    <t>BCTOR-J</t>
  </si>
  <si>
    <t>EMB ANDINA</t>
  </si>
  <si>
    <t>BANDI-C</t>
  </si>
  <si>
    <t>Embotelladora Andina S.A.</t>
  </si>
  <si>
    <t>Bono Embotelladora Andina</t>
  </si>
  <si>
    <t>BKOEM-C</t>
  </si>
  <si>
    <t>Bono Embonor</t>
  </si>
  <si>
    <t>BENAP-B</t>
  </si>
  <si>
    <t>FRONTEL</t>
  </si>
  <si>
    <t>BFRON-C</t>
  </si>
  <si>
    <t>Frontel</t>
  </si>
  <si>
    <t>Bono Frontel</t>
  </si>
  <si>
    <t>LEAS FORUM</t>
  </si>
  <si>
    <t>BFORU-AZ</t>
  </si>
  <si>
    <t>Forum Servicios Financieros S.A.</t>
  </si>
  <si>
    <t>Bono Forum Servicios Financieros</t>
  </si>
  <si>
    <t>METRO</t>
  </si>
  <si>
    <t>BMETR-H</t>
  </si>
  <si>
    <t>Emp. de Transporte de Pasajeros Metro S.A.</t>
  </si>
  <si>
    <t>Bono Metro</t>
  </si>
  <si>
    <t>MOVISTAR</t>
  </si>
  <si>
    <t>BTMOV-I</t>
  </si>
  <si>
    <t>Movistar</t>
  </si>
  <si>
    <t>Bono Movistar</t>
  </si>
  <si>
    <t>PLAZA S.A.</t>
  </si>
  <si>
    <t>BPLZA-M</t>
  </si>
  <si>
    <t>Plaza S.A.</t>
  </si>
  <si>
    <t>Bono Plaza S.A.</t>
  </si>
  <si>
    <t>BQUIN-I</t>
  </si>
  <si>
    <t>BBCREDITO</t>
  </si>
  <si>
    <t>BBCIE20811</t>
  </si>
  <si>
    <t>Bono BCI</t>
  </si>
  <si>
    <t>ENLASA</t>
  </si>
  <si>
    <t>BENGE-B</t>
  </si>
  <si>
    <t>ENLASA S.A.</t>
  </si>
  <si>
    <t>Bono Enlasa Generacion</t>
  </si>
  <si>
    <t>BFORU-BD</t>
  </si>
  <si>
    <t>METROGAS</t>
  </si>
  <si>
    <t>BMGAS-F</t>
  </si>
  <si>
    <t>Metrogas</t>
  </si>
  <si>
    <t>Bono Metrogas</t>
  </si>
  <si>
    <t>BBCIAG0513</t>
  </si>
  <si>
    <t>BITAAA0613</t>
  </si>
  <si>
    <t>BICECORP</t>
  </si>
  <si>
    <t>BBECP-B</t>
  </si>
  <si>
    <t>Bono Bice B</t>
  </si>
  <si>
    <t>BCAJ-I0315</t>
  </si>
  <si>
    <t>BSTDSE0614</t>
  </si>
  <si>
    <t>SCCH</t>
  </si>
  <si>
    <t>BSCCH-B</t>
  </si>
  <si>
    <t>Santander Consumer Finance</t>
  </si>
  <si>
    <t>Bono Banco Santander Consumer Finance</t>
  </si>
  <si>
    <t>BBANM-I</t>
  </si>
  <si>
    <t>Bono Banmedica</t>
  </si>
  <si>
    <t>BBBVP20714</t>
  </si>
  <si>
    <t>BFORU-AX</t>
  </si>
  <si>
    <t>BCAJ-O0816</t>
  </si>
  <si>
    <t>BBIC640116</t>
  </si>
  <si>
    <t>BCENC-P</t>
  </si>
  <si>
    <t>BFALA-O</t>
  </si>
  <si>
    <t>Bono Falabella</t>
  </si>
  <si>
    <t>BFORU-BA</t>
  </si>
  <si>
    <t>Codelco</t>
  </si>
  <si>
    <t>Factura</t>
  </si>
  <si>
    <t>AESGEN0529</t>
  </si>
  <si>
    <t>Bono AES Gener S.A.</t>
  </si>
  <si>
    <t>ALPEKA0823</t>
  </si>
  <si>
    <t>Alpek S.A.B.</t>
  </si>
  <si>
    <t>AMXLMM</t>
  </si>
  <si>
    <t>AMXLMM0340</t>
  </si>
  <si>
    <t>Bono EI336227</t>
  </si>
  <si>
    <t>RUTAMAIPO</t>
  </si>
  <si>
    <t>AUPIST0622</t>
  </si>
  <si>
    <t>Autopista Ruta del Maipo</t>
  </si>
  <si>
    <t>Bono Ruta del Maipo</t>
  </si>
  <si>
    <t>Consecionaria</t>
  </si>
  <si>
    <t>BANBOG</t>
  </si>
  <si>
    <t>BANBOG0827</t>
  </si>
  <si>
    <t>Banco de Bogota</t>
  </si>
  <si>
    <t>Bono Banco De Bogota</t>
  </si>
  <si>
    <t>BBVA COLOM</t>
  </si>
  <si>
    <t>BANGAN0425</t>
  </si>
  <si>
    <t>Banco BBVA Colombia</t>
  </si>
  <si>
    <t>Bono Banco BBVA Colombia</t>
  </si>
  <si>
    <t>BANGEN</t>
  </si>
  <si>
    <t>BANGEN0827</t>
  </si>
  <si>
    <t>Banco General</t>
  </si>
  <si>
    <t>Bono Banco General</t>
  </si>
  <si>
    <t>BBVA BANCO</t>
  </si>
  <si>
    <t>BBVASM0922</t>
  </si>
  <si>
    <t>Banco BBVA Bancomer</t>
  </si>
  <si>
    <t>Bono Banco BBVA Bancomer</t>
  </si>
  <si>
    <t>BBVA CONTI</t>
  </si>
  <si>
    <t>BCOCPE0822</t>
  </si>
  <si>
    <t>Bono Banco BBVA Peru</t>
  </si>
  <si>
    <t>BCOCPE0929</t>
  </si>
  <si>
    <t>BANCOLOMBI</t>
  </si>
  <si>
    <t>BCOLO0621</t>
  </si>
  <si>
    <t>Bono Bancolombia</t>
  </si>
  <si>
    <t>BCPPER</t>
  </si>
  <si>
    <t>BCP0920</t>
  </si>
  <si>
    <t>Banco de Credito del Peru</t>
  </si>
  <si>
    <t>Bono BCP</t>
  </si>
  <si>
    <t>BIMBUR</t>
  </si>
  <si>
    <t>BINBUR0427</t>
  </si>
  <si>
    <t>Banco Inbursa</t>
  </si>
  <si>
    <t>Bono Banco Inbursa</t>
  </si>
  <si>
    <t>BINTPE</t>
  </si>
  <si>
    <t>BINTPE1020</t>
  </si>
  <si>
    <t>Banco Internacional del Peru</t>
  </si>
  <si>
    <t>Bono Banco Internacional del Peru</t>
  </si>
  <si>
    <t>BRF Brasil</t>
  </si>
  <si>
    <t>BRFGMB0926</t>
  </si>
  <si>
    <t>Bono BRF S.A.</t>
  </si>
  <si>
    <t>BSANTM1122</t>
  </si>
  <si>
    <t>BSANTM 4 1/8 11/09/22</t>
  </si>
  <si>
    <t>GAS NATURA</t>
  </si>
  <si>
    <t>CALLAO0423</t>
  </si>
  <si>
    <t>Gas Natural de Lima y Callao S.A</t>
  </si>
  <si>
    <t>Bono Gas Natural de Lima y Callao S.A.</t>
  </si>
  <si>
    <t>Credicorp Capital</t>
  </si>
  <si>
    <t>Cuota de Fondo</t>
  </si>
  <si>
    <t>CELEO</t>
  </si>
  <si>
    <t>CELEO 0647</t>
  </si>
  <si>
    <t>Celeo Redes Chile</t>
  </si>
  <si>
    <t>Bono Celeo Chile</t>
  </si>
  <si>
    <t>CENSUD0123</t>
  </si>
  <si>
    <t>B-</t>
  </si>
  <si>
    <t>CENSUD0225</t>
  </si>
  <si>
    <t>CENSUD0727</t>
  </si>
  <si>
    <t>CFELEC</t>
  </si>
  <si>
    <t>CFELEC0124</t>
  </si>
  <si>
    <t>Comision Federal de Electricidad</t>
  </si>
  <si>
    <t>Bono CFELEC</t>
  </si>
  <si>
    <t>COMISION F</t>
  </si>
  <si>
    <t>CFELEC0227</t>
  </si>
  <si>
    <t>Bono Comision Federal de Electricidad</t>
  </si>
  <si>
    <t>CMPCCI0427</t>
  </si>
  <si>
    <t>CORPLINDLE</t>
  </si>
  <si>
    <t>CORJRL1121</t>
  </si>
  <si>
    <t>Corporación Lindley S.A.</t>
  </si>
  <si>
    <t>Bono Corporación Lindley S.A.</t>
  </si>
  <si>
    <t>DAVIVIENDA</t>
  </si>
  <si>
    <t>DAVIVI0118</t>
  </si>
  <si>
    <t>Banco Davivienda S.A.</t>
  </si>
  <si>
    <t>Bono Banco Davivienda S.A.</t>
  </si>
  <si>
    <t>ENGIE ENER</t>
  </si>
  <si>
    <t>ECLCI0125</t>
  </si>
  <si>
    <t>Engie</t>
  </si>
  <si>
    <t>Bono Engie</t>
  </si>
  <si>
    <t>ECOPETL</t>
  </si>
  <si>
    <t>ECOPET0545</t>
  </si>
  <si>
    <t>Ecopetrol S.A.</t>
  </si>
  <si>
    <t>Bono EK288577</t>
  </si>
  <si>
    <t>ECOPET0626</t>
  </si>
  <si>
    <t>Bono Ecopetrol S.A.</t>
  </si>
  <si>
    <t>ECOPET0923</t>
  </si>
  <si>
    <t>ECOPET0943</t>
  </si>
  <si>
    <t>Bono EJ828615</t>
  </si>
  <si>
    <t>EMBRAER</t>
  </si>
  <si>
    <t>EMBRBZ0227</t>
  </si>
  <si>
    <t>Embraer S.A.</t>
  </si>
  <si>
    <t>Bono Embraer S.A.</t>
  </si>
  <si>
    <t>ENAPCL0826</t>
  </si>
  <si>
    <t>Bono Enap</t>
  </si>
  <si>
    <t>ENAPCL1024</t>
  </si>
  <si>
    <t>ENERSIS AM</t>
  </si>
  <si>
    <t>ENRSIS1026</t>
  </si>
  <si>
    <t>Enersis Americas S.A.</t>
  </si>
  <si>
    <t>Bono Enersis America S.A.</t>
  </si>
  <si>
    <t>ENTEL0826</t>
  </si>
  <si>
    <t>Bono Entel</t>
  </si>
  <si>
    <t>ENTEL3024</t>
  </si>
  <si>
    <t>FERMACA</t>
  </si>
  <si>
    <t>FERMAC0338</t>
  </si>
  <si>
    <t>Fermaca Global</t>
  </si>
  <si>
    <t>Bono Fermaca S.A.</t>
  </si>
  <si>
    <t>FIBRIA</t>
  </si>
  <si>
    <t>FIBRBZ0127</t>
  </si>
  <si>
    <t>Bono Fibria Celulosa</t>
  </si>
  <si>
    <t>Bono Fibria</t>
  </si>
  <si>
    <t>FRESNILLO</t>
  </si>
  <si>
    <t>FRESLN1123</t>
  </si>
  <si>
    <t>Fresnillo PLC</t>
  </si>
  <si>
    <t>Bono Fresnillo</t>
  </si>
  <si>
    <t>TRUST F/14</t>
  </si>
  <si>
    <t>FUNOTR1224</t>
  </si>
  <si>
    <t>Fibra UNO</t>
  </si>
  <si>
    <t>Bono Fibra UNO</t>
  </si>
  <si>
    <t>GERDAU</t>
  </si>
  <si>
    <t>GGBRB0121</t>
  </si>
  <si>
    <t>Gerdau Holdings</t>
  </si>
  <si>
    <t>Bono Gerdau Holding</t>
  </si>
  <si>
    <t>GLOBAL BAN</t>
  </si>
  <si>
    <t>GLBACO1019</t>
  </si>
  <si>
    <t>Global Bank</t>
  </si>
  <si>
    <t>Bono Global Bank</t>
  </si>
  <si>
    <t>GLBACO1021</t>
  </si>
  <si>
    <t>PONTIS</t>
  </si>
  <si>
    <t>GLOPAR0327</t>
  </si>
  <si>
    <t>Globo</t>
  </si>
  <si>
    <t>Bono Globo</t>
  </si>
  <si>
    <t>GMEXIB</t>
  </si>
  <si>
    <t>GMEXIB1232</t>
  </si>
  <si>
    <t>Mexico Generadora de Energia</t>
  </si>
  <si>
    <t>Bono Mexico Generadora de Energia</t>
  </si>
  <si>
    <t>GNLQUINTER</t>
  </si>
  <si>
    <t>GNLQCI0729</t>
  </si>
  <si>
    <t>GNL Quintero S.A.</t>
  </si>
  <si>
    <t>Bono GNL Quintero S.A.</t>
  </si>
  <si>
    <t>GRUMAB1224</t>
  </si>
  <si>
    <t>Gruma S.A.B</t>
  </si>
  <si>
    <t>GRUP SURA</t>
  </si>
  <si>
    <t>GRUPOS0426</t>
  </si>
  <si>
    <t>Grupo SURA</t>
  </si>
  <si>
    <t>Bono Grupo SURA</t>
  </si>
  <si>
    <t>KALLPA</t>
  </si>
  <si>
    <t>KALLPA0526</t>
  </si>
  <si>
    <t>Kallpa Generacion S.A.</t>
  </si>
  <si>
    <t>Bono Kallpa Generacion S.A.</t>
  </si>
  <si>
    <t>KALLPA0827</t>
  </si>
  <si>
    <t>LIVERPOOL</t>
  </si>
  <si>
    <t>LIVEPL1026</t>
  </si>
  <si>
    <t>El Puerto de Liverpool</t>
  </si>
  <si>
    <t>Bono El Puerto de Liverpool</t>
  </si>
  <si>
    <t>MEXICO CIT</t>
  </si>
  <si>
    <t>MEXCAT1026</t>
  </si>
  <si>
    <t>Mexico City International Airport</t>
  </si>
  <si>
    <t>Bono Mexico International Airport</t>
  </si>
  <si>
    <t>MINSUR</t>
  </si>
  <si>
    <t>MINSUR0224</t>
  </si>
  <si>
    <t>MINSUR 6 1/4 02/07/24</t>
  </si>
  <si>
    <t>Bono EK056008</t>
  </si>
  <si>
    <t>MEXICHEM</t>
  </si>
  <si>
    <t>MXCHF0922</t>
  </si>
  <si>
    <t>Mexichem</t>
  </si>
  <si>
    <t>Bono Mexichem</t>
  </si>
  <si>
    <t>MXCHF1119</t>
  </si>
  <si>
    <t>OLEODUCTO</t>
  </si>
  <si>
    <t>OCENSA0521</t>
  </si>
  <si>
    <t>Oleoducto Central S.A.</t>
  </si>
  <si>
    <t>Bono Oleoducto Central S.A.</t>
  </si>
  <si>
    <t>PCU0735</t>
  </si>
  <si>
    <t>SCCO 7 1/2 07/27/35</t>
  </si>
  <si>
    <t>PEMEX</t>
  </si>
  <si>
    <t>PEMEX0327</t>
  </si>
  <si>
    <t>Petroleos Mexicanos</t>
  </si>
  <si>
    <t>Bono Pemex</t>
  </si>
  <si>
    <t>PETRPE</t>
  </si>
  <si>
    <t>PETRPE0632</t>
  </si>
  <si>
    <t>Petroleos del Peru S.A.</t>
  </si>
  <si>
    <t>Bono Petroleos del Peru</t>
  </si>
  <si>
    <t>RAIZEN</t>
  </si>
  <si>
    <t>RAIZBZ0127</t>
  </si>
  <si>
    <t>Raizen</t>
  </si>
  <si>
    <t>Bono Raizen</t>
  </si>
  <si>
    <t>SCCO0425</t>
  </si>
  <si>
    <t>Southern Copper Corporation</t>
  </si>
  <si>
    <t>SIGMA</t>
  </si>
  <si>
    <t>SIGMA0526</t>
  </si>
  <si>
    <t>Sigma Alimentos S.A.</t>
  </si>
  <si>
    <t>Bono Sigma Alimentos</t>
  </si>
  <si>
    <t>SQM0125</t>
  </si>
  <si>
    <t>Bono SQM</t>
  </si>
  <si>
    <t>SQM0420</t>
  </si>
  <si>
    <t>SUAM FINAN</t>
  </si>
  <si>
    <t>SUAMSA0424</t>
  </si>
  <si>
    <t>Sura Asset Management</t>
  </si>
  <si>
    <t>Bono Sura Asset Management S.A.</t>
  </si>
  <si>
    <t>SUAMSA0427</t>
  </si>
  <si>
    <t>SUZANO</t>
  </si>
  <si>
    <t>SUZANO0726</t>
  </si>
  <si>
    <t>Suzano Trading Ltd</t>
  </si>
  <si>
    <t>Bono Suzano</t>
  </si>
  <si>
    <t>TLEVISACPO</t>
  </si>
  <si>
    <t>TELVIS0140</t>
  </si>
  <si>
    <t>Grupo Televisa SAB</t>
  </si>
  <si>
    <t>Bono Televisa</t>
  </si>
  <si>
    <t>PLA ADMINI</t>
  </si>
  <si>
    <t>TERRAF1122</t>
  </si>
  <si>
    <t>Terrafina</t>
  </si>
  <si>
    <t>Bono Terrafina</t>
  </si>
  <si>
    <t>TGPERU</t>
  </si>
  <si>
    <t>TGPERU0428</t>
  </si>
  <si>
    <t>Transporte de Gas Peru</t>
  </si>
  <si>
    <t>Bono Transporte de Gas Peru</t>
  </si>
  <si>
    <t>TRANSPGAS</t>
  </si>
  <si>
    <t>TRAGSA0322</t>
  </si>
  <si>
    <t>TGI S.A.</t>
  </si>
  <si>
    <t>Bono TGI S.A.</t>
  </si>
  <si>
    <t>TRANSMANTA</t>
  </si>
  <si>
    <t>TRANSM0523</t>
  </si>
  <si>
    <t>Consorcio Transmantaro S.A.</t>
  </si>
  <si>
    <t>Bono Transmantaro S.A.</t>
  </si>
  <si>
    <t>TREASURY</t>
  </si>
  <si>
    <t>TREA073122</t>
  </si>
  <si>
    <t>U.S. Government National</t>
  </si>
  <si>
    <t>Bono del Tesoro EEUU</t>
  </si>
  <si>
    <t>US</t>
  </si>
  <si>
    <t>AUTOCENTRA</t>
  </si>
  <si>
    <t>BACEN-A1</t>
  </si>
  <si>
    <t>Soc. Conc. Autopista Central S.A.</t>
  </si>
  <si>
    <t>Bono Autopista Central</t>
  </si>
  <si>
    <t>BAGRS-D</t>
  </si>
  <si>
    <t>AUTONORTE</t>
  </si>
  <si>
    <t>BANOR-B2</t>
  </si>
  <si>
    <t>Soc. Conc. Vespucio Norte Express S.A.</t>
  </si>
  <si>
    <t>Autopista Norte</t>
  </si>
  <si>
    <t>AGUAS NSUR</t>
  </si>
  <si>
    <t>BANSM-A</t>
  </si>
  <si>
    <t>Aguas Nuevo Sur</t>
  </si>
  <si>
    <t>Bono Aguas Nuevo Sur</t>
  </si>
  <si>
    <t>AGUAS NUEV</t>
  </si>
  <si>
    <t>BANUE-A</t>
  </si>
  <si>
    <t>Bono Aguas Nuevas</t>
  </si>
  <si>
    <t>BARAU-F</t>
  </si>
  <si>
    <t>BARAU-P</t>
  </si>
  <si>
    <t>BARAU-S</t>
  </si>
  <si>
    <t>AYSTRES</t>
  </si>
  <si>
    <t>BAYS3-A</t>
  </si>
  <si>
    <t>INVERSIONES AYS TRES</t>
  </si>
  <si>
    <t>Bono Inversiones Ays Tres</t>
  </si>
  <si>
    <t>BBANM-D</t>
  </si>
  <si>
    <t>Bonos Banmedica</t>
  </si>
  <si>
    <t>BBANM-Q</t>
  </si>
  <si>
    <t>BBBVJ71215</t>
  </si>
  <si>
    <t>BBBVK20212</t>
  </si>
  <si>
    <t>BBBVK51113</t>
  </si>
  <si>
    <t>BBBVK80714</t>
  </si>
  <si>
    <t>BBBVM31113</t>
  </si>
  <si>
    <t>BBCIAB0708</t>
  </si>
  <si>
    <t>BBCIF20812</t>
  </si>
  <si>
    <t>BBCIJ21014</t>
  </si>
  <si>
    <t>BCI SECURI</t>
  </si>
  <si>
    <t>BBCIS-P26A</t>
  </si>
  <si>
    <t>BCI Securitizadora</t>
  </si>
  <si>
    <t>BBCIS-P30A</t>
  </si>
  <si>
    <t>BBIC480510</t>
  </si>
  <si>
    <t>Bono Bancario Bice 48</t>
  </si>
  <si>
    <t>BBIC590314</t>
  </si>
  <si>
    <t>BBNS-F1109</t>
  </si>
  <si>
    <t>BBNS-M0412</t>
  </si>
  <si>
    <t>BBNS-X0814</t>
  </si>
  <si>
    <t>BBNSAB0515</t>
  </si>
  <si>
    <t>BBNSAD1015</t>
  </si>
  <si>
    <t>BCAJ-L1215</t>
  </si>
  <si>
    <t>BCAJ-Q0117</t>
  </si>
  <si>
    <t>BCAJ-U0517</t>
  </si>
  <si>
    <t>BCAPS-G</t>
  </si>
  <si>
    <t>Bono CAP</t>
  </si>
  <si>
    <t>BCAPS-H</t>
  </si>
  <si>
    <t>BCENC-F</t>
  </si>
  <si>
    <t>BCENC-J</t>
  </si>
  <si>
    <t>BCENC-N</t>
  </si>
  <si>
    <t>BCENC-O</t>
  </si>
  <si>
    <t>CONSOR FIN</t>
  </si>
  <si>
    <t>BCFSA-B</t>
  </si>
  <si>
    <t>Consorcio Financiera</t>
  </si>
  <si>
    <t>Bono Consorcio</t>
  </si>
  <si>
    <t>BCFSA-C</t>
  </si>
  <si>
    <t>Bono Consorcio Financiero</t>
  </si>
  <si>
    <t>ELECTRICID</t>
  </si>
  <si>
    <t>BCGEI-I</t>
  </si>
  <si>
    <t>Cía. General de Electricidad S.A.</t>
  </si>
  <si>
    <t>Bono Cge</t>
  </si>
  <si>
    <t>CG VIDA</t>
  </si>
  <si>
    <t>BCGVI-B</t>
  </si>
  <si>
    <t>Corpgroup Vida Chile</t>
  </si>
  <si>
    <t>Bono Corpgroup Vida Chile</t>
  </si>
  <si>
    <t>BCHIAM0413</t>
  </si>
  <si>
    <t>BCHIAP0213</t>
  </si>
  <si>
    <t>BCHIAY0213</t>
  </si>
  <si>
    <t>BANCHILSEC</t>
  </si>
  <si>
    <t>BCHIS-P18A</t>
  </si>
  <si>
    <t>Banchile Securitizadora</t>
  </si>
  <si>
    <t>Bono Banchile Securitizadora</t>
  </si>
  <si>
    <t>BCHIUS0212</t>
  </si>
  <si>
    <t>BCHIUU0212</t>
  </si>
  <si>
    <t>BCNO-C0613</t>
  </si>
  <si>
    <t>BCNO-L1114</t>
  </si>
  <si>
    <t>BCNO-O1114</t>
  </si>
  <si>
    <t>BCNO-U0915</t>
  </si>
  <si>
    <t>BCOLB-F</t>
  </si>
  <si>
    <t>BCOLB-I</t>
  </si>
  <si>
    <t>Bono Colbun S.A.</t>
  </si>
  <si>
    <t>BCOO-C0713</t>
  </si>
  <si>
    <t>Bono Coopeuch</t>
  </si>
  <si>
    <t>BCOOD20514</t>
  </si>
  <si>
    <t>BCORAO0710</t>
  </si>
  <si>
    <t>BCORBW0914</t>
  </si>
  <si>
    <t>BCORBX0914</t>
  </si>
  <si>
    <t>TELEFONOS</t>
  </si>
  <si>
    <t>BCTCH-Q</t>
  </si>
  <si>
    <t>CTC S.A.</t>
  </si>
  <si>
    <t>Bono Ctc</t>
  </si>
  <si>
    <t>BECOP-G</t>
  </si>
  <si>
    <t>Bono Copec</t>
  </si>
  <si>
    <t>BECOP-H</t>
  </si>
  <si>
    <t>Bono Empresas Copec</t>
  </si>
  <si>
    <t>KOPOLAR</t>
  </si>
  <si>
    <t>BEKOP-C</t>
  </si>
  <si>
    <t>Embotelladoras Coca-Cola Polar S.A.</t>
  </si>
  <si>
    <t>Bono Kopolar</t>
  </si>
  <si>
    <t>ENAEX</t>
  </si>
  <si>
    <t>BENAE-A</t>
  </si>
  <si>
    <t>Bono Enaex S.A.</t>
  </si>
  <si>
    <t>ENDESA S.A.</t>
  </si>
  <si>
    <t>ENDESA</t>
  </si>
  <si>
    <t>BENDE-M</t>
  </si>
  <si>
    <t>Bono Endesa</t>
  </si>
  <si>
    <t>ESSAL</t>
  </si>
  <si>
    <t>BESAL-B</t>
  </si>
  <si>
    <t>Empresa de Servicios Sanitarios de Los Lagos</t>
  </si>
  <si>
    <t>Bono Essal</t>
  </si>
  <si>
    <t>BESTK30114</t>
  </si>
  <si>
    <t>BESTO30315</t>
  </si>
  <si>
    <t>BESTO50615</t>
  </si>
  <si>
    <t>BESTS50317</t>
  </si>
  <si>
    <t>ESVAL</t>
  </si>
  <si>
    <t>BESVA-D1</t>
  </si>
  <si>
    <t>Bono Esval</t>
  </si>
  <si>
    <t>BESVA-J</t>
  </si>
  <si>
    <t>BESVA-M</t>
  </si>
  <si>
    <t>BFAL-A0510</t>
  </si>
  <si>
    <t>BFAL-F0615</t>
  </si>
  <si>
    <t>BFALA-Q</t>
  </si>
  <si>
    <t>BFORU-AQ</t>
  </si>
  <si>
    <t>BFORU-AR</t>
  </si>
  <si>
    <t>BFORU-AT</t>
  </si>
  <si>
    <t>BFORU-BF</t>
  </si>
  <si>
    <t>BGENE-N</t>
  </si>
  <si>
    <t>ELECDELSUR</t>
  </si>
  <si>
    <t>BIELC-D</t>
  </si>
  <si>
    <t>Distribuidora de Electrividad del Sur</t>
  </si>
  <si>
    <t>Bono Distribuidora Del Sur</t>
  </si>
  <si>
    <t>CFIRENTAS</t>
  </si>
  <si>
    <t>BINDE-A</t>
  </si>
  <si>
    <t>Fondo de Inversion Independencia Rentas Inmobiliarias</t>
  </si>
  <si>
    <t>Bono Fondo de Inversion Independencia Rentas Inmobiliarias</t>
  </si>
  <si>
    <t>BBINTERNAC</t>
  </si>
  <si>
    <t>BINT-G0617</t>
  </si>
  <si>
    <t>Bono Banco Internacional</t>
  </si>
  <si>
    <t>BITA-K0911</t>
  </si>
  <si>
    <t>BITA-V1212</t>
  </si>
  <si>
    <t>BITAAF0614</t>
  </si>
  <si>
    <t>JUMBO</t>
  </si>
  <si>
    <t>BJUMB-B2</t>
  </si>
  <si>
    <t>Bono Jumbo</t>
  </si>
  <si>
    <t>LQ INV.FIN</t>
  </si>
  <si>
    <t>BLQIF-D</t>
  </si>
  <si>
    <t>LQ Inversiones Financieras</t>
  </si>
  <si>
    <t>Bono LQ Inversiones</t>
  </si>
  <si>
    <t>BMGAS-D2</t>
  </si>
  <si>
    <t>NTRANSELEC</t>
  </si>
  <si>
    <t>BNTRA-D</t>
  </si>
  <si>
    <t>Transelec S.A.</t>
  </si>
  <si>
    <t>Serie Transelec S.A.</t>
  </si>
  <si>
    <t>P.ARAUCO</t>
  </si>
  <si>
    <t>BPARC-L</t>
  </si>
  <si>
    <t>Bono Parque Arauco</t>
  </si>
  <si>
    <t>BPLZA-C</t>
  </si>
  <si>
    <t>BQUIN-F</t>
  </si>
  <si>
    <t>SM SAAM</t>
  </si>
  <si>
    <t>BSAAM-C</t>
  </si>
  <si>
    <t>Bono SM SAAM</t>
  </si>
  <si>
    <t>SAESA S.A.</t>
  </si>
  <si>
    <t>BSECK21111</t>
  </si>
  <si>
    <t>BSECK31112</t>
  </si>
  <si>
    <t>BSECK60315</t>
  </si>
  <si>
    <t>BSECZ10715</t>
  </si>
  <si>
    <t>BSKSA-C</t>
  </si>
  <si>
    <t>BSKSA-E</t>
  </si>
  <si>
    <t>SODIMAC</t>
  </si>
  <si>
    <t>BSODI-H</t>
  </si>
  <si>
    <t>Sodimac</t>
  </si>
  <si>
    <t>Bono Sodimac</t>
  </si>
  <si>
    <t>SONACOL</t>
  </si>
  <si>
    <t>BSONA-C</t>
  </si>
  <si>
    <t>Soc. Nac. Oleoductos</t>
  </si>
  <si>
    <t>Bono Sociedad Nacional De Oleoductos</t>
  </si>
  <si>
    <t>BSOND-C</t>
  </si>
  <si>
    <t>Bono Sonda</t>
  </si>
  <si>
    <t>BSOND-E</t>
  </si>
  <si>
    <t>BSOQU-H</t>
  </si>
  <si>
    <t>BSTDE60412</t>
  </si>
  <si>
    <t>BSTDED0114</t>
  </si>
  <si>
    <t>BSTDP40315</t>
  </si>
  <si>
    <t>BSTDP80315</t>
  </si>
  <si>
    <t>BSTDR40915</t>
  </si>
  <si>
    <t>BSTDR61215</t>
  </si>
  <si>
    <t>BTANN-P</t>
  </si>
  <si>
    <t>BTANN-S</t>
  </si>
  <si>
    <t>BTANN-U</t>
  </si>
  <si>
    <t>BTMOV-F</t>
  </si>
  <si>
    <t>BTMOV-K</t>
  </si>
  <si>
    <t>FWDCLUS21618</t>
  </si>
  <si>
    <t>FWDCLUS32918</t>
  </si>
  <si>
    <t>FWDCLUS8318</t>
  </si>
  <si>
    <t>FWDUSCL8318</t>
  </si>
  <si>
    <t>UBBV-A1203</t>
  </si>
  <si>
    <t>UBCIF10599</t>
  </si>
  <si>
    <t>UBCIS11205</t>
  </si>
  <si>
    <t>Bono Subordinado Bci</t>
  </si>
  <si>
    <t>UBCIS21205</t>
  </si>
  <si>
    <t>UCHIC20100</t>
  </si>
  <si>
    <t>Bono Subordinado Banco Chile</t>
  </si>
  <si>
    <t>UCHID10402</t>
  </si>
  <si>
    <t>BBEDWARDS</t>
  </si>
  <si>
    <t>UEDWA60899</t>
  </si>
  <si>
    <t>Banco Edwards Citi</t>
  </si>
  <si>
    <t>Bono Banco Edwards</t>
  </si>
  <si>
    <t>UEST-A0799</t>
  </si>
  <si>
    <t>UEST-C0405</t>
  </si>
  <si>
    <t>Bono Subordinado Banco Estado</t>
  </si>
  <si>
    <t>UFAL-A0607</t>
  </si>
  <si>
    <t>Bono Subordinado Banco Falabella</t>
  </si>
  <si>
    <t>UITA-C0408</t>
  </si>
  <si>
    <t>Bono Subordinado Banco Itau</t>
  </si>
  <si>
    <t>USTD-M0301</t>
  </si>
  <si>
    <t>FIP GM</t>
  </si>
  <si>
    <t>CFIPGMISTR</t>
  </si>
  <si>
    <t>Caja de Compensación Gabriela Mistral</t>
  </si>
  <si>
    <t>Cuotas de Fondo Caja Gabriela Mistral</t>
  </si>
  <si>
    <t>FIP LP 01</t>
  </si>
  <si>
    <t>CFIPLAPOL1</t>
  </si>
  <si>
    <t>La Polar S.A.</t>
  </si>
  <si>
    <t>Cuotas de Fondo La Polar</t>
  </si>
  <si>
    <t>C</t>
  </si>
  <si>
    <t>CAJA IMT E-PLUS</t>
  </si>
  <si>
    <t>LATAIR1127</t>
  </si>
  <si>
    <t>Bono LATAM Airlines</t>
  </si>
  <si>
    <t>FACTORLINE</t>
  </si>
  <si>
    <t>BFLIN-I</t>
  </si>
  <si>
    <t>Factorline S.A.</t>
  </si>
  <si>
    <t>Bono Factorline</t>
  </si>
  <si>
    <t>Bono SF Tanner S.A.</t>
  </si>
  <si>
    <t>USECE10506</t>
  </si>
  <si>
    <t>GASCO</t>
  </si>
  <si>
    <t>BGASC-F2</t>
  </si>
  <si>
    <t>Gasco</t>
  </si>
  <si>
    <t>Bono GASCO</t>
  </si>
  <si>
    <t>RED SALUD</t>
  </si>
  <si>
    <t>BREDS-E</t>
  </si>
  <si>
    <t>Red Salud</t>
  </si>
  <si>
    <t>Bono Red Salud</t>
  </si>
  <si>
    <t>RIPLEYCORP</t>
  </si>
  <si>
    <t>BRPLC-D</t>
  </si>
  <si>
    <t>Ripley Chile S.A.</t>
  </si>
  <si>
    <t>Bono Ripley</t>
  </si>
  <si>
    <t>AUTOVESNOR</t>
  </si>
  <si>
    <t>BAVNO-A1</t>
  </si>
  <si>
    <t>Bono Vespucio Norte Express</t>
  </si>
  <si>
    <t>USECJ11206</t>
  </si>
  <si>
    <t>Bono Subordinado Banco Security</t>
  </si>
  <si>
    <t>EM.CAROZZI</t>
  </si>
  <si>
    <t>BEMCA-J</t>
  </si>
  <si>
    <t>Empresas Carozzi S.A.</t>
  </si>
  <si>
    <t>Bono Carozzi</t>
  </si>
  <si>
    <t>RIPLEY S.A</t>
  </si>
  <si>
    <t>BRPLY-E</t>
  </si>
  <si>
    <t>SANTA RITA</t>
  </si>
  <si>
    <t>BRITA-F</t>
  </si>
  <si>
    <t>Santa Rita S.A.</t>
  </si>
  <si>
    <t>Bono Santa Rita</t>
  </si>
  <si>
    <t>UBBV-G0506</t>
  </si>
  <si>
    <t>UBBVH90607</t>
  </si>
  <si>
    <t>UCNO-A1011</t>
  </si>
  <si>
    <t>Bono Subordinado Banco Consorcio</t>
  </si>
  <si>
    <t>UCNO-G0414</t>
  </si>
  <si>
    <t>UCNO-K1114</t>
  </si>
  <si>
    <t>UBICS30207</t>
  </si>
  <si>
    <t>Bono Subordinado BCI</t>
  </si>
  <si>
    <t>UINT-D0111</t>
  </si>
  <si>
    <t>USECJ20312</t>
  </si>
  <si>
    <t>USECJ31013</t>
  </si>
  <si>
    <t>BCELE-A</t>
  </si>
  <si>
    <t>BEMCA-P</t>
  </si>
  <si>
    <t>BENTE-M</t>
  </si>
  <si>
    <t>BGASC-D</t>
  </si>
  <si>
    <t>BGASC-H</t>
  </si>
  <si>
    <t>LAS CONDES</t>
  </si>
  <si>
    <t>BLCON-B</t>
  </si>
  <si>
    <t>Bono Clinica Las Condes</t>
  </si>
  <si>
    <t>MOLYMET</t>
  </si>
  <si>
    <t>BMOLY-C</t>
  </si>
  <si>
    <t>Bono Molymet</t>
  </si>
  <si>
    <t>RENTAS</t>
  </si>
  <si>
    <t>BRENT-C</t>
  </si>
  <si>
    <t>Sociedad de Rentas Comerciales S.A.</t>
  </si>
  <si>
    <t>Bono Sociedad de Rentas Comerciales</t>
  </si>
  <si>
    <t>BRPLC-F</t>
  </si>
  <si>
    <t>SECHOLDING</t>
  </si>
  <si>
    <t>BSECU-L3</t>
  </si>
  <si>
    <t>Security Holdings S.A.</t>
  </si>
  <si>
    <t>Bono Holding Security</t>
  </si>
  <si>
    <t>BSECU-M</t>
  </si>
  <si>
    <t>SOUTHWATER</t>
  </si>
  <si>
    <t>BSWTR-E</t>
  </si>
  <si>
    <t>Inversiones Southwater Ltda</t>
  </si>
  <si>
    <t>Bono Inversiones Southwater</t>
  </si>
  <si>
    <t>BSWTR-I</t>
  </si>
  <si>
    <t>BWATT-I</t>
  </si>
  <si>
    <t>Bono Watts S.A.</t>
  </si>
  <si>
    <t>BWATT-L</t>
  </si>
  <si>
    <t>BAGUA-AA</t>
  </si>
  <si>
    <t>BBANM-J</t>
  </si>
  <si>
    <t>UCOR-V0808</t>
  </si>
  <si>
    <t>Bono Subordinado Corpbanca</t>
  </si>
  <si>
    <t>UCORBF0710</t>
  </si>
  <si>
    <t>UCORBI0710</t>
  </si>
  <si>
    <t>UCORBJ0710</t>
  </si>
  <si>
    <t>BBDESARROL</t>
  </si>
  <si>
    <t>UDES-F1004</t>
  </si>
  <si>
    <t>Bono Subordinado Banco Desarrollo</t>
  </si>
  <si>
    <t>BFAL-E0615</t>
  </si>
  <si>
    <t>BCMPC-F</t>
  </si>
  <si>
    <t>Bono Empresas CMPC S.A.</t>
  </si>
  <si>
    <t>BCTOR-K</t>
  </si>
  <si>
    <t>BCOOE20315</t>
  </si>
  <si>
    <t>BNTRA-H</t>
  </si>
  <si>
    <t>Bono Transelec S.A.</t>
  </si>
  <si>
    <t>BQUIN-C</t>
  </si>
  <si>
    <t>LOS HEROES</t>
  </si>
  <si>
    <t>BHER-A1212</t>
  </si>
  <si>
    <t>Caja Los Héroes</t>
  </si>
  <si>
    <t>Bono Los Heroes C.C.A.F.</t>
  </si>
  <si>
    <t>BHER-C0413</t>
  </si>
  <si>
    <t>BHER-E0813</t>
  </si>
  <si>
    <t>BHER-G0914</t>
  </si>
  <si>
    <t>MASISA0519</t>
  </si>
  <si>
    <t>Bono Masisa</t>
  </si>
  <si>
    <t>BSALF-M</t>
  </si>
  <si>
    <t>Bono Salfacorp</t>
  </si>
  <si>
    <t>GEOPARK</t>
  </si>
  <si>
    <t>GeoPark</t>
  </si>
  <si>
    <t>Bono GeoPark</t>
  </si>
  <si>
    <t>LATAM AIR</t>
  </si>
  <si>
    <t>LATAIR0920</t>
  </si>
  <si>
    <t>BHER-M0117</t>
  </si>
  <si>
    <t>Bono Caja Los Heroes</t>
  </si>
  <si>
    <t>UDECONCE</t>
  </si>
  <si>
    <t>BUDC-A</t>
  </si>
  <si>
    <t>Universidad de Concepción</t>
  </si>
  <si>
    <t>Bono Universidad De Concepcion</t>
  </si>
  <si>
    <t>Educación</t>
  </si>
  <si>
    <t>ENJOY</t>
  </si>
  <si>
    <t>BENJO-C</t>
  </si>
  <si>
    <t>Enjoy</t>
  </si>
  <si>
    <t>Bono Enjoy</t>
  </si>
  <si>
    <t>ENJOY0522</t>
  </si>
  <si>
    <t>BLATM-A</t>
  </si>
  <si>
    <t>MELIPILLA</t>
  </si>
  <si>
    <t>BMELI-A</t>
  </si>
  <si>
    <t>Soc. Concesionaria Melipilla S.A.</t>
  </si>
  <si>
    <t>Bono Autopista Melipilla</t>
  </si>
  <si>
    <t>NAVIERA</t>
  </si>
  <si>
    <t>BNAVI-A</t>
  </si>
  <si>
    <t>Empresas Navieras S.A.</t>
  </si>
  <si>
    <t>Bono Naviera</t>
  </si>
  <si>
    <t>BCSMU-G</t>
  </si>
  <si>
    <t>Bono SMU S.A.</t>
  </si>
  <si>
    <t>BCSMU-K</t>
  </si>
  <si>
    <t>VTR FIN</t>
  </si>
  <si>
    <t>LBTYA 0124</t>
  </si>
  <si>
    <t>VTR</t>
  </si>
  <si>
    <t>Bono VTR USD</t>
  </si>
  <si>
    <t>B+</t>
  </si>
  <si>
    <t>BLATM-B</t>
  </si>
  <si>
    <t>BTP0450326</t>
  </si>
  <si>
    <t>BTP0600143</t>
  </si>
  <si>
    <t>BTU0300144</t>
  </si>
  <si>
    <t>FNSBLE</t>
  </si>
  <si>
    <t>Servicios Agroindustriales Subsole</t>
  </si>
  <si>
    <t>Factura Servicios Agroindustriales Subsole</t>
  </si>
  <si>
    <t>MBONO</t>
  </si>
  <si>
    <t>MBONO 0529</t>
  </si>
  <si>
    <t>Gobierno de Mexico</t>
  </si>
  <si>
    <t>Bono Gobierno De Mexico</t>
  </si>
  <si>
    <t>MBONO 1136</t>
  </si>
  <si>
    <t>MBONO 1224</t>
  </si>
  <si>
    <t>MBONO05/31</t>
  </si>
  <si>
    <t>MBONO 1142</t>
  </si>
  <si>
    <t>BBOTS-P2D</t>
  </si>
  <si>
    <t>Bono Boston Securitizadora P2D</t>
  </si>
  <si>
    <t>BBOTS-P3F</t>
  </si>
  <si>
    <t>Bonos Boston Securitizadora P3F</t>
  </si>
  <si>
    <t>SAESA</t>
  </si>
  <si>
    <t>BSAES-G</t>
  </si>
  <si>
    <t>Bono Saesa-G Flotante Tab Uf 360</t>
  </si>
  <si>
    <t>SECURITSEC</t>
  </si>
  <si>
    <t>BSECS-12A3</t>
  </si>
  <si>
    <t>Inversiones Security Securitizadora</t>
  </si>
  <si>
    <t>BESVA-P</t>
  </si>
  <si>
    <t>INVCMPC</t>
  </si>
  <si>
    <t>BMETR-K</t>
  </si>
  <si>
    <t>BTU0300119</t>
  </si>
  <si>
    <t>BVL3AV0618</t>
  </si>
  <si>
    <t>BVL3AV0918</t>
  </si>
  <si>
    <t>BVL3CV1217</t>
  </si>
  <si>
    <t>CERO010418</t>
  </si>
  <si>
    <t>Bono Cero</t>
  </si>
  <si>
    <t>BCU</t>
  </si>
  <si>
    <t>BCU0300322</t>
  </si>
  <si>
    <t>Bono Bullet Bco Central En Uf</t>
  </si>
  <si>
    <t>BOSTON</t>
  </si>
  <si>
    <t>BOT45B0106</t>
  </si>
  <si>
    <t>Lh Boston-45B</t>
  </si>
  <si>
    <t>Letra Hipotecaria</t>
  </si>
  <si>
    <t>CHI0210103</t>
  </si>
  <si>
    <t>Lh Chile-021</t>
  </si>
  <si>
    <t>DESARROLLO</t>
  </si>
  <si>
    <t>DES4020707</t>
  </si>
  <si>
    <t>Lh Desarrollo-402</t>
  </si>
  <si>
    <t>DES45F0105</t>
  </si>
  <si>
    <t>Lh Desarrollo-45F</t>
  </si>
  <si>
    <t>DES4820106</t>
  </si>
  <si>
    <t>Lh Desarrollo-S48</t>
  </si>
  <si>
    <t>DES4820107</t>
  </si>
  <si>
    <t>Lh Desarrollo-482</t>
  </si>
  <si>
    <t>EST2070107</t>
  </si>
  <si>
    <t>Lh Estado-207</t>
  </si>
  <si>
    <t>EST2070108</t>
  </si>
  <si>
    <t>EST4170105</t>
  </si>
  <si>
    <t>Lh Estado-417</t>
  </si>
  <si>
    <t>FAL48Q0106</t>
  </si>
  <si>
    <t>Lh Falabella-48Q</t>
  </si>
  <si>
    <t>FAL48Q0605</t>
  </si>
  <si>
    <t>FAL62V0102</t>
  </si>
  <si>
    <t>Lh Falabella-62V</t>
  </si>
  <si>
    <t>RPLG0E0105</t>
  </si>
  <si>
    <t>Lh Ripley-G0E (01/05)</t>
  </si>
  <si>
    <t>ABNA200101</t>
  </si>
  <si>
    <t>Letras Scotiabank</t>
  </si>
  <si>
    <t>ABNE200101</t>
  </si>
  <si>
    <t>FAL50Q0104</t>
  </si>
  <si>
    <t>Lh Falabella-50Q</t>
  </si>
  <si>
    <t>STD47O0103</t>
  </si>
  <si>
    <t>Lh Sant-Chile-47O (01/03)</t>
  </si>
  <si>
    <t>FWDCLUS121517</t>
  </si>
  <si>
    <t>FWDCLUS41118</t>
  </si>
  <si>
    <t>FWDCLUS42718</t>
  </si>
  <si>
    <t>FWDCLUS61318</t>
  </si>
  <si>
    <t>FWDCLUS62918</t>
  </si>
  <si>
    <t>FWDCLUS81018</t>
  </si>
  <si>
    <t>FWDCLUS81418</t>
  </si>
  <si>
    <t>FWDUSCL41118</t>
  </si>
  <si>
    <t>FWDUSCL42718</t>
  </si>
  <si>
    <t>FWDUSCL102417</t>
  </si>
  <si>
    <t>CAJA RENTA</t>
  </si>
  <si>
    <t>NA</t>
  </si>
  <si>
    <t>AGUAS-A</t>
  </si>
  <si>
    <t>ANDINA</t>
  </si>
  <si>
    <t>ANDINA-B</t>
  </si>
  <si>
    <t>ANTARCHILE</t>
  </si>
  <si>
    <t>Antarchile S.A.</t>
  </si>
  <si>
    <t>Cap S.A.</t>
  </si>
  <si>
    <t>CCU</t>
  </si>
  <si>
    <t xml:space="preserve">CCU       </t>
  </si>
  <si>
    <t>ECL</t>
  </si>
  <si>
    <t xml:space="preserve">ECL       </t>
  </si>
  <si>
    <t>ENELCHILE</t>
  </si>
  <si>
    <t>Enel Chile S.A.</t>
  </si>
  <si>
    <t xml:space="preserve">ENTEL     </t>
  </si>
  <si>
    <t>FORUS</t>
  </si>
  <si>
    <t xml:space="preserve">FORUS     </t>
  </si>
  <si>
    <t>IAM</t>
  </si>
  <si>
    <t>Inversiones Aguas Metropolitanas S.A.</t>
  </si>
  <si>
    <t>ILC</t>
  </si>
  <si>
    <t>Inversiones La Construcción S.A.</t>
  </si>
  <si>
    <t>ORO BLANCO</t>
  </si>
  <si>
    <t>Oro Blanco</t>
  </si>
  <si>
    <t>PARAUCO</t>
  </si>
  <si>
    <t>VAPORES</t>
  </si>
  <si>
    <t xml:space="preserve">VAPORES   </t>
  </si>
  <si>
    <t>ITAU</t>
  </si>
  <si>
    <t>Deposito Banco Itau</t>
  </si>
  <si>
    <t>FWDUSCL101917</t>
  </si>
  <si>
    <t>FENIX</t>
  </si>
  <si>
    <t>AEIUS0927</t>
  </si>
  <si>
    <t>Fenix Power Peru</t>
  </si>
  <si>
    <t>Bono Fenix</t>
  </si>
  <si>
    <t>AESGEN0821</t>
  </si>
  <si>
    <t>AF241469</t>
  </si>
  <si>
    <t>AESGEN 5 07/14/25</t>
  </si>
  <si>
    <t>AH007884</t>
  </si>
  <si>
    <t>FUNOTR 5 1/4 01/30/26</t>
  </si>
  <si>
    <t>ALFAA0324</t>
  </si>
  <si>
    <t>AlFA S.A.B</t>
  </si>
  <si>
    <t>BANISTMO</t>
  </si>
  <si>
    <t>BISTPP0922</t>
  </si>
  <si>
    <t>Banitsmo SA</t>
  </si>
  <si>
    <t>Bono Banistmo</t>
  </si>
  <si>
    <t>BRFSBZ0524</t>
  </si>
  <si>
    <t>BSANCI0922</t>
  </si>
  <si>
    <t>CREDICORP</t>
  </si>
  <si>
    <t>CCLACDC</t>
  </si>
  <si>
    <t>Credicorp Latinamerc C Db-C</t>
  </si>
  <si>
    <t>CMPCCI2204</t>
  </si>
  <si>
    <t>EC642125</t>
  </si>
  <si>
    <t>TELVIS 8 1/2 03/11/32</t>
  </si>
  <si>
    <t>ED286407</t>
  </si>
  <si>
    <t>VALEBZ 8 1/4 01/17/34</t>
  </si>
  <si>
    <t>ED825356</t>
  </si>
  <si>
    <t>AMXLMM 6 3/8 03/01/35</t>
  </si>
  <si>
    <t>EF068792</t>
  </si>
  <si>
    <t>TELVIS 6 5/8 03/18/25</t>
  </si>
  <si>
    <t>EF861855</t>
  </si>
  <si>
    <t>VALEBZ 6 7/8 11/21/36</t>
  </si>
  <si>
    <t>EG975325</t>
  </si>
  <si>
    <t>AMXLMM 6 1/8 11/15/37</t>
  </si>
  <si>
    <t>EH967599</t>
  </si>
  <si>
    <t>VALEBZ 5 5/8 09/15/19</t>
  </si>
  <si>
    <t>EI015295</t>
  </si>
  <si>
    <t>CELARA 7 1/4 07/29/19</t>
  </si>
  <si>
    <t>EI032072</t>
  </si>
  <si>
    <t>CMPCCI 6 1/8 11/05/19</t>
  </si>
  <si>
    <t>EI036018</t>
  </si>
  <si>
    <t>VALEBZ 6 7/8 11/10/39</t>
  </si>
  <si>
    <t>EI054931</t>
  </si>
  <si>
    <t>GGBRBZ 7 01/20/20</t>
  </si>
  <si>
    <t>EI112049</t>
  </si>
  <si>
    <t>COLBUN 6 01/21/20</t>
  </si>
  <si>
    <t>EI213380</t>
  </si>
  <si>
    <t>SCCO 5 3/8 04/16/20</t>
  </si>
  <si>
    <t>EI213384</t>
  </si>
  <si>
    <t>SCCO 6 3/4 04/16/40</t>
  </si>
  <si>
    <t>EI241890</t>
  </si>
  <si>
    <t>BRASKM 7 05/07/20</t>
  </si>
  <si>
    <t>EI306294</t>
  </si>
  <si>
    <t>BIMBOA 4 7/8 06/30/20</t>
  </si>
  <si>
    <t>EI327873</t>
  </si>
  <si>
    <t>AMXLMM 5 1/2 11/15/19</t>
  </si>
  <si>
    <t>EI336211</t>
  </si>
  <si>
    <t>AMXLMM 5 03/30/20</t>
  </si>
  <si>
    <t>EI336243</t>
  </si>
  <si>
    <t>AMXLMM 5 10/16/19</t>
  </si>
  <si>
    <t>EI349086</t>
  </si>
  <si>
    <t>KOF 4 5/8 02/15/20</t>
  </si>
  <si>
    <t>EI400317</t>
  </si>
  <si>
    <t>VALEBZ 4 5/8 09/15/20</t>
  </si>
  <si>
    <t>EI419310</t>
  </si>
  <si>
    <t>BRASKM 7 3/8 10/29/49</t>
  </si>
  <si>
    <t>EI467009</t>
  </si>
  <si>
    <t>BCOCPE 5 1/2 11/18/20</t>
  </si>
  <si>
    <t>EI507822</t>
  </si>
  <si>
    <t>ECLCI 5 5/8 01/15/21</t>
  </si>
  <si>
    <t>EI600528</t>
  </si>
  <si>
    <t>BBVASM 6 1/2 03/10/21</t>
  </si>
  <si>
    <t>EI627254</t>
  </si>
  <si>
    <t>CELARA 5 01/21/21</t>
  </si>
  <si>
    <t>EI637624</t>
  </si>
  <si>
    <t>BRASKM 5 3/4 04/15/21</t>
  </si>
  <si>
    <t>EI675437</t>
  </si>
  <si>
    <t>GRUPOS 5.7 05/18/21</t>
  </si>
  <si>
    <t>EI757014</t>
  </si>
  <si>
    <t>BRASKM 7 1/8 07/22/41</t>
  </si>
  <si>
    <t>EI810168</t>
  </si>
  <si>
    <t>BCP 6 7/8 09/16/26</t>
  </si>
  <si>
    <t>EI868226</t>
  </si>
  <si>
    <t>EEBCB 6 1/8 11/10/21</t>
  </si>
  <si>
    <t>EI939724</t>
  </si>
  <si>
    <t>VALEBZ 4 3/8 01/11/22</t>
  </si>
  <si>
    <t>EI992536</t>
  </si>
  <si>
    <t>BIMBOA 4 1/2 01/25/22</t>
  </si>
  <si>
    <t>EJ123001</t>
  </si>
  <si>
    <t>GLOPAR 4 7/8 04/11/22</t>
  </si>
  <si>
    <t>EJ141226</t>
  </si>
  <si>
    <t>BCP 6 1/8 04/24/27</t>
  </si>
  <si>
    <t>EJ152916</t>
  </si>
  <si>
    <t>BRASKM 5 3/8 05/02/22</t>
  </si>
  <si>
    <t>EJ237099</t>
  </si>
  <si>
    <t>EMBRBZ 5.15 06/15/22</t>
  </si>
  <si>
    <t>EJ247759</t>
  </si>
  <si>
    <t>CELARA 4 3/4 01/11/22</t>
  </si>
  <si>
    <t>EJ276737</t>
  </si>
  <si>
    <t>AMXLMM 3 1/8 07/16/22</t>
  </si>
  <si>
    <t>EJ276742</t>
  </si>
  <si>
    <t>AMXLMM 4 3/8 07/16/42</t>
  </si>
  <si>
    <t>EJ341555</t>
  </si>
  <si>
    <t>SCCO 3 1/2 11/08/22</t>
  </si>
  <si>
    <t>EJ341560</t>
  </si>
  <si>
    <t>SCCO 5 1/4 11/08/42</t>
  </si>
  <si>
    <t>EJ350241</t>
  </si>
  <si>
    <t>VALEBZ 5 5/8 09/11/42</t>
  </si>
  <si>
    <t>EJ363274</t>
  </si>
  <si>
    <t>MXCHF 6 3/4 09/19/42</t>
  </si>
  <si>
    <t>EJ393172</t>
  </si>
  <si>
    <t>CTCACI 3 7/8 10/12/22</t>
  </si>
  <si>
    <t>EJ447299</t>
  </si>
  <si>
    <t>ALPEKA 4 1/2 11/20/22</t>
  </si>
  <si>
    <t>EJ548869</t>
  </si>
  <si>
    <t>BCICI 4 02/11/23</t>
  </si>
  <si>
    <t>EJ609917</t>
  </si>
  <si>
    <t>BCP 4 1/4 04/01/23</t>
  </si>
  <si>
    <t>EJ611543</t>
  </si>
  <si>
    <t>SQM 3 5/8 04/03/23</t>
  </si>
  <si>
    <t>EJ627590</t>
  </si>
  <si>
    <t>GGBRBZ 4 3/4 04/15/23</t>
  </si>
  <si>
    <t>EJ654229</t>
  </si>
  <si>
    <t>BFALA 3 3/4 04/30/23</t>
  </si>
  <si>
    <t>EJ668899</t>
  </si>
  <si>
    <t>FEMSA 2 7/8 05/10/23</t>
  </si>
  <si>
    <t>EJ668914</t>
  </si>
  <si>
    <t>FEMSA 4 3/8 05/10/43</t>
  </si>
  <si>
    <t>EJ671705</t>
  </si>
  <si>
    <t>CMPCCI 4 3/8 05/15/23</t>
  </si>
  <si>
    <t>EJ682987</t>
  </si>
  <si>
    <t>BRFSBZ 3.95 05/22/23</t>
  </si>
  <si>
    <t>EJ767592</t>
  </si>
  <si>
    <t>TSELEC 4 5/8 07/26/23</t>
  </si>
  <si>
    <t>EJ836618</t>
  </si>
  <si>
    <t>EMBRBZ 5.696 09/16/23</t>
  </si>
  <si>
    <t>EJ858949</t>
  </si>
  <si>
    <t>ANDINA 5 10/01/23</t>
  </si>
  <si>
    <t>EJ948876</t>
  </si>
  <si>
    <t>KOF 2 3/8 11/26/18</t>
  </si>
  <si>
    <t>EJ948900</t>
  </si>
  <si>
    <t>KOF 3 7/8 11/26/23</t>
  </si>
  <si>
    <t>EJ948972</t>
  </si>
  <si>
    <t>KOF 5 1/4 11/26/43</t>
  </si>
  <si>
    <t>EJ997555</t>
  </si>
  <si>
    <t>BSANTM 5.95 01/30/24</t>
  </si>
  <si>
    <t>EK032439</t>
  </si>
  <si>
    <t>BRASKM 6.45 02/03/24</t>
  </si>
  <si>
    <t>EK044884</t>
  </si>
  <si>
    <t>FUNOTR 6.95 01/30/44</t>
  </si>
  <si>
    <t>EK141014</t>
  </si>
  <si>
    <t>ALFAA 6 7/8 03/25/44</t>
  </si>
  <si>
    <t>EK164157</t>
  </si>
  <si>
    <t>ENELGX 4 1/4 04/15/24</t>
  </si>
  <si>
    <t>EK165147</t>
  </si>
  <si>
    <t>BBVASM 4 3/8 04/10/24</t>
  </si>
  <si>
    <t>EK172187</t>
  </si>
  <si>
    <t>ABENGO 6 7/8 04/30/43</t>
  </si>
  <si>
    <t>EK174265</t>
  </si>
  <si>
    <t>GGBRBZ 7 1/4 04/16/44</t>
  </si>
  <si>
    <t>EK244336</t>
  </si>
  <si>
    <t>GGBRBZ 5.893 04/29/24</t>
  </si>
  <si>
    <t>EK254004</t>
  </si>
  <si>
    <t>FIBRBZ 5 1/4 05/12/24</t>
  </si>
  <si>
    <t>EK265161</t>
  </si>
  <si>
    <t>TELVIS 5 05/13/45</t>
  </si>
  <si>
    <t>EK306386</t>
  </si>
  <si>
    <t>BINBUR 4 1/8 06/06/24</t>
  </si>
  <si>
    <t>EK352999</t>
  </si>
  <si>
    <t>BIMBOA 4 7/8 06/27/44</t>
  </si>
  <si>
    <t>EK353005</t>
  </si>
  <si>
    <t>BIMBOA 3 7/8 06/27/24</t>
  </si>
  <si>
    <t>EK366169</t>
  </si>
  <si>
    <t>COLBUN 4 1/2 07/10/24</t>
  </si>
  <si>
    <t>EK379309</t>
  </si>
  <si>
    <t>TSELEC 4 1/4 01/14/25</t>
  </si>
  <si>
    <t>EK483779</t>
  </si>
  <si>
    <t>ECOPET 4 1/8 01/16/25</t>
  </si>
  <si>
    <t>EK485153</t>
  </si>
  <si>
    <t>MXCHF 5 7/8 09/17/44</t>
  </si>
  <si>
    <t>EK487687</t>
  </si>
  <si>
    <t>CMPCCI 4 3/4 09/15/24</t>
  </si>
  <si>
    <t>EK499474</t>
  </si>
  <si>
    <t>CORBAN 3 7/8 09/22/19</t>
  </si>
  <si>
    <t>EK518163</t>
  </si>
  <si>
    <t>LIVEPL 3.95 10/02/24</t>
  </si>
  <si>
    <t>EK563949</t>
  </si>
  <si>
    <t>BFALA 4 3/8 01/27/25</t>
  </si>
  <si>
    <t>EK568142</t>
  </si>
  <si>
    <t>CELARA 4 1/2 08/01/24</t>
  </si>
  <si>
    <t>EK741346</t>
  </si>
  <si>
    <t>CENSUD 6 5/8 02/12/45</t>
  </si>
  <si>
    <t>EK870984</t>
  </si>
  <si>
    <t>SCCO 5 7/8 04/23/45</t>
  </si>
  <si>
    <t>EK892807</t>
  </si>
  <si>
    <t>BLX 3 1/4 05/07/20</t>
  </si>
  <si>
    <t>EK901418</t>
  </si>
  <si>
    <t>JBYCMX 3 3/4 05/13/25</t>
  </si>
  <si>
    <t>EK951278</t>
  </si>
  <si>
    <t>GLOPAR 4.843 06/08/25</t>
  </si>
  <si>
    <t>EK964786</t>
  </si>
  <si>
    <t>EMBRBZ 5.05 06/15/25</t>
  </si>
  <si>
    <t>LW371842</t>
  </si>
  <si>
    <t>VALEBZ 5 7/8 06/10/21</t>
  </si>
  <si>
    <t>LW810722</t>
  </si>
  <si>
    <t>TSELEC 3 7/8 01/12/29</t>
  </si>
  <si>
    <t>MEXCAT0428</t>
  </si>
  <si>
    <t>MEXCAT0747</t>
  </si>
  <si>
    <t>CAJA</t>
  </si>
  <si>
    <t>MMFDUTG</t>
  </si>
  <si>
    <t>Dreyfus Universal US Treasury</t>
  </si>
  <si>
    <t>Dreyfus Universal Ustreasury Class G</t>
  </si>
  <si>
    <t>QJ878935</t>
  </si>
  <si>
    <t>TELVIS 4 5/8 01/30/26</t>
  </si>
  <si>
    <t>QJ879027</t>
  </si>
  <si>
    <t>TELVIS 6 1/8 01/31/46</t>
  </si>
  <si>
    <t>SUZANO1426</t>
  </si>
  <si>
    <t>VALEBZ</t>
  </si>
  <si>
    <t>VALEBZ0826</t>
  </si>
  <si>
    <t>VALEBZ 6 1/4 08/10/26</t>
  </si>
  <si>
    <t>Bono QZ133223</t>
  </si>
  <si>
    <t>BANDI-B2</t>
  </si>
  <si>
    <t>BBBVJ51113</t>
  </si>
  <si>
    <t>BBBVJ80416</t>
  </si>
  <si>
    <t>BBBVK10509</t>
  </si>
  <si>
    <t>BBBVK30212</t>
  </si>
  <si>
    <t>BBBVK40212</t>
  </si>
  <si>
    <t>BBBVK61113</t>
  </si>
  <si>
    <t>BBBVK70714</t>
  </si>
  <si>
    <t>BBBVK90416</t>
  </si>
  <si>
    <t>BBBVM41113</t>
  </si>
  <si>
    <t>BBBVM50714</t>
  </si>
  <si>
    <t>BBBVM70416</t>
  </si>
  <si>
    <t>BBBVM80416</t>
  </si>
  <si>
    <t>BBBVP10713</t>
  </si>
  <si>
    <t>BBBVP30316</t>
  </si>
  <si>
    <t>BBBVP40316</t>
  </si>
  <si>
    <t>BBCIA10417</t>
  </si>
  <si>
    <t>BBCIA20417</t>
  </si>
  <si>
    <t>BBCIAK1114</t>
  </si>
  <si>
    <t>BBCIB20517</t>
  </si>
  <si>
    <t>BBCIJ11014</t>
  </si>
  <si>
    <t>BBCIL20616</t>
  </si>
  <si>
    <t>BBCIN11216</t>
  </si>
  <si>
    <t>BBIC510214</t>
  </si>
  <si>
    <t>BBIC530312</t>
  </si>
  <si>
    <t>BBIC570214</t>
  </si>
  <si>
    <t>BBIC650116</t>
  </si>
  <si>
    <t>BBIC660316</t>
  </si>
  <si>
    <t>BBIC670316</t>
  </si>
  <si>
    <t>BBNS-J0610</t>
  </si>
  <si>
    <t>BBNS-L0511</t>
  </si>
  <si>
    <t>BBNS-N0712</t>
  </si>
  <si>
    <t>BBNS-Q0513</t>
  </si>
  <si>
    <t>BBNS-R0613</t>
  </si>
  <si>
    <t>BBNS-S1013</t>
  </si>
  <si>
    <t>BBNS-V0514</t>
  </si>
  <si>
    <t>BBNS-W0414</t>
  </si>
  <si>
    <t>BBNS-Y0814</t>
  </si>
  <si>
    <t>BBNSAE0116</t>
  </si>
  <si>
    <t>BCHI-O0704</t>
  </si>
  <si>
    <t>BCHIAH0513</t>
  </si>
  <si>
    <t>BCHIAJ0413</t>
  </si>
  <si>
    <t>BCHIAK0613</t>
  </si>
  <si>
    <t>BCHIAL0213</t>
  </si>
  <si>
    <t>BCHIAN0513</t>
  </si>
  <si>
    <t>BCHIAO0713</t>
  </si>
  <si>
    <t>BCHIAQ0213</t>
  </si>
  <si>
    <t>BCHIAR0613</t>
  </si>
  <si>
    <t>BCHIAS0513</t>
  </si>
  <si>
    <t>BCHIAT0613</t>
  </si>
  <si>
    <t>BCHIAU0213</t>
  </si>
  <si>
    <t>BCHIAV0613</t>
  </si>
  <si>
    <t>BCHIAZ0613</t>
  </si>
  <si>
    <t>BCHIBA0815</t>
  </si>
  <si>
    <t>BCHIBB0815</t>
  </si>
  <si>
    <t>BCHIBC1215</t>
  </si>
  <si>
    <t>BCHIBH0915</t>
  </si>
  <si>
    <t>BCHIBI1115</t>
  </si>
  <si>
    <t>BCHIBM0815</t>
  </si>
  <si>
    <t>BCHIUJ0811</t>
  </si>
  <si>
    <t>BCHIUK0611</t>
  </si>
  <si>
    <t>BCHIUO0911</t>
  </si>
  <si>
    <t>BCHIUP1211</t>
  </si>
  <si>
    <t>BCHIUQ1011</t>
  </si>
  <si>
    <t>BCHIUR1011</t>
  </si>
  <si>
    <t>BCHIUT0112</t>
  </si>
  <si>
    <t>BCHIUV1211</t>
  </si>
  <si>
    <t>BCHIUW1011</t>
  </si>
  <si>
    <t>BCHIUX0212</t>
  </si>
  <si>
    <t>BCHIUY1211</t>
  </si>
  <si>
    <t>BCHIUZ1011</t>
  </si>
  <si>
    <t>BCNOAB0317</t>
  </si>
  <si>
    <t>BCNOAC0117</t>
  </si>
  <si>
    <t>BCODE-C</t>
  </si>
  <si>
    <t>BCOR-P0110</t>
  </si>
  <si>
    <t>BCORAG0710</t>
  </si>
  <si>
    <t>BCORAJ0710</t>
  </si>
  <si>
    <t>BCORAK0710</t>
  </si>
  <si>
    <t>BCORAN0710</t>
  </si>
  <si>
    <t>BCORCA0914</t>
  </si>
  <si>
    <t>BCRIS-F</t>
  </si>
  <si>
    <t>BCTCH-T</t>
  </si>
  <si>
    <t>BECOP-E</t>
  </si>
  <si>
    <t>BEILC-C</t>
  </si>
  <si>
    <t>BEILC-D</t>
  </si>
  <si>
    <t>BEILC-F</t>
  </si>
  <si>
    <t>BELME-D</t>
  </si>
  <si>
    <t>BENAP-F</t>
  </si>
  <si>
    <t>BENDE-H</t>
  </si>
  <si>
    <t>BESTA30400</t>
  </si>
  <si>
    <t>BESTJ20708</t>
  </si>
  <si>
    <t>BESTK10713</t>
  </si>
  <si>
    <t>BESTK50714</t>
  </si>
  <si>
    <t>BESTK70115</t>
  </si>
  <si>
    <t>BESTN10814</t>
  </si>
  <si>
    <t>BESTO20315</t>
  </si>
  <si>
    <t>BESTO60715</t>
  </si>
  <si>
    <t>BESTO81015</t>
  </si>
  <si>
    <t>BESTR20317</t>
  </si>
  <si>
    <t>BESTR30317</t>
  </si>
  <si>
    <t>BESTR40517</t>
  </si>
  <si>
    <t>BESTR50517</t>
  </si>
  <si>
    <t>BESTS10317</t>
  </si>
  <si>
    <t>BESTU10417</t>
  </si>
  <si>
    <t>BESTU20517</t>
  </si>
  <si>
    <t>BESVA-H</t>
  </si>
  <si>
    <t>BFAL-D0711</t>
  </si>
  <si>
    <t>BFALA-L</t>
  </si>
  <si>
    <t xml:space="preserve">FALABELLA SACI </t>
  </si>
  <si>
    <t>BFORU-BH</t>
  </si>
  <si>
    <t>BITA-O0612</t>
  </si>
  <si>
    <t>BITA-P0612</t>
  </si>
  <si>
    <t>BITA-U1212</t>
  </si>
  <si>
    <t>BITA-X0613</t>
  </si>
  <si>
    <t>BITAAG0614</t>
  </si>
  <si>
    <t>BITAAJ0615</t>
  </si>
  <si>
    <t>BITAL21211</t>
  </si>
  <si>
    <t>BITAM21211</t>
  </si>
  <si>
    <t>BITAQ10512</t>
  </si>
  <si>
    <t>BPARC-H</t>
  </si>
  <si>
    <t>BPARC-P</t>
  </si>
  <si>
    <t>BPLZA-I</t>
  </si>
  <si>
    <t>BSAAM-B</t>
  </si>
  <si>
    <t>BSAES-I</t>
  </si>
  <si>
    <t>BSAES-J</t>
  </si>
  <si>
    <t>BSECB30614</t>
  </si>
  <si>
    <t>BSECB50816</t>
  </si>
  <si>
    <t>BSECH11206</t>
  </si>
  <si>
    <t>BSECK41013</t>
  </si>
  <si>
    <t>BSECK50614</t>
  </si>
  <si>
    <t>BSECK70915</t>
  </si>
  <si>
    <t>BSECN10109</t>
  </si>
  <si>
    <t>BSECZ20816</t>
  </si>
  <si>
    <t>BSTD020216</t>
  </si>
  <si>
    <t>BSTD050216</t>
  </si>
  <si>
    <t>BSTD090216</t>
  </si>
  <si>
    <t>BSTD160216</t>
  </si>
  <si>
    <t>BSTDE30111</t>
  </si>
  <si>
    <t>BSTDE90113</t>
  </si>
  <si>
    <t>BSTDEA0913</t>
  </si>
  <si>
    <t>BSTDEC0913</t>
  </si>
  <si>
    <t>BSTDEF0114</t>
  </si>
  <si>
    <t>BSTDFC0810</t>
  </si>
  <si>
    <t>BSTDH10799</t>
  </si>
  <si>
    <t>BSTDP20115</t>
  </si>
  <si>
    <t>BSTDP60315</t>
  </si>
  <si>
    <t>BSTDP70315</t>
  </si>
  <si>
    <t>BSTDR10915</t>
  </si>
  <si>
    <t>BSTDR30915</t>
  </si>
  <si>
    <t>BSTDR51215</t>
  </si>
  <si>
    <t>BSTDSA0714</t>
  </si>
  <si>
    <t>BSTDSB0714</t>
  </si>
  <si>
    <t>BSTDSD0614</t>
  </si>
  <si>
    <t>BSTDSF1014</t>
  </si>
  <si>
    <t>BSTDSG1014</t>
  </si>
  <si>
    <t>BTANN-X</t>
  </si>
  <si>
    <t>BTANN-Z</t>
  </si>
  <si>
    <t>BTMOV-G</t>
  </si>
  <si>
    <t>BSOQU-O</t>
  </si>
  <si>
    <t>GEOPAR0924</t>
  </si>
  <si>
    <t>BADRT-A</t>
  </si>
  <si>
    <t>AD Retail S.A.</t>
  </si>
  <si>
    <t>BADRT-B</t>
  </si>
  <si>
    <t>BADRT-C</t>
  </si>
  <si>
    <t>BAMAI-B1</t>
  </si>
  <si>
    <t>BBESA-A</t>
  </si>
  <si>
    <t>BCHIS-P13D</t>
  </si>
  <si>
    <t>BENJO-E</t>
  </si>
  <si>
    <t>BENJO-F</t>
  </si>
  <si>
    <t>BHITS-B</t>
  </si>
  <si>
    <t>BINGE-A</t>
  </si>
  <si>
    <t>BLATM-C</t>
  </si>
  <si>
    <t>BLATM-D</t>
  </si>
  <si>
    <t>BMASI-E</t>
  </si>
  <si>
    <t>BMASI-H</t>
  </si>
  <si>
    <t>BMASI-L</t>
  </si>
  <si>
    <t>BMASI-N</t>
  </si>
  <si>
    <t>BPINE-A</t>
  </si>
  <si>
    <t>Banco Pine S.A.</t>
  </si>
  <si>
    <t>BREDS-C</t>
  </si>
  <si>
    <t>BSALF-B</t>
  </si>
  <si>
    <t>BSALF-G</t>
  </si>
  <si>
    <t>BSECS-11D2</t>
  </si>
  <si>
    <t>BSECS-6AA1</t>
  </si>
  <si>
    <t>BSECS-9D1</t>
  </si>
  <si>
    <t>BSECU-K</t>
  </si>
  <si>
    <t>BSTDS-AF</t>
  </si>
  <si>
    <t>BSTDS-BF</t>
  </si>
  <si>
    <t>BTRA1-7B</t>
  </si>
  <si>
    <t>UBICS50314</t>
  </si>
  <si>
    <t>SM-CHILE</t>
  </si>
  <si>
    <t>SM-CHILE B</t>
  </si>
  <si>
    <t>Sociedad Matriz Banco De Chile</t>
  </si>
  <si>
    <t>Forus S.A.</t>
  </si>
  <si>
    <t>Masisa S.A.</t>
  </si>
  <si>
    <t>Deposito Banco Coopeuch</t>
  </si>
  <si>
    <t>FANGLOS</t>
  </si>
  <si>
    <t>Angloamerican</t>
  </si>
  <si>
    <t>Factura Anglo Pesos</t>
  </si>
  <si>
    <t>CENTRAL</t>
  </si>
  <si>
    <t>PDBC</t>
  </si>
  <si>
    <t>Pagare Descontable Banco Central</t>
  </si>
  <si>
    <t>Deposito China Construction Bank</t>
  </si>
  <si>
    <t>FWDUSCL11717</t>
  </si>
  <si>
    <t>FWDUSCL101817</t>
  </si>
  <si>
    <t>FWDUSCL11217</t>
  </si>
  <si>
    <t>FWDUSCL111617</t>
  </si>
  <si>
    <t>JP MORGAN</t>
  </si>
  <si>
    <t>JP Morgan</t>
  </si>
  <si>
    <t>Forward  JP Morgan short leg</t>
  </si>
  <si>
    <t>FWDUSCL11317</t>
  </si>
  <si>
    <t>FWDUSCL1218</t>
  </si>
  <si>
    <t>FWDUSCL101717</t>
  </si>
  <si>
    <t>Forward  JP Morgan long leg</t>
  </si>
  <si>
    <t>Efecto de Comercio Tanner</t>
  </si>
  <si>
    <t>BRASKEM</t>
  </si>
  <si>
    <t>BRASKM0123</t>
  </si>
  <si>
    <t>Braskem Finance Ltd.</t>
  </si>
  <si>
    <t>Bono Braskem</t>
  </si>
  <si>
    <t>BRASKM0128</t>
  </si>
  <si>
    <t>COLBUN1027</t>
  </si>
  <si>
    <t>ECOPET0719</t>
  </si>
  <si>
    <t>Bono EH964542</t>
  </si>
  <si>
    <t>NR</t>
  </si>
  <si>
    <t>GGBRBZ1027</t>
  </si>
  <si>
    <t>INTERCORP</t>
  </si>
  <si>
    <t>INTFSI1027</t>
  </si>
  <si>
    <t>Intercorp Financial Services Inc</t>
  </si>
  <si>
    <t>Bono Intercorp</t>
  </si>
  <si>
    <t>LIMAMETRO2</t>
  </si>
  <si>
    <t>LIMAMT0734</t>
  </si>
  <si>
    <t>Metro de Lima</t>
  </si>
  <si>
    <t>Bono Metro de Lima</t>
  </si>
  <si>
    <t>MXCHF0148</t>
  </si>
  <si>
    <t>MXCHF1027</t>
  </si>
  <si>
    <t>Concesionaria</t>
  </si>
  <si>
    <t>BAGUA-J</t>
  </si>
  <si>
    <t>BAGUA-Z</t>
  </si>
  <si>
    <t>Soc. Conc. Costanera Norte S.A.</t>
  </si>
  <si>
    <t>BBCIB10517</t>
  </si>
  <si>
    <t>BBCIL30616</t>
  </si>
  <si>
    <t>BBIC610515</t>
  </si>
  <si>
    <t>BCERV-H</t>
  </si>
  <si>
    <t>BCHIAW0213</t>
  </si>
  <si>
    <t>BCODE-B</t>
  </si>
  <si>
    <t>BCORBY0914</t>
  </si>
  <si>
    <t>BITAR20512</t>
  </si>
  <si>
    <t>BMETR-I</t>
  </si>
  <si>
    <t>BRPL-M0717</t>
  </si>
  <si>
    <t>BRPL-P0717</t>
  </si>
  <si>
    <t>BSAES-L</t>
  </si>
  <si>
    <t>BSECS-14A1</t>
  </si>
  <si>
    <t>BSTDE81112</t>
  </si>
  <si>
    <t>BTSUR-K</t>
  </si>
  <si>
    <t>AGUAS ARAU</t>
  </si>
  <si>
    <t>Aguas Araucania</t>
  </si>
  <si>
    <t>Factura Aguas Araucania</t>
  </si>
  <si>
    <t>FWDCLUS11317</t>
  </si>
  <si>
    <t>AUTOMAIPO</t>
  </si>
  <si>
    <t>BAMAI-A1</t>
  </si>
  <si>
    <t>Ruta del Maipo Soc. Conc.</t>
  </si>
  <si>
    <t>Bono Autopista del Maipo</t>
  </si>
  <si>
    <t>BCSMU-P</t>
  </si>
  <si>
    <t>FSACYR</t>
  </si>
  <si>
    <t>Sacyr</t>
  </si>
  <si>
    <t>Factura Sacyr</t>
  </si>
  <si>
    <t>FWDCLUS111617</t>
  </si>
  <si>
    <t>Investment Report</t>
  </si>
  <si>
    <t>Δ</t>
  </si>
  <si>
    <t>Currency view</t>
  </si>
  <si>
    <t>Top 10 position instruments</t>
  </si>
  <si>
    <t>Top 10 risk instruments</t>
  </si>
  <si>
    <t>Weight by rating</t>
  </si>
  <si>
    <t>PCR by rating</t>
  </si>
  <si>
    <t>DV10 by rating</t>
  </si>
  <si>
    <t>Weight by type</t>
  </si>
  <si>
    <t>PCR by type</t>
  </si>
  <si>
    <t>IIF Weight</t>
  </si>
  <si>
    <t>Active Weight by type</t>
  </si>
  <si>
    <t>DV10 by type</t>
  </si>
  <si>
    <t>Weight by country</t>
  </si>
  <si>
    <t>DV10 by country</t>
  </si>
  <si>
    <t>Active weight by rating</t>
  </si>
  <si>
    <t>Active weight by country</t>
  </si>
  <si>
    <t>PCR by country</t>
  </si>
  <si>
    <t>}</t>
  </si>
  <si>
    <t>Top 15 holdings by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</si>
</sst>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#,##0.00%;[Red]\(#,##0.00%\)"/>
    <numFmt numFmtId="165" formatCode="&quot;$&quot;##,##0.000,\ &quot; MM&quot;;[Red]\(&quot;$&quot;##,##0.000,\ &quot; MM&quot;\)"/>
    <numFmt numFmtId="166" formatCode="#,##0.0%;\(#,##0.0%\)"/>
    <numFmt numFmtId="167" formatCode="0.000000000000000000%"/>
    <numFmt numFmtId="168" formatCode="#,##0.0%;[Red]\(#,##0.0%\)"/>
    <numFmt numFmtId="169" formatCode="0.00000000"/>
    <numFmt numFmtId="170" formatCode="0.000%"/>
    <numFmt numFmtId="171" formatCode="0.000000%"/>
  </numFmts>
  <fonts count="7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sz val="20"/>
      <color theme="1"/>
      <name val="Arial"/>
      <family val="2"/>
      <scheme val="minor"/>
    </font>
    <font>
      <b/>
      <u/>
      <sz val="22"/>
      <color theme="1"/>
      <name val="Arial"/>
      <family val="2"/>
      <scheme val="minor"/>
    </font>
    <font>
      <b/>
      <u/>
      <sz val="24"/>
      <color theme="1"/>
      <name val="Arial"/>
      <family val="2"/>
      <scheme val="minor"/>
    </font>
    <font>
      <b/>
      <u/>
      <sz val="36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b/>
      <sz val="24"/>
      <color theme="3"/>
      <name val="Arial"/>
      <family val="2"/>
      <scheme val="minor"/>
    </font>
    <font>
      <sz val="11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b/>
      <u/>
      <sz val="36"/>
      <color theme="1"/>
      <name val="Arial"/>
      <family val="2"/>
      <scheme val="minor"/>
    </font>
    <font>
      <sz val="20"/>
      <color theme="1"/>
      <name val="Arial"/>
      <family val="2"/>
      <scheme val="minor"/>
    </font>
    <font>
      <b/>
      <u/>
      <sz val="22"/>
      <color theme="1"/>
      <name val="Arial"/>
      <family val="2"/>
      <scheme val="minor"/>
    </font>
    <font>
      <b/>
      <sz val="24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sz val="11"/>
      <color theme="1"/>
      <name val="Calibri"/>
      <family val="2"/>
    </font>
    <font>
      <b/>
      <sz val="22"/>
      <color theme="3"/>
      <name val="Calibri"/>
      <family val="2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b/>
      <sz val="11"/>
      <color theme="4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  <font>
      <sz val="28"/>
      <color theme="1"/>
      <name val="Calibri"/>
      <family val="2"/>
    </font>
    <font>
      <b/>
      <sz val="36"/>
      <color theme="3"/>
      <name val="Calibri"/>
      <family val="2"/>
    </font>
    <font>
      <b/>
      <sz val="48"/>
      <color theme="3"/>
      <name val="Calibri"/>
      <family val="2"/>
    </font>
    <font>
      <sz val="24"/>
      <color theme="1"/>
      <name val="Calibri"/>
      <family val="2"/>
    </font>
    <font>
      <sz val="20"/>
      <color theme="1"/>
      <name val="Calibri"/>
      <family val="2"/>
    </font>
    <font>
      <b/>
      <sz val="28"/>
      <color theme="1"/>
      <name val="Calibri"/>
      <family val="2"/>
    </font>
    <font>
      <b/>
      <sz val="18"/>
      <color theme="1"/>
      <name val="Calibri"/>
      <family val="2"/>
    </font>
    <font>
      <b/>
      <sz val="20"/>
      <color theme="1"/>
      <name val="Calibri"/>
      <family val="2"/>
    </font>
    <font>
      <b/>
      <sz val="24"/>
      <color theme="1"/>
      <name val="Calibri"/>
      <family val="2"/>
    </font>
    <font>
      <b/>
      <sz val="48"/>
      <color theme="1"/>
      <name val="Calibri"/>
      <family val="2"/>
    </font>
    <font>
      <b/>
      <sz val="24"/>
      <color theme="4"/>
      <name val="Calibri"/>
      <family val="2"/>
    </font>
    <font>
      <b/>
      <sz val="72"/>
      <color theme="3"/>
      <name val="Calibri"/>
      <family val="2"/>
    </font>
    <font>
      <sz val="36"/>
      <color theme="1"/>
      <name val="Calibri"/>
      <family val="2"/>
    </font>
    <font>
      <b/>
      <sz val="48"/>
      <color theme="4"/>
      <name val="Calibri"/>
      <family val="2"/>
    </font>
    <font>
      <b/>
      <sz val="70"/>
      <color theme="3"/>
      <name val="Calibri"/>
      <family val="2"/>
    </font>
    <font>
      <sz val="11"/>
      <color theme="1"/>
      <name val="Calibri"/>
      <family val="2"/>
    </font>
    <font>
      <sz val="36"/>
      <color theme="1"/>
      <name val="Calibri"/>
      <family val="2"/>
    </font>
    <font>
      <b/>
      <sz val="48"/>
      <color theme="1"/>
      <name val="Calibri"/>
      <family val="2"/>
    </font>
    <font>
      <b/>
      <sz val="48"/>
      <color theme="4"/>
      <name val="Calibri"/>
      <family val="2"/>
    </font>
    <font>
      <b/>
      <u/>
      <sz val="36"/>
      <color theme="1"/>
      <name val="Calibri"/>
      <family val="2"/>
    </font>
    <font>
      <b/>
      <sz val="28"/>
      <color theme="1"/>
      <name val="Calibri"/>
      <family val="2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sz val="20"/>
      <color theme="1"/>
      <name val="Calibri"/>
      <family val="2"/>
    </font>
    <font>
      <b/>
      <u/>
      <sz val="22"/>
      <color theme="1"/>
      <name val="Calibri"/>
      <family val="2"/>
    </font>
    <font>
      <sz val="22"/>
      <color theme="1"/>
      <name val="Calibri"/>
      <family val="2"/>
    </font>
    <font>
      <b/>
      <sz val="36"/>
      <color theme="1"/>
      <name val="Calibri"/>
      <family val="2"/>
    </font>
    <font>
      <b/>
      <sz val="18"/>
      <color theme="1"/>
      <name val="Calibri"/>
      <family val="2"/>
    </font>
    <font>
      <sz val="10"/>
      <color theme="1"/>
      <name val="Calibri"/>
      <family val="2"/>
    </font>
    <font>
      <b/>
      <sz val="24"/>
      <color theme="3"/>
      <name val="Calibri"/>
      <family val="2"/>
    </font>
    <font>
      <b/>
      <sz val="11"/>
      <color theme="3"/>
      <name val="Calibri"/>
      <family val="2"/>
    </font>
    <font>
      <b/>
      <sz val="22"/>
      <color theme="3"/>
      <name val="Calibri"/>
      <family val="2"/>
    </font>
    <font>
      <b/>
      <sz val="24"/>
      <color theme="4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scheme val="minor"/>
    </font>
    <font>
      <b/>
      <sz val="90"/>
      <color theme="3"/>
      <name val="Calibri"/>
      <family val="2"/>
    </font>
    <font>
      <sz val="64"/>
      <color theme="1"/>
      <name val="Calibri"/>
      <family val="2"/>
    </font>
    <font>
      <sz val="12"/>
      <color theme="1"/>
      <name val="Arial"/>
      <family val="2"/>
      <scheme val="minor"/>
    </font>
    <font>
      <b/>
      <sz val="72"/>
      <color theme="4"/>
      <name val="Calibri"/>
      <family val="2"/>
    </font>
    <font>
      <b/>
      <u/>
      <sz val="48"/>
      <color theme="1"/>
      <name val="Arial"/>
      <family val="2"/>
      <scheme val="minor"/>
    </font>
    <font>
      <b/>
      <u/>
      <sz val="36"/>
      <color theme="1"/>
      <name val="Arial"/>
      <family val="2"/>
      <scheme val="minor"/>
    </font>
    <font>
      <b/>
      <sz val="72"/>
      <color theme="1"/>
      <name val="Calibri"/>
      <family val="2"/>
    </font>
    <font>
      <b/>
      <sz val="36"/>
      <color theme="1"/>
      <name val="Arial"/>
      <family val="2"/>
      <scheme val="minor"/>
    </font>
    <font>
      <b/>
      <sz val="48"/>
      <color theme="1"/>
      <name val="Calibri"/>
      <family val="2"/>
    </font>
    <font>
      <sz val="48"/>
      <color theme="1"/>
      <name val="Calibri"/>
      <family val="2"/>
    </font>
    <font>
      <b/>
      <sz val="22"/>
      <color theme="3"/>
      <name val="Calibri"/>
      <family val="2"/>
    </font>
    <font>
      <b/>
      <sz val="24"/>
      <color theme="4"/>
      <name val="Calibri"/>
      <family val="2"/>
    </font>
    <font>
      <sz val="26"/>
      <color theme="1"/>
      <name val="Calibri"/>
      <family val="2"/>
    </font>
    <font>
      <sz val="26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39997558519241921"/>
      </left>
      <right style="thin">
        <color indexed="64"/>
      </right>
      <top style="thin">
        <color theme="1" tint="0.39997558519241921"/>
      </top>
      <bottom style="thin">
        <color theme="1" tint="0.39997558519241921"/>
      </bottom>
      <diagonal/>
    </border>
    <border>
      <left style="thin">
        <color theme="1" tint="0.39997558519241921"/>
      </left>
      <right style="thin">
        <color indexed="64"/>
      </right>
      <top style="thin">
        <color theme="1" tint="0.39997558519241921"/>
      </top>
      <bottom style="thin">
        <color indexed="64"/>
      </bottom>
      <diagonal/>
    </border>
    <border>
      <left style="thin">
        <color theme="1" tint="0.39997558519241921"/>
      </left>
      <right style="thin">
        <color indexed="64"/>
      </right>
      <top style="thin">
        <color indexed="64"/>
      </top>
      <bottom style="thin">
        <color theme="1" tint="0.39997558519241921"/>
      </bottom>
      <diagonal/>
    </border>
    <border>
      <left style="thin">
        <color theme="1" tint="0.39997558519241921"/>
      </left>
      <right style="thin">
        <color indexed="64"/>
      </right>
      <top/>
      <bottom style="thin">
        <color theme="1" tint="0.39997558519241921"/>
      </bottom>
      <diagonal/>
    </border>
    <border>
      <left style="thin">
        <color indexed="64"/>
      </left>
      <right style="thin">
        <color theme="1" tint="0.39997558519241921"/>
      </right>
      <top style="thin">
        <color indexed="64"/>
      </top>
      <bottom style="thin">
        <color theme="1" tint="0.39997558519241921"/>
      </bottom>
      <diagonal/>
    </border>
    <border>
      <left style="thin">
        <color indexed="64"/>
      </left>
      <right style="thin">
        <color theme="1" tint="0.39997558519241921"/>
      </right>
      <top style="thin">
        <color theme="1" tint="0.39997558519241921"/>
      </top>
      <bottom style="thin">
        <color theme="1" tint="0.39997558519241921"/>
      </bottom>
      <diagonal/>
    </border>
    <border>
      <left style="thin">
        <color indexed="64"/>
      </left>
      <right style="thin">
        <color theme="1" tint="0.39997558519241921"/>
      </right>
      <top style="thin">
        <color theme="1" tint="0.39997558519241921"/>
      </top>
      <bottom style="thin">
        <color indexed="64"/>
      </bottom>
      <diagonal/>
    </border>
    <border>
      <left style="thin">
        <color theme="1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999755851924192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39997558519241921"/>
      </right>
      <top/>
      <bottom style="thin">
        <color theme="1" tint="0.39997558519241921"/>
      </bottom>
      <diagonal/>
    </border>
    <border>
      <left style="thin">
        <color indexed="64"/>
      </left>
      <right style="thin">
        <color theme="1" tint="0.399975585192419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 tint="0.3999755851924192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7" fillId="0" borderId="24" applyNumberFormat="0" applyFill="0" applyAlignment="0" applyProtection="0"/>
  </cellStyleXfs>
  <cellXfs count="251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0" borderId="0" xfId="0" applyFont="1"/>
    <xf numFmtId="0" fontId="4" fillId="0" borderId="0" xfId="0" applyFont="1"/>
    <xf numFmtId="167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Border="1"/>
    <xf numFmtId="0" fontId="6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10" fontId="0" fillId="0" borderId="0" xfId="2" applyNumberFormat="1" applyFont="1"/>
    <xf numFmtId="0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0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167" fontId="10" fillId="0" borderId="0" xfId="0" applyNumberFormat="1" applyFont="1"/>
    <xf numFmtId="0" fontId="13" fillId="0" borderId="0" xfId="0" applyFont="1"/>
    <xf numFmtId="0" fontId="14" fillId="0" borderId="0" xfId="0" applyFont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8" fillId="0" borderId="0" xfId="0" applyFont="1"/>
    <xf numFmtId="169" fontId="18" fillId="0" borderId="0" xfId="0" applyNumberFormat="1" applyFont="1"/>
    <xf numFmtId="171" fontId="18" fillId="0" borderId="0" xfId="2" applyNumberFormat="1" applyFont="1"/>
    <xf numFmtId="49" fontId="18" fillId="0" borderId="0" xfId="0" applyNumberFormat="1" applyFont="1"/>
    <xf numFmtId="170" fontId="18" fillId="0" borderId="0" xfId="2" applyNumberFormat="1" applyFont="1"/>
    <xf numFmtId="164" fontId="20" fillId="0" borderId="8" xfId="2" applyNumberFormat="1" applyFont="1" applyBorder="1" applyAlignment="1">
      <alignment horizontal="center" vertical="center"/>
    </xf>
    <xf numFmtId="164" fontId="20" fillId="0" borderId="6" xfId="2" applyNumberFormat="1" applyFont="1" applyBorder="1" applyAlignment="1">
      <alignment horizontal="center" vertical="center"/>
    </xf>
    <xf numFmtId="164" fontId="20" fillId="0" borderId="9" xfId="2" applyNumberFormat="1" applyFont="1" applyBorder="1" applyAlignment="1">
      <alignment horizontal="center" vertical="center"/>
    </xf>
    <xf numFmtId="164" fontId="20" fillId="0" borderId="4" xfId="2" applyNumberFormat="1" applyFont="1" applyBorder="1" applyAlignment="1">
      <alignment horizontal="center" vertical="center"/>
    </xf>
    <xf numFmtId="164" fontId="20" fillId="0" borderId="10" xfId="2" applyNumberFormat="1" applyFont="1" applyBorder="1" applyAlignment="1">
      <alignment horizontal="center" vertical="center"/>
    </xf>
    <xf numFmtId="164" fontId="20" fillId="0" borderId="5" xfId="2" applyNumberFormat="1" applyFont="1" applyBorder="1" applyAlignment="1">
      <alignment horizontal="center" vertical="center"/>
    </xf>
    <xf numFmtId="164" fontId="20" fillId="0" borderId="14" xfId="2" applyNumberFormat="1" applyFont="1" applyBorder="1" applyAlignment="1">
      <alignment horizontal="center" vertical="center"/>
    </xf>
    <xf numFmtId="164" fontId="20" fillId="0" borderId="7" xfId="2" applyNumberFormat="1" applyFont="1" applyBorder="1" applyAlignment="1">
      <alignment horizontal="center" vertical="center"/>
    </xf>
    <xf numFmtId="164" fontId="20" fillId="0" borderId="15" xfId="2" applyNumberFormat="1" applyFont="1" applyBorder="1" applyAlignment="1">
      <alignment horizontal="center" vertical="center"/>
    </xf>
    <xf numFmtId="164" fontId="20" fillId="0" borderId="11" xfId="2" applyNumberFormat="1" applyFont="1" applyBorder="1" applyAlignment="1">
      <alignment horizontal="center" vertical="center"/>
    </xf>
    <xf numFmtId="168" fontId="21" fillId="0" borderId="16" xfId="2" applyNumberFormat="1" applyFont="1" applyBorder="1" applyAlignment="1">
      <alignment horizontal="center" vertical="center"/>
    </xf>
    <xf numFmtId="168" fontId="21" fillId="0" borderId="12" xfId="2" applyNumberFormat="1" applyFont="1" applyBorder="1" applyAlignment="1">
      <alignment horizontal="center" vertical="center"/>
    </xf>
    <xf numFmtId="164" fontId="20" fillId="0" borderId="12" xfId="2" applyNumberFormat="1" applyFont="1" applyBorder="1" applyAlignment="1">
      <alignment horizontal="center" vertical="center"/>
    </xf>
    <xf numFmtId="164" fontId="20" fillId="0" borderId="16" xfId="2" applyNumberFormat="1" applyFont="1" applyBorder="1" applyAlignment="1">
      <alignment horizontal="center" vertical="center"/>
    </xf>
    <xf numFmtId="0" fontId="22" fillId="0" borderId="0" xfId="0" applyFont="1"/>
    <xf numFmtId="49" fontId="20" fillId="5" borderId="2" xfId="5" applyNumberFormat="1" applyFont="1" applyBorder="1" applyAlignment="1">
      <alignment horizontal="center" vertical="center"/>
    </xf>
    <xf numFmtId="49" fontId="20" fillId="5" borderId="3" xfId="5" applyNumberFormat="1" applyFont="1" applyBorder="1" applyAlignment="1">
      <alignment horizontal="center" vertical="center"/>
    </xf>
    <xf numFmtId="0" fontId="20" fillId="5" borderId="2" xfId="5" applyFont="1" applyBorder="1" applyAlignment="1">
      <alignment horizontal="center" vertical="center"/>
    </xf>
    <xf numFmtId="44" fontId="18" fillId="0" borderId="0" xfId="1" applyFont="1"/>
    <xf numFmtId="166" fontId="28" fillId="0" borderId="0" xfId="2" applyNumberFormat="1" applyFont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18" fillId="0" borderId="25" xfId="0" applyFont="1" applyBorder="1"/>
    <xf numFmtId="0" fontId="33" fillId="0" borderId="33" xfId="0" applyFont="1" applyBorder="1" applyAlignment="1">
      <alignment horizontal="center" vertical="center"/>
    </xf>
    <xf numFmtId="0" fontId="33" fillId="0" borderId="34" xfId="0" applyFont="1" applyBorder="1" applyAlignment="1">
      <alignment horizontal="center" vertical="center"/>
    </xf>
    <xf numFmtId="0" fontId="33" fillId="0" borderId="35" xfId="0" applyFont="1" applyBorder="1" applyAlignment="1">
      <alignment horizontal="center" vertical="center"/>
    </xf>
    <xf numFmtId="0" fontId="33" fillId="0" borderId="28" xfId="0" applyFont="1" applyBorder="1"/>
    <xf numFmtId="0" fontId="33" fillId="0" borderId="25" xfId="0" applyFont="1" applyBorder="1" applyAlignment="1">
      <alignment horizontal="center" vertical="center"/>
    </xf>
    <xf numFmtId="0" fontId="33" fillId="0" borderId="27" xfId="0" applyFont="1" applyBorder="1" applyAlignment="1">
      <alignment vertical="center"/>
    </xf>
    <xf numFmtId="0" fontId="33" fillId="0" borderId="29" xfId="0" applyFont="1" applyBorder="1" applyAlignment="1">
      <alignment vertical="center"/>
    </xf>
    <xf numFmtId="0" fontId="34" fillId="0" borderId="0" xfId="0" applyFont="1" applyBorder="1"/>
    <xf numFmtId="0" fontId="18" fillId="0" borderId="0" xfId="0" applyFont="1" applyBorder="1" applyAlignment="1">
      <alignment horizontal="center" vertical="center"/>
    </xf>
    <xf numFmtId="0" fontId="19" fillId="0" borderId="25" xfId="6" applyFont="1" applyBorder="1" applyAlignment="1">
      <alignment vertical="center"/>
    </xf>
    <xf numFmtId="0" fontId="35" fillId="0" borderId="0" xfId="0" applyFont="1"/>
    <xf numFmtId="0" fontId="38" fillId="0" borderId="25" xfId="0" applyFont="1" applyBorder="1"/>
    <xf numFmtId="0" fontId="40" fillId="0" borderId="0" xfId="0" applyFont="1"/>
    <xf numFmtId="44" fontId="40" fillId="0" borderId="0" xfId="1" applyFont="1"/>
    <xf numFmtId="0" fontId="42" fillId="0" borderId="0" xfId="0" applyFont="1" applyBorder="1"/>
    <xf numFmtId="0" fontId="40" fillId="0" borderId="0" xfId="0" applyFont="1" applyBorder="1" applyAlignment="1">
      <alignment horizontal="center" vertical="center"/>
    </xf>
    <xf numFmtId="0" fontId="43" fillId="0" borderId="25" xfId="0" applyFont="1" applyBorder="1"/>
    <xf numFmtId="0" fontId="40" fillId="0" borderId="25" xfId="0" applyFont="1" applyBorder="1"/>
    <xf numFmtId="0" fontId="44" fillId="0" borderId="0" xfId="0" applyFont="1" applyAlignment="1">
      <alignment vertical="center"/>
    </xf>
    <xf numFmtId="0" fontId="44" fillId="0" borderId="0" xfId="0" applyFont="1" applyAlignment="1">
      <alignment horizontal="left" vertical="center"/>
    </xf>
    <xf numFmtId="0" fontId="44" fillId="0" borderId="0" xfId="0" applyFont="1" applyAlignment="1">
      <alignment horizontal="center" vertical="center"/>
    </xf>
    <xf numFmtId="0" fontId="46" fillId="0" borderId="28" xfId="0" applyFont="1" applyBorder="1"/>
    <xf numFmtId="0" fontId="46" fillId="0" borderId="25" xfId="0" applyFont="1" applyBorder="1" applyAlignment="1">
      <alignment horizontal="center" vertical="center"/>
    </xf>
    <xf numFmtId="0" fontId="47" fillId="0" borderId="25" xfId="0" applyFont="1" applyBorder="1" applyAlignment="1">
      <alignment horizontal="center" vertical="center"/>
    </xf>
    <xf numFmtId="167" fontId="40" fillId="0" borderId="0" xfId="0" applyNumberFormat="1" applyFont="1"/>
    <xf numFmtId="0" fontId="46" fillId="0" borderId="27" xfId="0" applyFont="1" applyBorder="1" applyAlignment="1">
      <alignment vertical="center"/>
    </xf>
    <xf numFmtId="0" fontId="46" fillId="0" borderId="27" xfId="0" applyFont="1" applyBorder="1" applyAlignment="1">
      <alignment horizontal="center" vertical="center"/>
    </xf>
    <xf numFmtId="0" fontId="48" fillId="0" borderId="0" xfId="0" applyFont="1"/>
    <xf numFmtId="0" fontId="49" fillId="0" borderId="0" xfId="0" applyFont="1" applyAlignment="1">
      <alignment vertical="center"/>
    </xf>
    <xf numFmtId="164" fontId="50" fillId="0" borderId="0" xfId="2" applyNumberFormat="1" applyFont="1" applyAlignment="1">
      <alignment horizontal="center" vertical="center"/>
    </xf>
    <xf numFmtId="0" fontId="46" fillId="0" borderId="29" xfId="0" applyFont="1" applyBorder="1" applyAlignment="1">
      <alignment vertical="center"/>
    </xf>
    <xf numFmtId="0" fontId="51" fillId="0" borderId="0" xfId="0" applyFont="1" applyBorder="1" applyAlignment="1">
      <alignment horizontal="center" vertical="center"/>
    </xf>
    <xf numFmtId="0" fontId="40" fillId="0" borderId="0" xfId="0" applyFont="1" applyBorder="1"/>
    <xf numFmtId="0" fontId="52" fillId="0" borderId="0" xfId="0" applyFont="1" applyBorder="1" applyAlignment="1">
      <alignment horizontal="center" vertical="center"/>
    </xf>
    <xf numFmtId="0" fontId="46" fillId="0" borderId="29" xfId="0" applyFont="1" applyBorder="1" applyAlignment="1">
      <alignment horizontal="center" vertical="center"/>
    </xf>
    <xf numFmtId="0" fontId="46" fillId="0" borderId="26" xfId="0" applyFont="1" applyBorder="1" applyAlignment="1">
      <alignment horizontal="center" vertical="center"/>
    </xf>
    <xf numFmtId="0" fontId="53" fillId="0" borderId="0" xfId="0" applyFont="1"/>
    <xf numFmtId="0" fontId="46" fillId="0" borderId="0" xfId="0" applyFont="1" applyBorder="1" applyAlignment="1">
      <alignment horizontal="center" vertical="center"/>
    </xf>
    <xf numFmtId="0" fontId="52" fillId="0" borderId="25" xfId="0" applyFont="1" applyBorder="1" applyAlignment="1">
      <alignment horizontal="center" vertical="center"/>
    </xf>
    <xf numFmtId="0" fontId="54" fillId="0" borderId="0" xfId="0" applyFont="1"/>
    <xf numFmtId="0" fontId="55" fillId="0" borderId="0" xfId="0" applyFont="1"/>
    <xf numFmtId="0" fontId="46" fillId="0" borderId="33" xfId="0" applyFont="1" applyBorder="1" applyAlignment="1">
      <alignment horizontal="center" vertical="center"/>
    </xf>
    <xf numFmtId="0" fontId="46" fillId="0" borderId="34" xfId="0" applyFont="1" applyBorder="1" applyAlignment="1">
      <alignment horizontal="center" vertical="center"/>
    </xf>
    <xf numFmtId="0" fontId="46" fillId="0" borderId="35" xfId="0" applyFont="1" applyBorder="1" applyAlignment="1">
      <alignment horizontal="center" vertical="center"/>
    </xf>
    <xf numFmtId="0" fontId="40" fillId="0" borderId="0" xfId="0" applyFont="1" applyAlignment="1"/>
    <xf numFmtId="0" fontId="57" fillId="0" borderId="0" xfId="0" applyFont="1"/>
    <xf numFmtId="49" fontId="40" fillId="0" borderId="0" xfId="0" applyNumberFormat="1" applyFont="1"/>
    <xf numFmtId="0" fontId="58" fillId="0" borderId="0" xfId="0" applyFont="1"/>
    <xf numFmtId="0" fontId="59" fillId="0" borderId="0" xfId="0" applyFont="1"/>
    <xf numFmtId="0" fontId="62" fillId="0" borderId="0" xfId="0" applyFont="1"/>
    <xf numFmtId="44" fontId="59" fillId="0" borderId="0" xfId="1" applyFont="1"/>
    <xf numFmtId="0" fontId="63" fillId="0" borderId="25" xfId="0" applyFont="1" applyBorder="1"/>
    <xf numFmtId="0" fontId="64" fillId="0" borderId="0" xfId="0" applyFont="1" applyBorder="1" applyAlignment="1">
      <alignment horizontal="left" vertical="center"/>
    </xf>
    <xf numFmtId="0" fontId="65" fillId="0" borderId="0" xfId="0" applyFont="1" applyAlignment="1">
      <alignment vertical="center"/>
    </xf>
    <xf numFmtId="0" fontId="67" fillId="0" borderId="0" xfId="0" applyFont="1" applyBorder="1" applyAlignment="1">
      <alignment horizontal="center" vertical="center"/>
    </xf>
    <xf numFmtId="0" fontId="68" fillId="0" borderId="28" xfId="0" applyFont="1" applyBorder="1"/>
    <xf numFmtId="0" fontId="68" fillId="0" borderId="25" xfId="0" applyFont="1" applyBorder="1" applyAlignment="1">
      <alignment horizontal="center" vertical="center"/>
    </xf>
    <xf numFmtId="0" fontId="68" fillId="0" borderId="27" xfId="0" applyFont="1" applyBorder="1" applyAlignment="1">
      <alignment vertical="center"/>
    </xf>
    <xf numFmtId="164" fontId="69" fillId="0" borderId="0" xfId="2" applyNumberFormat="1" applyFont="1" applyAlignment="1">
      <alignment horizontal="center" vertical="center"/>
    </xf>
    <xf numFmtId="165" fontId="69" fillId="0" borderId="0" xfId="0" applyNumberFormat="1" applyFont="1" applyAlignment="1">
      <alignment horizontal="center"/>
    </xf>
    <xf numFmtId="2" fontId="69" fillId="0" borderId="0" xfId="0" applyNumberFormat="1" applyFont="1" applyAlignment="1">
      <alignment horizontal="center"/>
    </xf>
    <xf numFmtId="0" fontId="68" fillId="0" borderId="27" xfId="0" applyFont="1" applyBorder="1" applyAlignment="1">
      <alignment horizontal="center" vertical="center"/>
    </xf>
    <xf numFmtId="0" fontId="68" fillId="0" borderId="29" xfId="0" applyFont="1" applyBorder="1" applyAlignment="1">
      <alignment horizontal="center" vertical="center"/>
    </xf>
    <xf numFmtId="0" fontId="68" fillId="0" borderId="33" xfId="0" applyFont="1" applyBorder="1" applyAlignment="1">
      <alignment horizontal="center" vertical="center"/>
    </xf>
    <xf numFmtId="166" fontId="69" fillId="3" borderId="0" xfId="2" applyNumberFormat="1" applyFont="1" applyFill="1" applyBorder="1" applyAlignment="1">
      <alignment horizontal="center" vertical="center"/>
    </xf>
    <xf numFmtId="166" fontId="69" fillId="3" borderId="30" xfId="2" applyNumberFormat="1" applyFont="1" applyFill="1" applyBorder="1" applyAlignment="1">
      <alignment horizontal="center" vertical="center"/>
    </xf>
    <xf numFmtId="166" fontId="69" fillId="3" borderId="33" xfId="2" applyNumberFormat="1" applyFont="1" applyFill="1" applyBorder="1" applyAlignment="1">
      <alignment horizontal="center" vertical="center"/>
    </xf>
    <xf numFmtId="0" fontId="68" fillId="0" borderId="34" xfId="0" applyFont="1" applyBorder="1" applyAlignment="1">
      <alignment horizontal="center" vertical="center"/>
    </xf>
    <xf numFmtId="166" fontId="69" fillId="3" borderId="31" xfId="2" applyNumberFormat="1" applyFont="1" applyFill="1" applyBorder="1" applyAlignment="1">
      <alignment horizontal="center" vertical="center"/>
    </xf>
    <xf numFmtId="166" fontId="69" fillId="3" borderId="34" xfId="2" applyNumberFormat="1" applyFont="1" applyFill="1" applyBorder="1" applyAlignment="1">
      <alignment horizontal="center" vertical="center"/>
    </xf>
    <xf numFmtId="0" fontId="68" fillId="0" borderId="29" xfId="0" applyFont="1" applyBorder="1" applyAlignment="1">
      <alignment vertical="center"/>
    </xf>
    <xf numFmtId="164" fontId="69" fillId="0" borderId="26" xfId="2" applyNumberFormat="1" applyFont="1" applyBorder="1" applyAlignment="1">
      <alignment horizontal="center" vertical="center"/>
    </xf>
    <xf numFmtId="165" fontId="69" fillId="0" borderId="26" xfId="0" applyNumberFormat="1" applyFont="1" applyBorder="1" applyAlignment="1">
      <alignment horizontal="center" vertical="center"/>
    </xf>
    <xf numFmtId="2" fontId="69" fillId="0" borderId="26" xfId="0" applyNumberFormat="1" applyFont="1" applyBorder="1" applyAlignment="1">
      <alignment horizontal="center" vertical="center"/>
    </xf>
    <xf numFmtId="0" fontId="68" fillId="0" borderId="35" xfId="0" applyFont="1" applyBorder="1" applyAlignment="1">
      <alignment horizontal="center" vertical="center"/>
    </xf>
    <xf numFmtId="166" fontId="69" fillId="3" borderId="32" xfId="2" applyNumberFormat="1" applyFont="1" applyFill="1" applyBorder="1" applyAlignment="1">
      <alignment horizontal="center" vertical="center"/>
    </xf>
    <xf numFmtId="166" fontId="69" fillId="3" borderId="35" xfId="2" applyNumberFormat="1" applyFont="1" applyFill="1" applyBorder="1" applyAlignment="1">
      <alignment horizontal="center" vertical="center"/>
    </xf>
    <xf numFmtId="166" fontId="69" fillId="0" borderId="26" xfId="2" applyNumberFormat="1" applyFont="1" applyBorder="1" applyAlignment="1">
      <alignment horizontal="center" vertical="center"/>
    </xf>
    <xf numFmtId="166" fontId="69" fillId="0" borderId="29" xfId="2" applyNumberFormat="1" applyFont="1" applyBorder="1" applyAlignment="1">
      <alignment horizontal="center" vertical="center"/>
    </xf>
    <xf numFmtId="166" fontId="69" fillId="0" borderId="34" xfId="2" applyNumberFormat="1" applyFont="1" applyBorder="1" applyAlignment="1">
      <alignment horizontal="center" vertical="center"/>
    </xf>
    <xf numFmtId="0" fontId="70" fillId="0" borderId="25" xfId="6" applyFont="1" applyBorder="1" applyAlignment="1">
      <alignment vertical="center"/>
    </xf>
    <xf numFmtId="0" fontId="71" fillId="0" borderId="0" xfId="0" applyFont="1"/>
    <xf numFmtId="49" fontId="58" fillId="0" borderId="0" xfId="0" applyNumberFormat="1" applyFont="1"/>
    <xf numFmtId="164" fontId="72" fillId="0" borderId="0" xfId="2" applyNumberFormat="1" applyFont="1" applyAlignment="1">
      <alignment horizontal="center" vertical="center"/>
    </xf>
    <xf numFmtId="165" fontId="72" fillId="0" borderId="0" xfId="0" applyNumberFormat="1" applyFont="1" applyAlignment="1">
      <alignment horizontal="center"/>
    </xf>
    <xf numFmtId="2" fontId="72" fillId="0" borderId="0" xfId="0" applyNumberFormat="1" applyFont="1" applyAlignment="1">
      <alignment horizontal="center"/>
    </xf>
    <xf numFmtId="164" fontId="72" fillId="0" borderId="26" xfId="2" applyNumberFormat="1" applyFont="1" applyBorder="1" applyAlignment="1">
      <alignment horizontal="center" vertical="center"/>
    </xf>
    <xf numFmtId="165" fontId="72" fillId="0" borderId="26" xfId="0" applyNumberFormat="1" applyFont="1" applyBorder="1" applyAlignment="1">
      <alignment horizontal="center" vertical="center"/>
    </xf>
    <xf numFmtId="2" fontId="72" fillId="0" borderId="26" xfId="0" applyNumberFormat="1" applyFont="1" applyBorder="1" applyAlignment="1">
      <alignment horizontal="center" vertical="center"/>
    </xf>
    <xf numFmtId="166" fontId="72" fillId="0" borderId="30" xfId="2" applyNumberFormat="1" applyFont="1" applyBorder="1" applyAlignment="1">
      <alignment horizontal="center" vertical="center"/>
    </xf>
    <xf numFmtId="166" fontId="72" fillId="0" borderId="26" xfId="2" applyNumberFormat="1" applyFont="1" applyBorder="1" applyAlignment="1">
      <alignment horizontal="center" vertical="center"/>
    </xf>
    <xf numFmtId="166" fontId="72" fillId="0" borderId="33" xfId="2" applyNumberFormat="1" applyFont="1" applyBorder="1" applyAlignment="1">
      <alignment horizontal="center" vertical="center"/>
    </xf>
    <xf numFmtId="2" fontId="72" fillId="0" borderId="30" xfId="2" applyNumberFormat="1" applyFont="1" applyBorder="1" applyAlignment="1">
      <alignment horizontal="center" vertical="center"/>
    </xf>
    <xf numFmtId="2" fontId="72" fillId="0" borderId="26" xfId="2" applyNumberFormat="1" applyFont="1" applyBorder="1" applyAlignment="1">
      <alignment horizontal="center" vertical="center"/>
    </xf>
    <xf numFmtId="2" fontId="72" fillId="0" borderId="33" xfId="2" applyNumberFormat="1" applyFont="1" applyBorder="1" applyAlignment="1">
      <alignment horizontal="center" vertical="center"/>
    </xf>
    <xf numFmtId="166" fontId="72" fillId="0" borderId="31" xfId="2" applyNumberFormat="1" applyFont="1" applyBorder="1" applyAlignment="1">
      <alignment horizontal="center" vertical="center"/>
    </xf>
    <xf numFmtId="166" fontId="72" fillId="0" borderId="0" xfId="2" applyNumberFormat="1" applyFont="1" applyBorder="1" applyAlignment="1">
      <alignment horizontal="center" vertical="center"/>
    </xf>
    <xf numFmtId="166" fontId="72" fillId="0" borderId="34" xfId="2" applyNumberFormat="1" applyFont="1" applyBorder="1" applyAlignment="1">
      <alignment horizontal="center" vertical="center"/>
    </xf>
    <xf numFmtId="2" fontId="72" fillId="0" borderId="31" xfId="2" applyNumberFormat="1" applyFont="1" applyBorder="1" applyAlignment="1">
      <alignment horizontal="center" vertical="center"/>
    </xf>
    <xf numFmtId="2" fontId="72" fillId="0" borderId="0" xfId="2" applyNumberFormat="1" applyFont="1" applyBorder="1" applyAlignment="1">
      <alignment horizontal="center" vertical="center"/>
    </xf>
    <xf numFmtId="2" fontId="72" fillId="0" borderId="34" xfId="2" applyNumberFormat="1" applyFont="1" applyBorder="1" applyAlignment="1">
      <alignment horizontal="center" vertical="center"/>
    </xf>
    <xf numFmtId="166" fontId="72" fillId="0" borderId="32" xfId="2" applyNumberFormat="1" applyFont="1" applyBorder="1" applyAlignment="1">
      <alignment horizontal="center" vertical="center"/>
    </xf>
    <xf numFmtId="166" fontId="72" fillId="0" borderId="25" xfId="2" applyNumberFormat="1" applyFont="1" applyBorder="1" applyAlignment="1">
      <alignment horizontal="center" vertical="center"/>
    </xf>
    <xf numFmtId="166" fontId="72" fillId="0" borderId="35" xfId="2" applyNumberFormat="1" applyFont="1" applyBorder="1" applyAlignment="1">
      <alignment horizontal="center" vertical="center"/>
    </xf>
    <xf numFmtId="2" fontId="72" fillId="0" borderId="32" xfId="2" applyNumberFormat="1" applyFont="1" applyBorder="1" applyAlignment="1">
      <alignment horizontal="center" vertical="center"/>
    </xf>
    <xf numFmtId="2" fontId="72" fillId="0" borderId="25" xfId="2" applyNumberFormat="1" applyFont="1" applyBorder="1" applyAlignment="1">
      <alignment horizontal="center" vertical="center"/>
    </xf>
    <xf numFmtId="2" fontId="72" fillId="0" borderId="35" xfId="2" applyNumberFormat="1" applyFont="1" applyBorder="1" applyAlignment="1">
      <alignment horizontal="center" vertical="center"/>
    </xf>
    <xf numFmtId="166" fontId="72" fillId="3" borderId="26" xfId="2" applyNumberFormat="1" applyFont="1" applyFill="1" applyBorder="1" applyAlignment="1">
      <alignment horizontal="center" vertical="center"/>
    </xf>
    <xf numFmtId="166" fontId="72" fillId="3" borderId="29" xfId="2" applyNumberFormat="1" applyFont="1" applyFill="1" applyBorder="1" applyAlignment="1">
      <alignment horizontal="center" vertical="center"/>
    </xf>
    <xf numFmtId="166" fontId="72" fillId="3" borderId="0" xfId="2" applyNumberFormat="1" applyFont="1" applyFill="1" applyBorder="1" applyAlignment="1">
      <alignment horizontal="center" vertical="center"/>
    </xf>
    <xf numFmtId="166" fontId="72" fillId="3" borderId="27" xfId="2" applyNumberFormat="1" applyFont="1" applyFill="1" applyBorder="1" applyAlignment="1">
      <alignment horizontal="center" vertical="center"/>
    </xf>
    <xf numFmtId="166" fontId="72" fillId="3" borderId="25" xfId="2" applyNumberFormat="1" applyFont="1" applyFill="1" applyBorder="1" applyAlignment="1">
      <alignment horizontal="center" vertical="center"/>
    </xf>
    <xf numFmtId="166" fontId="72" fillId="3" borderId="28" xfId="2" applyNumberFormat="1" applyFont="1" applyFill="1" applyBorder="1" applyAlignment="1">
      <alignment horizontal="center" vertical="center"/>
    </xf>
    <xf numFmtId="166" fontId="73" fillId="3" borderId="30" xfId="2" applyNumberFormat="1" applyFont="1" applyFill="1" applyBorder="1" applyAlignment="1">
      <alignment horizontal="center" vertical="center"/>
    </xf>
    <xf numFmtId="166" fontId="73" fillId="3" borderId="26" xfId="2" applyNumberFormat="1" applyFont="1" applyFill="1" applyBorder="1" applyAlignment="1">
      <alignment horizontal="center" vertical="center"/>
    </xf>
    <xf numFmtId="166" fontId="73" fillId="3" borderId="29" xfId="2" applyNumberFormat="1" applyFont="1" applyFill="1" applyBorder="1" applyAlignment="1">
      <alignment horizontal="center" vertical="center"/>
    </xf>
    <xf numFmtId="2" fontId="73" fillId="3" borderId="30" xfId="2" applyNumberFormat="1" applyFont="1" applyFill="1" applyBorder="1" applyAlignment="1">
      <alignment horizontal="center" vertical="center"/>
    </xf>
    <xf numFmtId="2" fontId="73" fillId="3" borderId="26" xfId="2" applyNumberFormat="1" applyFont="1" applyFill="1" applyBorder="1" applyAlignment="1">
      <alignment horizontal="center" vertical="center"/>
    </xf>
    <xf numFmtId="2" fontId="73" fillId="3" borderId="29" xfId="2" applyNumberFormat="1" applyFont="1" applyFill="1" applyBorder="1" applyAlignment="1">
      <alignment horizontal="center" vertical="center"/>
    </xf>
    <xf numFmtId="166" fontId="73" fillId="3" borderId="31" xfId="2" applyNumberFormat="1" applyFont="1" applyFill="1" applyBorder="1" applyAlignment="1">
      <alignment horizontal="center" vertical="center"/>
    </xf>
    <xf numFmtId="166" fontId="73" fillId="0" borderId="0" xfId="2" applyNumberFormat="1" applyFont="1" applyBorder="1" applyAlignment="1">
      <alignment horizontal="center" vertical="center"/>
    </xf>
    <xf numFmtId="166" fontId="73" fillId="0" borderId="27" xfId="2" applyNumberFormat="1" applyFont="1" applyBorder="1" applyAlignment="1">
      <alignment horizontal="center" vertical="center"/>
    </xf>
    <xf numFmtId="2" fontId="73" fillId="3" borderId="31" xfId="2" applyNumberFormat="1" applyFont="1" applyFill="1" applyBorder="1" applyAlignment="1">
      <alignment horizontal="center" vertical="center"/>
    </xf>
    <xf numFmtId="2" fontId="73" fillId="0" borderId="0" xfId="2" applyNumberFormat="1" applyFont="1" applyBorder="1" applyAlignment="1">
      <alignment horizontal="center" vertical="center"/>
    </xf>
    <xf numFmtId="2" fontId="73" fillId="0" borderId="27" xfId="2" applyNumberFormat="1" applyFont="1" applyBorder="1" applyAlignment="1">
      <alignment horizontal="center" vertical="center"/>
    </xf>
    <xf numFmtId="166" fontId="73" fillId="3" borderId="0" xfId="2" applyNumberFormat="1" applyFont="1" applyFill="1" applyBorder="1" applyAlignment="1">
      <alignment horizontal="center" vertical="center"/>
    </xf>
    <xf numFmtId="166" fontId="73" fillId="3" borderId="27" xfId="2" applyNumberFormat="1" applyFont="1" applyFill="1" applyBorder="1" applyAlignment="1">
      <alignment horizontal="center" vertical="center"/>
    </xf>
    <xf numFmtId="2" fontId="73" fillId="3" borderId="0" xfId="2" applyNumberFormat="1" applyFont="1" applyFill="1" applyBorder="1" applyAlignment="1">
      <alignment horizontal="center" vertical="center"/>
    </xf>
    <xf numFmtId="2" fontId="73" fillId="3" borderId="27" xfId="2" applyNumberFormat="1" applyFont="1" applyFill="1" applyBorder="1" applyAlignment="1">
      <alignment horizontal="center" vertical="center"/>
    </xf>
    <xf numFmtId="166" fontId="73" fillId="3" borderId="32" xfId="2" applyNumberFormat="1" applyFont="1" applyFill="1" applyBorder="1" applyAlignment="1">
      <alignment horizontal="center" vertical="center"/>
    </xf>
    <xf numFmtId="166" fontId="73" fillId="0" borderId="25" xfId="2" applyNumberFormat="1" applyFont="1" applyBorder="1" applyAlignment="1">
      <alignment horizontal="center" vertical="center"/>
    </xf>
    <xf numFmtId="166" fontId="73" fillId="0" borderId="28" xfId="2" applyNumberFormat="1" applyFont="1" applyBorder="1" applyAlignment="1">
      <alignment horizontal="center" vertical="center"/>
    </xf>
    <xf numFmtId="2" fontId="73" fillId="3" borderId="32" xfId="2" applyNumberFormat="1" applyFont="1" applyFill="1" applyBorder="1" applyAlignment="1">
      <alignment horizontal="center" vertical="center"/>
    </xf>
    <xf numFmtId="2" fontId="73" fillId="0" borderId="25" xfId="2" applyNumberFormat="1" applyFont="1" applyBorder="1" applyAlignment="1">
      <alignment horizontal="center" vertical="center"/>
    </xf>
    <xf numFmtId="2" fontId="73" fillId="0" borderId="28" xfId="2" applyNumberFormat="1" applyFont="1" applyBorder="1" applyAlignment="1">
      <alignment horizontal="center" vertical="center"/>
    </xf>
    <xf numFmtId="166" fontId="72" fillId="0" borderId="29" xfId="2" applyNumberFormat="1" applyFont="1" applyBorder="1" applyAlignment="1">
      <alignment horizontal="center" vertical="center"/>
    </xf>
    <xf numFmtId="2" fontId="72" fillId="0" borderId="29" xfId="2" applyNumberFormat="1" applyFont="1" applyBorder="1" applyAlignment="1">
      <alignment horizontal="center" vertical="center"/>
    </xf>
    <xf numFmtId="165" fontId="72" fillId="0" borderId="0" xfId="2" applyNumberFormat="1" applyFont="1" applyAlignment="1">
      <alignment horizontal="center" vertical="center"/>
    </xf>
    <xf numFmtId="165" fontId="72" fillId="0" borderId="26" xfId="2" applyNumberFormat="1" applyFont="1" applyBorder="1" applyAlignment="1">
      <alignment horizontal="center" vertical="center"/>
    </xf>
    <xf numFmtId="0" fontId="23" fillId="2" borderId="22" xfId="3" applyFont="1" applyBorder="1" applyAlignment="1">
      <alignment horizontal="center"/>
    </xf>
    <xf numFmtId="0" fontId="23" fillId="2" borderId="23" xfId="3" applyFont="1" applyBorder="1" applyAlignment="1">
      <alignment horizontal="center"/>
    </xf>
    <xf numFmtId="0" fontId="23" fillId="2" borderId="13" xfId="3" applyFont="1" applyBorder="1" applyAlignment="1">
      <alignment horizontal="center"/>
    </xf>
    <xf numFmtId="0" fontId="23" fillId="2" borderId="2" xfId="3" applyFont="1" applyBorder="1" applyAlignment="1">
      <alignment horizontal="center"/>
    </xf>
    <xf numFmtId="49" fontId="20" fillId="5" borderId="2" xfId="5" applyNumberFormat="1" applyFont="1" applyBorder="1" applyAlignment="1">
      <alignment horizontal="center" vertical="center" textRotation="90"/>
    </xf>
    <xf numFmtId="0" fontId="23" fillId="2" borderId="2" xfId="3" applyFont="1" applyBorder="1" applyAlignment="1">
      <alignment horizontal="center" vertical="center" textRotation="90"/>
    </xf>
    <xf numFmtId="49" fontId="20" fillId="5" borderId="2" xfId="5" applyNumberFormat="1" applyFont="1" applyBorder="1" applyAlignment="1">
      <alignment horizontal="center" vertical="center"/>
    </xf>
    <xf numFmtId="49" fontId="20" fillId="5" borderId="3" xfId="5" applyNumberFormat="1" applyFont="1" applyBorder="1" applyAlignment="1">
      <alignment horizontal="center" vertical="center" textRotation="90"/>
    </xf>
    <xf numFmtId="0" fontId="24" fillId="2" borderId="2" xfId="3" applyFont="1" applyBorder="1" applyAlignment="1">
      <alignment horizontal="center" vertical="center"/>
    </xf>
    <xf numFmtId="0" fontId="23" fillId="6" borderId="3" xfId="4" applyFont="1" applyFill="1" applyBorder="1" applyAlignment="1">
      <alignment horizontal="center"/>
    </xf>
    <xf numFmtId="0" fontId="23" fillId="2" borderId="17" xfId="3" applyFont="1" applyBorder="1" applyAlignment="1">
      <alignment horizontal="center" vertical="center"/>
    </xf>
    <xf numFmtId="0" fontId="23" fillId="2" borderId="18" xfId="3" applyFont="1" applyBorder="1" applyAlignment="1">
      <alignment horizontal="center" vertical="center"/>
    </xf>
    <xf numFmtId="0" fontId="23" fillId="2" borderId="19" xfId="3" applyFont="1" applyBorder="1" applyAlignment="1">
      <alignment horizontal="center" vertical="center"/>
    </xf>
    <xf numFmtId="0" fontId="23" fillId="2" borderId="20" xfId="3" applyFont="1" applyBorder="1" applyAlignment="1">
      <alignment horizontal="center" vertical="center"/>
    </xf>
    <xf numFmtId="0" fontId="23" fillId="2" borderId="1" xfId="3" applyFont="1" applyBorder="1" applyAlignment="1">
      <alignment horizontal="center" vertical="center"/>
    </xf>
    <xf numFmtId="0" fontId="23" fillId="2" borderId="21" xfId="3" applyFont="1" applyBorder="1" applyAlignment="1">
      <alignment horizontal="center" vertical="center"/>
    </xf>
    <xf numFmtId="0" fontId="24" fillId="2" borderId="13" xfId="3" applyFont="1" applyBorder="1" applyAlignment="1">
      <alignment horizontal="center" vertical="center"/>
    </xf>
    <xf numFmtId="0" fontId="26" fillId="0" borderId="25" xfId="6" applyFont="1" applyBorder="1" applyAlignment="1">
      <alignment horizontal="center" vertical="center"/>
    </xf>
    <xf numFmtId="0" fontId="29" fillId="0" borderId="26" xfId="0" applyFont="1" applyBorder="1" applyAlignment="1">
      <alignment horizontal="center" vertical="center"/>
    </xf>
    <xf numFmtId="0" fontId="19" fillId="0" borderId="25" xfId="6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6" fillId="0" borderId="26" xfId="0" applyFont="1" applyBorder="1" applyAlignment="1">
      <alignment horizontal="center" vertical="center"/>
    </xf>
    <xf numFmtId="0" fontId="46" fillId="0" borderId="29" xfId="0" applyFont="1" applyBorder="1" applyAlignment="1">
      <alignment horizontal="center" vertical="center"/>
    </xf>
    <xf numFmtId="0" fontId="46" fillId="0" borderId="27" xfId="0" applyFont="1" applyBorder="1" applyAlignment="1">
      <alignment horizontal="center" vertical="center"/>
    </xf>
    <xf numFmtId="0" fontId="39" fillId="0" borderId="25" xfId="6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56" fillId="0" borderId="25" xfId="6" applyFont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6" fillId="0" borderId="25" xfId="6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3" fillId="0" borderId="2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0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166" fontId="28" fillId="0" borderId="26" xfId="2" applyNumberFormat="1" applyFont="1" applyBorder="1" applyAlignment="1">
      <alignment horizontal="center" vertical="center"/>
    </xf>
    <xf numFmtId="166" fontId="28" fillId="0" borderId="29" xfId="2" applyNumberFormat="1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166" fontId="69" fillId="0" borderId="26" xfId="2" applyNumberFormat="1" applyFont="1" applyBorder="1" applyAlignment="1">
      <alignment horizontal="center" vertical="center"/>
    </xf>
    <xf numFmtId="166" fontId="69" fillId="0" borderId="29" xfId="2" applyNumberFormat="1" applyFont="1" applyBorder="1" applyAlignment="1">
      <alignment horizontal="center" vertical="center"/>
    </xf>
    <xf numFmtId="0" fontId="68" fillId="0" borderId="25" xfId="0" applyFont="1" applyBorder="1" applyAlignment="1">
      <alignment horizontal="center" vertical="center"/>
    </xf>
    <xf numFmtId="0" fontId="60" fillId="0" borderId="25" xfId="6" applyFont="1" applyBorder="1" applyAlignment="1">
      <alignment horizontal="center" vertical="center"/>
    </xf>
    <xf numFmtId="0" fontId="61" fillId="0" borderId="26" xfId="0" applyFont="1" applyBorder="1" applyAlignment="1">
      <alignment horizontal="center" vertical="center"/>
    </xf>
    <xf numFmtId="0" fontId="27" fillId="0" borderId="25" xfId="6" applyFont="1" applyBorder="1" applyAlignment="1">
      <alignment horizontal="center" vertical="center"/>
    </xf>
    <xf numFmtId="10" fontId="40" fillId="0" borderId="0" xfId="2" applyNumberFormat="1" applyFont="1"/>
  </cellXfs>
  <cellStyles count="7">
    <cellStyle name="60% - Énfasis6" xfId="5" builtinId="52"/>
    <cellStyle name="Énfasis2" xfId="4" builtinId="33"/>
    <cellStyle name="Énfasis6" xfId="3" builtinId="49"/>
    <cellStyle name="Moneda" xfId="1" builtinId="4"/>
    <cellStyle name="Normal" xfId="0" builtinId="0"/>
    <cellStyle name="Porcentaje" xfId="2" builtinId="5"/>
    <cellStyle name="Título 2" xfId="6" builtinId="17"/>
  </cellStyles>
  <dxfs count="488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r>
              <a:rPr lang="es-CL" sz="3600"/>
              <a:t>Risk/Position by duration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51785603571207"/>
          <c:y val="0.10131978574951457"/>
          <c:w val="0.8709806352946039"/>
          <c:h val="0.81181198933576137"/>
        </c:manualLayout>
      </c:layout>
      <c:barChart>
        <c:barDir val="col"/>
        <c:grouping val="stacked"/>
        <c:varyColors val="0"/>
        <c:ser>
          <c:idx val="0"/>
          <c:order val="0"/>
          <c:tx>
            <c:v>weight</c:v>
          </c:tx>
          <c:spPr>
            <a:solidFill>
              <a:schemeClr val="accent1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'retorno absoluto'!$D$74:$D$89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'retorno absoluto'!$M$53:$M$68</c:f>
              <c:numCache>
                <c:formatCode>#,##0.0%;\(#,##0.0%\)</c:formatCode>
                <c:ptCount val="16"/>
                <c:pt idx="0">
                  <c:v>-0.37116852675843742</c:v>
                </c:pt>
                <c:pt idx="1">
                  <c:v>6.5017286928254706E-3</c:v>
                </c:pt>
                <c:pt idx="2">
                  <c:v>5.5162648072020884E-2</c:v>
                </c:pt>
                <c:pt idx="3">
                  <c:v>0.9353820379528025</c:v>
                </c:pt>
                <c:pt idx="4">
                  <c:v>0.13975520327916299</c:v>
                </c:pt>
                <c:pt idx="5">
                  <c:v>4.1290652926091823E-4</c:v>
                </c:pt>
                <c:pt idx="6">
                  <c:v>1.452014334966047E-3</c:v>
                </c:pt>
                <c:pt idx="7">
                  <c:v>0</c:v>
                </c:pt>
                <c:pt idx="8">
                  <c:v>0.13179671473631233</c:v>
                </c:pt>
                <c:pt idx="9">
                  <c:v>2.0407686494486998E-3</c:v>
                </c:pt>
                <c:pt idx="10">
                  <c:v>0</c:v>
                </c:pt>
                <c:pt idx="11">
                  <c:v>0</c:v>
                </c:pt>
                <c:pt idx="12">
                  <c:v>7.3687255584817812E-2</c:v>
                </c:pt>
                <c:pt idx="13">
                  <c:v>0</c:v>
                </c:pt>
                <c:pt idx="14">
                  <c:v>0</c:v>
                </c:pt>
                <c:pt idx="15">
                  <c:v>2.4977248926819757E-2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A-47C1-ABD7-0926E04097A4}"/>
            </c:ext>
          </c:extLst>
        </c:ser>
        <c:ser>
          <c:idx val="1"/>
          <c:order val="1"/>
          <c:tx>
            <c:v>pcr</c:v>
          </c:tx>
          <c:spPr>
            <a:solidFill>
              <a:schemeClr val="accent6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'retorno absoluto'!$D$74:$D$89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'retorno absoluto'!$AB$74:$AB$89</c:f>
              <c:numCache>
                <c:formatCode>#,##0.0%;\(#,##0.0%\)</c:formatCode>
                <c:ptCount val="16"/>
                <c:pt idx="0">
                  <c:v>1.6568603181324731E-3</c:v>
                </c:pt>
                <c:pt idx="1">
                  <c:v>2.4402093632323386E-4</c:v>
                </c:pt>
                <c:pt idx="2">
                  <c:v>3.9542599848739875E-2</c:v>
                </c:pt>
                <c:pt idx="3">
                  <c:v>0.51775574378196509</c:v>
                </c:pt>
                <c:pt idx="4">
                  <c:v>6.835340731223577E-2</c:v>
                </c:pt>
                <c:pt idx="5">
                  <c:v>6.2955220753332095E-4</c:v>
                </c:pt>
                <c:pt idx="6">
                  <c:v>2.213863829143434E-3</c:v>
                </c:pt>
                <c:pt idx="7">
                  <c:v>0</c:v>
                </c:pt>
                <c:pt idx="8">
                  <c:v>0.21995128312823137</c:v>
                </c:pt>
                <c:pt idx="9">
                  <c:v>3.2849686377658541E-3</c:v>
                </c:pt>
                <c:pt idx="10">
                  <c:v>0</c:v>
                </c:pt>
                <c:pt idx="11">
                  <c:v>0</c:v>
                </c:pt>
                <c:pt idx="12">
                  <c:v>8.0532720278851555E-2</c:v>
                </c:pt>
                <c:pt idx="13">
                  <c:v>0</c:v>
                </c:pt>
                <c:pt idx="14">
                  <c:v>0</c:v>
                </c:pt>
                <c:pt idx="15">
                  <c:v>6.5834979721078032E-2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A-47C1-ABD7-0926E0409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83326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s-CL" sz="3600"/>
              <a:t>IIF position by currency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5837902273159771E-2"/>
          <c:y val="0.13369133858267718"/>
          <c:w val="0.90566060227423695"/>
          <c:h val="0.6814629602698080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'retorno absoluto'!$AF$94</c:f>
              <c:strCache>
                <c:ptCount val="1"/>
                <c:pt idx="0">
                  <c:v>dep $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'retorno absoluto'!$AE$95:$AE$122</c:f>
              <c:numCache>
                <c:formatCode>General</c:formatCode>
                <c:ptCount val="28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720</c:v>
                </c:pt>
                <c:pt idx="25">
                  <c:v>1080</c:v>
                </c:pt>
                <c:pt idx="26">
                  <c:v>3600</c:v>
                </c:pt>
                <c:pt idx="27">
                  <c:v>10000</c:v>
                </c:pt>
              </c:numCache>
            </c:numRef>
          </c:cat>
          <c:val>
            <c:numRef>
              <c:f>'retorno absoluto'!$AF$95:$AF$122</c:f>
              <c:numCache>
                <c:formatCode>#,##0.0%;\(#,##0.0%\)</c:formatCode>
                <c:ptCount val="28"/>
                <c:pt idx="0">
                  <c:v>0</c:v>
                </c:pt>
                <c:pt idx="1">
                  <c:v>2.0709864845849912E-2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1.7816495667742969E-3</c:v>
                </c:pt>
                <c:pt idx="6">
                  <c:v>2.0586553675433165E-3</c:v>
                </c:pt>
                <c:pt idx="7">
                  <c:v>0</c:v>
                </c:pt>
                <c:pt idx="8">
                  <c:v>1.3688939070884761E-3</c:v>
                </c:pt>
                <c:pt idx="9">
                  <c:v>2.7305405871493413E-2</c:v>
                </c:pt>
                <c:pt idx="10">
                  <c:v>7.6257099299685668E-4</c:v>
                </c:pt>
                <c:pt idx="11">
                  <c:v>3.4027677547552142E-3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3.8075656145213845E-3</c:v>
                </c:pt>
                <c:pt idx="18">
                  <c:v>0</c:v>
                </c:pt>
                <c:pt idx="19">
                  <c:v>2.6941630783040862E-3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9-46FC-AF68-7DB8C18C0DBA}"/>
            </c:ext>
          </c:extLst>
        </c:ser>
        <c:ser>
          <c:idx val="1"/>
          <c:order val="1"/>
          <c:tx>
            <c:strRef>
              <c:f>'retorno absoluto'!$AG$94</c:f>
              <c:strCache>
                <c:ptCount val="1"/>
                <c:pt idx="0">
                  <c:v>dep UF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'retorno absoluto'!$AE$95:$AE$122</c:f>
              <c:numCache>
                <c:formatCode>General</c:formatCode>
                <c:ptCount val="28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720</c:v>
                </c:pt>
                <c:pt idx="25">
                  <c:v>1080</c:v>
                </c:pt>
                <c:pt idx="26">
                  <c:v>3600</c:v>
                </c:pt>
                <c:pt idx="27">
                  <c:v>10000</c:v>
                </c:pt>
              </c:numCache>
            </c:numRef>
          </c:cat>
          <c:val>
            <c:numRef>
              <c:f>'retorno absoluto'!$AG$95:$AG$122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39-46FC-AF68-7DB8C18C0DBA}"/>
            </c:ext>
          </c:extLst>
        </c:ser>
        <c:ser>
          <c:idx val="2"/>
          <c:order val="2"/>
          <c:tx>
            <c:strRef>
              <c:f>'retorno absoluto'!$AH$94</c:f>
              <c:strCache>
                <c:ptCount val="1"/>
                <c:pt idx="0">
                  <c:v>dep US$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'retorno absoluto'!$AE$95:$AE$122</c:f>
              <c:numCache>
                <c:formatCode>General</c:formatCode>
                <c:ptCount val="28"/>
                <c:pt idx="0">
                  <c:v>15</c:v>
                </c:pt>
                <c:pt idx="1">
                  <c:v>30</c:v>
                </c:pt>
                <c:pt idx="2">
                  <c:v>45</c:v>
                </c:pt>
                <c:pt idx="3">
                  <c:v>60</c:v>
                </c:pt>
                <c:pt idx="4">
                  <c:v>75</c:v>
                </c:pt>
                <c:pt idx="5">
                  <c:v>90</c:v>
                </c:pt>
                <c:pt idx="6">
                  <c:v>105</c:v>
                </c:pt>
                <c:pt idx="7">
                  <c:v>120</c:v>
                </c:pt>
                <c:pt idx="8">
                  <c:v>135</c:v>
                </c:pt>
                <c:pt idx="9">
                  <c:v>150</c:v>
                </c:pt>
                <c:pt idx="10">
                  <c:v>165</c:v>
                </c:pt>
                <c:pt idx="11">
                  <c:v>180</c:v>
                </c:pt>
                <c:pt idx="12">
                  <c:v>195</c:v>
                </c:pt>
                <c:pt idx="13">
                  <c:v>210</c:v>
                </c:pt>
                <c:pt idx="14">
                  <c:v>225</c:v>
                </c:pt>
                <c:pt idx="15">
                  <c:v>240</c:v>
                </c:pt>
                <c:pt idx="16">
                  <c:v>255</c:v>
                </c:pt>
                <c:pt idx="17">
                  <c:v>270</c:v>
                </c:pt>
                <c:pt idx="18">
                  <c:v>285</c:v>
                </c:pt>
                <c:pt idx="19">
                  <c:v>300</c:v>
                </c:pt>
                <c:pt idx="20">
                  <c:v>315</c:v>
                </c:pt>
                <c:pt idx="21">
                  <c:v>330</c:v>
                </c:pt>
                <c:pt idx="22">
                  <c:v>345</c:v>
                </c:pt>
                <c:pt idx="23">
                  <c:v>360</c:v>
                </c:pt>
                <c:pt idx="24">
                  <c:v>720</c:v>
                </c:pt>
                <c:pt idx="25">
                  <c:v>1080</c:v>
                </c:pt>
                <c:pt idx="26">
                  <c:v>3600</c:v>
                </c:pt>
                <c:pt idx="27">
                  <c:v>10000</c:v>
                </c:pt>
              </c:numCache>
            </c:numRef>
          </c:cat>
          <c:val>
            <c:numRef>
              <c:f>'retorno absoluto'!$AH$95:$AH$122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39-46FC-AF68-7DB8C18C0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crossAx val="13833267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40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36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r>
              <a:rPr lang="en-US" sz="3600"/>
              <a:t>Historical Tracking Error v/s Duration by Currency</a:t>
            </a:r>
          </a:p>
        </c:rich>
      </c:tx>
      <c:layout>
        <c:manualLayout>
          <c:xMode val="edge"/>
          <c:yMode val="edge"/>
          <c:x val="0.33507710963150111"/>
          <c:y val="2.11165544352204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45635954113086"/>
          <c:y val="0.10338433150401655"/>
          <c:w val="0.70148482925763733"/>
          <c:h val="0.73987002571648242"/>
        </c:manualLayout>
      </c:layout>
      <c:areaChart>
        <c:grouping val="stacked"/>
        <c:varyColors val="0"/>
        <c:ser>
          <c:idx val="1"/>
          <c:order val="0"/>
          <c:tx>
            <c:strRef>
              <c:f>Historical!$L$1</c:f>
              <c:strCache>
                <c:ptCount val="1"/>
                <c:pt idx="0">
                  <c:v>$</c:v>
                </c:pt>
              </c:strCache>
            </c:strRef>
          </c:tx>
          <c:spPr>
            <a:solidFill>
              <a:schemeClr val="accent1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Historical!$L$2:$L$21</c:f>
              <c:numCache>
                <c:formatCode>0.00%</c:formatCode>
                <c:ptCount val="20"/>
                <c:pt idx="0">
                  <c:v>7.054957919811076E-3</c:v>
                </c:pt>
                <c:pt idx="1">
                  <c:v>6.8654557905703838E-3</c:v>
                </c:pt>
                <c:pt idx="2">
                  <c:v>6.6160248351880401E-3</c:v>
                </c:pt>
                <c:pt idx="3">
                  <c:v>6.5314820273653859E-3</c:v>
                </c:pt>
                <c:pt idx="4">
                  <c:v>7.3235271553051765E-3</c:v>
                </c:pt>
                <c:pt idx="5">
                  <c:v>7.0929173498335265E-3</c:v>
                </c:pt>
                <c:pt idx="6">
                  <c:v>8.2565432003523336E-3</c:v>
                </c:pt>
                <c:pt idx="7">
                  <c:v>8.2819428561502397E-3</c:v>
                </c:pt>
                <c:pt idx="8">
                  <c:v>8.2875538801296042E-3</c:v>
                </c:pt>
                <c:pt idx="9">
                  <c:v>1.0029508512152964E-2</c:v>
                </c:pt>
                <c:pt idx="10">
                  <c:v>9.7461964451057703E-3</c:v>
                </c:pt>
                <c:pt idx="11">
                  <c:v>1.0142825942983926E-2</c:v>
                </c:pt>
                <c:pt idx="12">
                  <c:v>9.8687107360118723E-3</c:v>
                </c:pt>
                <c:pt idx="13">
                  <c:v>1.0139169070810791E-2</c:v>
                </c:pt>
                <c:pt idx="14">
                  <c:v>6.7694755399060362E-3</c:v>
                </c:pt>
                <c:pt idx="15">
                  <c:v>6.6188508245808905E-3</c:v>
                </c:pt>
                <c:pt idx="16">
                  <c:v>7.446596476351491E-3</c:v>
                </c:pt>
                <c:pt idx="17">
                  <c:v>7.2714903178983286E-3</c:v>
                </c:pt>
                <c:pt idx="18">
                  <c:v>7.6239563739705423E-3</c:v>
                </c:pt>
                <c:pt idx="19">
                  <c:v>7.965582550854727E-3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F-4132-B959-5B8F6542D7B2}"/>
            </c:ext>
          </c:extLst>
        </c:ser>
        <c:ser>
          <c:idx val="0"/>
          <c:order val="1"/>
          <c:tx>
            <c:strRef>
              <c:f>Historical!$M$1</c:f>
              <c:strCache>
                <c:ptCount val="1"/>
                <c:pt idx="0">
                  <c:v>UF</c:v>
                </c:pt>
              </c:strCache>
            </c:strRef>
          </c:tx>
          <c:spPr>
            <a:solidFill>
              <a:schemeClr val="accent6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Historical!$M$2:$M$21</c:f>
              <c:numCache>
                <c:formatCode>0.00%</c:formatCode>
                <c:ptCount val="20"/>
                <c:pt idx="0">
                  <c:v>5.4781537083361219E-3</c:v>
                </c:pt>
                <c:pt idx="1">
                  <c:v>5.3125641086032363E-3</c:v>
                </c:pt>
                <c:pt idx="2">
                  <c:v>5.1245292787928205E-3</c:v>
                </c:pt>
                <c:pt idx="3">
                  <c:v>5.0277881269827646E-3</c:v>
                </c:pt>
                <c:pt idx="4">
                  <c:v>5.2510274590360072E-3</c:v>
                </c:pt>
                <c:pt idx="5">
                  <c:v>5.1115894141733698E-3</c:v>
                </c:pt>
                <c:pt idx="6">
                  <c:v>5.592706257297745E-3</c:v>
                </c:pt>
                <c:pt idx="7">
                  <c:v>5.5056002899059138E-3</c:v>
                </c:pt>
                <c:pt idx="8">
                  <c:v>5.8774620544839139E-3</c:v>
                </c:pt>
                <c:pt idx="9">
                  <c:v>7.0120090619146223E-3</c:v>
                </c:pt>
                <c:pt idx="10">
                  <c:v>6.8632829093433923E-3</c:v>
                </c:pt>
                <c:pt idx="11">
                  <c:v>6.4760098689509655E-3</c:v>
                </c:pt>
                <c:pt idx="12">
                  <c:v>6.3742928288530228E-3</c:v>
                </c:pt>
                <c:pt idx="13">
                  <c:v>7.1465502927823372E-3</c:v>
                </c:pt>
                <c:pt idx="14">
                  <c:v>1.2154630486412238E-2</c:v>
                </c:pt>
                <c:pt idx="15">
                  <c:v>1.26825568031888E-2</c:v>
                </c:pt>
                <c:pt idx="16">
                  <c:v>1.2459121319993664E-2</c:v>
                </c:pt>
                <c:pt idx="17">
                  <c:v>1.2135484921923434E-2</c:v>
                </c:pt>
                <c:pt idx="18">
                  <c:v>1.1768140326801974E-2</c:v>
                </c:pt>
                <c:pt idx="19">
                  <c:v>1.1855176285592108E-2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F-4132-B959-5B8F6542D7B2}"/>
            </c:ext>
          </c:extLst>
        </c:ser>
        <c:ser>
          <c:idx val="2"/>
          <c:order val="2"/>
          <c:tx>
            <c:strRef>
              <c:f>Historical!$N$1</c:f>
              <c:strCache>
                <c:ptCount val="1"/>
                <c:pt idx="0">
                  <c:v>US$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Historical!$N$2:$N$21</c:f>
              <c:numCache>
                <c:formatCode>0.00%</c:formatCode>
                <c:ptCount val="20"/>
                <c:pt idx="0">
                  <c:v>-3.7289403252735919E-5</c:v>
                </c:pt>
                <c:pt idx="1">
                  <c:v>-3.5311044216664558E-5</c:v>
                </c:pt>
                <c:pt idx="2">
                  <c:v>-3.3995435445272317E-5</c:v>
                </c:pt>
                <c:pt idx="3">
                  <c:v>-3.7741235691539436E-5</c:v>
                </c:pt>
                <c:pt idx="4">
                  <c:v>-2.2538327721504719E-5</c:v>
                </c:pt>
                <c:pt idx="5">
                  <c:v>-2.1876989108375078E-5</c:v>
                </c:pt>
                <c:pt idx="6">
                  <c:v>-3.5349978709247702E-5</c:v>
                </c:pt>
                <c:pt idx="7">
                  <c:v>-4.6088441619135348E-5</c:v>
                </c:pt>
                <c:pt idx="8">
                  <c:v>-5.9605705116879099E-5</c:v>
                </c:pt>
                <c:pt idx="9">
                  <c:v>-2.8019216952800465E-5</c:v>
                </c:pt>
                <c:pt idx="10">
                  <c:v>-2.8389858808047584E-5</c:v>
                </c:pt>
                <c:pt idx="11">
                  <c:v>-3.3818988077783737E-5</c:v>
                </c:pt>
                <c:pt idx="12">
                  <c:v>-2.6144903882642693E-5</c:v>
                </c:pt>
                <c:pt idx="13">
                  <c:v>7.5005586405573295E-8</c:v>
                </c:pt>
                <c:pt idx="14">
                  <c:v>7.9465609396869676E-6</c:v>
                </c:pt>
                <c:pt idx="15">
                  <c:v>7.0672949160048779E-6</c:v>
                </c:pt>
                <c:pt idx="16">
                  <c:v>5.8464872598677297E-6</c:v>
                </c:pt>
                <c:pt idx="17">
                  <c:v>9.6687641507026581E-6</c:v>
                </c:pt>
                <c:pt idx="18">
                  <c:v>1.3818250519813502E-5</c:v>
                </c:pt>
                <c:pt idx="19">
                  <c:v>7.8348628738360813E-6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CF-4132-B959-5B8F6542D7B2}"/>
            </c:ext>
          </c:extLst>
        </c:ser>
        <c:ser>
          <c:idx val="3"/>
          <c:order val="3"/>
          <c:tx>
            <c:strRef>
              <c:f>Historical!$O$1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Historical!$O$2:$O$21</c:f>
              <c:numCache>
                <c:formatCode>0.00%</c:formatCode>
                <c:ptCount val="20"/>
                <c:pt idx="0">
                  <c:v>1.1058685239588402E-6</c:v>
                </c:pt>
                <c:pt idx="1">
                  <c:v>9.7049265815773967E-7</c:v>
                </c:pt>
                <c:pt idx="2">
                  <c:v>9.470375112962051E-7</c:v>
                </c:pt>
                <c:pt idx="3">
                  <c:v>1.0108592998112003E-6</c:v>
                </c:pt>
                <c:pt idx="4">
                  <c:v>9.1827396889473347E-7</c:v>
                </c:pt>
                <c:pt idx="5">
                  <c:v>9.0994176703001838E-7</c:v>
                </c:pt>
                <c:pt idx="6">
                  <c:v>6.0000897703958516E-7</c:v>
                </c:pt>
                <c:pt idx="7">
                  <c:v>3.3344499008397961E-7</c:v>
                </c:pt>
                <c:pt idx="8">
                  <c:v>3.7385863778130755E-7</c:v>
                </c:pt>
                <c:pt idx="9">
                  <c:v>-1.6182620761855418E-6</c:v>
                </c:pt>
                <c:pt idx="10">
                  <c:v>-1.3077893406582224E-6</c:v>
                </c:pt>
                <c:pt idx="11">
                  <c:v>-3.4729461111329244E-7</c:v>
                </c:pt>
                <c:pt idx="12">
                  <c:v>-2.2872576051893509E-7</c:v>
                </c:pt>
                <c:pt idx="13">
                  <c:v>1.3675603527835741E-6</c:v>
                </c:pt>
                <c:pt idx="14">
                  <c:v>-3.1747241208342339E-7</c:v>
                </c:pt>
                <c:pt idx="15">
                  <c:v>-4.2739257809173144E-7</c:v>
                </c:pt>
                <c:pt idx="16">
                  <c:v>1.7318096728887625E-8</c:v>
                </c:pt>
                <c:pt idx="17">
                  <c:v>1.0422912315037499E-8</c:v>
                </c:pt>
                <c:pt idx="18">
                  <c:v>4.9537634204707692E-7</c:v>
                </c:pt>
                <c:pt idx="19">
                  <c:v>4.1363641942994294E-7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CF-4132-B959-5B8F6542D7B2}"/>
            </c:ext>
          </c:extLst>
        </c:ser>
        <c:ser>
          <c:idx val="4"/>
          <c:order val="4"/>
          <c:tx>
            <c:strRef>
              <c:f>Historical!$P$1</c:f>
              <c:strCache>
                <c:ptCount val="1"/>
                <c:pt idx="0">
                  <c:v>MX</c:v>
                </c:pt>
              </c:strCache>
            </c:strRef>
          </c:tx>
          <c:spPr>
            <a:solidFill>
              <a:srgbClr val="00B050"/>
            </a:solidFill>
            <a:ln w="9525" cmpd="sng">
              <a:noFill/>
              <a:prstDash val="solid"/>
              <a:tailEnd type="diamond"/>
            </a:ln>
            <a:effectLst/>
          </c:spPr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1-0C0B-4098-B516-D0A37FF858F2}"/>
              </c:ext>
            </c:extLst>
          </c:dPt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Historical!$P$2:$P$21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0B-4098-B516-D0A37FF858F2}"/>
            </c:ext>
          </c:extLst>
        </c:ser>
        <c:ser>
          <c:idx val="5"/>
          <c:order val="5"/>
          <c:tx>
            <c:strRef>
              <c:f>Historical!$Q$1</c:f>
              <c:strCache>
                <c:ptCount val="1"/>
                <c:pt idx="0">
                  <c:v>SOL</c:v>
                </c:pt>
              </c:strCache>
            </c:strRef>
          </c:tx>
          <c:spPr>
            <a:solidFill>
              <a:srgbClr val="C00000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Historical!$Q$2:$Q$21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B8-4E85-9264-6CFAE7586A47}"/>
            </c:ext>
          </c:extLst>
        </c:ser>
        <c:ser>
          <c:idx val="7"/>
          <c:order val="6"/>
          <c:tx>
            <c:strRef>
              <c:f>Historical!$R$1</c:f>
              <c:strCache>
                <c:ptCount val="1"/>
                <c:pt idx="0">
                  <c:v>REA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Historical!$R$2:$R$21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04-4857-9F8F-93706A8F2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721472"/>
        <c:axId val="1714773776"/>
      </c:areaChart>
      <c:lineChart>
        <c:grouping val="standard"/>
        <c:varyColors val="0"/>
        <c:ser>
          <c:idx val="6"/>
          <c:order val="7"/>
          <c:tx>
            <c:strRef>
              <c:f>Historical!$S$1</c:f>
              <c:strCache>
                <c:ptCount val="1"/>
                <c:pt idx="0">
                  <c:v>Duration</c:v>
                </c:pt>
              </c:strCache>
            </c:strRef>
          </c:tx>
          <c:spPr>
            <a:ln w="571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diamond"/>
            <c:size val="21"/>
            <c:spPr>
              <a:solidFill>
                <a:srgbClr val="C00000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Historical!$S$2:$S$21</c:f>
              <c:numCache>
                <c:formatCode>0.00</c:formatCode>
                <c:ptCount val="20"/>
                <c:pt idx="0">
                  <c:v>5.3374665887193729</c:v>
                </c:pt>
                <c:pt idx="1">
                  <c:v>5.3402607017430066</c:v>
                </c:pt>
                <c:pt idx="2">
                  <c:v>5.3096397119125145</c:v>
                </c:pt>
                <c:pt idx="3">
                  <c:v>5.3115401738113457</c:v>
                </c:pt>
                <c:pt idx="4">
                  <c:v>5.2869151361082434</c:v>
                </c:pt>
                <c:pt idx="5">
                  <c:v>5.2866545004803465</c:v>
                </c:pt>
                <c:pt idx="6">
                  <c:v>5.9861936995124312</c:v>
                </c:pt>
                <c:pt idx="7">
                  <c:v>5.9596463014860088</c:v>
                </c:pt>
                <c:pt idx="8">
                  <c:v>5.9532423965463472</c:v>
                </c:pt>
                <c:pt idx="9">
                  <c:v>5.9396947429302118</c:v>
                </c:pt>
                <c:pt idx="10">
                  <c:v>5.9327529157491581</c:v>
                </c:pt>
                <c:pt idx="11">
                  <c:v>5.8853835087687623</c:v>
                </c:pt>
                <c:pt idx="12">
                  <c:v>5.8699718400729806</c:v>
                </c:pt>
                <c:pt idx="13">
                  <c:v>5.7789116234283897</c:v>
                </c:pt>
                <c:pt idx="14">
                  <c:v>5.7661091634401584</c:v>
                </c:pt>
                <c:pt idx="15">
                  <c:v>5.9949919808525571</c:v>
                </c:pt>
                <c:pt idx="16">
                  <c:v>5.9251079906537916</c:v>
                </c:pt>
                <c:pt idx="17">
                  <c:v>5.9278578534558974</c:v>
                </c:pt>
                <c:pt idx="18">
                  <c:v>5.9236355630043702</c:v>
                </c:pt>
                <c:pt idx="19">
                  <c:v>5.9492009633420873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233-4E8E-8441-675FC873D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385039"/>
        <c:axId val="377747615"/>
      </c:lineChart>
      <c:dateAx>
        <c:axId val="365385039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377747615"/>
        <c:crosses val="autoZero"/>
        <c:auto val="0"/>
        <c:lblOffset val="100"/>
        <c:baseTimeUnit val="days"/>
        <c:majorUnit val="2"/>
        <c:majorTimeUnit val="days"/>
        <c:minorUnit val="2"/>
        <c:minorTimeUnit val="days"/>
      </c:dateAx>
      <c:valAx>
        <c:axId val="377747615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365385039"/>
        <c:crosses val="autoZero"/>
        <c:crossBetween val="between"/>
        <c:majorUnit val="0.5"/>
      </c:valAx>
      <c:valAx>
        <c:axId val="17147737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697721472"/>
        <c:crosses val="max"/>
        <c:crossBetween val="between"/>
      </c:valAx>
      <c:catAx>
        <c:axId val="16977214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14773776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40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s-CL" sz="3600"/>
              <a:t>Spread active position by currency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379451975148676"/>
          <c:y val="9.250167856924861E-2"/>
          <c:w val="0.8418600701019967"/>
          <c:h val="0.7007974167702721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credito!$K$71</c:f>
              <c:strCache>
                <c:ptCount val="1"/>
                <c:pt idx="0">
                  <c:v>spread $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credito!$D$72:$D$87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credito!$K$72:$K$87</c:f>
              <c:numCache>
                <c:formatCode>#,##0.0%;\(#,##0.0%\)</c:formatCode>
                <c:ptCount val="16"/>
                <c:pt idx="0">
                  <c:v>-1.007669036611651E-2</c:v>
                </c:pt>
                <c:pt idx="1">
                  <c:v>3.2097443925508312E-2</c:v>
                </c:pt>
                <c:pt idx="2">
                  <c:v>5.7742888338549085E-3</c:v>
                </c:pt>
                <c:pt idx="3">
                  <c:v>1.612647517115862E-2</c:v>
                </c:pt>
                <c:pt idx="4">
                  <c:v>-2.1341659132625059E-3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1.5172971123108661E-2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65-4511-ABDB-2F0D076940FB}"/>
            </c:ext>
          </c:extLst>
        </c:ser>
        <c:ser>
          <c:idx val="1"/>
          <c:order val="1"/>
          <c:tx>
            <c:strRef>
              <c:f>credito!$L$71</c:f>
              <c:strCache>
                <c:ptCount val="1"/>
                <c:pt idx="0">
                  <c:v>spread UF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credito!$D$72:$D$87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credito!$L$72:$L$87</c:f>
              <c:numCache>
                <c:formatCode>#,##0.0%;\(#,##0.0%\)</c:formatCode>
                <c:ptCount val="16"/>
                <c:pt idx="0">
                  <c:v>-6.8266238717083006E-3</c:v>
                </c:pt>
                <c:pt idx="1">
                  <c:v>-2.0787830161580059E-2</c:v>
                </c:pt>
                <c:pt idx="2">
                  <c:v>-2.9378862575077096E-2</c:v>
                </c:pt>
                <c:pt idx="3">
                  <c:v>-3.2673286974560692E-2</c:v>
                </c:pt>
                <c:pt idx="4">
                  <c:v>5.2061901335475284E-3</c:v>
                </c:pt>
                <c:pt idx="5">
                  <c:v>-0.12287748740410111</c:v>
                </c:pt>
                <c:pt idx="6">
                  <c:v>-4.0764921252853539E-2</c:v>
                </c:pt>
                <c:pt idx="7">
                  <c:v>4.5892710560514638E-2</c:v>
                </c:pt>
                <c:pt idx="8">
                  <c:v>2.076013464746047E-2</c:v>
                </c:pt>
                <c:pt idx="9">
                  <c:v>4.7214676696150107E-2</c:v>
                </c:pt>
                <c:pt idx="10">
                  <c:v>-4.2348965700732127E-2</c:v>
                </c:pt>
                <c:pt idx="11">
                  <c:v>3.6456999819815442E-2</c:v>
                </c:pt>
                <c:pt idx="12">
                  <c:v>1.1987062377570527E-2</c:v>
                </c:pt>
                <c:pt idx="13">
                  <c:v>-1.3217402823096018E-2</c:v>
                </c:pt>
                <c:pt idx="14">
                  <c:v>-3.4669614814431565E-2</c:v>
                </c:pt>
                <c:pt idx="15">
                  <c:v>-1.1556178652738971E-3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65-4511-ABDB-2F0D076940FB}"/>
            </c:ext>
          </c:extLst>
        </c:ser>
        <c:ser>
          <c:idx val="2"/>
          <c:order val="2"/>
          <c:tx>
            <c:strRef>
              <c:f>credito!$M$71</c:f>
              <c:strCache>
                <c:ptCount val="1"/>
                <c:pt idx="0">
                  <c:v>spread US$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credito!$D$72:$D$87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credito!$M$72:$M$87</c:f>
              <c:numCache>
                <c:formatCode>#,##0.0%;\(#,##0.0%\)</c:formatCode>
                <c:ptCount val="16"/>
                <c:pt idx="0">
                  <c:v>0</c:v>
                </c:pt>
                <c:pt idx="1">
                  <c:v>1.1494013116028618E-2</c:v>
                </c:pt>
                <c:pt idx="2">
                  <c:v>2.4120972968890595E-3</c:v>
                </c:pt>
                <c:pt idx="3">
                  <c:v>0</c:v>
                </c:pt>
                <c:pt idx="4">
                  <c:v>1.5089084484267535E-2</c:v>
                </c:pt>
                <c:pt idx="5">
                  <c:v>4.7609589711708825E-3</c:v>
                </c:pt>
                <c:pt idx="6">
                  <c:v>1.5916324031827786E-2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65-4511-ABDB-2F0D07694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3600"/>
            </a:pPr>
            <a:endParaRPr lang="en-US"/>
          </a:p>
        </c:txPr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txPr>
          <a:bodyPr/>
          <a:lstStyle/>
          <a:p>
            <a:pPr>
              <a:defRPr sz="3600"/>
            </a:pPr>
            <a:endParaRPr lang="en-US"/>
          </a:p>
        </c:txPr>
        <c:crossAx val="13833267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36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24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r>
              <a:rPr lang="es-CL" sz="3600"/>
              <a:t>Risk/Position by duration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542505044589727E-2"/>
          <c:y val="0.12645847339258032"/>
          <c:w val="0.83428169498214488"/>
          <c:h val="0.71292798199220075"/>
        </c:manualLayout>
      </c:layout>
      <c:barChart>
        <c:barDir val="col"/>
        <c:grouping val="stacked"/>
        <c:varyColors val="0"/>
        <c:ser>
          <c:idx val="0"/>
          <c:order val="0"/>
          <c:tx>
            <c:v>active weight</c:v>
          </c:tx>
          <c:spPr>
            <a:solidFill>
              <a:schemeClr val="accent1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credito!$D$72:$D$87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credito!$O$72:$O$87</c:f>
              <c:numCache>
                <c:formatCode>#,##0.0%;\(#,##0.0%\)</c:formatCode>
                <c:ptCount val="16"/>
                <c:pt idx="0">
                  <c:v>1.1209871544018294E-2</c:v>
                </c:pt>
                <c:pt idx="1">
                  <c:v>2.2942468074913146E-2</c:v>
                </c:pt>
                <c:pt idx="2">
                  <c:v>-2.1192476444333128E-2</c:v>
                </c:pt>
                <c:pt idx="3">
                  <c:v>-1.6546811803402072E-2</c:v>
                </c:pt>
                <c:pt idx="4">
                  <c:v>1.8161108704552557E-2</c:v>
                </c:pt>
                <c:pt idx="5">
                  <c:v>-0.11811652843293022</c:v>
                </c:pt>
                <c:pt idx="6">
                  <c:v>-2.4848597221025753E-2</c:v>
                </c:pt>
                <c:pt idx="7">
                  <c:v>4.5892710560514638E-2</c:v>
                </c:pt>
                <c:pt idx="8">
                  <c:v>3.924182562004648E-2</c:v>
                </c:pt>
                <c:pt idx="9">
                  <c:v>6.2387647819258769E-2</c:v>
                </c:pt>
                <c:pt idx="10">
                  <c:v>-4.2348965700732127E-2</c:v>
                </c:pt>
                <c:pt idx="11">
                  <c:v>3.6456999819815442E-2</c:v>
                </c:pt>
                <c:pt idx="12">
                  <c:v>1.1987062377570527E-2</c:v>
                </c:pt>
                <c:pt idx="13">
                  <c:v>-1.3217402823096018E-2</c:v>
                </c:pt>
                <c:pt idx="14">
                  <c:v>-3.4669614814431565E-2</c:v>
                </c:pt>
                <c:pt idx="15">
                  <c:v>-1.1556178652738971E-3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E15-BE6A-D48D290DB4DC}"/>
            </c:ext>
          </c:extLst>
        </c:ser>
        <c:ser>
          <c:idx val="1"/>
          <c:order val="1"/>
          <c:tx>
            <c:v>pcr</c:v>
          </c:tx>
          <c:spPr>
            <a:solidFill>
              <a:schemeClr val="accent6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credito!$D$72:$D$87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credito!$Z$72:$Z$87</c:f>
              <c:numCache>
                <c:formatCode>#,##0.0%;\(#,##0.0%\)</c:formatCode>
                <c:ptCount val="16"/>
                <c:pt idx="0">
                  <c:v>-0.15947934908530562</c:v>
                </c:pt>
                <c:pt idx="1">
                  <c:v>7.1837901566006279E-2</c:v>
                </c:pt>
                <c:pt idx="2">
                  <c:v>2.0503064607175776E-2</c:v>
                </c:pt>
                <c:pt idx="3">
                  <c:v>2.7719276864871845E-2</c:v>
                </c:pt>
                <c:pt idx="4">
                  <c:v>7.9132367680502552E-2</c:v>
                </c:pt>
                <c:pt idx="5">
                  <c:v>0.13873578593435576</c:v>
                </c:pt>
                <c:pt idx="6">
                  <c:v>0.62942740610340198</c:v>
                </c:pt>
                <c:pt idx="7">
                  <c:v>6.1908224246308659E-2</c:v>
                </c:pt>
                <c:pt idx="8">
                  <c:v>0.10461194765353327</c:v>
                </c:pt>
                <c:pt idx="9">
                  <c:v>4.8630128088594599E-2</c:v>
                </c:pt>
                <c:pt idx="10">
                  <c:v>-3.4498599436838799E-2</c:v>
                </c:pt>
                <c:pt idx="11">
                  <c:v>3.4650491137355653E-2</c:v>
                </c:pt>
                <c:pt idx="12">
                  <c:v>1.486581939412198E-2</c:v>
                </c:pt>
                <c:pt idx="13">
                  <c:v>-8.3806731562007034E-3</c:v>
                </c:pt>
                <c:pt idx="14">
                  <c:v>-2.8671301554247224E-2</c:v>
                </c:pt>
                <c:pt idx="15">
                  <c:v>-9.9249004363603094E-4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1-4E15-BE6A-D48D290DB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83326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0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sz="24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s-CL" sz="3600"/>
              <a:t>Spread position view</a:t>
            </a:r>
          </a:p>
        </c:rich>
      </c:tx>
      <c:layout>
        <c:manualLayout>
          <c:xMode val="edge"/>
          <c:yMode val="edge"/>
          <c:x val="0.42111597171653181"/>
          <c:y val="2.241628531036084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6764143566130283E-2"/>
          <c:y val="8.933992660107859E-2"/>
          <c:w val="0.87127499389712171"/>
          <c:h val="0.712864654516169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credito!$K$48</c:f>
              <c:strCache>
                <c:ptCount val="1"/>
                <c:pt idx="0">
                  <c:v>spread $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credito!$D$49:$D$64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credito!$K$49:$K$64</c:f>
              <c:numCache>
                <c:formatCode>#,##0.0%;\(#,##0.0%\)</c:formatCode>
                <c:ptCount val="16"/>
                <c:pt idx="0">
                  <c:v>2.927336062877491E-3</c:v>
                </c:pt>
                <c:pt idx="1">
                  <c:v>3.2097443925508312E-2</c:v>
                </c:pt>
                <c:pt idx="2">
                  <c:v>1.2797151982999608E-2</c:v>
                </c:pt>
                <c:pt idx="3">
                  <c:v>2.2716253645979421E-2</c:v>
                </c:pt>
                <c:pt idx="4">
                  <c:v>1.7338297217297495E-2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1.5172971123108661E-2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D-4AE9-BF50-9634ED0D7E51}"/>
            </c:ext>
          </c:extLst>
        </c:ser>
        <c:ser>
          <c:idx val="1"/>
          <c:order val="1"/>
          <c:tx>
            <c:strRef>
              <c:f>credito!$L$48</c:f>
              <c:strCache>
                <c:ptCount val="1"/>
                <c:pt idx="0">
                  <c:v>spread UF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credito!$D$49:$D$64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credito!$L$49:$L$64</c:f>
              <c:numCache>
                <c:formatCode>#,##0.0%;\(#,##0.0%\)</c:formatCode>
                <c:ptCount val="16"/>
                <c:pt idx="0">
                  <c:v>0</c:v>
                </c:pt>
                <c:pt idx="1">
                  <c:v>2.1369975727625511E-2</c:v>
                </c:pt>
                <c:pt idx="2">
                  <c:v>1.9232508192607699E-2</c:v>
                </c:pt>
                <c:pt idx="3">
                  <c:v>9.1523355003544693E-2</c:v>
                </c:pt>
                <c:pt idx="4">
                  <c:v>0.11353018219511103</c:v>
                </c:pt>
                <c:pt idx="5">
                  <c:v>3.0966237389668409E-2</c:v>
                </c:pt>
                <c:pt idx="6">
                  <c:v>0.10020479045608677</c:v>
                </c:pt>
                <c:pt idx="7">
                  <c:v>7.7734200006059642E-2</c:v>
                </c:pt>
                <c:pt idx="8">
                  <c:v>0.10636668850609865</c:v>
                </c:pt>
                <c:pt idx="9">
                  <c:v>4.7214676696150107E-2</c:v>
                </c:pt>
                <c:pt idx="10">
                  <c:v>2.044855943162557E-2</c:v>
                </c:pt>
                <c:pt idx="11">
                  <c:v>4.7685831894659442E-2</c:v>
                </c:pt>
                <c:pt idx="12">
                  <c:v>7.0046281416502515E-2</c:v>
                </c:pt>
                <c:pt idx="13">
                  <c:v>3.444721878825098E-2</c:v>
                </c:pt>
                <c:pt idx="14">
                  <c:v>4.2528640599914349E-3</c:v>
                </c:pt>
                <c:pt idx="15">
                  <c:v>1.7347897698652404E-2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AD-4AE9-BF50-9634ED0D7E51}"/>
            </c:ext>
          </c:extLst>
        </c:ser>
        <c:ser>
          <c:idx val="2"/>
          <c:order val="2"/>
          <c:tx>
            <c:strRef>
              <c:f>credito!$M$48</c:f>
              <c:strCache>
                <c:ptCount val="1"/>
                <c:pt idx="0">
                  <c:v>spread US$</c:v>
                </c:pt>
              </c:strCache>
            </c:strRef>
          </c:tx>
          <c:spPr>
            <a:solidFill>
              <a:schemeClr val="accent4"/>
            </a:solidFill>
          </c:spPr>
          <c:invertIfNegative val="0"/>
          <c:cat>
            <c:numRef>
              <c:f>credito!$D$49:$D$64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credito!$M$49:$M$64</c:f>
              <c:numCache>
                <c:formatCode>#,##0.0%;\(#,##0.0%\)</c:formatCode>
                <c:ptCount val="16"/>
                <c:pt idx="0">
                  <c:v>0</c:v>
                </c:pt>
                <c:pt idx="1">
                  <c:v>1.1494013116028618E-2</c:v>
                </c:pt>
                <c:pt idx="2">
                  <c:v>2.4120972968890595E-3</c:v>
                </c:pt>
                <c:pt idx="3">
                  <c:v>0</c:v>
                </c:pt>
                <c:pt idx="4">
                  <c:v>1.5089084484267535E-2</c:v>
                </c:pt>
                <c:pt idx="5">
                  <c:v>4.7609589711708825E-3</c:v>
                </c:pt>
                <c:pt idx="6">
                  <c:v>1.5916324031827786E-2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AD-4AE9-BF50-9634ED0D7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3600"/>
            </a:pPr>
            <a:endParaRPr lang="en-US"/>
          </a:p>
        </c:txPr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txPr>
          <a:bodyPr/>
          <a:lstStyle/>
          <a:p>
            <a:pPr>
              <a:defRPr sz="3600"/>
            </a:pPr>
            <a:endParaRPr lang="en-US"/>
          </a:p>
        </c:txPr>
        <c:crossAx val="138332672"/>
        <c:crosses val="autoZero"/>
        <c:crossBetween val="between"/>
      </c:valAx>
    </c:plotArea>
    <c:legend>
      <c:legendPos val="b"/>
      <c:overlay val="0"/>
      <c:txPr>
        <a:bodyPr/>
        <a:lstStyle/>
        <a:p>
          <a:pPr>
            <a:defRPr sz="36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24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1" i="0" u="none" strike="noStrike" kern="1200" spc="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r>
              <a:rPr lang="en-US" sz="3600"/>
              <a:t>Historical Tracking Error v/s Duration by Currency</a:t>
            </a:r>
          </a:p>
        </c:rich>
      </c:tx>
      <c:layout>
        <c:manualLayout>
          <c:xMode val="edge"/>
          <c:yMode val="edge"/>
          <c:x val="0.30705021597636617"/>
          <c:y val="3.70256502028155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spc="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373031496062998E-2"/>
          <c:y val="0.10338433150401655"/>
          <c:w val="0.78109793892950896"/>
          <c:h val="0.79555627605372858"/>
        </c:manualLayout>
      </c:layout>
      <c:areaChart>
        <c:grouping val="stacked"/>
        <c:varyColors val="0"/>
        <c:ser>
          <c:idx val="1"/>
          <c:order val="0"/>
          <c:tx>
            <c:strRef>
              <c:f>Historical!$L$1</c:f>
              <c:strCache>
                <c:ptCount val="1"/>
                <c:pt idx="0">
                  <c:v>$</c:v>
                </c:pt>
              </c:strCache>
            </c:strRef>
          </c:tx>
          <c:spPr>
            <a:solidFill>
              <a:schemeClr val="accent1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Historical!$L$2:$L$21</c:f>
              <c:numCache>
                <c:formatCode>0.00%</c:formatCode>
                <c:ptCount val="20"/>
                <c:pt idx="0">
                  <c:v>7.054957919811076E-3</c:v>
                </c:pt>
                <c:pt idx="1">
                  <c:v>6.8654557905703838E-3</c:v>
                </c:pt>
                <c:pt idx="2">
                  <c:v>6.6160248351880401E-3</c:v>
                </c:pt>
                <c:pt idx="3">
                  <c:v>6.5314820273653859E-3</c:v>
                </c:pt>
                <c:pt idx="4">
                  <c:v>7.3235271553051765E-3</c:v>
                </c:pt>
                <c:pt idx="5">
                  <c:v>7.0929173498335265E-3</c:v>
                </c:pt>
                <c:pt idx="6">
                  <c:v>8.2565432003523336E-3</c:v>
                </c:pt>
                <c:pt idx="7">
                  <c:v>8.2819428561502397E-3</c:v>
                </c:pt>
                <c:pt idx="8">
                  <c:v>8.2875538801296042E-3</c:v>
                </c:pt>
                <c:pt idx="9">
                  <c:v>1.0029508512152964E-2</c:v>
                </c:pt>
                <c:pt idx="10">
                  <c:v>9.7461964451057703E-3</c:v>
                </c:pt>
                <c:pt idx="11">
                  <c:v>1.0142825942983926E-2</c:v>
                </c:pt>
                <c:pt idx="12">
                  <c:v>9.8687107360118723E-3</c:v>
                </c:pt>
                <c:pt idx="13">
                  <c:v>1.0139169070810791E-2</c:v>
                </c:pt>
                <c:pt idx="14">
                  <c:v>6.7694755399060362E-3</c:v>
                </c:pt>
                <c:pt idx="15">
                  <c:v>6.6188508245808905E-3</c:v>
                </c:pt>
                <c:pt idx="16">
                  <c:v>7.446596476351491E-3</c:v>
                </c:pt>
                <c:pt idx="17">
                  <c:v>7.2714903178983286E-3</c:v>
                </c:pt>
                <c:pt idx="18">
                  <c:v>7.6239563739705423E-3</c:v>
                </c:pt>
                <c:pt idx="19">
                  <c:v>7.965582550854727E-3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6-4821-842D-7B4662D232BE}"/>
            </c:ext>
          </c:extLst>
        </c:ser>
        <c:ser>
          <c:idx val="0"/>
          <c:order val="1"/>
          <c:tx>
            <c:strRef>
              <c:f>Historical!$M$1</c:f>
              <c:strCache>
                <c:ptCount val="1"/>
                <c:pt idx="0">
                  <c:v>UF</c:v>
                </c:pt>
              </c:strCache>
            </c:strRef>
          </c:tx>
          <c:spPr>
            <a:solidFill>
              <a:schemeClr val="accent6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Historical!$M$2:$M$21</c:f>
              <c:numCache>
                <c:formatCode>0.00%</c:formatCode>
                <c:ptCount val="20"/>
                <c:pt idx="0">
                  <c:v>5.4781537083361219E-3</c:v>
                </c:pt>
                <c:pt idx="1">
                  <c:v>5.3125641086032363E-3</c:v>
                </c:pt>
                <c:pt idx="2">
                  <c:v>5.1245292787928205E-3</c:v>
                </c:pt>
                <c:pt idx="3">
                  <c:v>5.0277881269827646E-3</c:v>
                </c:pt>
                <c:pt idx="4">
                  <c:v>5.2510274590360072E-3</c:v>
                </c:pt>
                <c:pt idx="5">
                  <c:v>5.1115894141733698E-3</c:v>
                </c:pt>
                <c:pt idx="6">
                  <c:v>5.592706257297745E-3</c:v>
                </c:pt>
                <c:pt idx="7">
                  <c:v>5.5056002899059138E-3</c:v>
                </c:pt>
                <c:pt idx="8">
                  <c:v>5.8774620544839139E-3</c:v>
                </c:pt>
                <c:pt idx="9">
                  <c:v>7.0120090619146223E-3</c:v>
                </c:pt>
                <c:pt idx="10">
                  <c:v>6.8632829093433923E-3</c:v>
                </c:pt>
                <c:pt idx="11">
                  <c:v>6.4760098689509655E-3</c:v>
                </c:pt>
                <c:pt idx="12">
                  <c:v>6.3742928288530228E-3</c:v>
                </c:pt>
                <c:pt idx="13">
                  <c:v>7.1465502927823372E-3</c:v>
                </c:pt>
                <c:pt idx="14">
                  <c:v>1.2154630486412238E-2</c:v>
                </c:pt>
                <c:pt idx="15">
                  <c:v>1.26825568031888E-2</c:v>
                </c:pt>
                <c:pt idx="16">
                  <c:v>1.2459121319993664E-2</c:v>
                </c:pt>
                <c:pt idx="17">
                  <c:v>1.2135484921923434E-2</c:v>
                </c:pt>
                <c:pt idx="18">
                  <c:v>1.1768140326801974E-2</c:v>
                </c:pt>
                <c:pt idx="19">
                  <c:v>1.1855176285592108E-2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16-4821-842D-7B4662D232BE}"/>
            </c:ext>
          </c:extLst>
        </c:ser>
        <c:ser>
          <c:idx val="2"/>
          <c:order val="2"/>
          <c:tx>
            <c:strRef>
              <c:f>Historical!$N$1</c:f>
              <c:strCache>
                <c:ptCount val="1"/>
                <c:pt idx="0">
                  <c:v>US$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Historical!$N$2:$N$21</c:f>
              <c:numCache>
                <c:formatCode>0.00%</c:formatCode>
                <c:ptCount val="20"/>
                <c:pt idx="0">
                  <c:v>-3.7289403252735919E-5</c:v>
                </c:pt>
                <c:pt idx="1">
                  <c:v>-3.5311044216664558E-5</c:v>
                </c:pt>
                <c:pt idx="2">
                  <c:v>-3.3995435445272317E-5</c:v>
                </c:pt>
                <c:pt idx="3">
                  <c:v>-3.7741235691539436E-5</c:v>
                </c:pt>
                <c:pt idx="4">
                  <c:v>-2.2538327721504719E-5</c:v>
                </c:pt>
                <c:pt idx="5">
                  <c:v>-2.1876989108375078E-5</c:v>
                </c:pt>
                <c:pt idx="6">
                  <c:v>-3.5349978709247702E-5</c:v>
                </c:pt>
                <c:pt idx="7">
                  <c:v>-4.6088441619135348E-5</c:v>
                </c:pt>
                <c:pt idx="8">
                  <c:v>-5.9605705116879099E-5</c:v>
                </c:pt>
                <c:pt idx="9">
                  <c:v>-2.8019216952800465E-5</c:v>
                </c:pt>
                <c:pt idx="10">
                  <c:v>-2.8389858808047584E-5</c:v>
                </c:pt>
                <c:pt idx="11">
                  <c:v>-3.3818988077783737E-5</c:v>
                </c:pt>
                <c:pt idx="12">
                  <c:v>-2.6144903882642693E-5</c:v>
                </c:pt>
                <c:pt idx="13">
                  <c:v>7.5005586405573295E-8</c:v>
                </c:pt>
                <c:pt idx="14">
                  <c:v>7.9465609396869676E-6</c:v>
                </c:pt>
                <c:pt idx="15">
                  <c:v>7.0672949160048779E-6</c:v>
                </c:pt>
                <c:pt idx="16">
                  <c:v>5.8464872598677297E-6</c:v>
                </c:pt>
                <c:pt idx="17">
                  <c:v>9.6687641507026581E-6</c:v>
                </c:pt>
                <c:pt idx="18">
                  <c:v>1.3818250519813502E-5</c:v>
                </c:pt>
                <c:pt idx="19">
                  <c:v>7.8348628738360813E-6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16-4821-842D-7B4662D232BE}"/>
            </c:ext>
          </c:extLst>
        </c:ser>
        <c:ser>
          <c:idx val="3"/>
          <c:order val="3"/>
          <c:tx>
            <c:strRef>
              <c:f>Historical!$O$1</c:f>
              <c:strCache>
                <c:ptCount val="1"/>
                <c:pt idx="0">
                  <c:v>EU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Historical!$O$2:$O$21</c:f>
              <c:numCache>
                <c:formatCode>0.00%</c:formatCode>
                <c:ptCount val="20"/>
                <c:pt idx="0">
                  <c:v>1.1058685239588402E-6</c:v>
                </c:pt>
                <c:pt idx="1">
                  <c:v>9.7049265815773967E-7</c:v>
                </c:pt>
                <c:pt idx="2">
                  <c:v>9.470375112962051E-7</c:v>
                </c:pt>
                <c:pt idx="3">
                  <c:v>1.0108592998112003E-6</c:v>
                </c:pt>
                <c:pt idx="4">
                  <c:v>9.1827396889473347E-7</c:v>
                </c:pt>
                <c:pt idx="5">
                  <c:v>9.0994176703001838E-7</c:v>
                </c:pt>
                <c:pt idx="6">
                  <c:v>6.0000897703958516E-7</c:v>
                </c:pt>
                <c:pt idx="7">
                  <c:v>3.3344499008397961E-7</c:v>
                </c:pt>
                <c:pt idx="8">
                  <c:v>3.7385863778130755E-7</c:v>
                </c:pt>
                <c:pt idx="9">
                  <c:v>-1.6182620761855418E-6</c:v>
                </c:pt>
                <c:pt idx="10">
                  <c:v>-1.3077893406582224E-6</c:v>
                </c:pt>
                <c:pt idx="11">
                  <c:v>-3.4729461111329244E-7</c:v>
                </c:pt>
                <c:pt idx="12">
                  <c:v>-2.2872576051893509E-7</c:v>
                </c:pt>
                <c:pt idx="13">
                  <c:v>1.3675603527835741E-6</c:v>
                </c:pt>
                <c:pt idx="14">
                  <c:v>-3.1747241208342339E-7</c:v>
                </c:pt>
                <c:pt idx="15">
                  <c:v>-4.2739257809173144E-7</c:v>
                </c:pt>
                <c:pt idx="16">
                  <c:v>1.7318096728887625E-8</c:v>
                </c:pt>
                <c:pt idx="17">
                  <c:v>1.0422912315037499E-8</c:v>
                </c:pt>
                <c:pt idx="18">
                  <c:v>4.9537634204707692E-7</c:v>
                </c:pt>
                <c:pt idx="19">
                  <c:v>4.1363641942994294E-7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16-4821-842D-7B4662D232BE}"/>
            </c:ext>
          </c:extLst>
        </c:ser>
        <c:ser>
          <c:idx val="4"/>
          <c:order val="4"/>
          <c:tx>
            <c:strRef>
              <c:f>Historical!$P$1</c:f>
              <c:strCache>
                <c:ptCount val="1"/>
                <c:pt idx="0">
                  <c:v>MX</c:v>
                </c:pt>
              </c:strCache>
            </c:strRef>
          </c:tx>
          <c:spPr>
            <a:solidFill>
              <a:srgbClr val="00B050"/>
            </a:solidFill>
            <a:ln w="9525" cmpd="sng">
              <a:noFill/>
              <a:prstDash val="solid"/>
              <a:tailEnd type="diamond"/>
            </a:ln>
            <a:effectLst/>
          </c:spPr>
          <c:dPt>
            <c:idx val="15"/>
            <c:bubble3D val="0"/>
            <c:extLst>
              <c:ext xmlns:c16="http://schemas.microsoft.com/office/drawing/2014/chart" uri="{C3380CC4-5D6E-409C-BE32-E72D297353CC}">
                <c16:uniqueId val="{00000004-6316-4821-842D-7B4662D232BE}"/>
              </c:ext>
            </c:extLst>
          </c:dPt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Historical!$P$2:$P$21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16-4821-842D-7B4662D232BE}"/>
            </c:ext>
          </c:extLst>
        </c:ser>
        <c:ser>
          <c:idx val="5"/>
          <c:order val="5"/>
          <c:tx>
            <c:strRef>
              <c:f>Historical!$Q$1</c:f>
              <c:strCache>
                <c:ptCount val="1"/>
                <c:pt idx="0">
                  <c:v>SOL</c:v>
                </c:pt>
              </c:strCache>
            </c:strRef>
          </c:tx>
          <c:spPr>
            <a:solidFill>
              <a:srgbClr val="C00000"/>
            </a:solidFill>
            <a:ln cap="rnd"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Historical!$Q$2:$Q$21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16-4821-842D-7B4662D232BE}"/>
            </c:ext>
          </c:extLst>
        </c:ser>
        <c:ser>
          <c:idx val="7"/>
          <c:order val="6"/>
          <c:tx>
            <c:strRef>
              <c:f>Historical!$R$1</c:f>
              <c:strCache>
                <c:ptCount val="1"/>
                <c:pt idx="0">
                  <c:v>REA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Historical!$R$2:$R$21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16-4821-842D-7B4662D23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721472"/>
        <c:axId val="1714773776"/>
      </c:areaChart>
      <c:lineChart>
        <c:grouping val="standard"/>
        <c:varyColors val="0"/>
        <c:ser>
          <c:idx val="6"/>
          <c:order val="7"/>
          <c:tx>
            <c:strRef>
              <c:f>Historical!$S$1</c:f>
              <c:strCache>
                <c:ptCount val="1"/>
                <c:pt idx="0">
                  <c:v>Duration</c:v>
                </c:pt>
              </c:strCache>
            </c:strRef>
          </c:tx>
          <c:spPr>
            <a:ln w="57150" cap="rnd">
              <a:solidFill>
                <a:srgbClr val="C00000"/>
              </a:solidFill>
              <a:prstDash val="sysDash"/>
              <a:round/>
            </a:ln>
            <a:effectLst/>
          </c:spPr>
          <c:marker>
            <c:symbol val="diamond"/>
            <c:size val="21"/>
            <c:spPr>
              <a:solidFill>
                <a:srgbClr val="C00000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strRef>
              <c:f>Historical!$J$2:$K$21</c:f>
              <c:strCache>
                <c:ptCount val="20"/>
                <c:pt idx="0">
                  <c:v>19/09/2017</c:v>
                </c:pt>
                <c:pt idx="1">
                  <c:v>20/09/2017</c:v>
                </c:pt>
                <c:pt idx="2">
                  <c:v>21/09/2017</c:v>
                </c:pt>
                <c:pt idx="3">
                  <c:v>22/09/2017</c:v>
                </c:pt>
                <c:pt idx="4">
                  <c:v>25/09/2017</c:v>
                </c:pt>
                <c:pt idx="5">
                  <c:v>26/09/2017</c:v>
                </c:pt>
                <c:pt idx="6">
                  <c:v>27/09/2017</c:v>
                </c:pt>
                <c:pt idx="7">
                  <c:v>28/09/2017</c:v>
                </c:pt>
                <c:pt idx="8">
                  <c:v>29/09/2017</c:v>
                </c:pt>
                <c:pt idx="9">
                  <c:v>02/10/2017</c:v>
                </c:pt>
                <c:pt idx="10">
                  <c:v>03/10/2017</c:v>
                </c:pt>
                <c:pt idx="11">
                  <c:v>04/10/2017</c:v>
                </c:pt>
                <c:pt idx="12">
                  <c:v>05/10/2017</c:v>
                </c:pt>
                <c:pt idx="13">
                  <c:v>06/10/2017</c:v>
                </c:pt>
                <c:pt idx="14">
                  <c:v>09/10/2017</c:v>
                </c:pt>
                <c:pt idx="15">
                  <c:v>10/10/2017</c:v>
                </c:pt>
                <c:pt idx="16">
                  <c:v>11/10/2017</c:v>
                </c:pt>
                <c:pt idx="17">
                  <c:v>12/10/2017</c:v>
                </c:pt>
                <c:pt idx="18">
                  <c:v>13/10/2017</c:v>
                </c:pt>
                <c:pt idx="19">
                  <c:v>16/10/2017</c:v>
                </c:pt>
              </c:strCache>
            </c:strRef>
          </c:cat>
          <c:val>
            <c:numRef>
              <c:f>Historical!$S$2:$S$21</c:f>
              <c:numCache>
                <c:formatCode>0.00</c:formatCode>
                <c:ptCount val="20"/>
                <c:pt idx="0">
                  <c:v>5.3374665887193729</c:v>
                </c:pt>
                <c:pt idx="1">
                  <c:v>5.3402607017430066</c:v>
                </c:pt>
                <c:pt idx="2">
                  <c:v>5.3096397119125145</c:v>
                </c:pt>
                <c:pt idx="3">
                  <c:v>5.3115401738113457</c:v>
                </c:pt>
                <c:pt idx="4">
                  <c:v>5.2869151361082434</c:v>
                </c:pt>
                <c:pt idx="5">
                  <c:v>5.2866545004803465</c:v>
                </c:pt>
                <c:pt idx="6">
                  <c:v>5.9861936995124312</c:v>
                </c:pt>
                <c:pt idx="7">
                  <c:v>5.9596463014860088</c:v>
                </c:pt>
                <c:pt idx="8">
                  <c:v>5.9532423965463472</c:v>
                </c:pt>
                <c:pt idx="9">
                  <c:v>5.9396947429302118</c:v>
                </c:pt>
                <c:pt idx="10">
                  <c:v>5.9327529157491581</c:v>
                </c:pt>
                <c:pt idx="11">
                  <c:v>5.8853835087687623</c:v>
                </c:pt>
                <c:pt idx="12">
                  <c:v>5.8699718400729806</c:v>
                </c:pt>
                <c:pt idx="13">
                  <c:v>5.7789116234283897</c:v>
                </c:pt>
                <c:pt idx="14">
                  <c:v>5.7661091634401584</c:v>
                </c:pt>
                <c:pt idx="15">
                  <c:v>5.9949919808525571</c:v>
                </c:pt>
                <c:pt idx="16">
                  <c:v>5.9251079906537916</c:v>
                </c:pt>
                <c:pt idx="17">
                  <c:v>5.9278578534558974</c:v>
                </c:pt>
                <c:pt idx="18">
                  <c:v>5.9236355630043702</c:v>
                </c:pt>
                <c:pt idx="19">
                  <c:v>5.9492009633420873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6316-4821-842D-7B4662D23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385039"/>
        <c:axId val="377747615"/>
      </c:lineChart>
      <c:dateAx>
        <c:axId val="365385039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377747615"/>
        <c:crosses val="autoZero"/>
        <c:auto val="0"/>
        <c:lblOffset val="100"/>
        <c:baseTimeUnit val="days"/>
        <c:majorUnit val="2"/>
        <c:majorTimeUnit val="days"/>
        <c:minorUnit val="2"/>
        <c:minorTimeUnit val="days"/>
      </c:dateAx>
      <c:valAx>
        <c:axId val="377747615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365385039"/>
        <c:crosses val="autoZero"/>
        <c:crossBetween val="between"/>
        <c:majorUnit val="0.5"/>
      </c:valAx>
      <c:valAx>
        <c:axId val="17147737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697721472"/>
        <c:crosses val="max"/>
        <c:crossBetween val="between"/>
      </c:valAx>
      <c:catAx>
        <c:axId val="1697721472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714773776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4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40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Spread active position by country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8610915161028606E-2"/>
          <c:y val="9.250167856924861E-2"/>
          <c:w val="0.89288754159967287"/>
          <c:h val="0.6965364297817202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'credito latam'!$E$86</c:f>
              <c:strCache>
                <c:ptCount val="1"/>
                <c:pt idx="0">
                  <c:v>CL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latam'!$E$87:$E$102</c:f>
              <c:numCache>
                <c:formatCode>#,##0.0%;\(#,##0.0%\)</c:formatCode>
                <c:ptCount val="16"/>
                <c:pt idx="0">
                  <c:v>2.4065408366152289E-2</c:v>
                </c:pt>
                <c:pt idx="1">
                  <c:v>0</c:v>
                </c:pt>
                <c:pt idx="2">
                  <c:v>-1.9462533340492805E-2</c:v>
                </c:pt>
                <c:pt idx="3">
                  <c:v>-1.5274307088249396E-2</c:v>
                </c:pt>
                <c:pt idx="4">
                  <c:v>-1.4615954674283282E-2</c:v>
                </c:pt>
                <c:pt idx="5">
                  <c:v>-4.627998274007801E-2</c:v>
                </c:pt>
                <c:pt idx="6">
                  <c:v>-2.9151893171343743E-2</c:v>
                </c:pt>
                <c:pt idx="7">
                  <c:v>-5.9707582907073901E-3</c:v>
                </c:pt>
                <c:pt idx="8">
                  <c:v>2.2389766317968754E-2</c:v>
                </c:pt>
                <c:pt idx="9">
                  <c:v>2.2734644012187945E-3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-4.5096325788783129E-3</c:v>
                </c:pt>
                <c:pt idx="14">
                  <c:v>0</c:v>
                </c:pt>
                <c:pt idx="15">
                  <c:v>-2.4669622400907243E-3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D-4AE1-BECD-F133806B6AE2}"/>
            </c:ext>
          </c:extLst>
        </c:ser>
        <c:ser>
          <c:idx val="1"/>
          <c:order val="1"/>
          <c:tx>
            <c:strRef>
              <c:f>'credito latam'!$F$86</c:f>
              <c:strCache>
                <c:ptCount val="1"/>
                <c:pt idx="0">
                  <c:v>MX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latam'!$F$87:$F$102</c:f>
              <c:numCache>
                <c:formatCode>#,##0.0%;\(#,##0.0%\)</c:formatCode>
                <c:ptCount val="16"/>
                <c:pt idx="0">
                  <c:v>0</c:v>
                </c:pt>
                <c:pt idx="1">
                  <c:v>-1.0466329790643126E-2</c:v>
                </c:pt>
                <c:pt idx="2">
                  <c:v>-8.912546599978281E-3</c:v>
                </c:pt>
                <c:pt idx="3">
                  <c:v>-1.2918251120605025E-2</c:v>
                </c:pt>
                <c:pt idx="4">
                  <c:v>-1.368459078499272E-4</c:v>
                </c:pt>
                <c:pt idx="5">
                  <c:v>7.373101332086518E-3</c:v>
                </c:pt>
                <c:pt idx="6">
                  <c:v>-1.4790746205849341E-2</c:v>
                </c:pt>
                <c:pt idx="7">
                  <c:v>2.7770204741446616E-2</c:v>
                </c:pt>
                <c:pt idx="8">
                  <c:v>3.911170055869076E-2</c:v>
                </c:pt>
                <c:pt idx="9">
                  <c:v>1.7418152143542612E-3</c:v>
                </c:pt>
                <c:pt idx="10">
                  <c:v>7.3315446863459885E-3</c:v>
                </c:pt>
                <c:pt idx="11">
                  <c:v>-7.233247635722132E-3</c:v>
                </c:pt>
                <c:pt idx="12">
                  <c:v>1.1977688128572077E-2</c:v>
                </c:pt>
                <c:pt idx="13">
                  <c:v>-2.0061269053636126E-3</c:v>
                </c:pt>
                <c:pt idx="14">
                  <c:v>-1.6423257616709083E-2</c:v>
                </c:pt>
                <c:pt idx="15">
                  <c:v>-1.483461811615E-2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4D-4AE1-BECD-F133806B6AE2}"/>
            </c:ext>
          </c:extLst>
        </c:ser>
        <c:ser>
          <c:idx val="2"/>
          <c:order val="2"/>
          <c:tx>
            <c:strRef>
              <c:f>'credito latam'!$G$86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latam'!$G$87:$G$102</c:f>
              <c:numCache>
                <c:formatCode>#,##0.0%;\(#,##0.0%\)</c:formatCode>
                <c:ptCount val="16"/>
                <c:pt idx="0">
                  <c:v>-2.5279496463568498E-3</c:v>
                </c:pt>
                <c:pt idx="1">
                  <c:v>0</c:v>
                </c:pt>
                <c:pt idx="2">
                  <c:v>-1.5716818245071467E-2</c:v>
                </c:pt>
                <c:pt idx="3">
                  <c:v>-2.6782127874074987E-3</c:v>
                </c:pt>
                <c:pt idx="4">
                  <c:v>1.0456085176531819E-2</c:v>
                </c:pt>
                <c:pt idx="5">
                  <c:v>-1.702603798851372E-2</c:v>
                </c:pt>
                <c:pt idx="6">
                  <c:v>1.3442576037574691E-3</c:v>
                </c:pt>
                <c:pt idx="7">
                  <c:v>1.4106692844085165E-2</c:v>
                </c:pt>
                <c:pt idx="8">
                  <c:v>2.247169586026598E-2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-8.0709852554206648E-3</c:v>
                </c:pt>
                <c:pt idx="14">
                  <c:v>-1.7916844013885436E-2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4D-4AE1-BECD-F133806B6AE2}"/>
            </c:ext>
          </c:extLst>
        </c:ser>
        <c:ser>
          <c:idx val="3"/>
          <c:order val="3"/>
          <c:tx>
            <c:strRef>
              <c:f>'credito latam'!$H$86</c:f>
              <c:strCache>
                <c:ptCount val="1"/>
                <c:pt idx="0">
                  <c:v>PE</c:v>
                </c:pt>
              </c:strCache>
            </c:strRef>
          </c:tx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latam'!$H$87:$H$102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-2.5359852560857513E-3</c:v>
                </c:pt>
                <c:pt idx="3">
                  <c:v>-1.8488595966345191E-2</c:v>
                </c:pt>
                <c:pt idx="4">
                  <c:v>-9.6834563600148478E-4</c:v>
                </c:pt>
                <c:pt idx="5">
                  <c:v>2.2762334516229863E-2</c:v>
                </c:pt>
                <c:pt idx="6">
                  <c:v>-3.0430960776076888E-3</c:v>
                </c:pt>
                <c:pt idx="7">
                  <c:v>4.4713118148907022E-3</c:v>
                </c:pt>
                <c:pt idx="8">
                  <c:v>3.7668337565927537E-2</c:v>
                </c:pt>
                <c:pt idx="9">
                  <c:v>1.8547202934721709E-2</c:v>
                </c:pt>
                <c:pt idx="10">
                  <c:v>-7.5640788907861212E-3</c:v>
                </c:pt>
                <c:pt idx="11">
                  <c:v>-7.5280136152072056E-3</c:v>
                </c:pt>
                <c:pt idx="12">
                  <c:v>0</c:v>
                </c:pt>
                <c:pt idx="13">
                  <c:v>-8.1057417506456998E-3</c:v>
                </c:pt>
                <c:pt idx="14">
                  <c:v>-1.7911371595200433E-2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0-4168-9623-059D29807A1E}"/>
            </c:ext>
          </c:extLst>
        </c:ser>
        <c:ser>
          <c:idx val="4"/>
          <c:order val="4"/>
          <c:tx>
            <c:strRef>
              <c:f>'credito latam'!$I$86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latam'!$I$87:$I$102</c:f>
              <c:numCache>
                <c:formatCode>#,##0.0%;\(#,##0.0%\)</c:formatCode>
                <c:ptCount val="16"/>
                <c:pt idx="0">
                  <c:v>-2.431777672091811E-3</c:v>
                </c:pt>
                <c:pt idx="1">
                  <c:v>0</c:v>
                </c:pt>
                <c:pt idx="2">
                  <c:v>-3.945880879651982E-3</c:v>
                </c:pt>
                <c:pt idx="3">
                  <c:v>1.0969171027395289E-3</c:v>
                </c:pt>
                <c:pt idx="4">
                  <c:v>-1.2872759943025834E-2</c:v>
                </c:pt>
                <c:pt idx="5">
                  <c:v>-7.8896070357885092E-3</c:v>
                </c:pt>
                <c:pt idx="6">
                  <c:v>-7.5175549622061256E-3</c:v>
                </c:pt>
                <c:pt idx="7">
                  <c:v>6.5553577660703563E-2</c:v>
                </c:pt>
                <c:pt idx="8">
                  <c:v>3.270846338119477E-2</c:v>
                </c:pt>
                <c:pt idx="9">
                  <c:v>0</c:v>
                </c:pt>
                <c:pt idx="10">
                  <c:v>-3.5175499087449187E-3</c:v>
                </c:pt>
                <c:pt idx="11">
                  <c:v>-1.0173339334385363E-2</c:v>
                </c:pt>
                <c:pt idx="12">
                  <c:v>-1.2046980264148428E-2</c:v>
                </c:pt>
                <c:pt idx="13">
                  <c:v>0</c:v>
                </c:pt>
                <c:pt idx="14">
                  <c:v>-5.2792025285273913E-3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0-4168-9623-059D29807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crossAx val="138332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36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r>
              <a:rPr lang="es-CL"/>
              <a:t>Risk/Active Position by duration</a:t>
            </a:r>
          </a:p>
        </c:rich>
      </c:tx>
      <c:layout>
        <c:manualLayout>
          <c:xMode val="edge"/>
          <c:yMode val="edge"/>
          <c:x val="0.35279507448883413"/>
          <c:y val="2.24163007102613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291930401745725E-2"/>
          <c:y val="0.1111022519243918"/>
          <c:w val="0.8553914690020521"/>
          <c:h val="0.70406383025651198"/>
        </c:manualLayout>
      </c:layout>
      <c:barChart>
        <c:barDir val="col"/>
        <c:grouping val="stacked"/>
        <c:varyColors val="0"/>
        <c:ser>
          <c:idx val="0"/>
          <c:order val="0"/>
          <c:tx>
            <c:v>active weight</c:v>
          </c:tx>
          <c:spPr>
            <a:solidFill>
              <a:schemeClr val="accent1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latam'!$L$87:$L$102</c:f>
              <c:numCache>
                <c:formatCode>#,##0.0%;\(#,##0.0%\)</c:formatCode>
                <c:ptCount val="16"/>
                <c:pt idx="0">
                  <c:v>1.9105681047703629E-2</c:v>
                </c:pt>
                <c:pt idx="1">
                  <c:v>-1.0466329790643126E-2</c:v>
                </c:pt>
                <c:pt idx="2">
                  <c:v>-6.2784451915461212E-2</c:v>
                </c:pt>
                <c:pt idx="3">
                  <c:v>-4.8262449859867579E-2</c:v>
                </c:pt>
                <c:pt idx="4">
                  <c:v>-9.4704679525553833E-3</c:v>
                </c:pt>
                <c:pt idx="5">
                  <c:v>-2.2636722283149793E-2</c:v>
                </c:pt>
                <c:pt idx="6">
                  <c:v>-5.3159032813249428E-2</c:v>
                </c:pt>
                <c:pt idx="7">
                  <c:v>0.12618532620656273</c:v>
                </c:pt>
                <c:pt idx="8">
                  <c:v>0.16214759029476011</c:v>
                </c:pt>
                <c:pt idx="9">
                  <c:v>2.2562482550294763E-2</c:v>
                </c:pt>
                <c:pt idx="10">
                  <c:v>-3.7500841131850515E-3</c:v>
                </c:pt>
                <c:pt idx="11">
                  <c:v>-2.4934600585314701E-2</c:v>
                </c:pt>
                <c:pt idx="12">
                  <c:v>-6.9292135576350805E-5</c:v>
                </c:pt>
                <c:pt idx="13">
                  <c:v>-5.5311321751669272E-3</c:v>
                </c:pt>
                <c:pt idx="14">
                  <c:v>-5.7530675754322344E-2</c:v>
                </c:pt>
                <c:pt idx="15">
                  <c:v>-1.7301580356240725E-2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7-47B8-AC87-98C99DCBB707}"/>
            </c:ext>
          </c:extLst>
        </c:ser>
        <c:ser>
          <c:idx val="1"/>
          <c:order val="1"/>
          <c:tx>
            <c:v>pcr</c:v>
          </c:tx>
          <c:spPr>
            <a:solidFill>
              <a:schemeClr val="accent6"/>
            </a:solidFill>
            <a:ln w="9525" cap="flat" cmpd="sng" algn="ctr">
              <a:solidFill>
                <a:schemeClr val="lt1">
                  <a:shade val="95000"/>
                  <a:satMod val="105000"/>
                </a:schemeClr>
              </a:solidFill>
              <a:prstDash val="solid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'credito latam'!$D$87:$D$102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latam'!$T$87:$T$102</c:f>
              <c:numCache>
                <c:formatCode>#,##0.0%;\(#,##0.0%\)</c:formatCode>
                <c:ptCount val="16"/>
                <c:pt idx="0">
                  <c:v>6.8780601956505965E-3</c:v>
                </c:pt>
                <c:pt idx="1">
                  <c:v>-5.1054978804569826E-4</c:v>
                </c:pt>
                <c:pt idx="2">
                  <c:v>3.5536127580979474E-2</c:v>
                </c:pt>
                <c:pt idx="3">
                  <c:v>2.7075540960795112E-2</c:v>
                </c:pt>
                <c:pt idx="4">
                  <c:v>9.6488699025516059E-2</c:v>
                </c:pt>
                <c:pt idx="5">
                  <c:v>3.4386206028664205E-2</c:v>
                </c:pt>
                <c:pt idx="6">
                  <c:v>0.12618929947660187</c:v>
                </c:pt>
                <c:pt idx="7">
                  <c:v>-9.1685761472679039E-2</c:v>
                </c:pt>
                <c:pt idx="8">
                  <c:v>-6.6613270230093169E-2</c:v>
                </c:pt>
                <c:pt idx="9">
                  <c:v>-1.3295274238567701E-2</c:v>
                </c:pt>
                <c:pt idx="10">
                  <c:v>2.7207255325421807E-3</c:v>
                </c:pt>
                <c:pt idx="11">
                  <c:v>0.1648693351708016</c:v>
                </c:pt>
                <c:pt idx="12">
                  <c:v>0.12583764477817921</c:v>
                </c:pt>
                <c:pt idx="13">
                  <c:v>-1.0726720315001499E-3</c:v>
                </c:pt>
                <c:pt idx="14">
                  <c:v>0.36527879429806043</c:v>
                </c:pt>
                <c:pt idx="15">
                  <c:v>0.18791709471309417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B7-47B8-AC87-98C99DCBB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1383326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L"/>
              <a:t>Spread position view</a:t>
            </a:r>
          </a:p>
        </c:rich>
      </c:tx>
      <c:layout>
        <c:manualLayout>
          <c:xMode val="edge"/>
          <c:yMode val="edge"/>
          <c:x val="0.44803314680004624"/>
          <c:y val="2.241635585025555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8845521668282029E-2"/>
          <c:y val="0.10350081502970022"/>
          <c:w val="0.88581455619934302"/>
          <c:h val="0.708162563890040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'credito latam'!$E$44</c:f>
              <c:strCache>
                <c:ptCount val="1"/>
                <c:pt idx="0">
                  <c:v>CL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numRef>
              <c:f>'credito latam'!$D$45:$D$60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latam'!$E$45:$E$60</c:f>
              <c:numCache>
                <c:formatCode>#,##0.0%;\(#,##0.0%\)</c:formatCode>
                <c:ptCount val="16"/>
                <c:pt idx="0">
                  <c:v>2.4065408366152289E-2</c:v>
                </c:pt>
                <c:pt idx="1">
                  <c:v>0</c:v>
                </c:pt>
                <c:pt idx="2">
                  <c:v>8.9415783961868944E-3</c:v>
                </c:pt>
                <c:pt idx="3">
                  <c:v>0</c:v>
                </c:pt>
                <c:pt idx="4">
                  <c:v>2.0197187672032139E-3</c:v>
                </c:pt>
                <c:pt idx="5">
                  <c:v>9.9612203270039671E-3</c:v>
                </c:pt>
                <c:pt idx="6">
                  <c:v>3.678652093862584E-2</c:v>
                </c:pt>
                <c:pt idx="7">
                  <c:v>3.8568701528353816E-3</c:v>
                </c:pt>
                <c:pt idx="8">
                  <c:v>4.7773211724504862E-2</c:v>
                </c:pt>
                <c:pt idx="9">
                  <c:v>1.9991500998384863E-2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2.1283585917282418E-3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F-4563-BF74-3D64067F5026}"/>
            </c:ext>
          </c:extLst>
        </c:ser>
        <c:ser>
          <c:idx val="1"/>
          <c:order val="1"/>
          <c:tx>
            <c:strRef>
              <c:f>'credito latam'!$F$44</c:f>
              <c:strCache>
                <c:ptCount val="1"/>
                <c:pt idx="0">
                  <c:v>MX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'credito latam'!$D$45:$D$60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latam'!$F$45:$F$60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1.4187757064912107E-2</c:v>
                </c:pt>
                <c:pt idx="3">
                  <c:v>0</c:v>
                </c:pt>
                <c:pt idx="4">
                  <c:v>4.1362117370572604E-2</c:v>
                </c:pt>
                <c:pt idx="5">
                  <c:v>2.4804133418116003E-2</c:v>
                </c:pt>
                <c:pt idx="6">
                  <c:v>1.5556210804356164E-2</c:v>
                </c:pt>
                <c:pt idx="7">
                  <c:v>3.8629421087580801E-2</c:v>
                </c:pt>
                <c:pt idx="8">
                  <c:v>4.7713794472374269E-2</c:v>
                </c:pt>
                <c:pt idx="9">
                  <c:v>4.0347129436095423E-3</c:v>
                </c:pt>
                <c:pt idx="10">
                  <c:v>1.0577130147072854E-2</c:v>
                </c:pt>
                <c:pt idx="11">
                  <c:v>0</c:v>
                </c:pt>
                <c:pt idx="12">
                  <c:v>2.2587309613899834E-2</c:v>
                </c:pt>
                <c:pt idx="13">
                  <c:v>8.0515142368052517E-3</c:v>
                </c:pt>
                <c:pt idx="14">
                  <c:v>0</c:v>
                </c:pt>
                <c:pt idx="15">
                  <c:v>3.2369802848065329E-3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FF-4563-BF74-3D64067F5026}"/>
            </c:ext>
          </c:extLst>
        </c:ser>
        <c:ser>
          <c:idx val="2"/>
          <c:order val="2"/>
          <c:tx>
            <c:strRef>
              <c:f>'credito latam'!$G$44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numRef>
              <c:f>'credito latam'!$D$45:$D$60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latam'!$G$45:$G$60</c:f>
              <c:numCache>
                <c:formatCode>#,##0.0%;\(#,##0.0%\)</c:formatCode>
                <c:ptCount val="16"/>
                <c:pt idx="0">
                  <c:v>6.990094137954048E-3</c:v>
                </c:pt>
                <c:pt idx="1">
                  <c:v>0</c:v>
                </c:pt>
                <c:pt idx="2">
                  <c:v>4.5541687993780567E-3</c:v>
                </c:pt>
                <c:pt idx="3">
                  <c:v>2.1182366068124715E-2</c:v>
                </c:pt>
                <c:pt idx="4">
                  <c:v>1.9810533180948064E-2</c:v>
                </c:pt>
                <c:pt idx="5">
                  <c:v>7.3319658878920951E-3</c:v>
                </c:pt>
                <c:pt idx="6">
                  <c:v>2.7853973123570529E-2</c:v>
                </c:pt>
                <c:pt idx="7">
                  <c:v>4.1177954187200508E-2</c:v>
                </c:pt>
                <c:pt idx="8">
                  <c:v>3.4134613072619557E-2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3.7742977355994952E-3</c:v>
                </c:pt>
                <c:pt idx="14">
                  <c:v>6.6171185742984664E-3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FF-4563-BF74-3D64067F5026}"/>
            </c:ext>
          </c:extLst>
        </c:ser>
        <c:ser>
          <c:idx val="3"/>
          <c:order val="3"/>
          <c:tx>
            <c:strRef>
              <c:f>'credito latam'!$H$44</c:f>
              <c:strCache>
                <c:ptCount val="1"/>
                <c:pt idx="0">
                  <c:v>PE</c:v>
                </c:pt>
              </c:strCache>
            </c:strRef>
          </c:tx>
          <c:invertIfNegative val="0"/>
          <c:cat>
            <c:numRef>
              <c:f>'credito latam'!$D$45:$D$60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latam'!$H$45:$H$60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2.0905741092939852E-2</c:v>
                </c:pt>
                <c:pt idx="4">
                  <c:v>2.0351064155023454E-2</c:v>
                </c:pt>
                <c:pt idx="5">
                  <c:v>5.6975800979656488E-2</c:v>
                </c:pt>
                <c:pt idx="6">
                  <c:v>0</c:v>
                </c:pt>
                <c:pt idx="7">
                  <c:v>1.0368941685434663E-2</c:v>
                </c:pt>
                <c:pt idx="8">
                  <c:v>5.1676060778712826E-2</c:v>
                </c:pt>
                <c:pt idx="9">
                  <c:v>2.3628157377929348E-2</c:v>
                </c:pt>
                <c:pt idx="10">
                  <c:v>0</c:v>
                </c:pt>
                <c:pt idx="11">
                  <c:v>2.0271918732583546E-2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4-47E9-B5B6-A06A0CE9626D}"/>
            </c:ext>
          </c:extLst>
        </c:ser>
        <c:ser>
          <c:idx val="4"/>
          <c:order val="4"/>
          <c:tx>
            <c:strRef>
              <c:f>'credito latam'!$I$44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</c:spPr>
          <c:invertIfNegative val="0"/>
          <c:cat>
            <c:numRef>
              <c:f>'credito latam'!$D$45:$D$60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100</c:v>
                </c:pt>
              </c:numCache>
            </c:numRef>
          </c:cat>
          <c:val>
            <c:numRef>
              <c:f>'credito latam'!$I$45:$I$60</c:f>
              <c:numCache>
                <c:formatCode>#,##0.0%;\(#,##0.0%\)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1.795550433306017E-2</c:v>
                </c:pt>
                <c:pt idx="4">
                  <c:v>0</c:v>
                </c:pt>
                <c:pt idx="5">
                  <c:v>8.1274385295065019E-3</c:v>
                </c:pt>
                <c:pt idx="6">
                  <c:v>0</c:v>
                </c:pt>
                <c:pt idx="7">
                  <c:v>8.230615249945604E-2</c:v>
                </c:pt>
                <c:pt idx="8">
                  <c:v>3.270846338119477E-2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4-47E9-B5B6-A06A0CE96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332672"/>
        <c:axId val="138547712"/>
      </c:bar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crossAx val="1383326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36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r>
              <a:rPr lang="en-US"/>
              <a:t>Historical Tracking Error v/s Duration </a:t>
            </a:r>
            <a:endParaRPr lang="es-MX"/>
          </a:p>
        </c:rich>
      </c:tx>
      <c:layout>
        <c:manualLayout>
          <c:xMode val="edge"/>
          <c:yMode val="edge"/>
          <c:x val="0.35553883019900823"/>
          <c:y val="1.94312715159896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4992216663896"/>
          <c:y val="9.3811848518935134E-2"/>
          <c:w val="0.7573850677494488"/>
          <c:h val="0.76179407106689567"/>
        </c:manualLayout>
      </c:layout>
      <c:areaChart>
        <c:grouping val="stacked"/>
        <c:varyColors val="0"/>
        <c:ser>
          <c:idx val="0"/>
          <c:order val="1"/>
          <c:tx>
            <c:strRef>
              <c:f>Historical!$V$1</c:f>
              <c:strCache>
                <c:ptCount val="1"/>
                <c:pt idx="0">
                  <c:v>mexico</c:v>
                </c:pt>
              </c:strCache>
            </c:strRef>
          </c:tx>
          <c:spPr>
            <a:solidFill>
              <a:srgbClr val="00B050"/>
            </a:solidFill>
            <a:ln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42997</c:v>
                </c:pt>
                <c:pt idx="1">
                  <c:v>42998</c:v>
                </c:pt>
                <c:pt idx="2">
                  <c:v>42999</c:v>
                </c:pt>
                <c:pt idx="3">
                  <c:v>43000</c:v>
                </c:pt>
                <c:pt idx="4">
                  <c:v>43003</c:v>
                </c:pt>
                <c:pt idx="5">
                  <c:v>43004</c:v>
                </c:pt>
                <c:pt idx="6">
                  <c:v>43005</c:v>
                </c:pt>
                <c:pt idx="7">
                  <c:v>43006</c:v>
                </c:pt>
                <c:pt idx="8">
                  <c:v>43007</c:v>
                </c:pt>
                <c:pt idx="9">
                  <c:v>43010</c:v>
                </c:pt>
                <c:pt idx="10">
                  <c:v>43011</c:v>
                </c:pt>
                <c:pt idx="11">
                  <c:v>43012</c:v>
                </c:pt>
                <c:pt idx="12">
                  <c:v>43013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43019</c:v>
                </c:pt>
                <c:pt idx="17">
                  <c:v>43020</c:v>
                </c:pt>
                <c:pt idx="18">
                  <c:v>43021</c:v>
                </c:pt>
                <c:pt idx="19">
                  <c:v>43024</c:v>
                </c:pt>
              </c:numCache>
            </c:numRef>
          </c:cat>
          <c:val>
            <c:numRef>
              <c:f>Historical!$V$2:$V$21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67-4C93-B90C-201F3278ABDC}"/>
            </c:ext>
          </c:extLst>
        </c:ser>
        <c:ser>
          <c:idx val="1"/>
          <c:order val="2"/>
          <c:tx>
            <c:strRef>
              <c:f>Historical!$W$1</c:f>
              <c:strCache>
                <c:ptCount val="1"/>
                <c:pt idx="0">
                  <c:v>colombia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42997</c:v>
                </c:pt>
                <c:pt idx="1">
                  <c:v>42998</c:v>
                </c:pt>
                <c:pt idx="2">
                  <c:v>42999</c:v>
                </c:pt>
                <c:pt idx="3">
                  <c:v>43000</c:v>
                </c:pt>
                <c:pt idx="4">
                  <c:v>43003</c:v>
                </c:pt>
                <c:pt idx="5">
                  <c:v>43004</c:v>
                </c:pt>
                <c:pt idx="6">
                  <c:v>43005</c:v>
                </c:pt>
                <c:pt idx="7">
                  <c:v>43006</c:v>
                </c:pt>
                <c:pt idx="8">
                  <c:v>43007</c:v>
                </c:pt>
                <c:pt idx="9">
                  <c:v>43010</c:v>
                </c:pt>
                <c:pt idx="10">
                  <c:v>43011</c:v>
                </c:pt>
                <c:pt idx="11">
                  <c:v>43012</c:v>
                </c:pt>
                <c:pt idx="12">
                  <c:v>43013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43019</c:v>
                </c:pt>
                <c:pt idx="17">
                  <c:v>43020</c:v>
                </c:pt>
                <c:pt idx="18">
                  <c:v>43021</c:v>
                </c:pt>
                <c:pt idx="19">
                  <c:v>43024</c:v>
                </c:pt>
              </c:numCache>
            </c:numRef>
          </c:cat>
          <c:val>
            <c:numRef>
              <c:f>Historical!$W$2:$W$21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67-4C93-B90C-201F3278ABDC}"/>
            </c:ext>
          </c:extLst>
        </c:ser>
        <c:ser>
          <c:idx val="2"/>
          <c:order val="3"/>
          <c:tx>
            <c:strRef>
              <c:f>Historical!$X$1</c:f>
              <c:strCache>
                <c:ptCount val="1"/>
                <c:pt idx="0">
                  <c:v>peru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42997</c:v>
                </c:pt>
                <c:pt idx="1">
                  <c:v>42998</c:v>
                </c:pt>
                <c:pt idx="2">
                  <c:v>42999</c:v>
                </c:pt>
                <c:pt idx="3">
                  <c:v>43000</c:v>
                </c:pt>
                <c:pt idx="4">
                  <c:v>43003</c:v>
                </c:pt>
                <c:pt idx="5">
                  <c:v>43004</c:v>
                </c:pt>
                <c:pt idx="6">
                  <c:v>43005</c:v>
                </c:pt>
                <c:pt idx="7">
                  <c:v>43006</c:v>
                </c:pt>
                <c:pt idx="8">
                  <c:v>43007</c:v>
                </c:pt>
                <c:pt idx="9">
                  <c:v>43010</c:v>
                </c:pt>
                <c:pt idx="10">
                  <c:v>43011</c:v>
                </c:pt>
                <c:pt idx="11">
                  <c:v>43012</c:v>
                </c:pt>
                <c:pt idx="12">
                  <c:v>43013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43019</c:v>
                </c:pt>
                <c:pt idx="17">
                  <c:v>43020</c:v>
                </c:pt>
                <c:pt idx="18">
                  <c:v>43021</c:v>
                </c:pt>
                <c:pt idx="19">
                  <c:v>43024</c:v>
                </c:pt>
              </c:numCache>
            </c:numRef>
          </c:cat>
          <c:val>
            <c:numRef>
              <c:f>Historical!$X$2:$X$21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67-4C93-B90C-201F3278ABDC}"/>
            </c:ext>
          </c:extLst>
        </c:ser>
        <c:ser>
          <c:idx val="3"/>
          <c:order val="4"/>
          <c:tx>
            <c:strRef>
              <c:f>Historical!$Y$1</c:f>
              <c:strCache>
                <c:ptCount val="1"/>
                <c:pt idx="0">
                  <c:v>brazil</c:v>
                </c:pt>
              </c:strCache>
            </c:strRef>
          </c:tx>
          <c:spPr>
            <a:solidFill>
              <a:srgbClr val="FFC000"/>
            </a:solidFill>
            <a:ln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42997</c:v>
                </c:pt>
                <c:pt idx="1">
                  <c:v>42998</c:v>
                </c:pt>
                <c:pt idx="2">
                  <c:v>42999</c:v>
                </c:pt>
                <c:pt idx="3">
                  <c:v>43000</c:v>
                </c:pt>
                <c:pt idx="4">
                  <c:v>43003</c:v>
                </c:pt>
                <c:pt idx="5">
                  <c:v>43004</c:v>
                </c:pt>
                <c:pt idx="6">
                  <c:v>43005</c:v>
                </c:pt>
                <c:pt idx="7">
                  <c:v>43006</c:v>
                </c:pt>
                <c:pt idx="8">
                  <c:v>43007</c:v>
                </c:pt>
                <c:pt idx="9">
                  <c:v>43010</c:v>
                </c:pt>
                <c:pt idx="10">
                  <c:v>43011</c:v>
                </c:pt>
                <c:pt idx="11">
                  <c:v>43012</c:v>
                </c:pt>
                <c:pt idx="12">
                  <c:v>43013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43019</c:v>
                </c:pt>
                <c:pt idx="17">
                  <c:v>43020</c:v>
                </c:pt>
                <c:pt idx="18">
                  <c:v>43021</c:v>
                </c:pt>
                <c:pt idx="19">
                  <c:v>43024</c:v>
                </c:pt>
              </c:numCache>
            </c:numRef>
          </c:cat>
          <c:val>
            <c:numRef>
              <c:f>Historical!$Y$2:$Y$21</c:f>
              <c:numCache>
                <c:formatCode>0.00%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567-4C93-B90C-201F3278ABDC}"/>
            </c:ext>
          </c:extLst>
        </c:ser>
        <c:ser>
          <c:idx val="6"/>
          <c:order val="5"/>
          <c:tx>
            <c:strRef>
              <c:f>Historical!$Z$1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  <a:ln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42997</c:v>
                </c:pt>
                <c:pt idx="1">
                  <c:v>42998</c:v>
                </c:pt>
                <c:pt idx="2">
                  <c:v>42999</c:v>
                </c:pt>
                <c:pt idx="3">
                  <c:v>43000</c:v>
                </c:pt>
                <c:pt idx="4">
                  <c:v>43003</c:v>
                </c:pt>
                <c:pt idx="5">
                  <c:v>43004</c:v>
                </c:pt>
                <c:pt idx="6">
                  <c:v>43005</c:v>
                </c:pt>
                <c:pt idx="7">
                  <c:v>43006</c:v>
                </c:pt>
                <c:pt idx="8">
                  <c:v>43007</c:v>
                </c:pt>
                <c:pt idx="9">
                  <c:v>43010</c:v>
                </c:pt>
                <c:pt idx="10">
                  <c:v>43011</c:v>
                </c:pt>
                <c:pt idx="11">
                  <c:v>43012</c:v>
                </c:pt>
                <c:pt idx="12">
                  <c:v>43013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43019</c:v>
                </c:pt>
                <c:pt idx="17">
                  <c:v>43020</c:v>
                </c:pt>
                <c:pt idx="18">
                  <c:v>43021</c:v>
                </c:pt>
                <c:pt idx="19">
                  <c:v>43024</c:v>
                </c:pt>
              </c:numCache>
            </c:numRef>
          </c:cat>
          <c:val>
            <c:numRef>
              <c:f>Historical!$Z$2:$Z$21</c:f>
              <c:numCache>
                <c:formatCode>0.00%</c:formatCode>
                <c:ptCount val="20"/>
                <c:pt idx="0">
                  <c:v>-3.6183534728777081E-5</c:v>
                </c:pt>
                <c:pt idx="1">
                  <c:v>-3.4340551558506821E-5</c:v>
                </c:pt>
                <c:pt idx="2">
                  <c:v>-3.3048397933976114E-5</c:v>
                </c:pt>
                <c:pt idx="3">
                  <c:v>-3.6730376391728233E-5</c:v>
                </c:pt>
                <c:pt idx="4">
                  <c:v>-2.1620053752609985E-5</c:v>
                </c:pt>
                <c:pt idx="5">
                  <c:v>-2.0967047341345058E-5</c:v>
                </c:pt>
                <c:pt idx="6">
                  <c:v>-3.4749969732208117E-5</c:v>
                </c:pt>
                <c:pt idx="7">
                  <c:v>-4.575499662905137E-5</c:v>
                </c:pt>
                <c:pt idx="8">
                  <c:v>-5.923184647909779E-5</c:v>
                </c:pt>
                <c:pt idx="9">
                  <c:v>-2.9637479028986007E-5</c:v>
                </c:pt>
                <c:pt idx="10">
                  <c:v>-2.9697648148705805E-5</c:v>
                </c:pt>
                <c:pt idx="11">
                  <c:v>-3.4166282688897028E-5</c:v>
                </c:pt>
                <c:pt idx="12">
                  <c:v>-2.6373629643161628E-5</c:v>
                </c:pt>
                <c:pt idx="13">
                  <c:v>1.4425659391891473E-6</c:v>
                </c:pt>
                <c:pt idx="14">
                  <c:v>7.6290885276035439E-6</c:v>
                </c:pt>
                <c:pt idx="15">
                  <c:v>6.6399023379131465E-6</c:v>
                </c:pt>
                <c:pt idx="16">
                  <c:v>5.863805356596617E-6</c:v>
                </c:pt>
                <c:pt idx="17">
                  <c:v>9.679187063017696E-6</c:v>
                </c:pt>
                <c:pt idx="18">
                  <c:v>1.431362686186058E-5</c:v>
                </c:pt>
                <c:pt idx="19">
                  <c:v>8.2484992932660249E-6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567-4C93-B90C-201F3278ABDC}"/>
            </c:ext>
          </c:extLst>
        </c:ser>
        <c:ser>
          <c:idx val="5"/>
          <c:order val="6"/>
          <c:tx>
            <c:strRef>
              <c:f>Historical!$U$1</c:f>
              <c:strCache>
                <c:ptCount val="1"/>
                <c:pt idx="0">
                  <c:v>chile</c:v>
                </c:pt>
              </c:strCache>
            </c:strRef>
          </c:tx>
          <c:spPr>
            <a:solidFill>
              <a:srgbClr val="C00000"/>
            </a:solidFill>
            <a:ln w="3175" cap="rnd">
              <a:noFill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42997</c:v>
                </c:pt>
                <c:pt idx="1">
                  <c:v>42998</c:v>
                </c:pt>
                <c:pt idx="2">
                  <c:v>42999</c:v>
                </c:pt>
                <c:pt idx="3">
                  <c:v>43000</c:v>
                </c:pt>
                <c:pt idx="4">
                  <c:v>43003</c:v>
                </c:pt>
                <c:pt idx="5">
                  <c:v>43004</c:v>
                </c:pt>
                <c:pt idx="6">
                  <c:v>43005</c:v>
                </c:pt>
                <c:pt idx="7">
                  <c:v>43006</c:v>
                </c:pt>
                <c:pt idx="8">
                  <c:v>43007</c:v>
                </c:pt>
                <c:pt idx="9">
                  <c:v>43010</c:v>
                </c:pt>
                <c:pt idx="10">
                  <c:v>43011</c:v>
                </c:pt>
                <c:pt idx="11">
                  <c:v>43012</c:v>
                </c:pt>
                <c:pt idx="12">
                  <c:v>43013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43019</c:v>
                </c:pt>
                <c:pt idx="17">
                  <c:v>43020</c:v>
                </c:pt>
                <c:pt idx="18">
                  <c:v>43021</c:v>
                </c:pt>
                <c:pt idx="19">
                  <c:v>43024</c:v>
                </c:pt>
              </c:numCache>
            </c:numRef>
          </c:cat>
          <c:val>
            <c:numRef>
              <c:f>Historical!$U$2:$U$21</c:f>
              <c:numCache>
                <c:formatCode>0.00%</c:formatCode>
                <c:ptCount val="20"/>
                <c:pt idx="0">
                  <c:v>1.25331116281472E-2</c:v>
                </c:pt>
                <c:pt idx="1">
                  <c:v>1.2178019899173626E-2</c:v>
                </c:pt>
                <c:pt idx="2">
                  <c:v>1.1740554113980855E-2</c:v>
                </c:pt>
                <c:pt idx="3">
                  <c:v>1.1559270154348147E-2</c:v>
                </c:pt>
                <c:pt idx="4">
                  <c:v>1.257455461434118E-2</c:v>
                </c:pt>
                <c:pt idx="5">
                  <c:v>1.2204506764006896E-2</c:v>
                </c:pt>
                <c:pt idx="6">
                  <c:v>1.3849249457650079E-2</c:v>
                </c:pt>
                <c:pt idx="7">
                  <c:v>1.3787543146056154E-2</c:v>
                </c:pt>
                <c:pt idx="8">
                  <c:v>1.4165015934613518E-2</c:v>
                </c:pt>
                <c:pt idx="9">
                  <c:v>1.7041517574067577E-2</c:v>
                </c:pt>
                <c:pt idx="10">
                  <c:v>1.6609479354449157E-2</c:v>
                </c:pt>
                <c:pt idx="11">
                  <c:v>1.6618835811934907E-2</c:v>
                </c:pt>
                <c:pt idx="12">
                  <c:v>1.6243003564864904E-2</c:v>
                </c:pt>
                <c:pt idx="13">
                  <c:v>1.7285719363593122E-2</c:v>
                </c:pt>
                <c:pt idx="14">
                  <c:v>1.8924106026318267E-2</c:v>
                </c:pt>
                <c:pt idx="15">
                  <c:v>1.9301407627769683E-2</c:v>
                </c:pt>
                <c:pt idx="16">
                  <c:v>1.9905717796345149E-2</c:v>
                </c:pt>
                <c:pt idx="17">
                  <c:v>1.9406975239821763E-2</c:v>
                </c:pt>
                <c:pt idx="18">
                  <c:v>1.9392096700772514E-2</c:v>
                </c:pt>
                <c:pt idx="19">
                  <c:v>1.9820758836446836E-2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E2-4D53-A8EE-379994D50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385039"/>
        <c:axId val="377747615"/>
      </c:areaChart>
      <c:lineChart>
        <c:grouping val="standard"/>
        <c:varyColors val="0"/>
        <c:ser>
          <c:idx val="4"/>
          <c:order val="0"/>
          <c:tx>
            <c:strRef>
              <c:f>Historical!$S$1</c:f>
              <c:strCache>
                <c:ptCount val="1"/>
                <c:pt idx="0">
                  <c:v>Duration</c:v>
                </c:pt>
              </c:strCache>
            </c:strRef>
          </c:tx>
          <c:spPr>
            <a:ln w="66675" cap="rnd" cmpd="sng">
              <a:solidFill>
                <a:schemeClr val="tx1">
                  <a:lumMod val="50000"/>
                </a:schemeClr>
              </a:solidFill>
              <a:prstDash val="sysDash"/>
              <a:round/>
              <a:tailEnd type="diamond"/>
            </a:ln>
            <a:effectLst/>
          </c:spPr>
          <c:marker>
            <c:symbol val="circle"/>
            <c:size val="27"/>
            <c:spPr>
              <a:solidFill>
                <a:schemeClr val="bg2"/>
              </a:solidFill>
              <a:ln w="53975">
                <a:solidFill>
                  <a:schemeClr val="bg2"/>
                </a:solidFill>
              </a:ln>
              <a:effectLst/>
            </c:spPr>
          </c:marker>
          <c:dPt>
            <c:idx val="15"/>
            <c:marker>
              <c:symbol val="circle"/>
              <c:size val="5"/>
              <c:spPr>
                <a:solidFill>
                  <a:schemeClr val="bg2"/>
                </a:solidFill>
                <a:ln w="53975">
                  <a:solidFill>
                    <a:schemeClr val="bg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19C-4F60-9469-B47E59F6E313}"/>
              </c:ext>
            </c:extLst>
          </c:dPt>
          <c:cat>
            <c:numRef>
              <c:f>Historical!$J$2:$J$21</c:f>
              <c:numCache>
                <c:formatCode>m/d/yyyy</c:formatCode>
                <c:ptCount val="20"/>
                <c:pt idx="0">
                  <c:v>42997</c:v>
                </c:pt>
                <c:pt idx="1">
                  <c:v>42998</c:v>
                </c:pt>
                <c:pt idx="2">
                  <c:v>42999</c:v>
                </c:pt>
                <c:pt idx="3">
                  <c:v>43000</c:v>
                </c:pt>
                <c:pt idx="4">
                  <c:v>43003</c:v>
                </c:pt>
                <c:pt idx="5">
                  <c:v>43004</c:v>
                </c:pt>
                <c:pt idx="6">
                  <c:v>43005</c:v>
                </c:pt>
                <c:pt idx="7">
                  <c:v>43006</c:v>
                </c:pt>
                <c:pt idx="8">
                  <c:v>43007</c:v>
                </c:pt>
                <c:pt idx="9">
                  <c:v>43010</c:v>
                </c:pt>
                <c:pt idx="10">
                  <c:v>43011</c:v>
                </c:pt>
                <c:pt idx="11">
                  <c:v>43012</c:v>
                </c:pt>
                <c:pt idx="12">
                  <c:v>43013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43019</c:v>
                </c:pt>
                <c:pt idx="17">
                  <c:v>43020</c:v>
                </c:pt>
                <c:pt idx="18">
                  <c:v>43021</c:v>
                </c:pt>
                <c:pt idx="19">
                  <c:v>43024</c:v>
                </c:pt>
              </c:numCache>
            </c:numRef>
          </c:cat>
          <c:val>
            <c:numRef>
              <c:f>Historical!$S$2:$S$21</c:f>
              <c:numCache>
                <c:formatCode>0.00</c:formatCode>
                <c:ptCount val="20"/>
                <c:pt idx="0">
                  <c:v>5.3374665887193729</c:v>
                </c:pt>
                <c:pt idx="1">
                  <c:v>5.3402607017430066</c:v>
                </c:pt>
                <c:pt idx="2">
                  <c:v>5.3096397119125145</c:v>
                </c:pt>
                <c:pt idx="3">
                  <c:v>5.3115401738113457</c:v>
                </c:pt>
                <c:pt idx="4">
                  <c:v>5.2869151361082434</c:v>
                </c:pt>
                <c:pt idx="5">
                  <c:v>5.2866545004803465</c:v>
                </c:pt>
                <c:pt idx="6">
                  <c:v>5.9861936995124312</c:v>
                </c:pt>
                <c:pt idx="7">
                  <c:v>5.9596463014860088</c:v>
                </c:pt>
                <c:pt idx="8">
                  <c:v>5.9532423965463472</c:v>
                </c:pt>
                <c:pt idx="9">
                  <c:v>5.9396947429302118</c:v>
                </c:pt>
                <c:pt idx="10">
                  <c:v>5.9327529157491581</c:v>
                </c:pt>
                <c:pt idx="11">
                  <c:v>5.8853835087687623</c:v>
                </c:pt>
                <c:pt idx="12">
                  <c:v>5.8699718400729806</c:v>
                </c:pt>
                <c:pt idx="13">
                  <c:v>5.7789116234283897</c:v>
                </c:pt>
                <c:pt idx="14">
                  <c:v>5.7661091634401584</c:v>
                </c:pt>
                <c:pt idx="15">
                  <c:v>5.9949919808525571</c:v>
                </c:pt>
                <c:pt idx="16">
                  <c:v>5.9251079906537916</c:v>
                </c:pt>
                <c:pt idx="17">
                  <c:v>5.9278578534558974</c:v>
                </c:pt>
                <c:pt idx="18">
                  <c:v>5.9236355630043702</c:v>
                </c:pt>
                <c:pt idx="19">
                  <c:v>5.9492009633420873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F19C-4F60-9469-B47E59F6E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277168"/>
        <c:axId val="946983552"/>
      </c:lineChart>
      <c:dateAx>
        <c:axId val="365385039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377747615"/>
        <c:crosses val="autoZero"/>
        <c:auto val="0"/>
        <c:lblOffset val="100"/>
        <c:baseTimeUnit val="days"/>
        <c:majorUnit val="3"/>
        <c:majorTimeUnit val="days"/>
      </c:dateAx>
      <c:valAx>
        <c:axId val="377747615"/>
        <c:scaling>
          <c:orientation val="minMax"/>
        </c:scaling>
        <c:delete val="0"/>
        <c:axPos val="l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365385039"/>
        <c:crosses val="autoZero"/>
        <c:crossBetween val="between"/>
      </c:valAx>
      <c:valAx>
        <c:axId val="94698355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809277168"/>
        <c:crosses val="max"/>
        <c:crossBetween val="between"/>
        <c:majorUnit val="0.5"/>
      </c:valAx>
      <c:catAx>
        <c:axId val="8092771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946983552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320" b="1" i="0" u="none" strike="noStrike" kern="1200" spc="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r>
              <a:rPr lang="es-MX"/>
              <a:t>Active Position vs Risk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4320" b="1" i="0" u="none" strike="noStrike" kern="1200" spc="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91754965814456E-2"/>
          <c:y val="9.6494340482877222E-2"/>
          <c:w val="0.83918335439551539"/>
          <c:h val="0.79580502540928555"/>
        </c:manualLayout>
      </c:layout>
      <c:barChart>
        <c:barDir val="col"/>
        <c:grouping val="stacked"/>
        <c:varyColors val="0"/>
        <c:ser>
          <c:idx val="0"/>
          <c:order val="0"/>
          <c:tx>
            <c:v>active weight</c:v>
          </c:tx>
          <c:spPr>
            <a:solidFill>
              <a:schemeClr val="tx2"/>
            </a:solidFill>
            <a:ln w="15875">
              <a:solidFill>
                <a:schemeClr val="bg1"/>
              </a:solidFill>
            </a:ln>
            <a:effectLst/>
          </c:spPr>
          <c:invertIfNegative val="0"/>
          <c:cat>
            <c:strRef>
              <c:f>'credito latam'!$M$86:$R$86</c:f>
              <c:strCache>
                <c:ptCount val="6"/>
                <c:pt idx="0">
                  <c:v>CL</c:v>
                </c:pt>
                <c:pt idx="1">
                  <c:v>MX</c:v>
                </c:pt>
                <c:pt idx="2">
                  <c:v>CO</c:v>
                </c:pt>
                <c:pt idx="3">
                  <c:v>PE</c:v>
                </c:pt>
                <c:pt idx="4">
                  <c:v>BR</c:v>
                </c:pt>
                <c:pt idx="5">
                  <c:v>PA</c:v>
                </c:pt>
              </c:strCache>
            </c:strRef>
          </c:cat>
          <c:val>
            <c:numRef>
              <c:f>'credito latam'!$E$103:$J$103</c:f>
              <c:numCache>
                <c:formatCode>#,##0.0%;\(#,##0.0%\)</c:formatCode>
                <c:ptCount val="6"/>
                <c:pt idx="0">
                  <c:v>-8.9003385038783842E-2</c:v>
                </c:pt>
                <c:pt idx="1">
                  <c:v>7.5840847626256827E-3</c:v>
                </c:pt>
                <c:pt idx="2">
                  <c:v>-1.5558116452015203E-2</c:v>
                </c:pt>
                <c:pt idx="3">
                  <c:v>1.730395804389024E-2</c:v>
                </c:pt>
                <c:pt idx="4">
                  <c:v>3.3684305616067493E-2</c:v>
                </c:pt>
                <c:pt idx="5">
                  <c:v>1.4493456303760595E-2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76-4D4F-8FD7-57B9DEB22741}"/>
            </c:ext>
          </c:extLst>
        </c:ser>
        <c:ser>
          <c:idx val="1"/>
          <c:order val="1"/>
          <c:tx>
            <c:v>pcr</c:v>
          </c:tx>
          <c:spPr>
            <a:solidFill>
              <a:schemeClr val="accent6">
                <a:lumMod val="60000"/>
                <a:lumOff val="40000"/>
              </a:schemeClr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'credito latam'!$M$86:$R$86</c:f>
              <c:strCache>
                <c:ptCount val="6"/>
                <c:pt idx="0">
                  <c:v>CL</c:v>
                </c:pt>
                <c:pt idx="1">
                  <c:v>MX</c:v>
                </c:pt>
                <c:pt idx="2">
                  <c:v>CO</c:v>
                </c:pt>
                <c:pt idx="3">
                  <c:v>PE</c:v>
                </c:pt>
                <c:pt idx="4">
                  <c:v>BR</c:v>
                </c:pt>
                <c:pt idx="5">
                  <c:v>PA</c:v>
                </c:pt>
              </c:strCache>
            </c:strRef>
          </c:cat>
          <c:val>
            <c:numRef>
              <c:f>'credito latam'!$M$103:$R$103</c:f>
              <c:numCache>
                <c:formatCode>#,##0.0%;\(#,##0.0%\)</c:formatCode>
                <c:ptCount val="6"/>
                <c:pt idx="0">
                  <c:v>0.10030820766592034</c:v>
                </c:pt>
                <c:pt idx="1">
                  <c:v>0.48997845901514203</c:v>
                </c:pt>
                <c:pt idx="2">
                  <c:v>0.19083228903928934</c:v>
                </c:pt>
                <c:pt idx="3">
                  <c:v>0.12168624492330821</c:v>
                </c:pt>
                <c:pt idx="4">
                  <c:v>0.18733400410341333</c:v>
                </c:pt>
                <c:pt idx="5">
                  <c:v>-2.2306696517748132E-3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76-4D4F-8FD7-57B9DEB22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2"/>
        <c:overlap val="100"/>
        <c:axId val="855323344"/>
        <c:axId val="848157968"/>
      </c:barChart>
      <c:catAx>
        <c:axId val="85532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63500" cap="flat" cmpd="sng" algn="ctr">
            <a:solidFill>
              <a:schemeClr val="tx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848157968"/>
        <c:crosses val="autoZero"/>
        <c:auto val="0"/>
        <c:lblAlgn val="ctr"/>
        <c:lblOffset val="100"/>
        <c:noMultiLvlLbl val="0"/>
      </c:catAx>
      <c:valAx>
        <c:axId val="848157968"/>
        <c:scaling>
          <c:orientation val="minMax"/>
          <c:max val="0.5"/>
          <c:min val="-5.000000000000001E-2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85532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122753272862173E-2"/>
          <c:y val="6.2014324480626361E-2"/>
          <c:w val="0.82978273516915357"/>
          <c:h val="0.758834018881968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'renta fija'!$T$16</c:f>
              <c:strCache>
                <c:ptCount val="1"/>
                <c:pt idx="0">
                  <c:v>dep $</c:v>
                </c:pt>
              </c:strCache>
            </c:strRef>
          </c:tx>
          <c:spPr>
            <a:solidFill>
              <a:schemeClr val="accent6"/>
            </a:solidFill>
            <a:ln w="9525"/>
            <a:effectLst>
              <a:outerShdw blurRad="40000" dist="20000" dir="5400000" sx="1000" sy="1000" rotWithShape="0">
                <a:srgbClr val="000000">
                  <a:alpha val="38000"/>
                </a:srgbClr>
              </a:outerShdw>
            </a:effectLst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fija'!$T$17:$T$44</c:f>
              <c:numCache>
                <c:formatCode>#,##0.0%;\(#,##0.0%\)</c:formatCode>
                <c:ptCount val="28"/>
                <c:pt idx="0">
                  <c:v>0.22845072840056108</c:v>
                </c:pt>
                <c:pt idx="1">
                  <c:v>0.2666774061212191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6.1290298179279196E-2</c:v>
                </c:pt>
                <c:pt idx="6">
                  <c:v>2.0403050061062317E-2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57-4C4E-9610-34E95EC5F272}"/>
            </c:ext>
          </c:extLst>
        </c:ser>
        <c:ser>
          <c:idx val="1"/>
          <c:order val="1"/>
          <c:tx>
            <c:strRef>
              <c:f>'renta fija'!$U$16</c:f>
              <c:strCache>
                <c:ptCount val="1"/>
                <c:pt idx="0">
                  <c:v>dep UF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fija'!$U$17:$U$44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57-4C4E-9610-34E95EC5F272}"/>
            </c:ext>
          </c:extLst>
        </c:ser>
        <c:ser>
          <c:idx val="2"/>
          <c:order val="2"/>
          <c:tx>
            <c:strRef>
              <c:f>'renta fija'!$V$16</c:f>
              <c:strCache>
                <c:ptCount val="1"/>
                <c:pt idx="0">
                  <c:v>dep US$</c:v>
                </c:pt>
              </c:strCache>
            </c:strRef>
          </c:tx>
          <c:spPr>
            <a:solidFill>
              <a:schemeClr val="bg2">
                <a:lumMod val="90000"/>
                <a:lumOff val="10000"/>
              </a:schemeClr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fija'!$V$17:$V$44</c:f>
              <c:numCache>
                <c:formatCode>#,##0.0%;\(#,##0.0%\)</c:formatCode>
                <c:ptCount val="28"/>
                <c:pt idx="0">
                  <c:v>8.6957890466210358E-2</c:v>
                </c:pt>
                <c:pt idx="1">
                  <c:v>0.16308916601253667</c:v>
                </c:pt>
                <c:pt idx="2">
                  <c:v>4.8288898116399095E-2</c:v>
                </c:pt>
                <c:pt idx="3">
                  <c:v>2.5502254243951989E-2</c:v>
                </c:pt>
                <c:pt idx="4">
                  <c:v>0</c:v>
                </c:pt>
                <c:pt idx="5">
                  <c:v>2.2830673759392964E-2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57-4C4E-9610-34E95EC5F272}"/>
            </c:ext>
          </c:extLst>
        </c:ser>
        <c:ser>
          <c:idx val="5"/>
          <c:order val="3"/>
          <c:tx>
            <c:strRef>
              <c:f>'renta fija'!$W$16</c:f>
              <c:strCache>
                <c:ptCount val="1"/>
                <c:pt idx="0">
                  <c:v>gob $</c:v>
                </c:pt>
              </c:strCache>
            </c:strRef>
          </c:tx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fija'!$W$17:$W$44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94-4AF3-A86A-59D5C75E2CDB}"/>
            </c:ext>
          </c:extLst>
        </c:ser>
        <c:ser>
          <c:idx val="6"/>
          <c:order val="4"/>
          <c:tx>
            <c:strRef>
              <c:f>'renta fija'!$X$16</c:f>
              <c:strCache>
                <c:ptCount val="1"/>
                <c:pt idx="0">
                  <c:v>gob UF</c:v>
                </c:pt>
              </c:strCache>
            </c:strRef>
          </c:tx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fija'!$X$17:$X$44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94-4AF3-A86A-59D5C75E2CDB}"/>
            </c:ext>
          </c:extLst>
        </c:ser>
        <c:ser>
          <c:idx val="7"/>
          <c:order val="5"/>
          <c:tx>
            <c:strRef>
              <c:f>'renta fija'!$Y$16</c:f>
              <c:strCache>
                <c:ptCount val="1"/>
                <c:pt idx="0">
                  <c:v>gob US$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fija'!$Y$17:$Y$44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94-4AF3-A86A-59D5C75E2CDB}"/>
            </c:ext>
          </c:extLst>
        </c:ser>
        <c:ser>
          <c:idx val="8"/>
          <c:order val="6"/>
          <c:tx>
            <c:strRef>
              <c:f>'renta fija'!$Z$16</c:f>
              <c:strCache>
                <c:ptCount val="1"/>
                <c:pt idx="0">
                  <c:v>spread $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fija'!$Z$17:$Z$44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94-4AF3-A86A-59D5C75E2CDB}"/>
            </c:ext>
          </c:extLst>
        </c:ser>
        <c:ser>
          <c:idx val="9"/>
          <c:order val="7"/>
          <c:tx>
            <c:strRef>
              <c:f>'renta fija'!$AA$16</c:f>
              <c:strCache>
                <c:ptCount val="1"/>
                <c:pt idx="0">
                  <c:v>spread UF</c:v>
                </c:pt>
              </c:strCache>
            </c:strRef>
          </c:tx>
          <c:spPr>
            <a:solidFill>
              <a:schemeClr val="bg2">
                <a:lumMod val="50000"/>
                <a:lumOff val="50000"/>
              </a:schemeClr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fija'!$AA$17:$AA$44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94-4AF3-A86A-59D5C75E2CDB}"/>
            </c:ext>
          </c:extLst>
        </c:ser>
        <c:ser>
          <c:idx val="3"/>
          <c:order val="10"/>
          <c:tx>
            <c:strRef>
              <c:f>'renta fija'!$AB$16</c:f>
              <c:strCache>
                <c:ptCount val="1"/>
                <c:pt idx="0">
                  <c:v>spread US$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fija'!$AB$17:$AB$44</c:f>
              <c:numCache>
                <c:formatCode>#,##0.0%;\(#,##0.0%\)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2.6139373988524887E-2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D5-4DAB-B45E-82F300B8B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332672"/>
        <c:axId val="138547712"/>
      </c:barChart>
      <c:lineChart>
        <c:grouping val="standard"/>
        <c:varyColors val="0"/>
        <c:ser>
          <c:idx val="11"/>
          <c:order val="8"/>
          <c:tx>
            <c:strRef>
              <c:f>'renta fija'!$AE$16</c:f>
              <c:strCache>
                <c:ptCount val="1"/>
                <c:pt idx="0">
                  <c:v>cty</c:v>
                </c:pt>
              </c:strCache>
            </c:strRef>
          </c:tx>
          <c:spPr>
            <a:ln w="177800">
              <a:gradFill>
                <a:gsLst>
                  <a:gs pos="0">
                    <a:srgbClr val="C00000"/>
                  </a:gs>
                  <a:gs pos="47000">
                    <a:schemeClr val="accent1">
                      <a:lumMod val="45000"/>
                      <a:lumOff val="55000"/>
                    </a:schemeClr>
                  </a:gs>
                  <a:gs pos="57000">
                    <a:schemeClr val="accent1">
                      <a:lumMod val="45000"/>
                      <a:lumOff val="55000"/>
                    </a:schemeClr>
                  </a:gs>
                  <a:gs pos="68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sysDot"/>
            </a:ln>
          </c:spPr>
          <c:marker>
            <c:symbol val="diamond"/>
            <c:size val="60"/>
            <c:spPr>
              <a:solidFill>
                <a:srgbClr val="C00000"/>
              </a:solidFill>
              <a:ln w="130175">
                <a:solidFill>
                  <a:schemeClr val="bg2">
                    <a:lumMod val="90000"/>
                    <a:lumOff val="10000"/>
                  </a:schemeClr>
                </a:solidFill>
              </a:ln>
            </c:spPr>
          </c:marker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fija'!$AE$17:$AE$44</c:f>
              <c:numCache>
                <c:formatCode>#,##0.0%;\(#,##0.0%\)</c:formatCode>
                <c:ptCount val="28"/>
                <c:pt idx="0">
                  <c:v>7.303213257444663E-3</c:v>
                </c:pt>
                <c:pt idx="1">
                  <c:v>9.6673642555868983E-3</c:v>
                </c:pt>
                <c:pt idx="2">
                  <c:v>8.5950745938331754E-4</c:v>
                </c:pt>
                <c:pt idx="3">
                  <c:v>4.3353832214718384E-4</c:v>
                </c:pt>
                <c:pt idx="4">
                  <c:v>0</c:v>
                </c:pt>
                <c:pt idx="5">
                  <c:v>1.9947699889629549E-3</c:v>
                </c:pt>
                <c:pt idx="6">
                  <c:v>5.6312418168531992E-4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52-45BA-B9D8-1AF0E137496A}"/>
            </c:ext>
          </c:extLst>
        </c:ser>
        <c:ser>
          <c:idx val="12"/>
          <c:order val="9"/>
          <c:tx>
            <c:strRef>
              <c:f>'renta fija'!$AF$16</c:f>
              <c:strCache>
                <c:ptCount val="1"/>
                <c:pt idx="0">
                  <c:v>yield</c:v>
                </c:pt>
              </c:strCache>
            </c:strRef>
          </c:tx>
          <c:spPr>
            <a:ln>
              <a:gradFill>
                <a:gsLst>
                  <a:gs pos="0">
                    <a:srgbClr val="00B050"/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prstDash val="sysDash"/>
            </a:ln>
          </c:spPr>
          <c:marker>
            <c:symbol val="diamond"/>
            <c:size val="60"/>
            <c:spPr>
              <a:solidFill>
                <a:srgbClr val="00B050"/>
              </a:solidFill>
              <a:ln>
                <a:solidFill>
                  <a:schemeClr val="bg2">
                    <a:lumMod val="90000"/>
                    <a:lumOff val="10000"/>
                  </a:schemeClr>
                </a:solidFill>
              </a:ln>
            </c:spPr>
          </c:marker>
          <c:cat>
            <c:numRef>
              <c:f>'renta fija'!$R$17:$R$44</c:f>
              <c:numCache>
                <c:formatCode>General</c:formatCode>
                <c:ptCount val="2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720</c:v>
                </c:pt>
                <c:pt idx="26">
                  <c:v>1080</c:v>
                </c:pt>
                <c:pt idx="27">
                  <c:v>3600</c:v>
                </c:pt>
              </c:numCache>
            </c:numRef>
          </c:cat>
          <c:val>
            <c:numRef>
              <c:f>'renta fija'!$AF$17:$AF$44</c:f>
              <c:numCache>
                <c:formatCode>#,##0.0%;\(#,##0.0%\)</c:formatCode>
                <c:ptCount val="28"/>
                <c:pt idx="0">
                  <c:v>1.9966197247571218E-2</c:v>
                </c:pt>
                <c:pt idx="1">
                  <c:v>2.2494453692824986E-2</c:v>
                </c:pt>
                <c:pt idx="2">
                  <c:v>1.779927670562078E-2</c:v>
                </c:pt>
                <c:pt idx="3">
                  <c:v>1.7000000000000001E-2</c:v>
                </c:pt>
                <c:pt idx="4">
                  <c:v>0</c:v>
                </c:pt>
                <c:pt idx="5">
                  <c:v>2.3713111522501534E-2</c:v>
                </c:pt>
                <c:pt idx="6">
                  <c:v>1.2099158846676237E-2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52-45BA-B9D8-1AF0E1374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6499520"/>
        <c:axId val="1807794352"/>
      </c:lineChart>
      <c:catAx>
        <c:axId val="138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38547712"/>
        <c:crosses val="autoZero"/>
        <c:auto val="1"/>
        <c:lblAlgn val="ctr"/>
        <c:lblOffset val="100"/>
        <c:noMultiLvlLbl val="0"/>
      </c:catAx>
      <c:valAx>
        <c:axId val="138547712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crossAx val="138332672"/>
        <c:crosses val="autoZero"/>
        <c:crossBetween val="between"/>
      </c:valAx>
      <c:valAx>
        <c:axId val="1807794352"/>
        <c:scaling>
          <c:orientation val="minMax"/>
        </c:scaling>
        <c:delete val="0"/>
        <c:axPos val="r"/>
        <c:numFmt formatCode="#,##0.0%;\(#,##0.0%\)" sourceLinked="1"/>
        <c:majorTickMark val="out"/>
        <c:minorTickMark val="none"/>
        <c:tickLblPos val="nextTo"/>
        <c:spPr>
          <a:solidFill>
            <a:sysClr val="window" lastClr="FFFFFF"/>
          </a:solidFill>
        </c:spPr>
        <c:crossAx val="1886499520"/>
        <c:crosses val="max"/>
        <c:crossBetween val="between"/>
      </c:valAx>
      <c:catAx>
        <c:axId val="1886499520"/>
        <c:scaling>
          <c:orientation val="minMax"/>
        </c:scaling>
        <c:delete val="1"/>
        <c:axPos val="b"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es-MX"/>
                  <a:t>Yield</a:t>
                </a:r>
              </a:p>
            </c:rich>
          </c:tx>
          <c:layout>
            <c:manualLayout>
              <c:xMode val="edge"/>
              <c:yMode val="edge"/>
              <c:x val="0.9607611717345621"/>
              <c:y val="0.40008323213329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807794352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0"/>
        <c:txPr>
          <a:bodyPr/>
          <a:lstStyle/>
          <a:p>
            <a:pPr>
              <a:defRPr sz="11500"/>
            </a:pPr>
            <a:endParaRPr lang="en-US"/>
          </a:p>
        </c:txPr>
      </c:legendEntry>
      <c:layout>
        <c:manualLayout>
          <c:xMode val="edge"/>
          <c:yMode val="edge"/>
          <c:x val="5.6928528588014546E-2"/>
          <c:y val="0.90653287633163504"/>
          <c:w val="0.88957070932171212"/>
          <c:h val="4.9767287324378573E-2"/>
        </c:manualLayout>
      </c:layout>
      <c:overlay val="0"/>
      <c:spPr>
        <a:noFill/>
        <a:effectLst>
          <a:glow>
            <a:schemeClr val="accent1">
              <a:alpha val="40000"/>
            </a:schemeClr>
          </a:glow>
        </a:effectLst>
      </c:spPr>
      <c:txPr>
        <a:bodyPr/>
        <a:lstStyle/>
        <a:p>
          <a:pPr>
            <a:defRPr sz="11500"/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8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'renta variable'!$P$19</c:f>
              <c:strCache>
                <c:ptCount val="1"/>
                <c:pt idx="0">
                  <c:v>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'renta variable'!$K$20:$K$34</c:f>
              <c:strCache>
                <c:ptCount val="15"/>
                <c:pt idx="0">
                  <c:v>SALFACORP</c:v>
                </c:pt>
                <c:pt idx="1">
                  <c:v>HITES</c:v>
                </c:pt>
                <c:pt idx="2">
                  <c:v>MULTIFOODS</c:v>
                </c:pt>
                <c:pt idx="3">
                  <c:v>PAZ</c:v>
                </c:pt>
                <c:pt idx="4">
                  <c:v>SONDA</c:v>
                </c:pt>
                <c:pt idx="5">
                  <c:v>SK</c:v>
                </c:pt>
                <c:pt idx="6">
                  <c:v>AQUACHILE</c:v>
                </c:pt>
                <c:pt idx="7">
                  <c:v>CRISTALES</c:v>
                </c:pt>
                <c:pt idx="8">
                  <c:v>TRICOT</c:v>
                </c:pt>
                <c:pt idx="9">
                  <c:v>FORUS</c:v>
                </c:pt>
                <c:pt idx="10">
                  <c:v>SMSAAM</c:v>
                </c:pt>
                <c:pt idx="11">
                  <c:v>EMBONOR-B</c:v>
                </c:pt>
                <c:pt idx="12">
                  <c:v>SMU</c:v>
                </c:pt>
                <c:pt idx="13">
                  <c:v>INDISA</c:v>
                </c:pt>
                <c:pt idx="14">
                  <c:v>VSPT</c:v>
                </c:pt>
              </c:strCache>
            </c:strRef>
          </c:cat>
          <c:val>
            <c:numRef>
              <c:f>'renta variable'!$P$20:$P$34</c:f>
              <c:numCache>
                <c:formatCode>0.00</c:formatCode>
                <c:ptCount val="15"/>
                <c:pt idx="0">
                  <c:v>7.9645216697192614E-2</c:v>
                </c:pt>
                <c:pt idx="1">
                  <c:v>8.8831975047731757E-2</c:v>
                </c:pt>
                <c:pt idx="2">
                  <c:v>4.2339206734289737E-2</c:v>
                </c:pt>
                <c:pt idx="3">
                  <c:v>6.9475591836271333E-2</c:v>
                </c:pt>
                <c:pt idx="4">
                  <c:v>6.0883223524171116E-2</c:v>
                </c:pt>
                <c:pt idx="5">
                  <c:v>7.0526701340026851E-2</c:v>
                </c:pt>
                <c:pt idx="6">
                  <c:v>1.9393201375512668E-2</c:v>
                </c:pt>
                <c:pt idx="7">
                  <c:v>6.6798932228022662E-2</c:v>
                </c:pt>
                <c:pt idx="8">
                  <c:v>5.1913646128411317E-2</c:v>
                </c:pt>
                <c:pt idx="9">
                  <c:v>4.8685902874663942E-2</c:v>
                </c:pt>
                <c:pt idx="10">
                  <c:v>7.2209706391576894E-2</c:v>
                </c:pt>
                <c:pt idx="11">
                  <c:v>4.9051178369283702E-2</c:v>
                </c:pt>
                <c:pt idx="12">
                  <c:v>9.2613993101707134E-2</c:v>
                </c:pt>
                <c:pt idx="13">
                  <c:v>6.4338470795669872E-2</c:v>
                </c:pt>
                <c:pt idx="14">
                  <c:v>2.9797693277246053E-2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3C-4DD8-A6D7-BAC4D378532D}"/>
            </c:ext>
          </c:extLst>
        </c:ser>
        <c:ser>
          <c:idx val="1"/>
          <c:order val="1"/>
          <c:tx>
            <c:strRef>
              <c:f>'renta variable'!$O$19</c:f>
              <c:strCache>
                <c:ptCount val="1"/>
                <c:pt idx="0">
                  <c:v>pcr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'renta variable'!$K$20:$K$34</c:f>
              <c:strCache>
                <c:ptCount val="15"/>
                <c:pt idx="0">
                  <c:v>SALFACORP</c:v>
                </c:pt>
                <c:pt idx="1">
                  <c:v>HITES</c:v>
                </c:pt>
                <c:pt idx="2">
                  <c:v>MULTIFOODS</c:v>
                </c:pt>
                <c:pt idx="3">
                  <c:v>PAZ</c:v>
                </c:pt>
                <c:pt idx="4">
                  <c:v>SONDA</c:v>
                </c:pt>
                <c:pt idx="5">
                  <c:v>SK</c:v>
                </c:pt>
                <c:pt idx="6">
                  <c:v>AQUACHILE</c:v>
                </c:pt>
                <c:pt idx="7">
                  <c:v>CRISTALES</c:v>
                </c:pt>
                <c:pt idx="8">
                  <c:v>TRICOT</c:v>
                </c:pt>
                <c:pt idx="9">
                  <c:v>FORUS</c:v>
                </c:pt>
                <c:pt idx="10">
                  <c:v>SMSAAM</c:v>
                </c:pt>
                <c:pt idx="11">
                  <c:v>EMBONOR-B</c:v>
                </c:pt>
                <c:pt idx="12">
                  <c:v>SMU</c:v>
                </c:pt>
                <c:pt idx="13">
                  <c:v>INDISA</c:v>
                </c:pt>
                <c:pt idx="14">
                  <c:v>VSPT</c:v>
                </c:pt>
              </c:strCache>
            </c:strRef>
          </c:cat>
          <c:val>
            <c:numRef>
              <c:f>'renta variable'!$O$20:$O$34</c:f>
              <c:numCache>
                <c:formatCode>#,##0.00%;[Red]\(#,##0.00%\)</c:formatCode>
                <c:ptCount val="15"/>
                <c:pt idx="0">
                  <c:v>0.17615751325886189</c:v>
                </c:pt>
                <c:pt idx="1">
                  <c:v>0.15456259245036533</c:v>
                </c:pt>
                <c:pt idx="2">
                  <c:v>0.10199474200371393</c:v>
                </c:pt>
                <c:pt idx="3">
                  <c:v>9.3479086879515935E-2</c:v>
                </c:pt>
                <c:pt idx="4">
                  <c:v>8.8821794050021469E-2</c:v>
                </c:pt>
                <c:pt idx="5">
                  <c:v>8.2136779149095437E-2</c:v>
                </c:pt>
                <c:pt idx="6">
                  <c:v>4.9470260395683176E-2</c:v>
                </c:pt>
                <c:pt idx="7">
                  <c:v>4.8988389458661991E-2</c:v>
                </c:pt>
                <c:pt idx="8">
                  <c:v>4.6380018945282452E-2</c:v>
                </c:pt>
                <c:pt idx="9">
                  <c:v>4.3233180022550902E-2</c:v>
                </c:pt>
                <c:pt idx="10">
                  <c:v>3.7814807428987608E-2</c:v>
                </c:pt>
                <c:pt idx="11">
                  <c:v>3.058722705212967E-2</c:v>
                </c:pt>
                <c:pt idx="12">
                  <c:v>2.725436085700771E-2</c:v>
                </c:pt>
                <c:pt idx="13">
                  <c:v>2.0535269664776486E-2</c:v>
                </c:pt>
                <c:pt idx="14">
                  <c:v>1.3061568743175513E-2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3C-4DD8-A6D7-BAC4D378532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7927744"/>
        <c:axId val="676029024"/>
      </c:barChart>
      <c:catAx>
        <c:axId val="70792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cap="none" spc="0" normalizeH="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676029024"/>
        <c:crosses val="autoZero"/>
        <c:auto val="1"/>
        <c:lblAlgn val="ctr"/>
        <c:lblOffset val="100"/>
        <c:noMultiLvlLbl val="0"/>
      </c:catAx>
      <c:valAx>
        <c:axId val="676029024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600" b="1" i="0" u="none" strike="noStrike" kern="1200" baseline="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pPr>
            <a:endParaRPr lang="en-US"/>
          </a:p>
        </c:txPr>
        <c:crossAx val="707927744"/>
        <c:crosses val="autoZero"/>
        <c:crossBetween val="between"/>
      </c:valAx>
      <c:spPr>
        <a:pattFill prst="ltDnDiag">
          <a:fgClr>
            <a:srgbClr val="000000">
              <a:alpha val="0"/>
            </a:srgbClr>
          </a:fgClr>
          <a:bgClr>
            <a:srgbClr val="FFFFFF"/>
          </a:bgClr>
        </a:pattFill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1" i="0" u="none" strike="noStrike" kern="1200" baseline="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 sz="3600" b="1">
          <a:solidFill>
            <a:schemeClr val="tx1"/>
          </a:solidFill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000" b="1">
                <a:solidFill>
                  <a:schemeClr val="tx1">
                    <a:lumMod val="75000"/>
                  </a:schemeClr>
                </a:solidFill>
              </a:rPr>
              <a:t>Historical Tracking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20513006169135E-2"/>
          <c:y val="0.12145211041918451"/>
          <c:w val="0.92015729416801628"/>
          <c:h val="0.74719533840496799"/>
        </c:manualLayout>
      </c:layout>
      <c:areaChart>
        <c:grouping val="standard"/>
        <c:varyColors val="0"/>
        <c:ser>
          <c:idx val="0"/>
          <c:order val="0"/>
          <c:tx>
            <c:v>Tracking Error</c:v>
          </c:tx>
          <c:spPr>
            <a:solidFill>
              <a:schemeClr val="tx1">
                <a:lumMod val="75000"/>
              </a:schemeClr>
            </a:solidFill>
            <a:ln w="104775" cap="rnd" cmpd="sng">
              <a:solidFill>
                <a:srgbClr val="C00000"/>
              </a:solidFill>
              <a:prstDash val="sysDot"/>
              <a:round/>
            </a:ln>
            <a:effectLst/>
          </c:spPr>
          <c:cat>
            <c:numRef>
              <c:f>Historical!$J$2:$J$21</c:f>
              <c:numCache>
                <c:formatCode>m/d/yyyy</c:formatCode>
                <c:ptCount val="20"/>
                <c:pt idx="0">
                  <c:v>42997</c:v>
                </c:pt>
                <c:pt idx="1">
                  <c:v>42998</c:v>
                </c:pt>
                <c:pt idx="2">
                  <c:v>42999</c:v>
                </c:pt>
                <c:pt idx="3">
                  <c:v>43000</c:v>
                </c:pt>
                <c:pt idx="4">
                  <c:v>43003</c:v>
                </c:pt>
                <c:pt idx="5">
                  <c:v>43004</c:v>
                </c:pt>
                <c:pt idx="6">
                  <c:v>43005</c:v>
                </c:pt>
                <c:pt idx="7">
                  <c:v>43006</c:v>
                </c:pt>
                <c:pt idx="8">
                  <c:v>43007</c:v>
                </c:pt>
                <c:pt idx="9">
                  <c:v>43010</c:v>
                </c:pt>
                <c:pt idx="10">
                  <c:v>43011</c:v>
                </c:pt>
                <c:pt idx="11">
                  <c:v>43012</c:v>
                </c:pt>
                <c:pt idx="12">
                  <c:v>43013</c:v>
                </c:pt>
                <c:pt idx="13">
                  <c:v>43014</c:v>
                </c:pt>
                <c:pt idx="14">
                  <c:v>43017</c:v>
                </c:pt>
                <c:pt idx="15">
                  <c:v>43018</c:v>
                </c:pt>
                <c:pt idx="16">
                  <c:v>43019</c:v>
                </c:pt>
                <c:pt idx="17">
                  <c:v>43020</c:v>
                </c:pt>
                <c:pt idx="18">
                  <c:v>43021</c:v>
                </c:pt>
                <c:pt idx="19">
                  <c:v>43024</c:v>
                </c:pt>
              </c:numCache>
            </c:numRef>
          </c:cat>
          <c:val>
            <c:numRef>
              <c:f>Historical!$T$2:$T$21</c:f>
              <c:numCache>
                <c:formatCode>0.00%</c:formatCode>
                <c:ptCount val="20"/>
                <c:pt idx="0">
                  <c:v>1.249692809341842E-2</c:v>
                </c:pt>
                <c:pt idx="1">
                  <c:v>1.2143679347615113E-2</c:v>
                </c:pt>
                <c:pt idx="2">
                  <c:v>1.1707505716046883E-2</c:v>
                </c:pt>
                <c:pt idx="3">
                  <c:v>1.1522539777956422E-2</c:v>
                </c:pt>
                <c:pt idx="4">
                  <c:v>1.2552934560588574E-2</c:v>
                </c:pt>
                <c:pt idx="5">
                  <c:v>1.218353971666555E-2</c:v>
                </c:pt>
                <c:pt idx="6">
                  <c:v>1.381449948791787E-2</c:v>
                </c:pt>
                <c:pt idx="7">
                  <c:v>1.3741788149427102E-2</c:v>
                </c:pt>
                <c:pt idx="8">
                  <c:v>1.4105784088134421E-2</c:v>
                </c:pt>
                <c:pt idx="9">
                  <c:v>1.7011880095038599E-2</c:v>
                </c:pt>
                <c:pt idx="10">
                  <c:v>1.6579781706300454E-2</c:v>
                </c:pt>
                <c:pt idx="11">
                  <c:v>1.6584669529245994E-2</c:v>
                </c:pt>
                <c:pt idx="12">
                  <c:v>1.6216629935221737E-2</c:v>
                </c:pt>
                <c:pt idx="13">
                  <c:v>1.7287161929532318E-2</c:v>
                </c:pt>
                <c:pt idx="14">
                  <c:v>1.8931735114845874E-2</c:v>
                </c:pt>
                <c:pt idx="15">
                  <c:v>1.9308047530107602E-2</c:v>
                </c:pt>
                <c:pt idx="16">
                  <c:v>1.9911581601701749E-2</c:v>
                </c:pt>
                <c:pt idx="17">
                  <c:v>1.9416654426884779E-2</c:v>
                </c:pt>
                <c:pt idx="18">
                  <c:v>1.9406410327634377E-2</c:v>
                </c:pt>
                <c:pt idx="19">
                  <c:v>1.9829007335740102E-2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C5-49AC-BC2C-B4FAAE530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3186847"/>
        <c:axId val="1039983119"/>
      </c:areaChart>
      <c:dateAx>
        <c:axId val="893186847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0" i="0" u="none" strike="noStrike" kern="1200" baseline="0">
                <a:solidFill>
                  <a:schemeClr val="tx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983119"/>
        <c:crosses val="autoZero"/>
        <c:auto val="0"/>
        <c:lblOffset val="100"/>
        <c:baseTimeUnit val="days"/>
        <c:majorUnit val="2"/>
        <c:majorTimeUnit val="days"/>
      </c:dateAx>
      <c:valAx>
        <c:axId val="1039983119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4000" b="0" i="0" u="none" strike="noStrike" kern="1200" baseline="0">
                <a:solidFill>
                  <a:schemeClr val="tx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18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1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1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>
  <cs:dataPoint3D>
    <cs:lnRef idx="1">
      <a:schemeClr val="lt1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1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1">
      <a:schemeClr val="dk1"/>
    </cs:effectRef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03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7.xml"/><Relationship Id="rId4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image" Target="../media/image1.png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77933</xdr:colOff>
      <xdr:row>0</xdr:row>
      <xdr:rowOff>138545</xdr:rowOff>
    </xdr:from>
    <xdr:to>
      <xdr:col>2</xdr:col>
      <xdr:colOff>1021773</xdr:colOff>
      <xdr:row>1</xdr:row>
      <xdr:rowOff>329045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25A9E01E-6CA9-4D27-8384-31E1F6FB9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909206" y="138545"/>
          <a:ext cx="1757794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1219200</xdr:colOff>
      <xdr:row>91</xdr:row>
      <xdr:rowOff>95250</xdr:rowOff>
    </xdr:from>
    <xdr:to>
      <xdr:col>28</xdr:col>
      <xdr:colOff>0</xdr:colOff>
      <xdr:row>125</xdr:row>
      <xdr:rowOff>152400</xdr:rowOff>
    </xdr:to>
    <xdr:graphicFrame macro="">
      <xdr:nvGraphicFramePr>
        <xdr:cNvPr id="7" name="5 Gráfico">
          <a:extLst>
            <a:ext uri="{FF2B5EF4-FFF2-40B4-BE49-F238E27FC236}">
              <a16:creationId xmlns:a16="http://schemas.microsoft.com/office/drawing/2014/main" id="{2F114C40-6804-4573-82D2-E63DE22B4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742950</xdr:colOff>
      <xdr:row>91</xdr:row>
      <xdr:rowOff>114300</xdr:rowOff>
    </xdr:from>
    <xdr:to>
      <xdr:col>14</xdr:col>
      <xdr:colOff>1447800</xdr:colOff>
      <xdr:row>125</xdr:row>
      <xdr:rowOff>114300</xdr:rowOff>
    </xdr:to>
    <xdr:graphicFrame macro="">
      <xdr:nvGraphicFramePr>
        <xdr:cNvPr id="9" name="5 Gráfico">
          <a:extLst>
            <a:ext uri="{FF2B5EF4-FFF2-40B4-BE49-F238E27FC236}">
              <a16:creationId xmlns:a16="http://schemas.microsoft.com/office/drawing/2014/main" id="{B77AA0EF-31E3-42BA-9682-04D0C521E0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1390650</xdr:colOff>
      <xdr:row>11</xdr:row>
      <xdr:rowOff>190500</xdr:rowOff>
    </xdr:from>
    <xdr:to>
      <xdr:col>39</xdr:col>
      <xdr:colOff>476250</xdr:colOff>
      <xdr:row>46</xdr:row>
      <xdr:rowOff>38100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A9F920C3-C178-431A-BF7A-F2F3BEE64A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116033</xdr:colOff>
      <xdr:row>0</xdr:row>
      <xdr:rowOff>329044</xdr:rowOff>
    </xdr:from>
    <xdr:to>
      <xdr:col>3</xdr:col>
      <xdr:colOff>1012367</xdr:colOff>
      <xdr:row>2</xdr:row>
      <xdr:rowOff>533399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3E324B5-86C0-4A15-AB72-F5B1A422A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16233" y="329044"/>
          <a:ext cx="4096734" cy="8901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152400</xdr:colOff>
      <xdr:row>107</xdr:row>
      <xdr:rowOff>304800</xdr:rowOff>
    </xdr:from>
    <xdr:to>
      <xdr:col>23</xdr:col>
      <xdr:colOff>1524000</xdr:colOff>
      <xdr:row>131</xdr:row>
      <xdr:rowOff>266700</xdr:rowOff>
    </xdr:to>
    <xdr:graphicFrame macro="">
      <xdr:nvGraphicFramePr>
        <xdr:cNvPr id="10" name="5 Gráfico">
          <a:extLst>
            <a:ext uri="{FF2B5EF4-FFF2-40B4-BE49-F238E27FC236}">
              <a16:creationId xmlns:a16="http://schemas.microsoft.com/office/drawing/2014/main" id="{7AF685EA-7FB0-4AA9-B728-89B9BF4359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381000</xdr:colOff>
      <xdr:row>100</xdr:row>
      <xdr:rowOff>57150</xdr:rowOff>
    </xdr:from>
    <xdr:to>
      <xdr:col>35</xdr:col>
      <xdr:colOff>0</xdr:colOff>
      <xdr:row>131</xdr:row>
      <xdr:rowOff>304800</xdr:rowOff>
    </xdr:to>
    <xdr:graphicFrame macro="">
      <xdr:nvGraphicFramePr>
        <xdr:cNvPr id="12" name="5 Gráfico">
          <a:extLst>
            <a:ext uri="{FF2B5EF4-FFF2-40B4-BE49-F238E27FC236}">
              <a16:creationId xmlns:a16="http://schemas.microsoft.com/office/drawing/2014/main" id="{F993A6A1-F64E-49FD-BBD7-3BEAF43876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228600</xdr:colOff>
      <xdr:row>107</xdr:row>
      <xdr:rowOff>247650</xdr:rowOff>
    </xdr:from>
    <xdr:to>
      <xdr:col>11</xdr:col>
      <xdr:colOff>3133725</xdr:colOff>
      <xdr:row>131</xdr:row>
      <xdr:rowOff>228600</xdr:rowOff>
    </xdr:to>
    <xdr:graphicFrame macro="">
      <xdr:nvGraphicFramePr>
        <xdr:cNvPr id="9" name="5 Gráfico">
          <a:extLst>
            <a:ext uri="{FF2B5EF4-FFF2-40B4-BE49-F238E27FC236}">
              <a16:creationId xmlns:a16="http://schemas.microsoft.com/office/drawing/2014/main" id="{CA2B1F86-40C8-4CCF-9E0A-F98DC2E4C1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116033</xdr:colOff>
      <xdr:row>0</xdr:row>
      <xdr:rowOff>329044</xdr:rowOff>
    </xdr:from>
    <xdr:to>
      <xdr:col>3</xdr:col>
      <xdr:colOff>1736267</xdr:colOff>
      <xdr:row>2</xdr:row>
      <xdr:rowOff>533399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61EC504F-4241-49EC-A56D-92656C896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97183" y="329044"/>
          <a:ext cx="4096734" cy="890155"/>
        </a:xfrm>
        <a:prstGeom prst="rect">
          <a:avLst/>
        </a:prstGeom>
      </xdr:spPr>
    </xdr:pic>
    <xdr:clientData/>
  </xdr:twoCellAnchor>
  <xdr:twoCellAnchor>
    <xdr:from>
      <xdr:col>18</xdr:col>
      <xdr:colOff>685800</xdr:colOff>
      <xdr:row>8</xdr:row>
      <xdr:rowOff>0</xdr:rowOff>
    </xdr:from>
    <xdr:to>
      <xdr:col>34</xdr:col>
      <xdr:colOff>1714500</xdr:colOff>
      <xdr:row>44</xdr:row>
      <xdr:rowOff>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82C19162-C561-443B-89A6-7EB911878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1638300</xdr:colOff>
      <xdr:row>103</xdr:row>
      <xdr:rowOff>266700</xdr:rowOff>
    </xdr:from>
    <xdr:to>
      <xdr:col>21</xdr:col>
      <xdr:colOff>1619250</xdr:colOff>
      <xdr:row>128</xdr:row>
      <xdr:rowOff>228600</xdr:rowOff>
    </xdr:to>
    <xdr:graphicFrame macro="">
      <xdr:nvGraphicFramePr>
        <xdr:cNvPr id="6" name="5 Gráfico">
          <a:extLst>
            <a:ext uri="{FF2B5EF4-FFF2-40B4-BE49-F238E27FC236}">
              <a16:creationId xmlns:a16="http://schemas.microsoft.com/office/drawing/2014/main" id="{15E3FBBE-9D4E-492F-9746-3B8808381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2000251</xdr:colOff>
      <xdr:row>103</xdr:row>
      <xdr:rowOff>304800</xdr:rowOff>
    </xdr:from>
    <xdr:to>
      <xdr:col>34</xdr:col>
      <xdr:colOff>0</xdr:colOff>
      <xdr:row>128</xdr:row>
      <xdr:rowOff>304800</xdr:rowOff>
    </xdr:to>
    <xdr:graphicFrame macro="">
      <xdr:nvGraphicFramePr>
        <xdr:cNvPr id="7" name="5 Gráfico">
          <a:extLst>
            <a:ext uri="{FF2B5EF4-FFF2-40B4-BE49-F238E27FC236}">
              <a16:creationId xmlns:a16="http://schemas.microsoft.com/office/drawing/2014/main" id="{9A905E52-C22E-4763-A1BA-41EC3D769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103</xdr:row>
      <xdr:rowOff>247650</xdr:rowOff>
    </xdr:from>
    <xdr:to>
      <xdr:col>11</xdr:col>
      <xdr:colOff>1238250</xdr:colOff>
      <xdr:row>128</xdr:row>
      <xdr:rowOff>228600</xdr:rowOff>
    </xdr:to>
    <xdr:graphicFrame macro="">
      <xdr:nvGraphicFramePr>
        <xdr:cNvPr id="8" name="5 Gráfico">
          <a:extLst>
            <a:ext uri="{FF2B5EF4-FFF2-40B4-BE49-F238E27FC236}">
              <a16:creationId xmlns:a16="http://schemas.microsoft.com/office/drawing/2014/main" id="{1832372D-E9BC-4EA8-AD72-0D20B36003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971550</xdr:colOff>
      <xdr:row>12</xdr:row>
      <xdr:rowOff>304800</xdr:rowOff>
    </xdr:from>
    <xdr:to>
      <xdr:col>34</xdr:col>
      <xdr:colOff>0</xdr:colOff>
      <xdr:row>40</xdr:row>
      <xdr:rowOff>685800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D41C3BA7-FCA2-4B0D-9EC6-510034ED5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685800</xdr:colOff>
      <xdr:row>83</xdr:row>
      <xdr:rowOff>114300</xdr:rowOff>
    </xdr:from>
    <xdr:to>
      <xdr:col>33</xdr:col>
      <xdr:colOff>1447800</xdr:colOff>
      <xdr:row>103</xdr:row>
      <xdr:rowOff>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7867368A-4570-4BCC-9868-4B56E0603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</xdr:col>
      <xdr:colOff>116033</xdr:colOff>
      <xdr:row>0</xdr:row>
      <xdr:rowOff>329044</xdr:rowOff>
    </xdr:from>
    <xdr:to>
      <xdr:col>3</xdr:col>
      <xdr:colOff>1736267</xdr:colOff>
      <xdr:row>2</xdr:row>
      <xdr:rowOff>533399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FAD9744D-185D-4D12-BAD8-FE43F5757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97183" y="329044"/>
          <a:ext cx="4096734" cy="89015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45</xdr:row>
      <xdr:rowOff>762000</xdr:rowOff>
    </xdr:from>
    <xdr:to>
      <xdr:col>31</xdr:col>
      <xdr:colOff>1143000</xdr:colOff>
      <xdr:row>102</xdr:row>
      <xdr:rowOff>342900</xdr:rowOff>
    </xdr:to>
    <xdr:graphicFrame macro="">
      <xdr:nvGraphicFramePr>
        <xdr:cNvPr id="8" name="5 Gráfico">
          <a:extLst>
            <a:ext uri="{FF2B5EF4-FFF2-40B4-BE49-F238E27FC236}">
              <a16:creationId xmlns:a16="http://schemas.microsoft.com/office/drawing/2014/main" id="{28A28E1B-20E5-49B7-8A98-D0C54D17F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116032</xdr:colOff>
      <xdr:row>0</xdr:row>
      <xdr:rowOff>329044</xdr:rowOff>
    </xdr:from>
    <xdr:to>
      <xdr:col>3</xdr:col>
      <xdr:colOff>1177339</xdr:colOff>
      <xdr:row>2</xdr:row>
      <xdr:rowOff>1143000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1C40C7E-2A2B-4195-81CC-92EC2C7F0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735282" y="329044"/>
          <a:ext cx="6681057" cy="157595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35</xdr:row>
      <xdr:rowOff>0</xdr:rowOff>
    </xdr:from>
    <xdr:to>
      <xdr:col>8</xdr:col>
      <xdr:colOff>800100</xdr:colOff>
      <xdr:row>57</xdr:row>
      <xdr:rowOff>304800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F93D744-A57B-422B-9AF3-51BA32525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114300</xdr:colOff>
      <xdr:row>60</xdr:row>
      <xdr:rowOff>152400</xdr:rowOff>
    </xdr:from>
    <xdr:to>
      <xdr:col>15</xdr:col>
      <xdr:colOff>2019300</xdr:colOff>
      <xdr:row>108</xdr:row>
      <xdr:rowOff>38099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D8B6BF0-FD1A-436C-BCFC-77969A4A3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344633</xdr:colOff>
      <xdr:row>1</xdr:row>
      <xdr:rowOff>152401</xdr:rowOff>
    </xdr:from>
    <xdr:to>
      <xdr:col>2</xdr:col>
      <xdr:colOff>1811625</xdr:colOff>
      <xdr:row>2</xdr:row>
      <xdr:rowOff>724007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F646494-CA9D-4C86-8609-9C67E996D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82833" y="342901"/>
          <a:ext cx="2876692" cy="762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-0.249977111117893"/>
  </sheetPr>
  <dimension ref="A1:AQ2194"/>
  <sheetViews>
    <sheetView tabSelected="1" zoomScale="85" zoomScaleNormal="85" workbookViewId="0">
      <selection activeCell="F7" sqref="F7"/>
    </sheetView>
  </sheetViews>
  <sheetFormatPr baseColWidth="10" defaultRowHeight="14.25" x14ac:dyDescent="0.2"/>
  <cols>
    <col min="1" max="1" width="11" customWidth="1"/>
    <col min="2" max="2" width="23.375" customWidth="1"/>
    <col min="3" max="3" width="16.75" customWidth="1"/>
    <col min="4" max="4" width="25.25" customWidth="1"/>
    <col min="5" max="5" width="22.75" customWidth="1"/>
    <col min="6" max="6" width="21.875" customWidth="1"/>
    <col min="7" max="7" width="23.375" customWidth="1"/>
    <col min="10" max="10" width="15.875" customWidth="1"/>
    <col min="12" max="12" width="14.25" customWidth="1"/>
    <col min="18" max="18" width="29" customWidth="1"/>
    <col min="19" max="19" width="17.625" customWidth="1"/>
    <col min="20" max="20" width="20.875" customWidth="1"/>
    <col min="23" max="23" width="21.5" customWidth="1"/>
    <col min="24" max="24" width="39.25" customWidth="1"/>
    <col min="26" max="26" width="27.625" customWidth="1"/>
    <col min="31" max="31" width="27.5" customWidth="1"/>
    <col min="32" max="32" width="17.625" customWidth="1"/>
    <col min="33" max="33" width="11.875" customWidth="1"/>
    <col min="34" max="35" width="29.375" customWidth="1"/>
    <col min="36" max="36" width="16.875" customWidth="1"/>
    <col min="37" max="37" width="14" customWidth="1"/>
    <col min="40" max="40" width="22" customWidth="1"/>
    <col min="41" max="41" width="24.625" customWidth="1"/>
    <col min="42" max="43" width="13.125" bestFit="1" customWidth="1"/>
  </cols>
  <sheetData>
    <row r="1" spans="1:43" x14ac:dyDescent="0.2">
      <c r="B1" t="s">
        <v>232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109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164</v>
      </c>
      <c r="X1" t="s">
        <v>19</v>
      </c>
      <c r="Y1" t="s">
        <v>20</v>
      </c>
      <c r="Z1" t="s">
        <v>155</v>
      </c>
      <c r="AA1" t="s">
        <v>21</v>
      </c>
      <c r="AB1" t="s">
        <v>22</v>
      </c>
      <c r="AC1" t="s">
        <v>23</v>
      </c>
      <c r="AD1" t="s">
        <v>24</v>
      </c>
      <c r="AE1" t="s">
        <v>106</v>
      </c>
      <c r="AF1" t="s">
        <v>25</v>
      </c>
      <c r="AG1" t="s">
        <v>26</v>
      </c>
      <c r="AH1" t="s">
        <v>68</v>
      </c>
      <c r="AI1" t="s">
        <v>69</v>
      </c>
      <c r="AJ1" t="s">
        <v>27</v>
      </c>
      <c r="AK1" t="s">
        <v>28</v>
      </c>
      <c r="AL1" t="s">
        <v>105</v>
      </c>
      <c r="AM1" t="s">
        <v>107</v>
      </c>
      <c r="AN1" t="s">
        <v>152</v>
      </c>
      <c r="AO1" t="s">
        <v>153</v>
      </c>
      <c r="AP1" t="s">
        <v>156</v>
      </c>
      <c r="AQ1" t="s">
        <v>168</v>
      </c>
    </row>
    <row r="2" spans="1:43" x14ac:dyDescent="0.2">
      <c r="A2">
        <v>0</v>
      </c>
      <c r="B2">
        <v>0</v>
      </c>
      <c r="C2">
        <v>3</v>
      </c>
      <c r="D2">
        <v>0</v>
      </c>
      <c r="E2" t="s">
        <v>204</v>
      </c>
      <c r="F2" t="s">
        <v>62</v>
      </c>
      <c r="G2" t="s">
        <v>268</v>
      </c>
      <c r="H2">
        <v>0</v>
      </c>
      <c r="I2">
        <v>0</v>
      </c>
      <c r="J2">
        <v>0</v>
      </c>
      <c r="L2" s="1">
        <v>43236</v>
      </c>
      <c r="M2" s="1">
        <v>43024</v>
      </c>
      <c r="N2" s="1"/>
      <c r="R2">
        <v>0</v>
      </c>
      <c r="T2" t="s">
        <v>39</v>
      </c>
      <c r="V2">
        <v>652950000</v>
      </c>
      <c r="W2" t="s">
        <v>200</v>
      </c>
      <c r="X2" t="s">
        <v>201</v>
      </c>
      <c r="Y2">
        <v>0</v>
      </c>
      <c r="Z2" t="s">
        <v>47</v>
      </c>
      <c r="AA2">
        <v>0</v>
      </c>
      <c r="AB2">
        <v>0</v>
      </c>
      <c r="AC2" t="s">
        <v>47</v>
      </c>
      <c r="AE2" t="s">
        <v>108</v>
      </c>
      <c r="AF2">
        <v>0</v>
      </c>
      <c r="AH2" t="s">
        <v>202</v>
      </c>
      <c r="AJ2">
        <v>6.4398706708196501E-2</v>
      </c>
      <c r="AK2">
        <v>6.4398706708196501E-2</v>
      </c>
      <c r="AL2">
        <v>0</v>
      </c>
      <c r="AN2" t="s">
        <v>47</v>
      </c>
      <c r="AQ2">
        <v>0</v>
      </c>
    </row>
    <row r="3" spans="1:43" x14ac:dyDescent="0.2">
      <c r="A3">
        <v>1</v>
      </c>
      <c r="B3">
        <v>0</v>
      </c>
      <c r="C3">
        <v>3</v>
      </c>
      <c r="D3">
        <v>0</v>
      </c>
      <c r="E3" t="s">
        <v>204</v>
      </c>
      <c r="F3" t="s">
        <v>62</v>
      </c>
      <c r="G3" t="s">
        <v>269</v>
      </c>
      <c r="H3">
        <v>0</v>
      </c>
      <c r="I3">
        <v>0</v>
      </c>
      <c r="J3">
        <v>0</v>
      </c>
      <c r="L3" s="1">
        <v>43237</v>
      </c>
      <c r="M3" s="1">
        <v>43024</v>
      </c>
      <c r="R3">
        <v>0</v>
      </c>
      <c r="T3" t="s">
        <v>39</v>
      </c>
      <c r="V3">
        <v>645000000</v>
      </c>
      <c r="W3" t="s">
        <v>200</v>
      </c>
      <c r="X3" t="s">
        <v>201</v>
      </c>
      <c r="Y3">
        <v>0</v>
      </c>
      <c r="Z3" t="s">
        <v>47</v>
      </c>
      <c r="AA3">
        <v>0</v>
      </c>
      <c r="AB3">
        <v>0</v>
      </c>
      <c r="AC3" t="s">
        <v>47</v>
      </c>
      <c r="AE3" t="s">
        <v>108</v>
      </c>
      <c r="AF3">
        <v>0</v>
      </c>
      <c r="AH3" t="s">
        <v>202</v>
      </c>
      <c r="AJ3">
        <v>6.3614619537157122E-2</v>
      </c>
      <c r="AK3">
        <v>6.3614619537157122E-2</v>
      </c>
      <c r="AL3">
        <v>0</v>
      </c>
      <c r="AN3" t="s">
        <v>47</v>
      </c>
      <c r="AQ3">
        <v>0</v>
      </c>
    </row>
    <row r="4" spans="1:43" x14ac:dyDescent="0.2">
      <c r="A4">
        <v>2</v>
      </c>
      <c r="B4">
        <v>0</v>
      </c>
      <c r="C4">
        <v>3</v>
      </c>
      <c r="D4">
        <v>0</v>
      </c>
      <c r="E4" t="s">
        <v>203</v>
      </c>
      <c r="F4" t="s">
        <v>62</v>
      </c>
      <c r="G4" t="s">
        <v>270</v>
      </c>
      <c r="H4">
        <v>0</v>
      </c>
      <c r="I4">
        <v>0</v>
      </c>
      <c r="J4">
        <v>0</v>
      </c>
      <c r="L4" s="1">
        <v>43236</v>
      </c>
      <c r="M4" s="1">
        <v>43024</v>
      </c>
      <c r="N4" s="1"/>
      <c r="R4">
        <v>0</v>
      </c>
      <c r="T4" t="s">
        <v>39</v>
      </c>
      <c r="V4">
        <v>-644350016</v>
      </c>
      <c r="W4" t="s">
        <v>181</v>
      </c>
      <c r="X4" t="s">
        <v>271</v>
      </c>
      <c r="Y4">
        <v>0</v>
      </c>
      <c r="Z4" t="s">
        <v>47</v>
      </c>
      <c r="AA4">
        <v>0</v>
      </c>
      <c r="AB4">
        <v>0</v>
      </c>
      <c r="AC4" t="s">
        <v>47</v>
      </c>
      <c r="AE4" t="s">
        <v>108</v>
      </c>
      <c r="AF4">
        <v>0</v>
      </c>
      <c r="AH4" t="s">
        <v>202</v>
      </c>
      <c r="AJ4">
        <v>-6.3550513359071484E-2</v>
      </c>
      <c r="AK4">
        <v>-6.3550513359071484E-2</v>
      </c>
      <c r="AL4">
        <v>0</v>
      </c>
      <c r="AN4" t="s">
        <v>47</v>
      </c>
      <c r="AQ4">
        <v>0</v>
      </c>
    </row>
    <row r="5" spans="1:43" x14ac:dyDescent="0.2">
      <c r="A5">
        <v>3</v>
      </c>
      <c r="B5">
        <v>0</v>
      </c>
      <c r="C5">
        <v>3</v>
      </c>
      <c r="D5">
        <v>0</v>
      </c>
      <c r="E5" t="s">
        <v>204</v>
      </c>
      <c r="F5" t="s">
        <v>62</v>
      </c>
      <c r="G5" t="s">
        <v>272</v>
      </c>
      <c r="H5">
        <v>0</v>
      </c>
      <c r="I5">
        <v>0</v>
      </c>
      <c r="J5">
        <v>0</v>
      </c>
      <c r="L5" s="1">
        <v>43237</v>
      </c>
      <c r="M5" s="1">
        <v>43024</v>
      </c>
      <c r="N5" s="1"/>
      <c r="R5">
        <v>0</v>
      </c>
      <c r="T5" t="s">
        <v>39</v>
      </c>
      <c r="V5">
        <v>-641539968</v>
      </c>
      <c r="W5" t="s">
        <v>200</v>
      </c>
      <c r="X5" t="s">
        <v>205</v>
      </c>
      <c r="Y5">
        <v>0</v>
      </c>
      <c r="Z5" t="s">
        <v>47</v>
      </c>
      <c r="AA5">
        <v>0</v>
      </c>
      <c r="AB5">
        <v>0</v>
      </c>
      <c r="AC5" t="s">
        <v>47</v>
      </c>
      <c r="AE5" t="s">
        <v>108</v>
      </c>
      <c r="AF5">
        <v>0</v>
      </c>
      <c r="AH5" t="s">
        <v>202</v>
      </c>
      <c r="AJ5">
        <v>-6.3273365863875899E-2</v>
      </c>
      <c r="AK5">
        <v>-6.3273365863875899E-2</v>
      </c>
      <c r="AL5">
        <v>0</v>
      </c>
      <c r="AN5" t="s">
        <v>47</v>
      </c>
      <c r="AQ5">
        <v>0</v>
      </c>
    </row>
    <row r="6" spans="1:43" x14ac:dyDescent="0.2">
      <c r="A6">
        <v>4</v>
      </c>
      <c r="B6">
        <v>0</v>
      </c>
      <c r="C6">
        <v>3</v>
      </c>
      <c r="D6">
        <v>0</v>
      </c>
      <c r="E6" t="s">
        <v>273</v>
      </c>
      <c r="F6" t="s">
        <v>62</v>
      </c>
      <c r="G6" t="s">
        <v>159</v>
      </c>
      <c r="H6">
        <v>0</v>
      </c>
      <c r="I6">
        <v>0</v>
      </c>
      <c r="J6">
        <v>0</v>
      </c>
      <c r="L6" s="1">
        <v>43024</v>
      </c>
      <c r="M6" s="1">
        <v>43024</v>
      </c>
      <c r="N6" s="1"/>
      <c r="R6">
        <v>0</v>
      </c>
      <c r="T6" t="s">
        <v>39</v>
      </c>
      <c r="V6">
        <v>25532706</v>
      </c>
      <c r="W6" t="s">
        <v>45</v>
      </c>
      <c r="X6" t="s">
        <v>46</v>
      </c>
      <c r="Y6">
        <v>0</v>
      </c>
      <c r="Z6" t="s">
        <v>47</v>
      </c>
      <c r="AA6">
        <v>0</v>
      </c>
      <c r="AB6">
        <v>0</v>
      </c>
      <c r="AC6" t="s">
        <v>47</v>
      </c>
      <c r="AE6" t="s">
        <v>45</v>
      </c>
      <c r="AF6">
        <v>0</v>
      </c>
      <c r="AH6" t="s">
        <v>174</v>
      </c>
      <c r="AJ6">
        <v>2.5182222913861844E-3</v>
      </c>
      <c r="AK6">
        <v>2.5182222913861844E-3</v>
      </c>
      <c r="AL6">
        <v>0</v>
      </c>
      <c r="AN6" t="s">
        <v>47</v>
      </c>
      <c r="AQ6">
        <v>0</v>
      </c>
    </row>
    <row r="7" spans="1:43" x14ac:dyDescent="0.2">
      <c r="A7">
        <v>5</v>
      </c>
      <c r="B7">
        <v>0</v>
      </c>
      <c r="C7">
        <v>3</v>
      </c>
      <c r="D7">
        <v>0</v>
      </c>
      <c r="E7" t="s">
        <v>273</v>
      </c>
      <c r="F7" t="s">
        <v>62</v>
      </c>
      <c r="G7" t="s">
        <v>160</v>
      </c>
      <c r="H7">
        <v>0</v>
      </c>
      <c r="I7">
        <v>0</v>
      </c>
      <c r="J7">
        <v>0</v>
      </c>
      <c r="L7" s="1">
        <v>43024</v>
      </c>
      <c r="M7" s="1">
        <v>43024</v>
      </c>
      <c r="N7" s="1"/>
      <c r="R7">
        <v>0</v>
      </c>
      <c r="T7" t="s">
        <v>39</v>
      </c>
      <c r="V7">
        <v>-6297220</v>
      </c>
      <c r="W7" t="s">
        <v>45</v>
      </c>
      <c r="X7" t="s">
        <v>48</v>
      </c>
      <c r="Y7">
        <v>0</v>
      </c>
      <c r="Z7" t="s">
        <v>47</v>
      </c>
      <c r="AA7">
        <v>0</v>
      </c>
      <c r="AB7">
        <v>0</v>
      </c>
      <c r="AC7" t="s">
        <v>47</v>
      </c>
      <c r="AE7" t="s">
        <v>45</v>
      </c>
      <c r="AF7">
        <v>0</v>
      </c>
      <c r="AH7" t="s">
        <v>174</v>
      </c>
      <c r="AJ7">
        <v>-6.2107791386321952E-4</v>
      </c>
      <c r="AK7">
        <v>-6.2107791386321952E-4</v>
      </c>
      <c r="AL7">
        <v>0</v>
      </c>
      <c r="AN7" t="s">
        <v>47</v>
      </c>
      <c r="AQ7">
        <v>0</v>
      </c>
    </row>
    <row r="8" spans="1:43" x14ac:dyDescent="0.2">
      <c r="A8">
        <v>6</v>
      </c>
      <c r="B8">
        <v>66</v>
      </c>
      <c r="C8">
        <v>3</v>
      </c>
      <c r="D8">
        <v>0</v>
      </c>
      <c r="E8" t="s">
        <v>203</v>
      </c>
      <c r="F8" t="s">
        <v>62</v>
      </c>
      <c r="G8" t="s">
        <v>270</v>
      </c>
      <c r="H8">
        <v>0</v>
      </c>
      <c r="I8">
        <v>3.0917551003342263E-4</v>
      </c>
      <c r="J8">
        <v>0</v>
      </c>
      <c r="L8" s="1">
        <v>43236</v>
      </c>
      <c r="M8" s="1">
        <v>43024</v>
      </c>
      <c r="N8" s="1"/>
      <c r="R8">
        <v>5.0387953774181466E-3</v>
      </c>
      <c r="T8" t="s">
        <v>30</v>
      </c>
      <c r="V8">
        <v>622130000</v>
      </c>
      <c r="W8" t="s">
        <v>181</v>
      </c>
      <c r="X8" t="s">
        <v>267</v>
      </c>
      <c r="Y8">
        <v>0</v>
      </c>
      <c r="Z8" t="s">
        <v>47</v>
      </c>
      <c r="AA8">
        <v>2.8828649338793717E-2</v>
      </c>
      <c r="AB8">
        <v>0</v>
      </c>
      <c r="AC8" t="s">
        <v>47</v>
      </c>
      <c r="AE8" t="s">
        <v>108</v>
      </c>
      <c r="AF8">
        <v>0</v>
      </c>
      <c r="AH8" t="s">
        <v>202</v>
      </c>
      <c r="AJ8">
        <v>6.1359012794808626E-2</v>
      </c>
      <c r="AK8">
        <v>6.1359012794808626E-2</v>
      </c>
      <c r="AL8">
        <v>0</v>
      </c>
      <c r="AN8" t="s">
        <v>47</v>
      </c>
      <c r="AQ8">
        <v>0</v>
      </c>
    </row>
    <row r="9" spans="1:43" x14ac:dyDescent="0.2">
      <c r="A9">
        <v>7</v>
      </c>
      <c r="B9">
        <v>66</v>
      </c>
      <c r="C9">
        <v>3</v>
      </c>
      <c r="D9">
        <v>0</v>
      </c>
      <c r="E9" t="s">
        <v>204</v>
      </c>
      <c r="F9" t="s">
        <v>62</v>
      </c>
      <c r="G9" t="s">
        <v>272</v>
      </c>
      <c r="H9">
        <v>0</v>
      </c>
      <c r="I9">
        <v>3.0917551003342263E-4</v>
      </c>
      <c r="J9">
        <v>0</v>
      </c>
      <c r="L9" s="1">
        <v>43237</v>
      </c>
      <c r="M9" s="1">
        <v>43024</v>
      </c>
      <c r="N9" s="1"/>
      <c r="R9">
        <v>5.0387953774181466E-3</v>
      </c>
      <c r="T9" t="s">
        <v>30</v>
      </c>
      <c r="V9">
        <v>622130000</v>
      </c>
      <c r="W9" t="s">
        <v>200</v>
      </c>
      <c r="X9" t="s">
        <v>201</v>
      </c>
      <c r="Y9">
        <v>0</v>
      </c>
      <c r="Z9" t="s">
        <v>47</v>
      </c>
      <c r="AA9">
        <v>2.8828649338793717E-2</v>
      </c>
      <c r="AB9">
        <v>0</v>
      </c>
      <c r="AC9" t="s">
        <v>47</v>
      </c>
      <c r="AE9" t="s">
        <v>108</v>
      </c>
      <c r="AF9">
        <v>0</v>
      </c>
      <c r="AH9" t="s">
        <v>202</v>
      </c>
      <c r="AJ9">
        <v>6.1359012794808626E-2</v>
      </c>
      <c r="AK9">
        <v>6.1359012794808626E-2</v>
      </c>
      <c r="AL9">
        <v>0</v>
      </c>
      <c r="AN9" t="s">
        <v>47</v>
      </c>
      <c r="AQ9">
        <v>0</v>
      </c>
    </row>
    <row r="10" spans="1:43" x14ac:dyDescent="0.2">
      <c r="A10">
        <v>8</v>
      </c>
      <c r="B10">
        <v>66</v>
      </c>
      <c r="C10">
        <v>3</v>
      </c>
      <c r="D10">
        <v>0</v>
      </c>
      <c r="E10" t="s">
        <v>204</v>
      </c>
      <c r="F10" t="s">
        <v>62</v>
      </c>
      <c r="G10" t="s">
        <v>268</v>
      </c>
      <c r="H10">
        <v>0</v>
      </c>
      <c r="I10">
        <v>-3.0917551003342263E-4</v>
      </c>
      <c r="J10">
        <v>0</v>
      </c>
      <c r="L10" s="1">
        <v>43236</v>
      </c>
      <c r="M10" s="1">
        <v>43024</v>
      </c>
      <c r="N10" s="1"/>
      <c r="R10">
        <v>5.0387953774181466E-3</v>
      </c>
      <c r="T10" t="s">
        <v>30</v>
      </c>
      <c r="V10">
        <v>-622130000</v>
      </c>
      <c r="W10" t="s">
        <v>200</v>
      </c>
      <c r="X10" t="s">
        <v>205</v>
      </c>
      <c r="Y10">
        <v>0</v>
      </c>
      <c r="Z10" t="s">
        <v>47</v>
      </c>
      <c r="AA10">
        <v>-2.8828649338793717E-2</v>
      </c>
      <c r="AB10">
        <v>0</v>
      </c>
      <c r="AC10" t="s">
        <v>47</v>
      </c>
      <c r="AE10" t="s">
        <v>108</v>
      </c>
      <c r="AF10">
        <v>0</v>
      </c>
      <c r="AH10" t="s">
        <v>202</v>
      </c>
      <c r="AJ10">
        <v>-6.1359012794808626E-2</v>
      </c>
      <c r="AK10">
        <v>-6.1359012794808626E-2</v>
      </c>
      <c r="AL10">
        <v>0</v>
      </c>
      <c r="AN10" t="s">
        <v>47</v>
      </c>
      <c r="AQ10">
        <v>0</v>
      </c>
    </row>
    <row r="11" spans="1:43" x14ac:dyDescent="0.2">
      <c r="A11">
        <v>9</v>
      </c>
      <c r="B11">
        <v>66</v>
      </c>
      <c r="C11">
        <v>3</v>
      </c>
      <c r="D11">
        <v>0</v>
      </c>
      <c r="E11" t="s">
        <v>204</v>
      </c>
      <c r="F11" t="s">
        <v>62</v>
      </c>
      <c r="G11" t="s">
        <v>269</v>
      </c>
      <c r="H11">
        <v>0</v>
      </c>
      <c r="I11">
        <v>-3.0917551003342263E-4</v>
      </c>
      <c r="J11">
        <v>0</v>
      </c>
      <c r="L11" s="1">
        <v>43237</v>
      </c>
      <c r="M11" s="1">
        <v>43024</v>
      </c>
      <c r="N11" s="1"/>
      <c r="R11">
        <v>5.0387953774181466E-3</v>
      </c>
      <c r="T11" t="s">
        <v>30</v>
      </c>
      <c r="V11">
        <v>-622130000</v>
      </c>
      <c r="W11" t="s">
        <v>200</v>
      </c>
      <c r="X11" t="s">
        <v>205</v>
      </c>
      <c r="Y11">
        <v>0</v>
      </c>
      <c r="Z11" t="s">
        <v>47</v>
      </c>
      <c r="AA11">
        <v>-2.8828649338793717E-2</v>
      </c>
      <c r="AB11">
        <v>0</v>
      </c>
      <c r="AC11" t="s">
        <v>47</v>
      </c>
      <c r="AE11" t="s">
        <v>108</v>
      </c>
      <c r="AF11">
        <v>0</v>
      </c>
      <c r="AH11" t="s">
        <v>202</v>
      </c>
      <c r="AJ11">
        <v>-6.1359012794808626E-2</v>
      </c>
      <c r="AK11">
        <v>-6.1359012794808626E-2</v>
      </c>
      <c r="AL11">
        <v>0</v>
      </c>
      <c r="AN11" t="s">
        <v>47</v>
      </c>
      <c r="AQ11">
        <v>0</v>
      </c>
    </row>
    <row r="12" spans="1:43" x14ac:dyDescent="0.2">
      <c r="A12">
        <v>10</v>
      </c>
      <c r="B12">
        <v>66</v>
      </c>
      <c r="C12">
        <v>3</v>
      </c>
      <c r="D12">
        <v>0</v>
      </c>
      <c r="E12" t="s">
        <v>273</v>
      </c>
      <c r="F12" t="s">
        <v>62</v>
      </c>
      <c r="G12" t="s">
        <v>161</v>
      </c>
      <c r="H12">
        <v>0</v>
      </c>
      <c r="I12">
        <v>5.9334414664878817E-6</v>
      </c>
      <c r="J12">
        <v>0</v>
      </c>
      <c r="L12" s="1">
        <v>43024</v>
      </c>
      <c r="M12" s="1">
        <v>43024</v>
      </c>
      <c r="N12" s="1"/>
      <c r="R12">
        <v>5.0387953774181466E-3</v>
      </c>
      <c r="T12" t="s">
        <v>30</v>
      </c>
      <c r="V12">
        <v>11939406</v>
      </c>
      <c r="W12" t="s">
        <v>45</v>
      </c>
      <c r="X12" t="s">
        <v>51</v>
      </c>
      <c r="Y12">
        <v>0</v>
      </c>
      <c r="Z12" t="s">
        <v>47</v>
      </c>
      <c r="AA12">
        <v>5.5325566824858093E-4</v>
      </c>
      <c r="AB12">
        <v>0</v>
      </c>
      <c r="AC12" t="s">
        <v>47</v>
      </c>
      <c r="AE12" t="s">
        <v>45</v>
      </c>
      <c r="AF12">
        <v>0</v>
      </c>
      <c r="AH12" t="s">
        <v>174</v>
      </c>
      <c r="AJ12">
        <v>1.1775515816893813E-3</v>
      </c>
      <c r="AK12">
        <v>1.1775515816893813E-3</v>
      </c>
      <c r="AL12">
        <v>0</v>
      </c>
      <c r="AN12" t="s">
        <v>47</v>
      </c>
      <c r="AQ12">
        <v>0</v>
      </c>
    </row>
    <row r="13" spans="1:43" x14ac:dyDescent="0.2">
      <c r="A13">
        <v>11</v>
      </c>
      <c r="B13">
        <v>66</v>
      </c>
      <c r="C13">
        <v>3</v>
      </c>
      <c r="D13">
        <v>0</v>
      </c>
      <c r="E13" t="s">
        <v>273</v>
      </c>
      <c r="F13" t="s">
        <v>62</v>
      </c>
      <c r="G13" t="s">
        <v>252</v>
      </c>
      <c r="H13">
        <v>0</v>
      </c>
      <c r="I13">
        <v>0</v>
      </c>
      <c r="J13">
        <v>0</v>
      </c>
      <c r="L13" s="1">
        <v>43024</v>
      </c>
      <c r="M13" s="1">
        <v>43024</v>
      </c>
      <c r="N13" s="1"/>
      <c r="R13">
        <v>5.0387953774181466E-3</v>
      </c>
      <c r="T13" t="s">
        <v>30</v>
      </c>
      <c r="V13">
        <v>0</v>
      </c>
      <c r="W13" t="s">
        <v>45</v>
      </c>
      <c r="X13" t="s">
        <v>253</v>
      </c>
      <c r="Y13">
        <v>0</v>
      </c>
      <c r="Z13" t="s">
        <v>47</v>
      </c>
      <c r="AA13">
        <v>0</v>
      </c>
      <c r="AB13">
        <v>0</v>
      </c>
      <c r="AC13" t="s">
        <v>47</v>
      </c>
      <c r="AE13" t="s">
        <v>45</v>
      </c>
      <c r="AF13">
        <v>0</v>
      </c>
      <c r="AH13" t="s">
        <v>174</v>
      </c>
      <c r="AJ13">
        <v>0</v>
      </c>
      <c r="AK13">
        <v>0</v>
      </c>
      <c r="AL13">
        <v>0</v>
      </c>
      <c r="AN13" t="s">
        <v>47</v>
      </c>
      <c r="AQ13">
        <v>0</v>
      </c>
    </row>
    <row r="14" spans="1:43" x14ac:dyDescent="0.2">
      <c r="A14">
        <v>12</v>
      </c>
      <c r="B14">
        <v>73</v>
      </c>
      <c r="C14">
        <v>3</v>
      </c>
      <c r="D14">
        <v>0</v>
      </c>
      <c r="E14" t="s">
        <v>273</v>
      </c>
      <c r="F14" t="s">
        <v>62</v>
      </c>
      <c r="G14" t="s">
        <v>274</v>
      </c>
      <c r="H14">
        <v>0</v>
      </c>
      <c r="I14">
        <v>3.5332969619941862E-8</v>
      </c>
      <c r="J14">
        <v>0</v>
      </c>
      <c r="L14" s="1">
        <v>43024</v>
      </c>
      <c r="M14" s="1">
        <v>43024</v>
      </c>
      <c r="N14" s="1"/>
      <c r="R14">
        <v>2.8048330046759476E-3</v>
      </c>
      <c r="T14" t="s">
        <v>49</v>
      </c>
      <c r="V14">
        <v>127725</v>
      </c>
      <c r="W14" t="s">
        <v>45</v>
      </c>
      <c r="X14" t="s">
        <v>275</v>
      </c>
      <c r="Y14">
        <v>0</v>
      </c>
      <c r="Z14" t="s">
        <v>47</v>
      </c>
      <c r="AA14">
        <v>3.2945746290236313E-6</v>
      </c>
      <c r="AB14">
        <v>0</v>
      </c>
      <c r="AC14" t="s">
        <v>47</v>
      </c>
      <c r="AE14" t="s">
        <v>45</v>
      </c>
      <c r="AF14">
        <v>0</v>
      </c>
      <c r="AH14" t="s">
        <v>174</v>
      </c>
      <c r="AJ14">
        <v>1.2597174078113789E-5</v>
      </c>
      <c r="AK14">
        <v>1.2597174078113789E-5</v>
      </c>
      <c r="AL14">
        <v>0</v>
      </c>
      <c r="AN14" t="s">
        <v>47</v>
      </c>
      <c r="AQ14">
        <v>0</v>
      </c>
    </row>
    <row r="15" spans="1:43" x14ac:dyDescent="0.2">
      <c r="A15">
        <v>13</v>
      </c>
      <c r="B15">
        <v>73</v>
      </c>
      <c r="C15">
        <v>3</v>
      </c>
      <c r="D15">
        <v>0</v>
      </c>
      <c r="E15" t="s">
        <v>273</v>
      </c>
      <c r="F15" t="s">
        <v>62</v>
      </c>
      <c r="G15" t="s">
        <v>162</v>
      </c>
      <c r="H15">
        <v>0</v>
      </c>
      <c r="I15">
        <v>0</v>
      </c>
      <c r="J15">
        <v>0</v>
      </c>
      <c r="L15" s="1">
        <v>43024</v>
      </c>
      <c r="M15" s="1">
        <v>43024</v>
      </c>
      <c r="N15" s="1"/>
      <c r="R15">
        <v>2.8048330046759476E-3</v>
      </c>
      <c r="T15" t="s">
        <v>49</v>
      </c>
      <c r="V15">
        <v>0</v>
      </c>
      <c r="W15" t="s">
        <v>45</v>
      </c>
      <c r="X15" t="s">
        <v>50</v>
      </c>
      <c r="Y15">
        <v>0</v>
      </c>
      <c r="Z15" t="s">
        <v>47</v>
      </c>
      <c r="AA15">
        <v>0</v>
      </c>
      <c r="AB15">
        <v>0</v>
      </c>
      <c r="AC15" t="s">
        <v>47</v>
      </c>
      <c r="AE15" t="s">
        <v>45</v>
      </c>
      <c r="AF15">
        <v>0</v>
      </c>
      <c r="AH15" t="s">
        <v>174</v>
      </c>
      <c r="AJ15">
        <v>0</v>
      </c>
      <c r="AK15">
        <v>0</v>
      </c>
      <c r="AL15">
        <v>0</v>
      </c>
      <c r="AN15" t="s">
        <v>47</v>
      </c>
      <c r="AQ15">
        <v>0</v>
      </c>
    </row>
    <row r="16" spans="1:43" x14ac:dyDescent="0.2">
      <c r="A16">
        <v>14</v>
      </c>
      <c r="B16">
        <v>129</v>
      </c>
      <c r="C16">
        <v>3</v>
      </c>
      <c r="D16">
        <v>4130000000</v>
      </c>
      <c r="E16" t="s">
        <v>276</v>
      </c>
      <c r="F16" t="s">
        <v>62</v>
      </c>
      <c r="G16" t="s">
        <v>277</v>
      </c>
      <c r="H16">
        <v>1.3218843640978855</v>
      </c>
      <c r="I16">
        <v>3.0591077383371949E-3</v>
      </c>
      <c r="J16">
        <v>3.15</v>
      </c>
      <c r="L16" s="1">
        <v>44256</v>
      </c>
      <c r="M16" s="1">
        <v>43024</v>
      </c>
      <c r="N16" s="1"/>
      <c r="R16">
        <v>7.2897370129181771E-3</v>
      </c>
      <c r="T16" t="s">
        <v>39</v>
      </c>
      <c r="V16">
        <v>4254864090</v>
      </c>
      <c r="W16" t="s">
        <v>278</v>
      </c>
      <c r="X16" t="s">
        <v>279</v>
      </c>
      <c r="Y16">
        <v>4130000000</v>
      </c>
      <c r="Z16" t="s">
        <v>31</v>
      </c>
      <c r="AA16">
        <v>0.28524233458393833</v>
      </c>
      <c r="AB16">
        <v>102.46</v>
      </c>
      <c r="AC16" t="s">
        <v>42</v>
      </c>
      <c r="AE16" t="s">
        <v>182</v>
      </c>
      <c r="AF16">
        <v>3.7499999999999999E-2</v>
      </c>
      <c r="AH16" t="s">
        <v>280</v>
      </c>
      <c r="AJ16">
        <v>0.41964582987234461</v>
      </c>
      <c r="AK16">
        <v>0.41964582987234461</v>
      </c>
      <c r="AL16">
        <v>0</v>
      </c>
      <c r="AN16" t="s">
        <v>142</v>
      </c>
      <c r="AQ16">
        <v>1.5736718620212923E-2</v>
      </c>
    </row>
    <row r="17" spans="1:43" x14ac:dyDescent="0.2">
      <c r="A17">
        <v>15</v>
      </c>
      <c r="B17">
        <v>130</v>
      </c>
      <c r="C17">
        <v>3</v>
      </c>
      <c r="D17">
        <v>520000000</v>
      </c>
      <c r="E17" t="s">
        <v>281</v>
      </c>
      <c r="F17" t="s">
        <v>62</v>
      </c>
      <c r="G17" t="s">
        <v>282</v>
      </c>
      <c r="H17">
        <v>0.21960897673873267</v>
      </c>
      <c r="I17">
        <v>4.9581781032437635E-4</v>
      </c>
      <c r="J17">
        <v>3.91</v>
      </c>
      <c r="L17" s="1">
        <v>44621</v>
      </c>
      <c r="M17" s="1">
        <v>43024</v>
      </c>
      <c r="N17" s="1"/>
      <c r="R17">
        <v>8.827724927996489E-3</v>
      </c>
      <c r="T17" t="s">
        <v>39</v>
      </c>
      <c r="V17">
        <v>569476899</v>
      </c>
      <c r="W17" t="s">
        <v>283</v>
      </c>
      <c r="X17" t="s">
        <v>284</v>
      </c>
      <c r="Y17">
        <v>520000000</v>
      </c>
      <c r="Z17" t="s">
        <v>31</v>
      </c>
      <c r="AA17">
        <v>4.6231856424284026E-2</v>
      </c>
      <c r="AB17">
        <v>108.72</v>
      </c>
      <c r="AC17" t="s">
        <v>42</v>
      </c>
      <c r="AE17" t="s">
        <v>182</v>
      </c>
      <c r="AF17">
        <v>3.8399999999999997E-2</v>
      </c>
      <c r="AH17" t="s">
        <v>280</v>
      </c>
      <c r="AJ17">
        <v>5.6165978705558228E-2</v>
      </c>
      <c r="AK17">
        <v>5.6165978705558228E-2</v>
      </c>
      <c r="AL17">
        <v>0</v>
      </c>
      <c r="AN17" t="s">
        <v>142</v>
      </c>
      <c r="AQ17">
        <v>2.156773582293436E-3</v>
      </c>
    </row>
    <row r="18" spans="1:43" x14ac:dyDescent="0.2">
      <c r="A18">
        <v>16</v>
      </c>
      <c r="B18">
        <v>134</v>
      </c>
      <c r="C18">
        <v>3</v>
      </c>
      <c r="D18">
        <v>340000000</v>
      </c>
      <c r="E18" t="s">
        <v>276</v>
      </c>
      <c r="F18" t="s">
        <v>62</v>
      </c>
      <c r="G18" t="s">
        <v>285</v>
      </c>
      <c r="H18">
        <v>0.39820434487748863</v>
      </c>
      <c r="I18">
        <v>6.791291891565988E-4</v>
      </c>
      <c r="J18">
        <v>11.75</v>
      </c>
      <c r="L18" s="1">
        <v>49369</v>
      </c>
      <c r="M18" s="1">
        <v>43024</v>
      </c>
      <c r="N18" s="1"/>
      <c r="R18">
        <v>2.0039379467456809E-2</v>
      </c>
      <c r="T18" t="s">
        <v>39</v>
      </c>
      <c r="V18">
        <v>343614046</v>
      </c>
      <c r="W18" t="s">
        <v>278</v>
      </c>
      <c r="X18" t="s">
        <v>279</v>
      </c>
      <c r="Y18">
        <v>340000000</v>
      </c>
      <c r="Z18" t="s">
        <v>31</v>
      </c>
      <c r="AA18">
        <v>6.3324476275040106E-2</v>
      </c>
      <c r="AB18">
        <v>100.45</v>
      </c>
      <c r="AC18" t="s">
        <v>42</v>
      </c>
      <c r="AE18" t="s">
        <v>182</v>
      </c>
      <c r="AF18">
        <v>5.0200000000000002E-2</v>
      </c>
      <c r="AH18" t="s">
        <v>280</v>
      </c>
      <c r="AJ18">
        <v>3.3889731478935203E-2</v>
      </c>
      <c r="AK18">
        <v>3.3889731478935203E-2</v>
      </c>
      <c r="AL18">
        <v>0</v>
      </c>
      <c r="AN18" t="s">
        <v>142</v>
      </c>
      <c r="AQ18">
        <v>1.7012645202425473E-3</v>
      </c>
    </row>
    <row r="19" spans="1:43" x14ac:dyDescent="0.2">
      <c r="A19">
        <v>17</v>
      </c>
      <c r="B19">
        <v>136</v>
      </c>
      <c r="C19">
        <v>3</v>
      </c>
      <c r="D19">
        <v>7000</v>
      </c>
      <c r="E19" t="s">
        <v>286</v>
      </c>
      <c r="F19" t="s">
        <v>62</v>
      </c>
      <c r="G19" t="s">
        <v>287</v>
      </c>
      <c r="H19">
        <v>4.1085679912302074E-2</v>
      </c>
      <c r="I19">
        <v>2.948459217746744E-4</v>
      </c>
      <c r="J19">
        <v>2.14</v>
      </c>
      <c r="L19" s="1">
        <v>43831</v>
      </c>
      <c r="M19" s="1">
        <v>43024</v>
      </c>
      <c r="R19">
        <v>1.535742560290149E-2</v>
      </c>
      <c r="T19" t="s">
        <v>32</v>
      </c>
      <c r="V19">
        <v>194661240</v>
      </c>
      <c r="W19" t="s">
        <v>278</v>
      </c>
      <c r="X19" t="s">
        <v>288</v>
      </c>
      <c r="Y19">
        <v>7000</v>
      </c>
      <c r="Z19" t="s">
        <v>31</v>
      </c>
      <c r="AA19">
        <v>2.7492506398377473E-2</v>
      </c>
      <c r="AB19">
        <v>103.39</v>
      </c>
      <c r="AC19" t="s">
        <v>42</v>
      </c>
      <c r="AE19" t="s">
        <v>182</v>
      </c>
      <c r="AF19">
        <v>-9.3888208702300642E-3</v>
      </c>
      <c r="AH19" t="s">
        <v>280</v>
      </c>
      <c r="AJ19">
        <v>1.9198915846870127E-2</v>
      </c>
      <c r="AK19">
        <v>1.9198915846870127E-2</v>
      </c>
      <c r="AL19">
        <v>0</v>
      </c>
      <c r="AN19" t="s">
        <v>142</v>
      </c>
      <c r="AQ19">
        <v>-1.8025518178888496E-4</v>
      </c>
    </row>
    <row r="20" spans="1:43" x14ac:dyDescent="0.2">
      <c r="A20">
        <v>18</v>
      </c>
      <c r="B20">
        <v>137</v>
      </c>
      <c r="C20">
        <v>3</v>
      </c>
      <c r="D20">
        <v>43000</v>
      </c>
      <c r="E20" t="s">
        <v>286</v>
      </c>
      <c r="F20" t="s">
        <v>62</v>
      </c>
      <c r="G20" t="s">
        <v>289</v>
      </c>
      <c r="H20">
        <v>0.37425840751316419</v>
      </c>
      <c r="I20">
        <v>2.7967413736054757E-3</v>
      </c>
      <c r="J20">
        <v>3.3</v>
      </c>
      <c r="L20" s="1">
        <v>44256</v>
      </c>
      <c r="M20" s="1">
        <v>43024</v>
      </c>
      <c r="N20" s="1"/>
      <c r="R20">
        <v>2.466009139039432E-2</v>
      </c>
      <c r="T20" t="s">
        <v>32</v>
      </c>
      <c r="V20">
        <v>1149900879</v>
      </c>
      <c r="W20" t="s">
        <v>278</v>
      </c>
      <c r="X20" t="s">
        <v>288</v>
      </c>
      <c r="Y20">
        <v>43000</v>
      </c>
      <c r="Z20" t="s">
        <v>31</v>
      </c>
      <c r="AA20">
        <v>0.26077834024516566</v>
      </c>
      <c r="AB20">
        <v>100.12</v>
      </c>
      <c r="AC20" t="s">
        <v>42</v>
      </c>
      <c r="AE20" t="s">
        <v>182</v>
      </c>
      <c r="AF20">
        <v>-8.8888208702300655E-3</v>
      </c>
      <c r="AH20" t="s">
        <v>280</v>
      </c>
      <c r="AJ20">
        <v>0.11341163864035279</v>
      </c>
      <c r="AK20">
        <v>0.11341163864035279</v>
      </c>
      <c r="AL20">
        <v>0</v>
      </c>
      <c r="AN20" t="s">
        <v>142</v>
      </c>
      <c r="AQ20">
        <v>-1.0080957404733585E-3</v>
      </c>
    </row>
    <row r="21" spans="1:43" x14ac:dyDescent="0.2">
      <c r="A21">
        <v>19</v>
      </c>
      <c r="B21">
        <v>140</v>
      </c>
      <c r="C21">
        <v>3</v>
      </c>
      <c r="D21">
        <v>27000</v>
      </c>
      <c r="E21" t="s">
        <v>286</v>
      </c>
      <c r="F21" t="s">
        <v>62</v>
      </c>
      <c r="G21" t="s">
        <v>290</v>
      </c>
      <c r="H21">
        <v>0.54444813579227413</v>
      </c>
      <c r="I21">
        <v>2.2755597777094983E-3</v>
      </c>
      <c r="J21">
        <v>7.88</v>
      </c>
      <c r="L21" s="1">
        <v>46082</v>
      </c>
      <c r="M21" s="1">
        <v>43024</v>
      </c>
      <c r="N21" s="1"/>
      <c r="R21">
        <v>3.2935021482362645E-2</v>
      </c>
      <c r="T21" t="s">
        <v>32</v>
      </c>
      <c r="V21">
        <v>700540226</v>
      </c>
      <c r="W21" t="s">
        <v>278</v>
      </c>
      <c r="X21" t="s">
        <v>288</v>
      </c>
      <c r="Y21">
        <v>27000</v>
      </c>
      <c r="Z21" t="s">
        <v>31</v>
      </c>
      <c r="AA21">
        <v>0.21218147218050629</v>
      </c>
      <c r="AB21">
        <v>97.14</v>
      </c>
      <c r="AC21" t="s">
        <v>42</v>
      </c>
      <c r="AE21" t="s">
        <v>182</v>
      </c>
      <c r="AF21">
        <v>-4.7888208702300643E-3</v>
      </c>
      <c r="AH21" t="s">
        <v>280</v>
      </c>
      <c r="AJ21">
        <v>6.9092403019324136E-2</v>
      </c>
      <c r="AK21">
        <v>6.9092403019324136E-2</v>
      </c>
      <c r="AL21">
        <v>0</v>
      </c>
      <c r="AN21" t="s">
        <v>142</v>
      </c>
      <c r="AQ21">
        <v>-3.3087114155328613E-4</v>
      </c>
    </row>
    <row r="22" spans="1:43" x14ac:dyDescent="0.2">
      <c r="A22">
        <v>20</v>
      </c>
      <c r="B22">
        <v>142</v>
      </c>
      <c r="C22">
        <v>3</v>
      </c>
      <c r="D22">
        <v>6500</v>
      </c>
      <c r="E22" t="s">
        <v>286</v>
      </c>
      <c r="F22" t="s">
        <v>62</v>
      </c>
      <c r="G22" t="s">
        <v>291</v>
      </c>
      <c r="H22">
        <v>0.24277799769127101</v>
      </c>
      <c r="I22">
        <v>8.9528110014462355E-4</v>
      </c>
      <c r="J22">
        <v>14.67</v>
      </c>
      <c r="L22" s="1">
        <v>49369</v>
      </c>
      <c r="M22" s="1">
        <v>43024</v>
      </c>
      <c r="N22" s="1"/>
      <c r="R22">
        <v>5.4097874865181195E-2</v>
      </c>
      <c r="T22" t="s">
        <v>32</v>
      </c>
      <c r="V22">
        <v>167796150</v>
      </c>
      <c r="W22" t="s">
        <v>278</v>
      </c>
      <c r="X22" t="s">
        <v>288</v>
      </c>
      <c r="Y22">
        <v>6500</v>
      </c>
      <c r="Z22" t="s">
        <v>31</v>
      </c>
      <c r="AA22">
        <v>8.3479266818153597E-2</v>
      </c>
      <c r="AB22">
        <v>96.59</v>
      </c>
      <c r="AC22" t="s">
        <v>42</v>
      </c>
      <c r="AE22" t="s">
        <v>182</v>
      </c>
      <c r="AF22">
        <v>-1.0888208702300659E-3</v>
      </c>
      <c r="AH22" t="s">
        <v>280</v>
      </c>
      <c r="AJ22">
        <v>1.6549284096201159E-2</v>
      </c>
      <c r="AK22">
        <v>1.6549284096201159E-2</v>
      </c>
      <c r="AL22">
        <v>0</v>
      </c>
      <c r="AN22" t="s">
        <v>142</v>
      </c>
      <c r="AQ22">
        <v>-1.8019205911310336E-5</v>
      </c>
    </row>
    <row r="23" spans="1:43" x14ac:dyDescent="0.2">
      <c r="A23">
        <v>21</v>
      </c>
      <c r="B23">
        <v>145</v>
      </c>
      <c r="C23">
        <v>3</v>
      </c>
      <c r="D23">
        <v>1</v>
      </c>
      <c r="E23" t="s">
        <v>254</v>
      </c>
      <c r="F23" t="s">
        <v>62</v>
      </c>
      <c r="G23" t="s">
        <v>207</v>
      </c>
      <c r="H23">
        <v>1.4627992855751178E-2</v>
      </c>
      <c r="I23">
        <v>1.9107253515869127E-5</v>
      </c>
      <c r="J23">
        <v>0.76</v>
      </c>
      <c r="L23" s="1">
        <v>43300</v>
      </c>
      <c r="M23" s="1">
        <v>43024</v>
      </c>
      <c r="N23" s="1"/>
      <c r="R23">
        <v>9.9272079329401804E-4</v>
      </c>
      <c r="T23" t="s">
        <v>39</v>
      </c>
      <c r="V23">
        <v>195152414</v>
      </c>
      <c r="W23" t="s">
        <v>249</v>
      </c>
      <c r="X23" t="s">
        <v>255</v>
      </c>
      <c r="Y23">
        <v>200000000</v>
      </c>
      <c r="Z23" t="s">
        <v>31</v>
      </c>
      <c r="AA23">
        <v>1.7816298301792327E-3</v>
      </c>
      <c r="AB23">
        <v>97.576206999999997</v>
      </c>
      <c r="AC23" t="s">
        <v>52</v>
      </c>
      <c r="AE23" t="s">
        <v>41</v>
      </c>
      <c r="AF23">
        <v>3.2399999999999998E-2</v>
      </c>
      <c r="AH23" t="s">
        <v>209</v>
      </c>
      <c r="AJ23">
        <v>1.9247359020725233E-2</v>
      </c>
      <c r="AK23">
        <v>1.9247359020725233E-2</v>
      </c>
      <c r="AL23">
        <v>0</v>
      </c>
      <c r="AQ23">
        <v>6.2361443227149755E-4</v>
      </c>
    </row>
    <row r="24" spans="1:43" x14ac:dyDescent="0.2">
      <c r="A24">
        <v>22</v>
      </c>
      <c r="B24">
        <v>145</v>
      </c>
      <c r="C24">
        <v>3</v>
      </c>
      <c r="D24">
        <v>1</v>
      </c>
      <c r="E24" t="s">
        <v>256</v>
      </c>
      <c r="F24" t="s">
        <v>62</v>
      </c>
      <c r="G24" t="s">
        <v>207</v>
      </c>
      <c r="H24">
        <v>1.5763658753249565E-3</v>
      </c>
      <c r="I24">
        <v>1.9084038808222076E-6</v>
      </c>
      <c r="J24">
        <v>0.82</v>
      </c>
      <c r="L24" s="1">
        <v>43325</v>
      </c>
      <c r="M24" s="1">
        <v>43024</v>
      </c>
      <c r="N24" s="1"/>
      <c r="R24">
        <v>9.9272079329401804E-4</v>
      </c>
      <c r="T24" t="s">
        <v>39</v>
      </c>
      <c r="V24">
        <v>19491531</v>
      </c>
      <c r="W24" t="s">
        <v>248</v>
      </c>
      <c r="X24" t="s">
        <v>257</v>
      </c>
      <c r="Y24">
        <v>20000000</v>
      </c>
      <c r="Z24" t="s">
        <v>31</v>
      </c>
      <c r="AA24">
        <v>1.7794652063829071E-4</v>
      </c>
      <c r="AB24">
        <v>97.457655000000003</v>
      </c>
      <c r="AC24" t="s">
        <v>52</v>
      </c>
      <c r="AE24" t="s">
        <v>41</v>
      </c>
      <c r="AF24">
        <v>3.1199999999999999E-2</v>
      </c>
      <c r="AH24" t="s">
        <v>209</v>
      </c>
      <c r="AJ24">
        <v>1.9223974089328741E-3</v>
      </c>
      <c r="AK24">
        <v>1.9223974089328741E-3</v>
      </c>
      <c r="AL24">
        <v>0</v>
      </c>
      <c r="AQ24">
        <v>5.997879915870567E-5</v>
      </c>
    </row>
    <row r="25" spans="1:43" x14ac:dyDescent="0.2">
      <c r="A25">
        <v>23</v>
      </c>
      <c r="B25">
        <v>146</v>
      </c>
      <c r="C25">
        <v>3</v>
      </c>
      <c r="D25">
        <v>1</v>
      </c>
      <c r="E25" t="s">
        <v>203</v>
      </c>
      <c r="F25" t="s">
        <v>62</v>
      </c>
      <c r="G25" t="s">
        <v>207</v>
      </c>
      <c r="H25">
        <v>1.0949719500615983E-2</v>
      </c>
      <c r="I25">
        <v>1.6223938426075888E-5</v>
      </c>
      <c r="J25">
        <v>0.32</v>
      </c>
      <c r="L25" s="1">
        <v>43139</v>
      </c>
      <c r="M25" s="1">
        <v>43024</v>
      </c>
      <c r="N25" s="1"/>
      <c r="R25">
        <v>4.7413637363516252E-4</v>
      </c>
      <c r="T25" t="s">
        <v>39</v>
      </c>
      <c r="V25">
        <v>346941136</v>
      </c>
      <c r="W25" t="s">
        <v>181</v>
      </c>
      <c r="X25" t="s">
        <v>236</v>
      </c>
      <c r="Y25">
        <v>350000000</v>
      </c>
      <c r="Z25" t="s">
        <v>31</v>
      </c>
      <c r="AA25">
        <v>1.5127790416807642E-3</v>
      </c>
      <c r="AB25">
        <v>99.126037999999994</v>
      </c>
      <c r="AC25" t="s">
        <v>52</v>
      </c>
      <c r="AE25" t="s">
        <v>41</v>
      </c>
      <c r="AF25">
        <v>2.76E-2</v>
      </c>
      <c r="AH25" t="s">
        <v>209</v>
      </c>
      <c r="AJ25">
        <v>3.4217873439424944E-2</v>
      </c>
      <c r="AK25">
        <v>3.4217873439424944E-2</v>
      </c>
      <c r="AL25">
        <v>0</v>
      </c>
      <c r="AQ25">
        <v>9.4441330692812838E-4</v>
      </c>
    </row>
    <row r="26" spans="1:43" x14ac:dyDescent="0.2">
      <c r="A26">
        <v>24</v>
      </c>
      <c r="B26">
        <v>147</v>
      </c>
      <c r="C26">
        <v>3</v>
      </c>
      <c r="D26">
        <v>1</v>
      </c>
      <c r="E26" t="s">
        <v>210</v>
      </c>
      <c r="F26" t="s">
        <v>62</v>
      </c>
      <c r="G26" t="s">
        <v>207</v>
      </c>
      <c r="H26">
        <v>9.8568176227438551E-4</v>
      </c>
      <c r="I26">
        <v>1.140631337874844E-5</v>
      </c>
      <c r="J26">
        <v>0.02</v>
      </c>
      <c r="L26" s="1">
        <v>43033</v>
      </c>
      <c r="M26" s="1">
        <v>43024</v>
      </c>
      <c r="N26" s="1"/>
      <c r="R26">
        <v>2.3144008168375239E-4</v>
      </c>
      <c r="T26" t="s">
        <v>39</v>
      </c>
      <c r="V26">
        <v>499700180</v>
      </c>
      <c r="W26" t="s">
        <v>211</v>
      </c>
      <c r="X26" t="s">
        <v>212</v>
      </c>
      <c r="Y26">
        <v>500000000</v>
      </c>
      <c r="Z26" t="s">
        <v>31</v>
      </c>
      <c r="AA26">
        <v>1.0635661557048387E-3</v>
      </c>
      <c r="AB26">
        <v>99.940036000000006</v>
      </c>
      <c r="AC26" t="s">
        <v>52</v>
      </c>
      <c r="AE26" t="s">
        <v>41</v>
      </c>
      <c r="AF26">
        <v>2.4E-2</v>
      </c>
      <c r="AH26" t="s">
        <v>209</v>
      </c>
      <c r="AJ26">
        <v>4.9284088113719274E-2</v>
      </c>
      <c r="AK26">
        <v>4.9284088113719274E-2</v>
      </c>
      <c r="AL26">
        <v>0</v>
      </c>
      <c r="AQ26">
        <v>1.1828181147292625E-3</v>
      </c>
    </row>
    <row r="27" spans="1:43" x14ac:dyDescent="0.2">
      <c r="A27">
        <v>25</v>
      </c>
      <c r="B27">
        <v>148</v>
      </c>
      <c r="C27">
        <v>3</v>
      </c>
      <c r="D27">
        <v>1</v>
      </c>
      <c r="E27" t="s">
        <v>250</v>
      </c>
      <c r="F27" t="s">
        <v>62</v>
      </c>
      <c r="G27" t="s">
        <v>207</v>
      </c>
      <c r="H27">
        <v>7.990909815471986E-3</v>
      </c>
      <c r="I27">
        <v>1.3326489625056271E-5</v>
      </c>
      <c r="J27">
        <v>0.41</v>
      </c>
      <c r="L27" s="1">
        <v>43175</v>
      </c>
      <c r="M27" s="1">
        <v>43024</v>
      </c>
      <c r="N27" s="1"/>
      <c r="R27">
        <v>6.837595308226297E-4</v>
      </c>
      <c r="T27" t="s">
        <v>39</v>
      </c>
      <c r="V27">
        <v>197612837</v>
      </c>
      <c r="W27" t="s">
        <v>250</v>
      </c>
      <c r="X27" t="s">
        <v>258</v>
      </c>
      <c r="Y27">
        <v>200000000</v>
      </c>
      <c r="Z27" t="s">
        <v>31</v>
      </c>
      <c r="AA27">
        <v>1.2426103745289802E-3</v>
      </c>
      <c r="AB27">
        <v>98.806417999999994</v>
      </c>
      <c r="AC27" t="s">
        <v>52</v>
      </c>
      <c r="AE27" t="s">
        <v>41</v>
      </c>
      <c r="AF27">
        <v>2.8799999999999999E-2</v>
      </c>
      <c r="AH27" t="s">
        <v>209</v>
      </c>
      <c r="AJ27">
        <v>1.9490023940175575E-2</v>
      </c>
      <c r="AK27">
        <v>1.9490023940175575E-2</v>
      </c>
      <c r="AL27">
        <v>0</v>
      </c>
      <c r="AQ27">
        <v>5.6131268947705651E-4</v>
      </c>
    </row>
    <row r="28" spans="1:43" x14ac:dyDescent="0.2">
      <c r="A28">
        <v>26</v>
      </c>
      <c r="B28">
        <v>148</v>
      </c>
      <c r="C28">
        <v>3</v>
      </c>
      <c r="D28">
        <v>1</v>
      </c>
      <c r="E28" t="s">
        <v>222</v>
      </c>
      <c r="F28" t="s">
        <v>62</v>
      </c>
      <c r="G28" t="s">
        <v>207</v>
      </c>
      <c r="H28">
        <v>3.9941262828736713E-3</v>
      </c>
      <c r="I28">
        <v>6.6610290566439896E-6</v>
      </c>
      <c r="J28">
        <v>0.41</v>
      </c>
      <c r="L28" s="1">
        <v>43173</v>
      </c>
      <c r="M28" s="1">
        <v>43024</v>
      </c>
      <c r="N28" s="1"/>
      <c r="R28">
        <v>6.837595308226297E-4</v>
      </c>
      <c r="T28" t="s">
        <v>39</v>
      </c>
      <c r="V28">
        <v>98773562</v>
      </c>
      <c r="W28" t="s">
        <v>223</v>
      </c>
      <c r="X28" t="s">
        <v>224</v>
      </c>
      <c r="Y28">
        <v>100000000</v>
      </c>
      <c r="Z28" t="s">
        <v>31</v>
      </c>
      <c r="AA28">
        <v>6.2109858212491256E-4</v>
      </c>
      <c r="AB28">
        <v>98.773561999999998</v>
      </c>
      <c r="AC28" t="s">
        <v>218</v>
      </c>
      <c r="AE28" t="s">
        <v>41</v>
      </c>
      <c r="AF28">
        <v>0.03</v>
      </c>
      <c r="AH28" t="s">
        <v>209</v>
      </c>
      <c r="AJ28">
        <v>9.7417714216431021E-3</v>
      </c>
      <c r="AK28">
        <v>9.7417714216431021E-3</v>
      </c>
      <c r="AL28">
        <v>0</v>
      </c>
      <c r="AQ28">
        <v>2.9225314264929306E-4</v>
      </c>
    </row>
    <row r="29" spans="1:43" x14ac:dyDescent="0.2">
      <c r="A29">
        <v>27</v>
      </c>
      <c r="B29">
        <v>148</v>
      </c>
      <c r="C29">
        <v>3</v>
      </c>
      <c r="D29">
        <v>2</v>
      </c>
      <c r="E29" t="s">
        <v>219</v>
      </c>
      <c r="F29" t="s">
        <v>62</v>
      </c>
      <c r="G29" t="s">
        <v>207</v>
      </c>
      <c r="H29">
        <v>4.8298961287907343E-3</v>
      </c>
      <c r="I29">
        <v>9.43567860269711E-6</v>
      </c>
      <c r="J29">
        <v>0.35</v>
      </c>
      <c r="L29" s="1">
        <v>43150</v>
      </c>
      <c r="M29" s="1">
        <v>43024</v>
      </c>
      <c r="N29" s="1"/>
      <c r="R29">
        <v>6.837595308226297E-4</v>
      </c>
      <c r="T29" t="s">
        <v>39</v>
      </c>
      <c r="V29">
        <v>139917658</v>
      </c>
      <c r="W29" t="s">
        <v>220</v>
      </c>
      <c r="X29" t="s">
        <v>221</v>
      </c>
      <c r="Y29">
        <v>141269263</v>
      </c>
      <c r="Z29" t="s">
        <v>31</v>
      </c>
      <c r="AA29">
        <v>8.7981699999883001E-4</v>
      </c>
      <c r="AB29">
        <v>99.043240999999995</v>
      </c>
      <c r="AC29" t="s">
        <v>52</v>
      </c>
      <c r="AE29" t="s">
        <v>41</v>
      </c>
      <c r="AF29">
        <v>2.76E-2</v>
      </c>
      <c r="AH29" t="s">
        <v>209</v>
      </c>
      <c r="AJ29">
        <v>1.3799703225116386E-2</v>
      </c>
      <c r="AK29">
        <v>1.3799703225116386E-2</v>
      </c>
      <c r="AL29">
        <v>0</v>
      </c>
      <c r="AQ29">
        <v>3.8087180901321224E-4</v>
      </c>
    </row>
    <row r="30" spans="1:43" x14ac:dyDescent="0.2">
      <c r="A30">
        <v>28</v>
      </c>
      <c r="B30">
        <v>148</v>
      </c>
      <c r="C30">
        <v>3</v>
      </c>
      <c r="D30">
        <v>1</v>
      </c>
      <c r="E30" t="s">
        <v>204</v>
      </c>
      <c r="F30" t="s">
        <v>62</v>
      </c>
      <c r="G30" t="s">
        <v>207</v>
      </c>
      <c r="H30">
        <v>3.9954548875173928E-3</v>
      </c>
      <c r="I30">
        <v>6.6632447788094531E-6</v>
      </c>
      <c r="J30">
        <v>0.41</v>
      </c>
      <c r="L30" s="1">
        <v>43175</v>
      </c>
      <c r="M30" s="1">
        <v>43024</v>
      </c>
      <c r="N30" s="1"/>
      <c r="R30">
        <v>6.837595308226297E-4</v>
      </c>
      <c r="T30" t="s">
        <v>39</v>
      </c>
      <c r="V30">
        <v>98806418</v>
      </c>
      <c r="W30" t="s">
        <v>200</v>
      </c>
      <c r="X30" t="s">
        <v>214</v>
      </c>
      <c r="Y30">
        <v>100000000</v>
      </c>
      <c r="Z30" t="s">
        <v>31</v>
      </c>
      <c r="AA30">
        <v>6.2130518412043749E-4</v>
      </c>
      <c r="AB30">
        <v>98.806417999999994</v>
      </c>
      <c r="AC30" t="s">
        <v>52</v>
      </c>
      <c r="AE30" t="s">
        <v>41</v>
      </c>
      <c r="AF30">
        <v>2.8799999999999999E-2</v>
      </c>
      <c r="AH30" t="s">
        <v>209</v>
      </c>
      <c r="AJ30">
        <v>9.7450119207741302E-3</v>
      </c>
      <c r="AK30">
        <v>9.7450119207741302E-3</v>
      </c>
      <c r="AL30">
        <v>0</v>
      </c>
      <c r="AQ30">
        <v>2.8065634331829497E-4</v>
      </c>
    </row>
    <row r="31" spans="1:43" x14ac:dyDescent="0.2">
      <c r="A31">
        <v>29</v>
      </c>
      <c r="B31">
        <v>150</v>
      </c>
      <c r="C31">
        <v>3</v>
      </c>
      <c r="D31">
        <v>2</v>
      </c>
      <c r="E31" t="s">
        <v>238</v>
      </c>
      <c r="F31" t="s">
        <v>62</v>
      </c>
      <c r="G31" t="s">
        <v>207</v>
      </c>
      <c r="H31">
        <v>1.0229028337720289E-2</v>
      </c>
      <c r="I31">
        <v>1.8190278015957922E-5</v>
      </c>
      <c r="J31">
        <v>0.42</v>
      </c>
      <c r="L31" s="1">
        <v>43179</v>
      </c>
      <c r="M31" s="1">
        <v>43024</v>
      </c>
      <c r="N31" s="1"/>
      <c r="R31">
        <v>7.4688587365914078E-4</v>
      </c>
      <c r="T31" t="s">
        <v>39</v>
      </c>
      <c r="V31">
        <v>246937969</v>
      </c>
      <c r="W31" t="s">
        <v>213</v>
      </c>
      <c r="X31" t="s">
        <v>239</v>
      </c>
      <c r="Y31">
        <v>250000000</v>
      </c>
      <c r="Z31" t="s">
        <v>31</v>
      </c>
      <c r="AA31">
        <v>1.6961276986024222E-3</v>
      </c>
      <c r="AB31">
        <v>98.775187000000003</v>
      </c>
      <c r="AC31" t="s">
        <v>33</v>
      </c>
      <c r="AE31" t="s">
        <v>41</v>
      </c>
      <c r="AF31">
        <v>2.8799999999999999E-2</v>
      </c>
      <c r="AH31" t="s">
        <v>209</v>
      </c>
      <c r="AJ31">
        <v>2.4354829375524498E-2</v>
      </c>
      <c r="AK31">
        <v>2.4354829375524498E-2</v>
      </c>
      <c r="AL31">
        <v>0</v>
      </c>
      <c r="AN31" t="s">
        <v>148</v>
      </c>
      <c r="AQ31">
        <v>7.0141908601510552E-4</v>
      </c>
    </row>
    <row r="32" spans="1:43" x14ac:dyDescent="0.2">
      <c r="A32">
        <v>30</v>
      </c>
      <c r="B32">
        <v>150</v>
      </c>
      <c r="C32">
        <v>3</v>
      </c>
      <c r="D32">
        <v>1</v>
      </c>
      <c r="E32" t="s">
        <v>222</v>
      </c>
      <c r="F32" t="s">
        <v>62</v>
      </c>
      <c r="G32" t="s">
        <v>207</v>
      </c>
      <c r="H32">
        <v>8.7575024562354178E-3</v>
      </c>
      <c r="I32">
        <v>1.4535233051327691E-5</v>
      </c>
      <c r="J32">
        <v>0.45</v>
      </c>
      <c r="L32" s="1">
        <v>43187</v>
      </c>
      <c r="M32" s="1">
        <v>43024</v>
      </c>
      <c r="N32" s="1"/>
      <c r="R32">
        <v>7.4688587365914078E-4</v>
      </c>
      <c r="T32" t="s">
        <v>39</v>
      </c>
      <c r="V32">
        <v>197319740</v>
      </c>
      <c r="W32" t="s">
        <v>223</v>
      </c>
      <c r="X32" t="s">
        <v>224</v>
      </c>
      <c r="Y32">
        <v>200000000</v>
      </c>
      <c r="Z32" t="s">
        <v>31</v>
      </c>
      <c r="AA32">
        <v>1.355318009013949E-3</v>
      </c>
      <c r="AB32">
        <v>98.659869999999998</v>
      </c>
      <c r="AC32" t="s">
        <v>218</v>
      </c>
      <c r="AE32" t="s">
        <v>41</v>
      </c>
      <c r="AF32">
        <v>0.03</v>
      </c>
      <c r="AH32" t="s">
        <v>209</v>
      </c>
      <c r="AJ32">
        <v>1.9461116569412039E-2</v>
      </c>
      <c r="AK32">
        <v>1.9461116569412039E-2</v>
      </c>
      <c r="AL32">
        <v>0</v>
      </c>
      <c r="AQ32">
        <v>5.8383349708236113E-4</v>
      </c>
    </row>
    <row r="33" spans="1:43" x14ac:dyDescent="0.2">
      <c r="A33">
        <v>31</v>
      </c>
      <c r="B33">
        <v>150</v>
      </c>
      <c r="C33">
        <v>3</v>
      </c>
      <c r="D33">
        <v>2</v>
      </c>
      <c r="E33" t="s">
        <v>225</v>
      </c>
      <c r="F33" t="s">
        <v>62</v>
      </c>
      <c r="G33" t="s">
        <v>207</v>
      </c>
      <c r="H33">
        <v>8.1797215085142993E-3</v>
      </c>
      <c r="I33">
        <v>1.4545996298036112E-5</v>
      </c>
      <c r="J33">
        <v>0.42</v>
      </c>
      <c r="L33" s="1">
        <v>43178</v>
      </c>
      <c r="M33" s="1">
        <v>43024</v>
      </c>
      <c r="N33" s="1"/>
      <c r="R33">
        <v>7.4688587365914078E-4</v>
      </c>
      <c r="T33" t="s">
        <v>39</v>
      </c>
      <c r="V33">
        <v>197465854</v>
      </c>
      <c r="W33" t="s">
        <v>226</v>
      </c>
      <c r="X33" t="s">
        <v>227</v>
      </c>
      <c r="Y33">
        <v>200000000</v>
      </c>
      <c r="Z33" t="s">
        <v>31</v>
      </c>
      <c r="AA33">
        <v>1.3563216132938302E-3</v>
      </c>
      <c r="AB33">
        <v>98.732927000000004</v>
      </c>
      <c r="AC33" t="s">
        <v>52</v>
      </c>
      <c r="AE33" t="s">
        <v>41</v>
      </c>
      <c r="AF33">
        <v>0.03</v>
      </c>
      <c r="AH33" t="s">
        <v>209</v>
      </c>
      <c r="AJ33">
        <v>1.9475527401224522E-2</v>
      </c>
      <c r="AK33">
        <v>1.9475527401224522E-2</v>
      </c>
      <c r="AL33">
        <v>0</v>
      </c>
      <c r="AQ33">
        <v>5.842658220367356E-4</v>
      </c>
    </row>
    <row r="34" spans="1:43" x14ac:dyDescent="0.2">
      <c r="A34">
        <v>32</v>
      </c>
      <c r="B34">
        <v>150</v>
      </c>
      <c r="C34">
        <v>3</v>
      </c>
      <c r="D34">
        <v>2</v>
      </c>
      <c r="E34" t="s">
        <v>225</v>
      </c>
      <c r="F34" t="s">
        <v>62</v>
      </c>
      <c r="G34" t="s">
        <v>207</v>
      </c>
      <c r="H34">
        <v>1.4276735847655493E-2</v>
      </c>
      <c r="I34">
        <v>2.1761412911381523E-5</v>
      </c>
      <c r="J34">
        <v>0.49</v>
      </c>
      <c r="L34" s="1">
        <v>43203</v>
      </c>
      <c r="M34" s="1">
        <v>43024</v>
      </c>
      <c r="N34" s="1"/>
      <c r="R34">
        <v>7.4688587365914078E-4</v>
      </c>
      <c r="T34" t="s">
        <v>39</v>
      </c>
      <c r="V34">
        <v>295417096</v>
      </c>
      <c r="W34" t="s">
        <v>226</v>
      </c>
      <c r="X34" t="s">
        <v>227</v>
      </c>
      <c r="Y34">
        <v>300000000</v>
      </c>
      <c r="Z34" t="s">
        <v>31</v>
      </c>
      <c r="AA34">
        <v>2.029113308072485E-3</v>
      </c>
      <c r="AB34">
        <v>98.472364999999996</v>
      </c>
      <c r="AC34" t="s">
        <v>52</v>
      </c>
      <c r="AE34" t="s">
        <v>41</v>
      </c>
      <c r="AF34">
        <v>3.1199999999999999E-2</v>
      </c>
      <c r="AH34" t="s">
        <v>209</v>
      </c>
      <c r="AJ34">
        <v>2.913619560746019E-2</v>
      </c>
      <c r="AK34">
        <v>2.913619560746019E-2</v>
      </c>
      <c r="AL34">
        <v>0</v>
      </c>
      <c r="AQ34">
        <v>9.0904930295275792E-4</v>
      </c>
    </row>
    <row r="35" spans="1:43" x14ac:dyDescent="0.2">
      <c r="A35">
        <v>33</v>
      </c>
      <c r="B35">
        <v>152</v>
      </c>
      <c r="C35">
        <v>3</v>
      </c>
      <c r="D35">
        <v>1</v>
      </c>
      <c r="E35" t="s">
        <v>203</v>
      </c>
      <c r="F35" t="s">
        <v>62</v>
      </c>
      <c r="G35" t="s">
        <v>207</v>
      </c>
      <c r="H35">
        <v>2.7167921248287073E-3</v>
      </c>
      <c r="I35">
        <v>3.9264320642512017E-6</v>
      </c>
      <c r="J35">
        <v>0.56000000000000005</v>
      </c>
      <c r="L35" s="1">
        <v>43230</v>
      </c>
      <c r="M35" s="1">
        <v>43024</v>
      </c>
      <c r="N35" s="1"/>
      <c r="R35">
        <v>8.0933757716899547E-4</v>
      </c>
      <c r="T35" t="s">
        <v>39</v>
      </c>
      <c r="V35">
        <v>49189359</v>
      </c>
      <c r="W35" t="s">
        <v>181</v>
      </c>
      <c r="X35" t="s">
        <v>236</v>
      </c>
      <c r="Y35">
        <v>50000000</v>
      </c>
      <c r="Z35" t="s">
        <v>31</v>
      </c>
      <c r="AA35">
        <v>3.6611481006583392E-4</v>
      </c>
      <c r="AB35">
        <v>98.378718000000006</v>
      </c>
      <c r="AC35" t="s">
        <v>52</v>
      </c>
      <c r="AE35" t="s">
        <v>41</v>
      </c>
      <c r="AF35">
        <v>2.8799999999999999E-2</v>
      </c>
      <c r="AH35" t="s">
        <v>209</v>
      </c>
      <c r="AJ35">
        <v>4.8514145086226909E-3</v>
      </c>
      <c r="AK35">
        <v>4.8514145086226909E-3</v>
      </c>
      <c r="AL35">
        <v>0</v>
      </c>
      <c r="AQ35">
        <v>1.3972073784833348E-4</v>
      </c>
    </row>
    <row r="36" spans="1:43" x14ac:dyDescent="0.2">
      <c r="A36">
        <v>34</v>
      </c>
      <c r="B36">
        <v>156</v>
      </c>
      <c r="C36">
        <v>3</v>
      </c>
      <c r="D36">
        <v>1</v>
      </c>
      <c r="E36" t="s">
        <v>204</v>
      </c>
      <c r="F36" t="s">
        <v>62</v>
      </c>
      <c r="G36" t="s">
        <v>231</v>
      </c>
      <c r="H36">
        <v>4.0430715319080875E-3</v>
      </c>
      <c r="I36">
        <v>6.4448887151466482E-5</v>
      </c>
      <c r="J36">
        <v>0.31</v>
      </c>
      <c r="L36" s="1">
        <v>43137</v>
      </c>
      <c r="M36" s="1">
        <v>43024</v>
      </c>
      <c r="N36" s="1"/>
      <c r="R36">
        <v>4.941578416131966E-3</v>
      </c>
      <c r="T36" t="s">
        <v>32</v>
      </c>
      <c r="V36">
        <v>132236855</v>
      </c>
      <c r="W36" t="s">
        <v>200</v>
      </c>
      <c r="X36" t="s">
        <v>214</v>
      </c>
      <c r="Y36">
        <v>5000</v>
      </c>
      <c r="Z36" t="s">
        <v>31</v>
      </c>
      <c r="AA36">
        <v>6.0094487036320031E-3</v>
      </c>
      <c r="AB36">
        <v>99.199800005326196</v>
      </c>
      <c r="AC36" t="s">
        <v>52</v>
      </c>
      <c r="AE36" t="s">
        <v>41</v>
      </c>
      <c r="AF36">
        <v>2.1111791297699356E-3</v>
      </c>
      <c r="AH36" t="s">
        <v>209</v>
      </c>
      <c r="AJ36">
        <v>1.3042166231961572E-2</v>
      </c>
      <c r="AK36">
        <v>1.3042166231961572E-2</v>
      </c>
      <c r="AL36">
        <v>0</v>
      </c>
      <c r="AQ36">
        <v>2.7534349155907472E-5</v>
      </c>
    </row>
    <row r="37" spans="1:43" x14ac:dyDescent="0.2">
      <c r="A37">
        <v>35</v>
      </c>
      <c r="B37">
        <v>0</v>
      </c>
      <c r="C37">
        <v>4</v>
      </c>
      <c r="D37">
        <v>0</v>
      </c>
      <c r="E37" t="s">
        <v>204</v>
      </c>
      <c r="F37" t="s">
        <v>63</v>
      </c>
      <c r="G37" t="s">
        <v>269</v>
      </c>
      <c r="H37">
        <v>0</v>
      </c>
      <c r="I37">
        <v>0</v>
      </c>
      <c r="J37">
        <v>0</v>
      </c>
      <c r="L37" s="1">
        <v>43237</v>
      </c>
      <c r="M37" s="1">
        <v>43024</v>
      </c>
      <c r="N37" s="1"/>
      <c r="R37">
        <v>0</v>
      </c>
      <c r="T37" t="s">
        <v>39</v>
      </c>
      <c r="V37">
        <v>1948050048</v>
      </c>
      <c r="W37" t="s">
        <v>200</v>
      </c>
      <c r="X37" t="s">
        <v>201</v>
      </c>
      <c r="Y37">
        <v>0</v>
      </c>
      <c r="Z37" t="s">
        <v>47</v>
      </c>
      <c r="AA37">
        <v>0</v>
      </c>
      <c r="AB37">
        <v>0</v>
      </c>
      <c r="AC37" t="s">
        <v>47</v>
      </c>
      <c r="AE37" t="s">
        <v>108</v>
      </c>
      <c r="AF37">
        <v>0</v>
      </c>
      <c r="AH37" t="s">
        <v>202</v>
      </c>
      <c r="AJ37">
        <v>0.13463192075599661</v>
      </c>
      <c r="AK37">
        <v>0.13463192075599661</v>
      </c>
      <c r="AL37">
        <v>0</v>
      </c>
      <c r="AN37" t="s">
        <v>47</v>
      </c>
      <c r="AQ37">
        <v>0</v>
      </c>
    </row>
    <row r="38" spans="1:43" x14ac:dyDescent="0.2">
      <c r="A38">
        <v>36</v>
      </c>
      <c r="B38">
        <v>0</v>
      </c>
      <c r="C38">
        <v>4</v>
      </c>
      <c r="D38">
        <v>0</v>
      </c>
      <c r="E38" t="s">
        <v>204</v>
      </c>
      <c r="F38" t="s">
        <v>63</v>
      </c>
      <c r="G38" t="s">
        <v>292</v>
      </c>
      <c r="H38">
        <v>0</v>
      </c>
      <c r="I38">
        <v>0</v>
      </c>
      <c r="J38">
        <v>0</v>
      </c>
      <c r="L38" s="1">
        <v>43236</v>
      </c>
      <c r="M38" s="1">
        <v>43024</v>
      </c>
      <c r="N38" s="1"/>
      <c r="R38">
        <v>0</v>
      </c>
      <c r="T38" t="s">
        <v>39</v>
      </c>
      <c r="V38">
        <v>1958850048</v>
      </c>
      <c r="W38" t="s">
        <v>200</v>
      </c>
      <c r="X38" t="s">
        <v>201</v>
      </c>
      <c r="Y38">
        <v>0</v>
      </c>
      <c r="Z38" t="s">
        <v>47</v>
      </c>
      <c r="AA38">
        <v>0</v>
      </c>
      <c r="AB38">
        <v>0</v>
      </c>
      <c r="AC38" t="s">
        <v>47</v>
      </c>
      <c r="AE38" t="s">
        <v>108</v>
      </c>
      <c r="AF38">
        <v>0</v>
      </c>
      <c r="AH38" t="s">
        <v>202</v>
      </c>
      <c r="AJ38">
        <v>0.13537832085267665</v>
      </c>
      <c r="AK38">
        <v>0.13537832085267665</v>
      </c>
      <c r="AL38">
        <v>0</v>
      </c>
      <c r="AN38" t="s">
        <v>47</v>
      </c>
      <c r="AQ38">
        <v>0</v>
      </c>
    </row>
    <row r="39" spans="1:43" x14ac:dyDescent="0.2">
      <c r="A39">
        <v>37</v>
      </c>
      <c r="B39">
        <v>0</v>
      </c>
      <c r="C39">
        <v>4</v>
      </c>
      <c r="D39">
        <v>0</v>
      </c>
      <c r="E39" t="s">
        <v>204</v>
      </c>
      <c r="F39" t="s">
        <v>63</v>
      </c>
      <c r="G39" t="s">
        <v>272</v>
      </c>
      <c r="H39">
        <v>0</v>
      </c>
      <c r="I39">
        <v>0</v>
      </c>
      <c r="J39">
        <v>0</v>
      </c>
      <c r="L39" s="1">
        <v>43237</v>
      </c>
      <c r="M39" s="1">
        <v>43024</v>
      </c>
      <c r="N39" s="1"/>
      <c r="R39">
        <v>0</v>
      </c>
      <c r="T39" t="s">
        <v>39</v>
      </c>
      <c r="V39">
        <v>-1924620032</v>
      </c>
      <c r="W39" t="s">
        <v>200</v>
      </c>
      <c r="X39" t="s">
        <v>205</v>
      </c>
      <c r="Y39">
        <v>0</v>
      </c>
      <c r="Z39" t="s">
        <v>47</v>
      </c>
      <c r="AA39">
        <v>0</v>
      </c>
      <c r="AB39">
        <v>0</v>
      </c>
      <c r="AC39" t="s">
        <v>47</v>
      </c>
      <c r="AE39" t="s">
        <v>108</v>
      </c>
      <c r="AF39">
        <v>0</v>
      </c>
      <c r="AH39" t="s">
        <v>202</v>
      </c>
      <c r="AJ39">
        <v>-0.13301264610714336</v>
      </c>
      <c r="AK39">
        <v>-0.13301264610714336</v>
      </c>
      <c r="AL39">
        <v>0</v>
      </c>
      <c r="AN39" t="s">
        <v>47</v>
      </c>
      <c r="AQ39">
        <v>0</v>
      </c>
    </row>
    <row r="40" spans="1:43" x14ac:dyDescent="0.2">
      <c r="A40">
        <v>38</v>
      </c>
      <c r="B40">
        <v>0</v>
      </c>
      <c r="C40">
        <v>4</v>
      </c>
      <c r="D40">
        <v>0</v>
      </c>
      <c r="E40" t="s">
        <v>203</v>
      </c>
      <c r="F40" t="s">
        <v>63</v>
      </c>
      <c r="G40" t="s">
        <v>270</v>
      </c>
      <c r="H40">
        <v>0</v>
      </c>
      <c r="I40">
        <v>0</v>
      </c>
      <c r="J40">
        <v>0</v>
      </c>
      <c r="L40" s="1">
        <v>43236</v>
      </c>
      <c r="M40" s="1">
        <v>43024</v>
      </c>
      <c r="N40" s="1"/>
      <c r="R40">
        <v>0</v>
      </c>
      <c r="T40" t="s">
        <v>39</v>
      </c>
      <c r="V40">
        <v>-1933049984</v>
      </c>
      <c r="W40" t="s">
        <v>181</v>
      </c>
      <c r="X40" t="s">
        <v>271</v>
      </c>
      <c r="Y40">
        <v>0</v>
      </c>
      <c r="Z40" t="s">
        <v>47</v>
      </c>
      <c r="AA40">
        <v>0</v>
      </c>
      <c r="AB40">
        <v>0</v>
      </c>
      <c r="AC40" t="s">
        <v>47</v>
      </c>
      <c r="AE40" t="s">
        <v>108</v>
      </c>
      <c r="AF40">
        <v>0</v>
      </c>
      <c r="AH40" t="s">
        <v>202</v>
      </c>
      <c r="AJ40">
        <v>-0.13359524953194041</v>
      </c>
      <c r="AK40">
        <v>-0.13359524953194041</v>
      </c>
      <c r="AL40">
        <v>0</v>
      </c>
      <c r="AN40" t="s">
        <v>47</v>
      </c>
      <c r="AQ40">
        <v>0</v>
      </c>
    </row>
    <row r="41" spans="1:43" x14ac:dyDescent="0.2">
      <c r="A41">
        <v>39</v>
      </c>
      <c r="B41">
        <v>0</v>
      </c>
      <c r="C41">
        <v>4</v>
      </c>
      <c r="D41">
        <v>0</v>
      </c>
      <c r="E41" t="s">
        <v>293</v>
      </c>
      <c r="F41" t="s">
        <v>63</v>
      </c>
      <c r="G41" t="s">
        <v>159</v>
      </c>
      <c r="H41">
        <v>0</v>
      </c>
      <c r="I41">
        <v>0</v>
      </c>
      <c r="J41">
        <v>0</v>
      </c>
      <c r="L41" s="1">
        <v>43024</v>
      </c>
      <c r="M41" s="1">
        <v>43024</v>
      </c>
      <c r="N41" s="1"/>
      <c r="R41">
        <v>0</v>
      </c>
      <c r="T41" t="s">
        <v>39</v>
      </c>
      <c r="V41">
        <v>10942990</v>
      </c>
      <c r="W41" t="s">
        <v>45</v>
      </c>
      <c r="X41" t="s">
        <v>46</v>
      </c>
      <c r="Y41">
        <v>0</v>
      </c>
      <c r="Z41" t="s">
        <v>47</v>
      </c>
      <c r="AA41">
        <v>0</v>
      </c>
      <c r="AB41">
        <v>0</v>
      </c>
      <c r="AC41" t="s">
        <v>47</v>
      </c>
      <c r="AE41" t="s">
        <v>45</v>
      </c>
      <c r="AF41">
        <v>0</v>
      </c>
      <c r="AH41" t="s">
        <v>174</v>
      </c>
      <c r="AJ41">
        <v>7.5628229573784713E-4</v>
      </c>
      <c r="AK41">
        <v>7.5628229573784713E-4</v>
      </c>
      <c r="AL41">
        <v>0</v>
      </c>
      <c r="AN41" t="s">
        <v>47</v>
      </c>
      <c r="AQ41">
        <v>0</v>
      </c>
    </row>
    <row r="42" spans="1:43" x14ac:dyDescent="0.2">
      <c r="A42">
        <v>40</v>
      </c>
      <c r="B42">
        <v>0</v>
      </c>
      <c r="C42">
        <v>4</v>
      </c>
      <c r="D42">
        <v>0</v>
      </c>
      <c r="E42" t="s">
        <v>293</v>
      </c>
      <c r="F42" t="s">
        <v>63</v>
      </c>
      <c r="G42" t="s">
        <v>160</v>
      </c>
      <c r="H42">
        <v>0</v>
      </c>
      <c r="I42">
        <v>0</v>
      </c>
      <c r="J42">
        <v>0</v>
      </c>
      <c r="L42" s="1">
        <v>43024</v>
      </c>
      <c r="M42" s="1">
        <v>43024</v>
      </c>
      <c r="N42" s="1"/>
      <c r="R42">
        <v>0</v>
      </c>
      <c r="T42" t="s">
        <v>39</v>
      </c>
      <c r="V42">
        <v>0</v>
      </c>
      <c r="W42" t="s">
        <v>45</v>
      </c>
      <c r="X42" t="s">
        <v>48</v>
      </c>
      <c r="Y42">
        <v>0</v>
      </c>
      <c r="Z42" t="s">
        <v>47</v>
      </c>
      <c r="AA42">
        <v>0</v>
      </c>
      <c r="AB42">
        <v>0</v>
      </c>
      <c r="AC42" t="s">
        <v>47</v>
      </c>
      <c r="AE42" t="s">
        <v>45</v>
      </c>
      <c r="AF42">
        <v>0</v>
      </c>
      <c r="AH42" t="s">
        <v>174</v>
      </c>
      <c r="AJ42">
        <v>0</v>
      </c>
      <c r="AK42">
        <v>0</v>
      </c>
      <c r="AL42">
        <v>0</v>
      </c>
      <c r="AN42" t="s">
        <v>47</v>
      </c>
      <c r="AQ42">
        <v>0</v>
      </c>
    </row>
    <row r="43" spans="1:43" x14ac:dyDescent="0.2">
      <c r="A43">
        <v>41</v>
      </c>
      <c r="B43">
        <v>0</v>
      </c>
      <c r="C43">
        <v>4</v>
      </c>
      <c r="D43">
        <v>0</v>
      </c>
      <c r="E43" t="s">
        <v>293</v>
      </c>
      <c r="F43" t="s">
        <v>63</v>
      </c>
      <c r="G43" t="s">
        <v>294</v>
      </c>
      <c r="H43">
        <v>0</v>
      </c>
      <c r="I43">
        <v>0</v>
      </c>
      <c r="J43">
        <v>0</v>
      </c>
      <c r="L43" s="1">
        <v>43024</v>
      </c>
      <c r="M43" s="1">
        <v>43024</v>
      </c>
      <c r="N43" s="1"/>
      <c r="R43">
        <v>0</v>
      </c>
      <c r="T43" t="s">
        <v>240</v>
      </c>
      <c r="V43">
        <v>-6286441192</v>
      </c>
      <c r="W43" t="s">
        <v>45</v>
      </c>
      <c r="X43" t="s">
        <v>295</v>
      </c>
      <c r="Y43">
        <v>0</v>
      </c>
      <c r="Z43" t="s">
        <v>47</v>
      </c>
      <c r="AA43">
        <v>0</v>
      </c>
      <c r="AB43">
        <v>0</v>
      </c>
      <c r="AC43" t="s">
        <v>47</v>
      </c>
      <c r="AE43" t="s">
        <v>45</v>
      </c>
      <c r="AF43">
        <v>0</v>
      </c>
      <c r="AH43" t="s">
        <v>240</v>
      </c>
      <c r="AJ43">
        <v>-0.43446299198909327</v>
      </c>
      <c r="AK43">
        <v>-0.43446299198909327</v>
      </c>
      <c r="AL43">
        <v>0</v>
      </c>
      <c r="AN43" t="s">
        <v>47</v>
      </c>
      <c r="AQ43">
        <v>0</v>
      </c>
    </row>
    <row r="44" spans="1:43" x14ac:dyDescent="0.2">
      <c r="A44">
        <v>42</v>
      </c>
      <c r="B44">
        <v>66</v>
      </c>
      <c r="C44">
        <v>4</v>
      </c>
      <c r="D44">
        <v>0</v>
      </c>
      <c r="E44" t="s">
        <v>204</v>
      </c>
      <c r="F44" t="s">
        <v>63</v>
      </c>
      <c r="G44" t="s">
        <v>272</v>
      </c>
      <c r="H44">
        <v>0</v>
      </c>
      <c r="I44">
        <v>6.1545942434002487E-4</v>
      </c>
      <c r="J44">
        <v>0</v>
      </c>
      <c r="L44" s="1">
        <v>43237</v>
      </c>
      <c r="M44" s="1">
        <v>43024</v>
      </c>
      <c r="N44" s="1"/>
      <c r="R44">
        <v>4.7714359227904284E-3</v>
      </c>
      <c r="T44" t="s">
        <v>30</v>
      </c>
      <c r="V44">
        <v>1866390000</v>
      </c>
      <c r="W44" t="s">
        <v>200</v>
      </c>
      <c r="X44" t="s">
        <v>201</v>
      </c>
      <c r="Y44">
        <v>0</v>
      </c>
      <c r="Z44" t="s">
        <v>47</v>
      </c>
      <c r="AA44">
        <v>3.1038337619186389E-2</v>
      </c>
      <c r="AB44">
        <v>0</v>
      </c>
      <c r="AC44" t="s">
        <v>47</v>
      </c>
      <c r="AE44" t="s">
        <v>108</v>
      </c>
      <c r="AF44">
        <v>0</v>
      </c>
      <c r="AH44" t="s">
        <v>202</v>
      </c>
      <c r="AJ44">
        <v>0.12898830337432096</v>
      </c>
      <c r="AK44">
        <v>0.12898830337432096</v>
      </c>
      <c r="AL44">
        <v>0</v>
      </c>
      <c r="AN44" t="s">
        <v>47</v>
      </c>
      <c r="AQ44">
        <v>0</v>
      </c>
    </row>
    <row r="45" spans="1:43" x14ac:dyDescent="0.2">
      <c r="A45">
        <v>43</v>
      </c>
      <c r="B45">
        <v>66</v>
      </c>
      <c r="C45">
        <v>4</v>
      </c>
      <c r="D45">
        <v>0</v>
      </c>
      <c r="E45" t="s">
        <v>203</v>
      </c>
      <c r="F45" t="s">
        <v>63</v>
      </c>
      <c r="G45" t="s">
        <v>270</v>
      </c>
      <c r="H45">
        <v>0</v>
      </c>
      <c r="I45">
        <v>6.1545942434002487E-4</v>
      </c>
      <c r="J45">
        <v>0</v>
      </c>
      <c r="L45" s="1">
        <v>43236</v>
      </c>
      <c r="M45" s="1">
        <v>43024</v>
      </c>
      <c r="N45" s="1"/>
      <c r="R45">
        <v>4.7714359227904284E-3</v>
      </c>
      <c r="T45" t="s">
        <v>30</v>
      </c>
      <c r="V45">
        <v>1866390000</v>
      </c>
      <c r="W45" t="s">
        <v>181</v>
      </c>
      <c r="X45" t="s">
        <v>267</v>
      </c>
      <c r="Y45">
        <v>0</v>
      </c>
      <c r="Z45" t="s">
        <v>47</v>
      </c>
      <c r="AA45">
        <v>3.1038337619186389E-2</v>
      </c>
      <c r="AB45">
        <v>0</v>
      </c>
      <c r="AC45" t="s">
        <v>47</v>
      </c>
      <c r="AE45" t="s">
        <v>108</v>
      </c>
      <c r="AF45">
        <v>0</v>
      </c>
      <c r="AH45" t="s">
        <v>202</v>
      </c>
      <c r="AJ45">
        <v>0.12898830337432096</v>
      </c>
      <c r="AK45">
        <v>0.12898830337432096</v>
      </c>
      <c r="AL45">
        <v>0</v>
      </c>
      <c r="AN45" t="s">
        <v>47</v>
      </c>
      <c r="AQ45">
        <v>0</v>
      </c>
    </row>
    <row r="46" spans="1:43" x14ac:dyDescent="0.2">
      <c r="A46">
        <v>44</v>
      </c>
      <c r="B46">
        <v>66</v>
      </c>
      <c r="C46">
        <v>4</v>
      </c>
      <c r="D46">
        <v>0</v>
      </c>
      <c r="E46" t="s">
        <v>204</v>
      </c>
      <c r="F46" t="s">
        <v>63</v>
      </c>
      <c r="G46" t="s">
        <v>269</v>
      </c>
      <c r="H46">
        <v>0</v>
      </c>
      <c r="I46">
        <v>-6.1545942434002487E-4</v>
      </c>
      <c r="J46">
        <v>0</v>
      </c>
      <c r="L46" s="1">
        <v>43237</v>
      </c>
      <c r="M46" s="1">
        <v>43024</v>
      </c>
      <c r="N46" s="1"/>
      <c r="R46">
        <v>4.7714359227904284E-3</v>
      </c>
      <c r="T46" t="s">
        <v>30</v>
      </c>
      <c r="V46">
        <v>-1866390000</v>
      </c>
      <c r="W46" t="s">
        <v>200</v>
      </c>
      <c r="X46" t="s">
        <v>205</v>
      </c>
      <c r="Y46">
        <v>0</v>
      </c>
      <c r="Z46" t="s">
        <v>47</v>
      </c>
      <c r="AA46">
        <v>-3.1038337619186389E-2</v>
      </c>
      <c r="AB46">
        <v>0</v>
      </c>
      <c r="AC46" t="s">
        <v>47</v>
      </c>
      <c r="AE46" t="s">
        <v>108</v>
      </c>
      <c r="AF46">
        <v>0</v>
      </c>
      <c r="AH46" t="s">
        <v>202</v>
      </c>
      <c r="AJ46">
        <v>-0.12898830337432096</v>
      </c>
      <c r="AK46">
        <v>-0.12898830337432096</v>
      </c>
      <c r="AL46">
        <v>0</v>
      </c>
      <c r="AN46" t="s">
        <v>47</v>
      </c>
      <c r="AQ46">
        <v>0</v>
      </c>
    </row>
    <row r="47" spans="1:43" x14ac:dyDescent="0.2">
      <c r="A47">
        <v>45</v>
      </c>
      <c r="B47">
        <v>66</v>
      </c>
      <c r="C47">
        <v>4</v>
      </c>
      <c r="D47">
        <v>0</v>
      </c>
      <c r="E47" t="s">
        <v>204</v>
      </c>
      <c r="F47" t="s">
        <v>63</v>
      </c>
      <c r="G47" t="s">
        <v>292</v>
      </c>
      <c r="H47">
        <v>0</v>
      </c>
      <c r="I47">
        <v>-6.1545942434002487E-4</v>
      </c>
      <c r="J47">
        <v>0</v>
      </c>
      <c r="L47" s="1">
        <v>43236</v>
      </c>
      <c r="M47" s="1">
        <v>43024</v>
      </c>
      <c r="N47" s="1"/>
      <c r="R47">
        <v>4.7714359227904284E-3</v>
      </c>
      <c r="T47" t="s">
        <v>30</v>
      </c>
      <c r="V47">
        <v>-1866390000</v>
      </c>
      <c r="W47" t="s">
        <v>200</v>
      </c>
      <c r="X47" t="s">
        <v>205</v>
      </c>
      <c r="Y47">
        <v>0</v>
      </c>
      <c r="Z47" t="s">
        <v>47</v>
      </c>
      <c r="AA47">
        <v>-3.1038337619186389E-2</v>
      </c>
      <c r="AB47">
        <v>0</v>
      </c>
      <c r="AC47" t="s">
        <v>47</v>
      </c>
      <c r="AE47" t="s">
        <v>108</v>
      </c>
      <c r="AF47">
        <v>0</v>
      </c>
      <c r="AH47" t="s">
        <v>202</v>
      </c>
      <c r="AJ47">
        <v>-0.12898830337432096</v>
      </c>
      <c r="AK47">
        <v>-0.12898830337432096</v>
      </c>
      <c r="AL47">
        <v>0</v>
      </c>
      <c r="AN47" t="s">
        <v>47</v>
      </c>
      <c r="AQ47">
        <v>0</v>
      </c>
    </row>
    <row r="48" spans="1:43" x14ac:dyDescent="0.2">
      <c r="A48">
        <v>46</v>
      </c>
      <c r="B48">
        <v>66</v>
      </c>
      <c r="C48">
        <v>4</v>
      </c>
      <c r="D48">
        <v>0</v>
      </c>
      <c r="E48" t="s">
        <v>293</v>
      </c>
      <c r="F48" t="s">
        <v>63</v>
      </c>
      <c r="G48" t="s">
        <v>161</v>
      </c>
      <c r="H48">
        <v>0</v>
      </c>
      <c r="I48">
        <v>7.8348628738360813E-6</v>
      </c>
      <c r="J48">
        <v>0</v>
      </c>
      <c r="L48" s="1">
        <v>43024</v>
      </c>
      <c r="M48" s="1">
        <v>43024</v>
      </c>
      <c r="N48" s="1"/>
      <c r="R48">
        <v>4.7714359227904284E-3</v>
      </c>
      <c r="T48" t="s">
        <v>30</v>
      </c>
      <c r="V48">
        <v>23759340</v>
      </c>
      <c r="W48" t="s">
        <v>45</v>
      </c>
      <c r="X48" t="s">
        <v>51</v>
      </c>
      <c r="Y48">
        <v>0</v>
      </c>
      <c r="Z48" t="s">
        <v>47</v>
      </c>
      <c r="AA48">
        <v>3.9512128575969641E-4</v>
      </c>
      <c r="AB48">
        <v>0</v>
      </c>
      <c r="AC48" t="s">
        <v>47</v>
      </c>
      <c r="AE48" t="s">
        <v>45</v>
      </c>
      <c r="AF48">
        <v>0</v>
      </c>
      <c r="AH48" t="s">
        <v>174</v>
      </c>
      <c r="AJ48">
        <v>1.642034599356854E-3</v>
      </c>
      <c r="AK48">
        <v>1.642034599356854E-3</v>
      </c>
      <c r="AL48">
        <v>0</v>
      </c>
      <c r="AN48" t="s">
        <v>47</v>
      </c>
      <c r="AQ48">
        <v>0</v>
      </c>
    </row>
    <row r="49" spans="1:43" x14ac:dyDescent="0.2">
      <c r="A49">
        <v>47</v>
      </c>
      <c r="B49">
        <v>73</v>
      </c>
      <c r="C49">
        <v>4</v>
      </c>
      <c r="D49">
        <v>0</v>
      </c>
      <c r="E49" t="s">
        <v>293</v>
      </c>
      <c r="F49" t="s">
        <v>63</v>
      </c>
      <c r="G49" t="s">
        <v>274</v>
      </c>
      <c r="H49">
        <v>0</v>
      </c>
      <c r="I49">
        <v>4.1363641942994294E-7</v>
      </c>
      <c r="J49">
        <v>0</v>
      </c>
      <c r="L49" s="1">
        <v>43024</v>
      </c>
      <c r="M49" s="1">
        <v>43024</v>
      </c>
      <c r="N49" s="1"/>
      <c r="R49">
        <v>3.9775004604807951E-3</v>
      </c>
      <c r="T49" t="s">
        <v>49</v>
      </c>
      <c r="V49">
        <v>1504737</v>
      </c>
      <c r="W49" t="s">
        <v>45</v>
      </c>
      <c r="X49" t="s">
        <v>275</v>
      </c>
      <c r="Y49">
        <v>0</v>
      </c>
      <c r="Z49" t="s">
        <v>47</v>
      </c>
      <c r="AA49">
        <v>2.0860167754560179E-5</v>
      </c>
      <c r="AB49">
        <v>0</v>
      </c>
      <c r="AC49" t="s">
        <v>47</v>
      </c>
      <c r="AE49" t="s">
        <v>45</v>
      </c>
      <c r="AF49">
        <v>0</v>
      </c>
      <c r="AH49" t="s">
        <v>174</v>
      </c>
      <c r="AJ49">
        <v>1.0399405947018875E-4</v>
      </c>
      <c r="AK49">
        <v>1.0399405947018875E-4</v>
      </c>
      <c r="AL49">
        <v>0</v>
      </c>
      <c r="AN49" t="s">
        <v>47</v>
      </c>
      <c r="AQ49">
        <v>0</v>
      </c>
    </row>
    <row r="50" spans="1:43" x14ac:dyDescent="0.2">
      <c r="A50">
        <v>48</v>
      </c>
      <c r="B50">
        <v>73</v>
      </c>
      <c r="C50">
        <v>4</v>
      </c>
      <c r="D50">
        <v>0</v>
      </c>
      <c r="E50" t="s">
        <v>293</v>
      </c>
      <c r="F50" t="s">
        <v>63</v>
      </c>
      <c r="G50" t="s">
        <v>162</v>
      </c>
      <c r="H50">
        <v>0</v>
      </c>
      <c r="I50">
        <v>0</v>
      </c>
      <c r="J50">
        <v>0</v>
      </c>
      <c r="L50" s="1">
        <v>43024</v>
      </c>
      <c r="M50" s="1">
        <v>43024</v>
      </c>
      <c r="N50" s="1"/>
      <c r="R50">
        <v>3.9775004604807951E-3</v>
      </c>
      <c r="T50" t="s">
        <v>49</v>
      </c>
      <c r="V50">
        <v>0</v>
      </c>
      <c r="W50" t="s">
        <v>45</v>
      </c>
      <c r="X50" t="s">
        <v>50</v>
      </c>
      <c r="Y50">
        <v>0</v>
      </c>
      <c r="Z50" t="s">
        <v>47</v>
      </c>
      <c r="AA50">
        <v>0</v>
      </c>
      <c r="AB50">
        <v>0</v>
      </c>
      <c r="AC50" t="s">
        <v>47</v>
      </c>
      <c r="AE50" t="s">
        <v>45</v>
      </c>
      <c r="AF50">
        <v>0</v>
      </c>
      <c r="AH50" t="s">
        <v>174</v>
      </c>
      <c r="AJ50">
        <v>0</v>
      </c>
      <c r="AK50">
        <v>0</v>
      </c>
      <c r="AL50">
        <v>0</v>
      </c>
      <c r="AN50" t="s">
        <v>47</v>
      </c>
      <c r="AQ50">
        <v>0</v>
      </c>
    </row>
    <row r="51" spans="1:43" x14ac:dyDescent="0.2">
      <c r="A51">
        <v>49</v>
      </c>
      <c r="B51">
        <v>88</v>
      </c>
      <c r="C51">
        <v>4</v>
      </c>
      <c r="D51">
        <v>20000</v>
      </c>
      <c r="E51" t="s">
        <v>296</v>
      </c>
      <c r="F51" t="s">
        <v>63</v>
      </c>
      <c r="G51" t="s">
        <v>297</v>
      </c>
      <c r="H51">
        <v>1.4030012331285672E-2</v>
      </c>
      <c r="I51">
        <v>4.5378787632520482E-5</v>
      </c>
      <c r="J51">
        <v>2.2799999999999998</v>
      </c>
      <c r="L51" s="1">
        <v>44890</v>
      </c>
      <c r="M51" s="1">
        <v>43024</v>
      </c>
      <c r="N51" s="1"/>
      <c r="R51">
        <v>7.374450810098865E-3</v>
      </c>
      <c r="T51" t="s">
        <v>32</v>
      </c>
      <c r="V51">
        <v>89037975</v>
      </c>
      <c r="W51" t="s">
        <v>298</v>
      </c>
      <c r="X51" t="s">
        <v>299</v>
      </c>
      <c r="Y51">
        <v>20000</v>
      </c>
      <c r="Z51" t="s">
        <v>31</v>
      </c>
      <c r="AA51">
        <v>2.2885052622240486E-3</v>
      </c>
      <c r="AB51">
        <v>101.63</v>
      </c>
      <c r="AC51" t="s">
        <v>55</v>
      </c>
      <c r="AE51" t="s">
        <v>41</v>
      </c>
      <c r="AF51">
        <v>3.1811179129769933E-2</v>
      </c>
      <c r="AH51" t="s">
        <v>237</v>
      </c>
      <c r="AJ51">
        <v>6.153514180388453E-3</v>
      </c>
      <c r="AK51">
        <v>6.153514180388453E-3</v>
      </c>
      <c r="AL51">
        <v>0</v>
      </c>
      <c r="AN51" t="s">
        <v>149</v>
      </c>
      <c r="AQ51">
        <v>1.9575054186991649E-4</v>
      </c>
    </row>
    <row r="52" spans="1:43" x14ac:dyDescent="0.2">
      <c r="A52">
        <v>50</v>
      </c>
      <c r="B52">
        <v>102</v>
      </c>
      <c r="C52">
        <v>4</v>
      </c>
      <c r="D52">
        <v>1000</v>
      </c>
      <c r="E52" t="s">
        <v>300</v>
      </c>
      <c r="F52" t="s">
        <v>63</v>
      </c>
      <c r="G52" t="s">
        <v>301</v>
      </c>
      <c r="H52">
        <v>1.8326102472049324E-2</v>
      </c>
      <c r="I52">
        <v>6.513766721593529E-5</v>
      </c>
      <c r="J52">
        <v>8.98</v>
      </c>
      <c r="L52" s="1">
        <v>49444</v>
      </c>
      <c r="M52" s="1">
        <v>43024</v>
      </c>
      <c r="N52" s="1"/>
      <c r="R52">
        <v>3.1918202601520659E-2</v>
      </c>
      <c r="T52" t="s">
        <v>32</v>
      </c>
      <c r="V52">
        <v>29528803</v>
      </c>
      <c r="W52" t="s">
        <v>213</v>
      </c>
      <c r="X52" t="s">
        <v>302</v>
      </c>
      <c r="Y52">
        <v>1000</v>
      </c>
      <c r="Z52" t="s">
        <v>31</v>
      </c>
      <c r="AA52">
        <v>3.2849686377658541E-3</v>
      </c>
      <c r="AB52">
        <v>109.03</v>
      </c>
      <c r="AC52" t="s">
        <v>33</v>
      </c>
      <c r="AE52" t="s">
        <v>41</v>
      </c>
      <c r="AF52">
        <v>4.3111791297699362E-3</v>
      </c>
      <c r="AH52" t="s">
        <v>237</v>
      </c>
      <c r="AJ52">
        <v>2.0407686494486998E-3</v>
      </c>
      <c r="AK52">
        <v>2.0407686494486998E-3</v>
      </c>
      <c r="AL52">
        <v>0</v>
      </c>
      <c r="AN52" t="s">
        <v>148</v>
      </c>
      <c r="AQ52">
        <v>8.7981192101920136E-6</v>
      </c>
    </row>
    <row r="53" spans="1:43" x14ac:dyDescent="0.2">
      <c r="A53">
        <v>51</v>
      </c>
      <c r="B53">
        <v>106</v>
      </c>
      <c r="C53">
        <v>4</v>
      </c>
      <c r="D53">
        <v>430000000</v>
      </c>
      <c r="E53" t="s">
        <v>303</v>
      </c>
      <c r="F53" t="s">
        <v>63</v>
      </c>
      <c r="G53" t="s">
        <v>304</v>
      </c>
      <c r="H53">
        <v>8.1646842382152932E-2</v>
      </c>
      <c r="I53">
        <v>6.3882169983711998E-5</v>
      </c>
      <c r="J53">
        <v>2.71</v>
      </c>
      <c r="L53" s="1">
        <v>44096</v>
      </c>
      <c r="M53" s="1">
        <v>43024</v>
      </c>
      <c r="N53" s="1"/>
      <c r="R53">
        <v>2.1203597788333052E-3</v>
      </c>
      <c r="T53" t="s">
        <v>39</v>
      </c>
      <c r="V53">
        <v>435935434</v>
      </c>
      <c r="W53" t="s">
        <v>200</v>
      </c>
      <c r="X53" t="s">
        <v>305</v>
      </c>
      <c r="Y53">
        <v>430000000</v>
      </c>
      <c r="Z53" t="s">
        <v>31</v>
      </c>
      <c r="AA53">
        <v>3.2216524459381187E-3</v>
      </c>
      <c r="AB53">
        <v>100.947</v>
      </c>
      <c r="AC53" t="s">
        <v>42</v>
      </c>
      <c r="AE53" t="s">
        <v>41</v>
      </c>
      <c r="AF53">
        <v>0</v>
      </c>
      <c r="AH53" t="s">
        <v>237</v>
      </c>
      <c r="AJ53">
        <v>3.012798611887562E-2</v>
      </c>
      <c r="AK53">
        <v>3.012798611887562E-2</v>
      </c>
      <c r="AL53">
        <v>0</v>
      </c>
      <c r="AN53" t="s">
        <v>142</v>
      </c>
      <c r="AQ53">
        <v>0</v>
      </c>
    </row>
    <row r="54" spans="1:43" x14ac:dyDescent="0.2">
      <c r="A54">
        <v>52</v>
      </c>
      <c r="B54">
        <v>129</v>
      </c>
      <c r="C54">
        <v>4</v>
      </c>
      <c r="D54">
        <v>9755000000</v>
      </c>
      <c r="E54" t="s">
        <v>276</v>
      </c>
      <c r="F54" t="s">
        <v>63</v>
      </c>
      <c r="G54" t="s">
        <v>277</v>
      </c>
      <c r="H54">
        <v>2.1878755247719135</v>
      </c>
      <c r="I54">
        <v>5.06338737048459E-3</v>
      </c>
      <c r="J54">
        <v>3.15</v>
      </c>
      <c r="L54" s="1">
        <v>44256</v>
      </c>
      <c r="M54" s="1">
        <v>43024</v>
      </c>
      <c r="N54" s="1"/>
      <c r="R54">
        <v>7.2900263458494582E-3</v>
      </c>
      <c r="T54" t="s">
        <v>39</v>
      </c>
      <c r="V54">
        <v>10049955174</v>
      </c>
      <c r="W54" t="s">
        <v>278</v>
      </c>
      <c r="X54" t="s">
        <v>279</v>
      </c>
      <c r="Y54">
        <v>9755000000</v>
      </c>
      <c r="Z54" t="s">
        <v>31</v>
      </c>
      <c r="AA54">
        <v>0.25535253907331329</v>
      </c>
      <c r="AB54">
        <v>102.46</v>
      </c>
      <c r="AC54" t="s">
        <v>42</v>
      </c>
      <c r="AE54" t="s">
        <v>182</v>
      </c>
      <c r="AF54">
        <v>3.7499999999999999E-2</v>
      </c>
      <c r="AH54" t="s">
        <v>280</v>
      </c>
      <c r="AJ54">
        <v>0.69456365865775027</v>
      </c>
      <c r="AK54">
        <v>0.69456365865775027</v>
      </c>
      <c r="AL54">
        <v>0</v>
      </c>
      <c r="AN54" t="s">
        <v>142</v>
      </c>
      <c r="AQ54">
        <v>2.6046137199665635E-2</v>
      </c>
    </row>
    <row r="55" spans="1:43" x14ac:dyDescent="0.2">
      <c r="A55">
        <v>53</v>
      </c>
      <c r="B55">
        <v>130</v>
      </c>
      <c r="C55">
        <v>4</v>
      </c>
      <c r="D55">
        <v>1780000000</v>
      </c>
      <c r="E55" t="s">
        <v>281</v>
      </c>
      <c r="F55" t="s">
        <v>63</v>
      </c>
      <c r="G55" t="s">
        <v>282</v>
      </c>
      <c r="H55">
        <v>0.52676566461876384</v>
      </c>
      <c r="I55">
        <v>1.211985020164264E-3</v>
      </c>
      <c r="J55">
        <v>3.91</v>
      </c>
      <c r="L55" s="1">
        <v>44621</v>
      </c>
      <c r="M55" s="1">
        <v>43024</v>
      </c>
      <c r="R55">
        <v>8.9961471430981144E-3</v>
      </c>
      <c r="T55" t="s">
        <v>39</v>
      </c>
      <c r="V55">
        <v>1949363232</v>
      </c>
      <c r="W55" t="s">
        <v>283</v>
      </c>
      <c r="X55" t="s">
        <v>284</v>
      </c>
      <c r="Y55">
        <v>1780000000</v>
      </c>
      <c r="Z55" t="s">
        <v>31</v>
      </c>
      <c r="AA55">
        <v>6.1121820151821916E-2</v>
      </c>
      <c r="AB55">
        <v>108.72</v>
      </c>
      <c r="AC55" t="s">
        <v>42</v>
      </c>
      <c r="AE55" t="s">
        <v>182</v>
      </c>
      <c r="AF55">
        <v>3.8399999999999997E-2</v>
      </c>
      <c r="AH55" t="s">
        <v>280</v>
      </c>
      <c r="AJ55">
        <v>0.13472267637308538</v>
      </c>
      <c r="AK55">
        <v>0.13472267637308538</v>
      </c>
      <c r="AL55">
        <v>0</v>
      </c>
      <c r="AN55" t="s">
        <v>142</v>
      </c>
      <c r="AQ55">
        <v>5.1733507727264785E-3</v>
      </c>
    </row>
    <row r="56" spans="1:43" x14ac:dyDescent="0.2">
      <c r="A56">
        <v>54</v>
      </c>
      <c r="B56">
        <v>134</v>
      </c>
      <c r="C56">
        <v>4</v>
      </c>
      <c r="D56">
        <v>1055000000</v>
      </c>
      <c r="E56" t="s">
        <v>276</v>
      </c>
      <c r="F56" t="s">
        <v>63</v>
      </c>
      <c r="G56" t="s">
        <v>285</v>
      </c>
      <c r="H56">
        <v>0.8658252531216093</v>
      </c>
      <c r="I56">
        <v>1.5968839011764532E-3</v>
      </c>
      <c r="J56">
        <v>11.75</v>
      </c>
      <c r="L56" s="1">
        <v>49369</v>
      </c>
      <c r="M56" s="1">
        <v>43024</v>
      </c>
      <c r="R56">
        <v>2.1671100226257685E-2</v>
      </c>
      <c r="T56" t="s">
        <v>39</v>
      </c>
      <c r="V56">
        <v>1066214171</v>
      </c>
      <c r="W56" t="s">
        <v>278</v>
      </c>
      <c r="X56" t="s">
        <v>279</v>
      </c>
      <c r="Y56">
        <v>1055000000</v>
      </c>
      <c r="Z56" t="s">
        <v>31</v>
      </c>
      <c r="AA56">
        <v>8.0532720278851555E-2</v>
      </c>
      <c r="AB56">
        <v>100.45</v>
      </c>
      <c r="AC56" t="s">
        <v>42</v>
      </c>
      <c r="AE56" t="s">
        <v>182</v>
      </c>
      <c r="AF56">
        <v>5.0200000000000002E-2</v>
      </c>
      <c r="AH56" t="s">
        <v>280</v>
      </c>
      <c r="AJ56">
        <v>7.3687255584817812E-2</v>
      </c>
      <c r="AK56">
        <v>7.3687255584817812E-2</v>
      </c>
      <c r="AL56">
        <v>0</v>
      </c>
      <c r="AN56" t="s">
        <v>142</v>
      </c>
      <c r="AQ56">
        <v>3.6991002303578542E-3</v>
      </c>
    </row>
    <row r="57" spans="1:43" x14ac:dyDescent="0.2">
      <c r="A57">
        <v>55</v>
      </c>
      <c r="B57">
        <v>136</v>
      </c>
      <c r="C57">
        <v>4</v>
      </c>
      <c r="D57">
        <v>25500</v>
      </c>
      <c r="E57" t="s">
        <v>286</v>
      </c>
      <c r="F57" t="s">
        <v>63</v>
      </c>
      <c r="G57" t="s">
        <v>287</v>
      </c>
      <c r="H57">
        <v>0.10487774247076639</v>
      </c>
      <c r="I57">
        <v>7.3869900809138747E-4</v>
      </c>
      <c r="J57">
        <v>2.14</v>
      </c>
      <c r="L57" s="1">
        <v>43831</v>
      </c>
      <c r="M57" s="1">
        <v>43024</v>
      </c>
      <c r="N57" s="1"/>
      <c r="R57">
        <v>1.5072939596847306E-2</v>
      </c>
      <c r="T57" t="s">
        <v>32</v>
      </c>
      <c r="V57">
        <v>709123088</v>
      </c>
      <c r="W57" t="s">
        <v>278</v>
      </c>
      <c r="X57" t="s">
        <v>288</v>
      </c>
      <c r="Y57">
        <v>25500</v>
      </c>
      <c r="Z57" t="s">
        <v>31</v>
      </c>
      <c r="AA57">
        <v>3.7253453770222038E-2</v>
      </c>
      <c r="AB57">
        <v>103.39</v>
      </c>
      <c r="AC57" t="s">
        <v>42</v>
      </c>
      <c r="AE57" t="s">
        <v>182</v>
      </c>
      <c r="AF57">
        <v>-9.3888208702300642E-3</v>
      </c>
      <c r="AH57" t="s">
        <v>280</v>
      </c>
      <c r="AJ57">
        <v>4.9008290874189904E-2</v>
      </c>
      <c r="AK57">
        <v>4.9008290874189904E-2</v>
      </c>
      <c r="AL57">
        <v>0</v>
      </c>
      <c r="AN57" t="s">
        <v>142</v>
      </c>
      <c r="AQ57">
        <v>-4.6013006417389976E-4</v>
      </c>
    </row>
    <row r="58" spans="1:43" x14ac:dyDescent="0.2">
      <c r="A58">
        <v>56</v>
      </c>
      <c r="B58">
        <v>136</v>
      </c>
      <c r="C58">
        <v>4</v>
      </c>
      <c r="D58">
        <v>0.48</v>
      </c>
      <c r="E58" t="s">
        <v>306</v>
      </c>
      <c r="F58" t="s">
        <v>63</v>
      </c>
      <c r="G58" t="s">
        <v>307</v>
      </c>
      <c r="H58">
        <v>1.9979513387915291E-6</v>
      </c>
      <c r="I58">
        <v>1.2706750990314315E-8</v>
      </c>
      <c r="J58">
        <v>2.37</v>
      </c>
      <c r="L58" s="1">
        <v>43891</v>
      </c>
      <c r="M58" s="1">
        <v>43024</v>
      </c>
      <c r="N58" s="1"/>
      <c r="R58">
        <v>1.5072939596847306E-2</v>
      </c>
      <c r="T58" t="s">
        <v>32</v>
      </c>
      <c r="V58">
        <v>12198</v>
      </c>
      <c r="W58" t="s">
        <v>283</v>
      </c>
      <c r="X58" t="s">
        <v>308</v>
      </c>
      <c r="Y58">
        <v>0.48</v>
      </c>
      <c r="Z58" t="s">
        <v>31</v>
      </c>
      <c r="AA58">
        <v>6.4081629378448389E-7</v>
      </c>
      <c r="AB58">
        <v>1.67</v>
      </c>
      <c r="AC58" t="s">
        <v>42</v>
      </c>
      <c r="AE58" t="s">
        <v>182</v>
      </c>
      <c r="AF58">
        <v>-3.1888208702300636E-3</v>
      </c>
      <c r="AH58" t="s">
        <v>280</v>
      </c>
      <c r="AJ58">
        <v>8.4301744252807133E-7</v>
      </c>
      <c r="AK58">
        <v>8.4301744252807133E-7</v>
      </c>
      <c r="AL58">
        <v>0</v>
      </c>
      <c r="AN58" t="s">
        <v>142</v>
      </c>
      <c r="AQ58">
        <v>-2.6882316147014868E-9</v>
      </c>
    </row>
    <row r="59" spans="1:43" x14ac:dyDescent="0.2">
      <c r="A59">
        <v>57</v>
      </c>
      <c r="B59">
        <v>137</v>
      </c>
      <c r="C59">
        <v>4</v>
      </c>
      <c r="D59">
        <v>114000</v>
      </c>
      <c r="E59" t="s">
        <v>286</v>
      </c>
      <c r="F59" t="s">
        <v>63</v>
      </c>
      <c r="G59" t="s">
        <v>289</v>
      </c>
      <c r="H59">
        <v>0.69527829748138292</v>
      </c>
      <c r="I59">
        <v>5.1393129011058566E-3</v>
      </c>
      <c r="J59">
        <v>3.3</v>
      </c>
      <c r="L59" s="1">
        <v>44256</v>
      </c>
      <c r="M59" s="1">
        <v>43024</v>
      </c>
      <c r="N59" s="1"/>
      <c r="R59">
        <v>2.4392725380736405E-2</v>
      </c>
      <c r="T59" t="s">
        <v>32</v>
      </c>
      <c r="V59">
        <v>3048574426</v>
      </c>
      <c r="W59" t="s">
        <v>278</v>
      </c>
      <c r="X59" t="s">
        <v>288</v>
      </c>
      <c r="Y59">
        <v>114000</v>
      </c>
      <c r="Z59" t="s">
        <v>31</v>
      </c>
      <c r="AA59">
        <v>0.25918155226271372</v>
      </c>
      <c r="AB59">
        <v>100.12</v>
      </c>
      <c r="AC59" t="s">
        <v>42</v>
      </c>
      <c r="AE59" t="s">
        <v>182</v>
      </c>
      <c r="AF59">
        <v>-8.8888208702300655E-3</v>
      </c>
      <c r="AH59" t="s">
        <v>280</v>
      </c>
      <c r="AJ59">
        <v>0.21069039317617666</v>
      </c>
      <c r="AK59">
        <v>0.21069039317617666</v>
      </c>
      <c r="AL59">
        <v>0</v>
      </c>
      <c r="AN59" t="s">
        <v>142</v>
      </c>
      <c r="AQ59">
        <v>-1.8727891640213773E-3</v>
      </c>
    </row>
    <row r="60" spans="1:43" x14ac:dyDescent="0.2">
      <c r="A60">
        <v>58</v>
      </c>
      <c r="B60">
        <v>138</v>
      </c>
      <c r="C60">
        <v>4</v>
      </c>
      <c r="D60">
        <v>127</v>
      </c>
      <c r="E60" t="s">
        <v>309</v>
      </c>
      <c r="F60" t="s">
        <v>63</v>
      </c>
      <c r="G60" t="s">
        <v>310</v>
      </c>
      <c r="H60">
        <v>6.1341006317849574E-4</v>
      </c>
      <c r="I60">
        <v>4.5280590803039973E-6</v>
      </c>
      <c r="J60">
        <v>3.86</v>
      </c>
      <c r="L60" s="1">
        <v>45905</v>
      </c>
      <c r="M60" s="1">
        <v>43024</v>
      </c>
      <c r="N60" s="1"/>
      <c r="R60">
        <v>2.8493676741145068E-2</v>
      </c>
      <c r="T60" t="s">
        <v>32</v>
      </c>
      <c r="V60">
        <v>2299406</v>
      </c>
      <c r="W60" t="s">
        <v>311</v>
      </c>
      <c r="X60" t="s">
        <v>312</v>
      </c>
      <c r="Y60">
        <v>127</v>
      </c>
      <c r="Z60" t="s">
        <v>31</v>
      </c>
      <c r="AA60">
        <v>2.2835530814205486E-4</v>
      </c>
      <c r="AB60">
        <v>97.35</v>
      </c>
      <c r="AC60" t="s">
        <v>42</v>
      </c>
      <c r="AE60" t="s">
        <v>182</v>
      </c>
      <c r="AF60">
        <v>6.0111791297699363E-3</v>
      </c>
      <c r="AH60" t="s">
        <v>280</v>
      </c>
      <c r="AJ60">
        <v>1.5891452413950666E-4</v>
      </c>
      <c r="AK60">
        <v>1.5891452413950666E-4</v>
      </c>
      <c r="AL60">
        <v>0</v>
      </c>
      <c r="AN60" t="s">
        <v>142</v>
      </c>
      <c r="AQ60">
        <v>9.5526367092472314E-7</v>
      </c>
    </row>
    <row r="61" spans="1:43" x14ac:dyDescent="0.2">
      <c r="A61">
        <v>59</v>
      </c>
      <c r="B61">
        <v>138</v>
      </c>
      <c r="C61">
        <v>4</v>
      </c>
      <c r="D61">
        <v>6000</v>
      </c>
      <c r="E61" t="s">
        <v>309</v>
      </c>
      <c r="F61" t="s">
        <v>63</v>
      </c>
      <c r="G61" t="s">
        <v>313</v>
      </c>
      <c r="H61">
        <v>1.8227310308448486E-2</v>
      </c>
      <c r="I61">
        <v>1.3886713577258619E-4</v>
      </c>
      <c r="J61">
        <v>3.74</v>
      </c>
      <c r="L61" s="1">
        <v>45813</v>
      </c>
      <c r="M61" s="1">
        <v>43024</v>
      </c>
      <c r="N61" s="1"/>
      <c r="R61">
        <v>2.8493676741145068E-2</v>
      </c>
      <c r="T61" t="s">
        <v>32</v>
      </c>
      <c r="V61">
        <v>70518498</v>
      </c>
      <c r="W61" t="s">
        <v>311</v>
      </c>
      <c r="X61" t="s">
        <v>312</v>
      </c>
      <c r="Y61">
        <v>6000</v>
      </c>
      <c r="Z61" t="s">
        <v>31</v>
      </c>
      <c r="AA61">
        <v>7.0032318522717961E-3</v>
      </c>
      <c r="AB61">
        <v>98.37</v>
      </c>
      <c r="AC61" t="s">
        <v>42</v>
      </c>
      <c r="AE61" t="s">
        <v>182</v>
      </c>
      <c r="AF61">
        <v>5.9111791297699334E-3</v>
      </c>
      <c r="AH61" t="s">
        <v>280</v>
      </c>
      <c r="AJ61">
        <v>4.8736123819380977E-3</v>
      </c>
      <c r="AK61">
        <v>4.8736123819380977E-3</v>
      </c>
      <c r="AL61">
        <v>0</v>
      </c>
      <c r="AN61" t="s">
        <v>142</v>
      </c>
      <c r="AQ61">
        <v>2.8808795798700818E-5</v>
      </c>
    </row>
    <row r="62" spans="1:43" x14ac:dyDescent="0.2">
      <c r="A62">
        <v>60</v>
      </c>
      <c r="B62">
        <v>139</v>
      </c>
      <c r="C62">
        <v>4</v>
      </c>
      <c r="D62">
        <v>1000</v>
      </c>
      <c r="E62" t="s">
        <v>309</v>
      </c>
      <c r="F62" t="s">
        <v>63</v>
      </c>
      <c r="G62" t="s">
        <v>314</v>
      </c>
      <c r="H62">
        <v>8.0296392723622403E-3</v>
      </c>
      <c r="I62">
        <v>4.3898722108414824E-5</v>
      </c>
      <c r="J62">
        <v>5.53</v>
      </c>
      <c r="L62" s="1">
        <v>47274</v>
      </c>
      <c r="M62" s="1">
        <v>43024</v>
      </c>
      <c r="N62" s="1"/>
      <c r="R62">
        <v>3.0232981211884058E-2</v>
      </c>
      <c r="T62" t="s">
        <v>32</v>
      </c>
      <c r="V62">
        <v>21009851</v>
      </c>
      <c r="W62" t="s">
        <v>311</v>
      </c>
      <c r="X62" t="s">
        <v>312</v>
      </c>
      <c r="Y62">
        <v>1000</v>
      </c>
      <c r="Z62" t="s">
        <v>31</v>
      </c>
      <c r="AA62">
        <v>2.213863829143434E-3</v>
      </c>
      <c r="AB62">
        <v>96.59</v>
      </c>
      <c r="AC62" t="s">
        <v>42</v>
      </c>
      <c r="AE62" t="s">
        <v>182</v>
      </c>
      <c r="AF62">
        <v>7.8111791297699323E-3</v>
      </c>
      <c r="AH62" t="s">
        <v>280</v>
      </c>
      <c r="AJ62">
        <v>1.452014334966047E-3</v>
      </c>
      <c r="AK62">
        <v>1.452014334966047E-3</v>
      </c>
      <c r="AL62">
        <v>0</v>
      </c>
      <c r="AN62" t="s">
        <v>142</v>
      </c>
      <c r="AQ62">
        <v>1.1341944069413555E-5</v>
      </c>
    </row>
    <row r="63" spans="1:43" x14ac:dyDescent="0.2">
      <c r="A63">
        <v>61</v>
      </c>
      <c r="B63">
        <v>139</v>
      </c>
      <c r="C63">
        <v>4</v>
      </c>
      <c r="D63">
        <v>300</v>
      </c>
      <c r="E63" t="s">
        <v>309</v>
      </c>
      <c r="F63" t="s">
        <v>63</v>
      </c>
      <c r="G63" t="s">
        <v>315</v>
      </c>
      <c r="H63">
        <v>2.1471139521567748E-3</v>
      </c>
      <c r="I63">
        <v>1.2483395341409595E-5</v>
      </c>
      <c r="J63">
        <v>5.2</v>
      </c>
      <c r="L63" s="1">
        <v>47001</v>
      </c>
      <c r="M63" s="1">
        <v>43024</v>
      </c>
      <c r="N63" s="1"/>
      <c r="R63">
        <v>3.0232981211884058E-2</v>
      </c>
      <c r="T63" t="s">
        <v>32</v>
      </c>
      <c r="V63">
        <v>5974531</v>
      </c>
      <c r="W63" t="s">
        <v>311</v>
      </c>
      <c r="X63" t="s">
        <v>312</v>
      </c>
      <c r="Y63">
        <v>300</v>
      </c>
      <c r="Z63" t="s">
        <v>31</v>
      </c>
      <c r="AA63">
        <v>6.2955220753332095E-4</v>
      </c>
      <c r="AB63">
        <v>96.94</v>
      </c>
      <c r="AC63" t="s">
        <v>42</v>
      </c>
      <c r="AE63" t="s">
        <v>182</v>
      </c>
      <c r="AF63">
        <v>7.5111791297699342E-3</v>
      </c>
      <c r="AH63" t="s">
        <v>280</v>
      </c>
      <c r="AJ63">
        <v>4.1290652926091823E-4</v>
      </c>
      <c r="AK63">
        <v>4.1290652926091823E-4</v>
      </c>
      <c r="AL63">
        <v>0</v>
      </c>
      <c r="AN63" t="s">
        <v>142</v>
      </c>
      <c r="AQ63">
        <v>3.1014149051303476E-6</v>
      </c>
    </row>
    <row r="64" spans="1:43" x14ac:dyDescent="0.2">
      <c r="A64">
        <v>62</v>
      </c>
      <c r="B64">
        <v>140</v>
      </c>
      <c r="C64">
        <v>4</v>
      </c>
      <c r="D64">
        <v>73500</v>
      </c>
      <c r="E64" t="s">
        <v>286</v>
      </c>
      <c r="F64" t="s">
        <v>63</v>
      </c>
      <c r="G64" t="s">
        <v>290</v>
      </c>
      <c r="H64">
        <v>1.0385581121221412</v>
      </c>
      <c r="I64">
        <v>4.3614156066551476E-3</v>
      </c>
      <c r="J64">
        <v>7.88</v>
      </c>
      <c r="L64" s="1">
        <v>46082</v>
      </c>
      <c r="M64" s="1">
        <v>43024</v>
      </c>
      <c r="N64" s="1"/>
      <c r="R64">
        <v>3.3091990307809245E-2</v>
      </c>
      <c r="T64" t="s">
        <v>32</v>
      </c>
      <c r="V64">
        <v>1907026172</v>
      </c>
      <c r="W64" t="s">
        <v>278</v>
      </c>
      <c r="X64" t="s">
        <v>288</v>
      </c>
      <c r="Y64">
        <v>73500</v>
      </c>
      <c r="Z64" t="s">
        <v>31</v>
      </c>
      <c r="AA64">
        <v>0.21995128312823137</v>
      </c>
      <c r="AB64">
        <v>97.14</v>
      </c>
      <c r="AC64" t="s">
        <v>42</v>
      </c>
      <c r="AE64" t="s">
        <v>182</v>
      </c>
      <c r="AF64">
        <v>-4.7888208702300643E-3</v>
      </c>
      <c r="AH64" t="s">
        <v>280</v>
      </c>
      <c r="AJ64">
        <v>0.13179671473631233</v>
      </c>
      <c r="AK64">
        <v>0.13179671473631233</v>
      </c>
      <c r="AL64">
        <v>0</v>
      </c>
      <c r="AN64" t="s">
        <v>142</v>
      </c>
      <c r="AQ64">
        <v>-6.3115085815701076E-4</v>
      </c>
    </row>
    <row r="65" spans="1:43" x14ac:dyDescent="0.2">
      <c r="A65">
        <v>63</v>
      </c>
      <c r="B65">
        <v>142</v>
      </c>
      <c r="C65">
        <v>4</v>
      </c>
      <c r="D65">
        <v>14000</v>
      </c>
      <c r="E65" t="s">
        <v>286</v>
      </c>
      <c r="F65" t="s">
        <v>63</v>
      </c>
      <c r="G65" t="s">
        <v>291</v>
      </c>
      <c r="H65">
        <v>0.36641624175644583</v>
      </c>
      <c r="I65">
        <v>1.3054422958375571E-3</v>
      </c>
      <c r="J65">
        <v>14.67</v>
      </c>
      <c r="L65" s="1">
        <v>49369</v>
      </c>
      <c r="M65" s="1">
        <v>43024</v>
      </c>
      <c r="N65" s="1"/>
      <c r="R65">
        <v>5.2265255459572078E-2</v>
      </c>
      <c r="T65" t="s">
        <v>32</v>
      </c>
      <c r="V65">
        <v>361407092</v>
      </c>
      <c r="W65" t="s">
        <v>278</v>
      </c>
      <c r="X65" t="s">
        <v>288</v>
      </c>
      <c r="Y65">
        <v>14000</v>
      </c>
      <c r="Z65" t="s">
        <v>31</v>
      </c>
      <c r="AA65">
        <v>6.5834979721078032E-2</v>
      </c>
      <c r="AB65">
        <v>96.59</v>
      </c>
      <c r="AC65" t="s">
        <v>42</v>
      </c>
      <c r="AE65" t="s">
        <v>182</v>
      </c>
      <c r="AF65">
        <v>-1.0888208702300659E-3</v>
      </c>
      <c r="AH65" t="s">
        <v>280</v>
      </c>
      <c r="AJ65">
        <v>2.4977248926819757E-2</v>
      </c>
      <c r="AK65">
        <v>2.4977248926819757E-2</v>
      </c>
      <c r="AL65">
        <v>0</v>
      </c>
      <c r="AN65" t="s">
        <v>142</v>
      </c>
      <c r="AQ65">
        <v>-2.7195749912452865E-5</v>
      </c>
    </row>
    <row r="66" spans="1:43" x14ac:dyDescent="0.2">
      <c r="A66">
        <v>64</v>
      </c>
      <c r="B66">
        <v>145</v>
      </c>
      <c r="C66">
        <v>4</v>
      </c>
      <c r="D66">
        <v>1</v>
      </c>
      <c r="E66" t="s">
        <v>256</v>
      </c>
      <c r="F66" t="s">
        <v>63</v>
      </c>
      <c r="G66" t="s">
        <v>207</v>
      </c>
      <c r="H66">
        <v>2.2092137242093507E-3</v>
      </c>
      <c r="I66">
        <v>2.2849945940849144E-6</v>
      </c>
      <c r="J66">
        <v>0.82</v>
      </c>
      <c r="L66" s="1">
        <v>43325</v>
      </c>
      <c r="M66" s="1">
        <v>43024</v>
      </c>
      <c r="N66" s="1"/>
      <c r="R66">
        <v>8.4812779615525951E-4</v>
      </c>
      <c r="T66" t="s">
        <v>39</v>
      </c>
      <c r="V66">
        <v>38983062</v>
      </c>
      <c r="W66" t="s">
        <v>248</v>
      </c>
      <c r="X66" t="s">
        <v>257</v>
      </c>
      <c r="Y66">
        <v>40000000</v>
      </c>
      <c r="Z66" t="s">
        <v>31</v>
      </c>
      <c r="AA66">
        <v>1.1523494622781271E-4</v>
      </c>
      <c r="AB66">
        <v>97.457655000000003</v>
      </c>
      <c r="AC66" t="s">
        <v>52</v>
      </c>
      <c r="AE66" t="s">
        <v>41</v>
      </c>
      <c r="AF66">
        <v>3.1199999999999999E-2</v>
      </c>
      <c r="AH66" t="s">
        <v>209</v>
      </c>
      <c r="AJ66">
        <v>2.6941630783040862E-3</v>
      </c>
      <c r="AK66">
        <v>2.6941630783040862E-3</v>
      </c>
      <c r="AL66">
        <v>0</v>
      </c>
      <c r="AQ66">
        <v>8.4057888043087483E-5</v>
      </c>
    </row>
    <row r="67" spans="1:43" x14ac:dyDescent="0.2">
      <c r="A67">
        <v>65</v>
      </c>
      <c r="B67">
        <v>146</v>
      </c>
      <c r="C67">
        <v>4</v>
      </c>
      <c r="D67">
        <v>1</v>
      </c>
      <c r="E67" t="s">
        <v>215</v>
      </c>
      <c r="F67" t="s">
        <v>63</v>
      </c>
      <c r="G67" t="s">
        <v>207</v>
      </c>
      <c r="H67">
        <v>5.1466384188582912E-4</v>
      </c>
      <c r="I67">
        <v>7.7435606495906959E-7</v>
      </c>
      <c r="J67">
        <v>0.25</v>
      </c>
      <c r="L67" s="1">
        <v>43117</v>
      </c>
      <c r="M67" s="1">
        <v>43024</v>
      </c>
      <c r="R67">
        <v>3.7614652610997367E-4</v>
      </c>
      <c r="T67" t="s">
        <v>39</v>
      </c>
      <c r="V67">
        <v>29787614</v>
      </c>
      <c r="W67" t="s">
        <v>216</v>
      </c>
      <c r="X67" t="s">
        <v>217</v>
      </c>
      <c r="Y67">
        <v>30000000</v>
      </c>
      <c r="Z67" t="s">
        <v>31</v>
      </c>
      <c r="AA67">
        <v>3.9051680795102566E-5</v>
      </c>
      <c r="AB67">
        <v>99.292045999999999</v>
      </c>
      <c r="AC67" t="s">
        <v>52</v>
      </c>
      <c r="AE67" t="s">
        <v>41</v>
      </c>
      <c r="AF67">
        <v>2.76E-2</v>
      </c>
      <c r="AH67" t="s">
        <v>209</v>
      </c>
      <c r="AJ67">
        <v>2.0586553675433165E-3</v>
      </c>
      <c r="AK67">
        <v>2.0586553675433165E-3</v>
      </c>
      <c r="AL67">
        <v>0</v>
      </c>
      <c r="AQ67">
        <v>5.6818888144195534E-5</v>
      </c>
    </row>
    <row r="68" spans="1:43" x14ac:dyDescent="0.2">
      <c r="A68">
        <v>66</v>
      </c>
      <c r="B68">
        <v>147</v>
      </c>
      <c r="C68">
        <v>4</v>
      </c>
      <c r="D68">
        <v>1</v>
      </c>
      <c r="E68" t="s">
        <v>203</v>
      </c>
      <c r="F68" t="s">
        <v>63</v>
      </c>
      <c r="G68" t="s">
        <v>207</v>
      </c>
      <c r="H68">
        <v>1.0354932422924957E-3</v>
      </c>
      <c r="I68">
        <v>3.5161370405164121E-6</v>
      </c>
      <c r="J68">
        <v>0.05</v>
      </c>
      <c r="L68" s="1">
        <v>43041</v>
      </c>
      <c r="M68" s="1">
        <v>43024</v>
      </c>
      <c r="N68" s="1"/>
      <c r="R68">
        <v>1.6978078160761234E-4</v>
      </c>
      <c r="T68" t="s">
        <v>39</v>
      </c>
      <c r="V68">
        <v>299660385</v>
      </c>
      <c r="W68" t="s">
        <v>181</v>
      </c>
      <c r="X68" t="s">
        <v>236</v>
      </c>
      <c r="Y68">
        <v>300000000</v>
      </c>
      <c r="Z68" t="s">
        <v>31</v>
      </c>
      <c r="AA68">
        <v>1.7732289776195068E-4</v>
      </c>
      <c r="AB68">
        <v>99.886795000000006</v>
      </c>
      <c r="AC68" t="s">
        <v>52</v>
      </c>
      <c r="AE68" t="s">
        <v>41</v>
      </c>
      <c r="AF68">
        <v>2.4E-2</v>
      </c>
      <c r="AH68" t="s">
        <v>209</v>
      </c>
      <c r="AJ68">
        <v>2.0709864845849912E-2</v>
      </c>
      <c r="AK68">
        <v>2.0709864845849912E-2</v>
      </c>
      <c r="AL68">
        <v>0</v>
      </c>
      <c r="AQ68">
        <v>4.9703675630039792E-4</v>
      </c>
    </row>
    <row r="69" spans="1:43" x14ac:dyDescent="0.2">
      <c r="A69">
        <v>67</v>
      </c>
      <c r="B69">
        <v>148</v>
      </c>
      <c r="C69">
        <v>4</v>
      </c>
      <c r="D69">
        <v>1</v>
      </c>
      <c r="E69" t="s">
        <v>206</v>
      </c>
      <c r="F69" t="s">
        <v>63</v>
      </c>
      <c r="G69" t="s">
        <v>207</v>
      </c>
      <c r="H69">
        <v>4.7911286748096658E-4</v>
      </c>
      <c r="I69">
        <v>8.1274345010471099E-7</v>
      </c>
      <c r="J69">
        <v>0.35</v>
      </c>
      <c r="L69" s="1">
        <v>43151</v>
      </c>
      <c r="M69" s="1">
        <v>43024</v>
      </c>
      <c r="N69" s="1"/>
      <c r="R69">
        <v>5.9372274644230757E-4</v>
      </c>
      <c r="T69" t="s">
        <v>39</v>
      </c>
      <c r="V69">
        <v>19807144</v>
      </c>
      <c r="W69" t="s">
        <v>206</v>
      </c>
      <c r="X69" t="s">
        <v>208</v>
      </c>
      <c r="Y69">
        <v>20000000</v>
      </c>
      <c r="Z69" t="s">
        <v>31</v>
      </c>
      <c r="AA69">
        <v>4.0987601464033451E-5</v>
      </c>
      <c r="AB69">
        <v>99.035719999999998</v>
      </c>
      <c r="AC69" t="s">
        <v>52</v>
      </c>
      <c r="AE69" t="s">
        <v>41</v>
      </c>
      <c r="AF69">
        <v>2.76E-2</v>
      </c>
      <c r="AH69" t="s">
        <v>209</v>
      </c>
      <c r="AJ69">
        <v>1.3688939070884761E-3</v>
      </c>
      <c r="AK69">
        <v>1.3688939070884761E-3</v>
      </c>
      <c r="AL69">
        <v>0</v>
      </c>
      <c r="AQ69">
        <v>3.7781471835641938E-5</v>
      </c>
    </row>
    <row r="70" spans="1:43" x14ac:dyDescent="0.2">
      <c r="A70">
        <v>68</v>
      </c>
      <c r="B70">
        <v>148</v>
      </c>
      <c r="C70">
        <v>4</v>
      </c>
      <c r="D70">
        <v>1</v>
      </c>
      <c r="E70" t="s">
        <v>222</v>
      </c>
      <c r="F70" t="s">
        <v>63</v>
      </c>
      <c r="G70" t="s">
        <v>207</v>
      </c>
      <c r="H70">
        <v>1.1195216407312299E-2</v>
      </c>
      <c r="I70">
        <v>1.621184056674498E-5</v>
      </c>
      <c r="J70">
        <v>0.41</v>
      </c>
      <c r="L70" s="1">
        <v>43173</v>
      </c>
      <c r="M70" s="1">
        <v>43024</v>
      </c>
      <c r="N70" s="1"/>
      <c r="R70">
        <v>5.9372274644230757E-4</v>
      </c>
      <c r="T70" t="s">
        <v>39</v>
      </c>
      <c r="V70">
        <v>395094246</v>
      </c>
      <c r="W70" t="s">
        <v>223</v>
      </c>
      <c r="X70" t="s">
        <v>224</v>
      </c>
      <c r="Y70">
        <v>400000000</v>
      </c>
      <c r="Z70" t="s">
        <v>31</v>
      </c>
      <c r="AA70">
        <v>8.1758205502927592E-4</v>
      </c>
      <c r="AB70">
        <v>98.773561000000001</v>
      </c>
      <c r="AC70" t="s">
        <v>218</v>
      </c>
      <c r="AE70" t="s">
        <v>41</v>
      </c>
      <c r="AF70">
        <v>0.03</v>
      </c>
      <c r="AH70" t="s">
        <v>209</v>
      </c>
      <c r="AJ70">
        <v>2.7305405871493413E-2</v>
      </c>
      <c r="AK70">
        <v>2.7305405871493413E-2</v>
      </c>
      <c r="AL70">
        <v>0</v>
      </c>
      <c r="AQ70">
        <v>8.1916217614480243E-4</v>
      </c>
    </row>
    <row r="71" spans="1:43" x14ac:dyDescent="0.2">
      <c r="A71">
        <v>69</v>
      </c>
      <c r="B71">
        <v>150</v>
      </c>
      <c r="C71">
        <v>4</v>
      </c>
      <c r="D71">
        <v>1</v>
      </c>
      <c r="E71" t="s">
        <v>225</v>
      </c>
      <c r="F71" t="s">
        <v>63</v>
      </c>
      <c r="G71" t="s">
        <v>207</v>
      </c>
      <c r="H71">
        <v>1.6673561998300549E-3</v>
      </c>
      <c r="I71">
        <v>2.1063289936691146E-6</v>
      </c>
      <c r="J71">
        <v>0.49</v>
      </c>
      <c r="L71" s="1">
        <v>43203</v>
      </c>
      <c r="M71" s="1">
        <v>43024</v>
      </c>
      <c r="N71" s="1"/>
      <c r="R71">
        <v>6.1900462960647702E-4</v>
      </c>
      <c r="T71" t="s">
        <v>39</v>
      </c>
      <c r="V71">
        <v>49236183</v>
      </c>
      <c r="W71" t="s">
        <v>226</v>
      </c>
      <c r="X71" t="s">
        <v>227</v>
      </c>
      <c r="Y71">
        <v>50000000</v>
      </c>
      <c r="Z71" t="s">
        <v>31</v>
      </c>
      <c r="AA71">
        <v>1.062246313194224E-4</v>
      </c>
      <c r="AB71">
        <v>98.472365999999994</v>
      </c>
      <c r="AC71" t="s">
        <v>52</v>
      </c>
      <c r="AE71" t="s">
        <v>41</v>
      </c>
      <c r="AF71">
        <v>3.1199999999999999E-2</v>
      </c>
      <c r="AH71" t="s">
        <v>209</v>
      </c>
      <c r="AJ71">
        <v>3.4027677547552142E-3</v>
      </c>
      <c r="AK71">
        <v>3.4027677547552142E-3</v>
      </c>
      <c r="AL71">
        <v>0</v>
      </c>
      <c r="AQ71">
        <v>1.0616635394836267E-4</v>
      </c>
    </row>
    <row r="72" spans="1:43" x14ac:dyDescent="0.2">
      <c r="A72">
        <v>70</v>
      </c>
      <c r="B72">
        <v>150</v>
      </c>
      <c r="C72">
        <v>4</v>
      </c>
      <c r="D72">
        <v>1</v>
      </c>
      <c r="E72" t="s">
        <v>215</v>
      </c>
      <c r="F72" t="s">
        <v>63</v>
      </c>
      <c r="G72" t="s">
        <v>207</v>
      </c>
      <c r="H72">
        <v>3.4315694684858549E-4</v>
      </c>
      <c r="I72">
        <v>4.7203497506866263E-7</v>
      </c>
      <c r="J72">
        <v>0.45</v>
      </c>
      <c r="L72" s="1">
        <v>43188</v>
      </c>
      <c r="M72" s="1">
        <v>43024</v>
      </c>
      <c r="N72" s="1"/>
      <c r="R72">
        <v>6.1900462960647702E-4</v>
      </c>
      <c r="T72" t="s">
        <v>39</v>
      </c>
      <c r="V72">
        <v>11033984</v>
      </c>
      <c r="W72" t="s">
        <v>216</v>
      </c>
      <c r="X72" t="s">
        <v>217</v>
      </c>
      <c r="Y72">
        <v>11178750</v>
      </c>
      <c r="Z72" t="s">
        <v>31</v>
      </c>
      <c r="AA72">
        <v>2.3805275124280159E-5</v>
      </c>
      <c r="AB72">
        <v>98.704988999999998</v>
      </c>
      <c r="AC72" t="s">
        <v>52</v>
      </c>
      <c r="AE72" t="s">
        <v>41</v>
      </c>
      <c r="AF72">
        <v>2.8799999999999999E-2</v>
      </c>
      <c r="AH72" t="s">
        <v>209</v>
      </c>
      <c r="AJ72">
        <v>7.6257099299685668E-4</v>
      </c>
      <c r="AK72">
        <v>7.6257099299685668E-4</v>
      </c>
      <c r="AL72">
        <v>0</v>
      </c>
      <c r="AQ72">
        <v>2.1962044598309472E-5</v>
      </c>
    </row>
    <row r="73" spans="1:43" x14ac:dyDescent="0.2">
      <c r="A73">
        <v>71</v>
      </c>
      <c r="B73">
        <v>151</v>
      </c>
      <c r="C73">
        <v>4</v>
      </c>
      <c r="D73">
        <v>1</v>
      </c>
      <c r="E73" t="s">
        <v>215</v>
      </c>
      <c r="F73" t="s">
        <v>63</v>
      </c>
      <c r="G73" t="s">
        <v>207</v>
      </c>
      <c r="H73">
        <v>3.0231534480732526E-4</v>
      </c>
      <c r="I73">
        <v>5.4912065464325156E-7</v>
      </c>
      <c r="J73">
        <v>0.22</v>
      </c>
      <c r="L73" s="1">
        <v>43104</v>
      </c>
      <c r="M73" s="1">
        <v>43024</v>
      </c>
      <c r="N73" s="1"/>
      <c r="R73">
        <v>3.9960440677766138E-4</v>
      </c>
      <c r="T73" t="s">
        <v>39</v>
      </c>
      <c r="V73">
        <v>19883351</v>
      </c>
      <c r="W73" t="s">
        <v>216</v>
      </c>
      <c r="X73" t="s">
        <v>217</v>
      </c>
      <c r="Y73">
        <v>20000000</v>
      </c>
      <c r="Z73" t="s">
        <v>31</v>
      </c>
      <c r="AA73">
        <v>2.7692795980437621E-5</v>
      </c>
      <c r="AB73">
        <v>99.416754999999995</v>
      </c>
      <c r="AC73" t="s">
        <v>52</v>
      </c>
      <c r="AE73" t="s">
        <v>41</v>
      </c>
      <c r="AF73">
        <v>2.64E-2</v>
      </c>
      <c r="AH73" t="s">
        <v>209</v>
      </c>
      <c r="AJ73">
        <v>1.3741606582151147E-3</v>
      </c>
      <c r="AK73">
        <v>1.3741606582151147E-3</v>
      </c>
      <c r="AL73">
        <v>0</v>
      </c>
      <c r="AQ73">
        <v>3.6277841376879028E-5</v>
      </c>
    </row>
    <row r="74" spans="1:43" x14ac:dyDescent="0.2">
      <c r="A74">
        <v>72</v>
      </c>
      <c r="B74">
        <v>151</v>
      </c>
      <c r="C74">
        <v>4</v>
      </c>
      <c r="D74">
        <v>1</v>
      </c>
      <c r="E74" t="s">
        <v>215</v>
      </c>
      <c r="F74" t="s">
        <v>63</v>
      </c>
      <c r="G74" t="s">
        <v>207</v>
      </c>
      <c r="H74">
        <v>9.3722448968611917E-5</v>
      </c>
      <c r="I74">
        <v>1.628343635732687E-7</v>
      </c>
      <c r="J74">
        <v>0.23</v>
      </c>
      <c r="L74" s="1">
        <v>43109</v>
      </c>
      <c r="M74" s="1">
        <v>43024</v>
      </c>
      <c r="N74" s="1"/>
      <c r="R74">
        <v>3.9960440677766138E-4</v>
      </c>
      <c r="T74" t="s">
        <v>39</v>
      </c>
      <c r="V74">
        <v>5896141</v>
      </c>
      <c r="W74" t="s">
        <v>216</v>
      </c>
      <c r="X74" t="s">
        <v>217</v>
      </c>
      <c r="Y74">
        <v>5934564</v>
      </c>
      <c r="Z74" t="s">
        <v>31</v>
      </c>
      <c r="AA74">
        <v>8.2119271437140276E-6</v>
      </c>
      <c r="AB74">
        <v>99.352554999999995</v>
      </c>
      <c r="AC74" t="s">
        <v>52</v>
      </c>
      <c r="AE74" t="s">
        <v>41</v>
      </c>
      <c r="AF74">
        <v>2.76E-2</v>
      </c>
      <c r="AH74" t="s">
        <v>209</v>
      </c>
      <c r="AJ74">
        <v>4.0748890855918222E-4</v>
      </c>
      <c r="AK74">
        <v>4.0748890855918222E-4</v>
      </c>
      <c r="AL74">
        <v>0</v>
      </c>
      <c r="AQ74">
        <v>1.1246693876233428E-5</v>
      </c>
    </row>
    <row r="75" spans="1:43" x14ac:dyDescent="0.2">
      <c r="A75">
        <v>73</v>
      </c>
      <c r="B75">
        <v>152</v>
      </c>
      <c r="C75">
        <v>4</v>
      </c>
      <c r="D75">
        <v>1</v>
      </c>
      <c r="E75" t="s">
        <v>210</v>
      </c>
      <c r="F75" t="s">
        <v>63</v>
      </c>
      <c r="G75" t="s">
        <v>207</v>
      </c>
      <c r="H75">
        <v>2.7414472424553966E-3</v>
      </c>
      <c r="I75">
        <v>2.5536983423426578E-6</v>
      </c>
      <c r="J75">
        <v>0.72</v>
      </c>
      <c r="L75" s="1">
        <v>43285</v>
      </c>
      <c r="M75" s="1">
        <v>43024</v>
      </c>
      <c r="N75" s="1"/>
      <c r="R75">
        <v>6.7069056738071754E-4</v>
      </c>
      <c r="T75" t="s">
        <v>39</v>
      </c>
      <c r="V75">
        <v>55093386</v>
      </c>
      <c r="W75" t="s">
        <v>211</v>
      </c>
      <c r="X75" t="s">
        <v>212</v>
      </c>
      <c r="Y75">
        <v>56291667</v>
      </c>
      <c r="Z75" t="s">
        <v>31</v>
      </c>
      <c r="AA75">
        <v>1.2878599009542114E-4</v>
      </c>
      <c r="AB75">
        <v>97.871298999999993</v>
      </c>
      <c r="AC75" t="s">
        <v>52</v>
      </c>
      <c r="AE75" t="s">
        <v>41</v>
      </c>
      <c r="AF75">
        <v>0.03</v>
      </c>
      <c r="AH75" t="s">
        <v>209</v>
      </c>
      <c r="AJ75">
        <v>3.8075656145213845E-3</v>
      </c>
      <c r="AK75">
        <v>3.8075656145213845E-3</v>
      </c>
      <c r="AL75">
        <v>0</v>
      </c>
      <c r="AQ75">
        <v>1.1422696843564154E-4</v>
      </c>
    </row>
    <row r="76" spans="1:43" x14ac:dyDescent="0.2">
      <c r="A76">
        <v>74</v>
      </c>
      <c r="B76">
        <v>184</v>
      </c>
      <c r="C76">
        <v>10</v>
      </c>
      <c r="F76" t="s">
        <v>103</v>
      </c>
      <c r="G76" t="s">
        <v>316</v>
      </c>
      <c r="I76">
        <v>5.3302771930518664E-4</v>
      </c>
      <c r="J76">
        <v>0</v>
      </c>
      <c r="K76">
        <v>0</v>
      </c>
      <c r="L76" s="1"/>
      <c r="M76" s="1"/>
      <c r="N76" s="1">
        <v>43021</v>
      </c>
      <c r="R76">
        <v>-4.6826358733205245E-2</v>
      </c>
      <c r="S76">
        <v>-4.6826358733205245E-2</v>
      </c>
      <c r="T76" t="s">
        <v>39</v>
      </c>
      <c r="U76" t="s">
        <v>39</v>
      </c>
      <c r="W76" t="s">
        <v>317</v>
      </c>
      <c r="Z76" t="s">
        <v>31</v>
      </c>
      <c r="AA76">
        <v>3.4792377112787258E-2</v>
      </c>
      <c r="AC76" t="s">
        <v>1225</v>
      </c>
      <c r="AD76" t="s">
        <v>1225</v>
      </c>
      <c r="AE76" t="s">
        <v>41</v>
      </c>
      <c r="AF76">
        <v>0</v>
      </c>
      <c r="AG76">
        <v>0</v>
      </c>
      <c r="AH76" t="s">
        <v>318</v>
      </c>
      <c r="AI76" t="s">
        <v>318</v>
      </c>
      <c r="AJ76">
        <v>-1.138307E-2</v>
      </c>
      <c r="AK76">
        <v>0</v>
      </c>
      <c r="AL76">
        <v>1.138307E-2</v>
      </c>
      <c r="AM76" t="s">
        <v>41</v>
      </c>
      <c r="AN76" t="s">
        <v>1225</v>
      </c>
      <c r="AO76" t="s">
        <v>1225</v>
      </c>
      <c r="AP76" t="s">
        <v>31</v>
      </c>
    </row>
    <row r="77" spans="1:43" x14ac:dyDescent="0.2">
      <c r="A77">
        <v>75</v>
      </c>
      <c r="B77">
        <v>185</v>
      </c>
      <c r="C77">
        <v>10</v>
      </c>
      <c r="F77" t="s">
        <v>103</v>
      </c>
      <c r="G77" t="s">
        <v>1226</v>
      </c>
      <c r="I77">
        <v>1.0985400767883283E-4</v>
      </c>
      <c r="J77">
        <v>0</v>
      </c>
      <c r="K77">
        <v>0</v>
      </c>
      <c r="L77" s="1"/>
      <c r="M77" s="1"/>
      <c r="N77" s="1">
        <v>43021</v>
      </c>
      <c r="R77">
        <v>-5.0714060083158251E-3</v>
      </c>
      <c r="S77">
        <v>-5.0714060083158251E-3</v>
      </c>
      <c r="T77" t="s">
        <v>39</v>
      </c>
      <c r="U77" t="s">
        <v>39</v>
      </c>
      <c r="W77" t="s">
        <v>319</v>
      </c>
      <c r="Z77" t="s">
        <v>31</v>
      </c>
      <c r="AA77">
        <v>7.1705127596274863E-3</v>
      </c>
      <c r="AC77" t="s">
        <v>1225</v>
      </c>
      <c r="AD77" t="s">
        <v>1225</v>
      </c>
      <c r="AE77" t="s">
        <v>178</v>
      </c>
      <c r="AF77">
        <v>0</v>
      </c>
      <c r="AG77">
        <v>0</v>
      </c>
      <c r="AH77" t="s">
        <v>318</v>
      </c>
      <c r="AI77" t="s">
        <v>318</v>
      </c>
      <c r="AJ77">
        <v>-2.1661449999999999E-2</v>
      </c>
      <c r="AK77">
        <v>0</v>
      </c>
      <c r="AL77">
        <v>2.1661449999999999E-2</v>
      </c>
      <c r="AM77" t="s">
        <v>178</v>
      </c>
      <c r="AN77" t="s">
        <v>1225</v>
      </c>
      <c r="AO77" t="s">
        <v>1225</v>
      </c>
      <c r="AP77" t="s">
        <v>31</v>
      </c>
    </row>
    <row r="78" spans="1:43" x14ac:dyDescent="0.2">
      <c r="A78">
        <v>76</v>
      </c>
      <c r="B78">
        <v>186</v>
      </c>
      <c r="C78">
        <v>10</v>
      </c>
      <c r="D78">
        <v>117519</v>
      </c>
      <c r="E78" t="s">
        <v>1227</v>
      </c>
      <c r="F78" t="s">
        <v>103</v>
      </c>
      <c r="G78" t="s">
        <v>1228</v>
      </c>
      <c r="H78">
        <v>0</v>
      </c>
      <c r="I78">
        <v>-1.3444974006636957E-4</v>
      </c>
      <c r="J78">
        <v>0</v>
      </c>
      <c r="K78">
        <v>0</v>
      </c>
      <c r="L78" s="1">
        <v>2</v>
      </c>
      <c r="M78" s="1">
        <v>43024</v>
      </c>
      <c r="N78" s="1">
        <v>43021</v>
      </c>
      <c r="R78">
        <v>-3.0758784212729654E-2</v>
      </c>
      <c r="S78">
        <v>-3.0758784212729654E-2</v>
      </c>
      <c r="T78" t="s">
        <v>39</v>
      </c>
      <c r="U78" t="s">
        <v>39</v>
      </c>
      <c r="V78">
        <v>357690231</v>
      </c>
      <c r="W78" t="s">
        <v>1227</v>
      </c>
      <c r="X78" t="s">
        <v>479</v>
      </c>
      <c r="Y78">
        <v>117519</v>
      </c>
      <c r="Z78" t="s">
        <v>31</v>
      </c>
      <c r="AA78">
        <v>-8.775952712558743E-3</v>
      </c>
      <c r="AB78">
        <v>3043.68</v>
      </c>
      <c r="AC78" t="s">
        <v>47</v>
      </c>
      <c r="AD78" t="s">
        <v>1225</v>
      </c>
      <c r="AE78" t="s">
        <v>35</v>
      </c>
      <c r="AF78">
        <v>0</v>
      </c>
      <c r="AG78">
        <v>0</v>
      </c>
      <c r="AH78" t="s">
        <v>318</v>
      </c>
      <c r="AI78" t="s">
        <v>318</v>
      </c>
      <c r="AJ78">
        <v>4.3711005980115094E-3</v>
      </c>
      <c r="AK78">
        <v>1.7618160598011509E-2</v>
      </c>
      <c r="AL78">
        <v>1.324706E-2</v>
      </c>
      <c r="AM78" t="s">
        <v>35</v>
      </c>
      <c r="AO78" t="s">
        <v>1225</v>
      </c>
      <c r="AP78" t="s">
        <v>31</v>
      </c>
      <c r="AQ78">
        <v>0</v>
      </c>
    </row>
    <row r="79" spans="1:43" x14ac:dyDescent="0.2">
      <c r="A79">
        <v>77</v>
      </c>
      <c r="B79">
        <v>187</v>
      </c>
      <c r="C79">
        <v>10</v>
      </c>
      <c r="D79">
        <v>42255</v>
      </c>
      <c r="E79" t="s">
        <v>1229</v>
      </c>
      <c r="F79" t="s">
        <v>103</v>
      </c>
      <c r="G79" t="s">
        <v>1229</v>
      </c>
      <c r="H79">
        <v>0</v>
      </c>
      <c r="I79">
        <v>3.0890781037346903E-5</v>
      </c>
      <c r="J79">
        <v>0</v>
      </c>
      <c r="K79">
        <v>0</v>
      </c>
      <c r="L79" s="1">
        <v>2</v>
      </c>
      <c r="M79" s="1">
        <v>43024</v>
      </c>
      <c r="N79" s="1">
        <v>43021</v>
      </c>
      <c r="R79">
        <v>-4.2568887135877677E-2</v>
      </c>
      <c r="S79">
        <v>-4.2568887135877677E-2</v>
      </c>
      <c r="T79" t="s">
        <v>39</v>
      </c>
      <c r="U79" t="s">
        <v>39</v>
      </c>
      <c r="V79">
        <v>424251186</v>
      </c>
      <c r="W79" t="s">
        <v>1230</v>
      </c>
      <c r="X79" t="s">
        <v>1230</v>
      </c>
      <c r="Y79">
        <v>42255</v>
      </c>
      <c r="Z79" t="s">
        <v>31</v>
      </c>
      <c r="AA79">
        <v>2.0163373577661015E-3</v>
      </c>
      <c r="AB79">
        <v>10040.26</v>
      </c>
      <c r="AC79" t="s">
        <v>47</v>
      </c>
      <c r="AD79" t="s">
        <v>1225</v>
      </c>
      <c r="AE79" t="s">
        <v>38</v>
      </c>
      <c r="AF79">
        <v>0</v>
      </c>
      <c r="AG79">
        <v>0</v>
      </c>
      <c r="AH79" t="s">
        <v>318</v>
      </c>
      <c r="AI79" t="s">
        <v>318</v>
      </c>
      <c r="AJ79">
        <v>-7.25665694260344E-4</v>
      </c>
      <c r="AK79">
        <v>2.0896644305739655E-2</v>
      </c>
      <c r="AL79">
        <v>2.1622309999999999E-2</v>
      </c>
      <c r="AM79" t="s">
        <v>38</v>
      </c>
      <c r="AO79" t="s">
        <v>1225</v>
      </c>
      <c r="AP79" t="s">
        <v>31</v>
      </c>
      <c r="AQ79">
        <v>0</v>
      </c>
    </row>
    <row r="80" spans="1:43" x14ac:dyDescent="0.2">
      <c r="A80">
        <v>78</v>
      </c>
      <c r="B80">
        <v>189</v>
      </c>
      <c r="C80">
        <v>10</v>
      </c>
      <c r="F80" t="s">
        <v>103</v>
      </c>
      <c r="G80" t="s">
        <v>320</v>
      </c>
      <c r="I80">
        <v>1.4115200581143509E-3</v>
      </c>
      <c r="J80">
        <v>0</v>
      </c>
      <c r="K80">
        <v>0</v>
      </c>
      <c r="L80" s="1"/>
      <c r="M80" s="1"/>
      <c r="N80" s="1">
        <v>43021</v>
      </c>
      <c r="R80">
        <v>-0.10892131679983078</v>
      </c>
      <c r="S80">
        <v>-0.10892131679983078</v>
      </c>
      <c r="T80" t="s">
        <v>39</v>
      </c>
      <c r="U80" t="s">
        <v>39</v>
      </c>
      <c r="W80" t="s">
        <v>321</v>
      </c>
      <c r="Z80" t="s">
        <v>31</v>
      </c>
      <c r="AA80">
        <v>9.2134304437664197E-2</v>
      </c>
      <c r="AC80" t="s">
        <v>1225</v>
      </c>
      <c r="AD80" t="s">
        <v>1225</v>
      </c>
      <c r="AE80" t="s">
        <v>40</v>
      </c>
      <c r="AF80">
        <v>0</v>
      </c>
      <c r="AG80">
        <v>0</v>
      </c>
      <c r="AH80" t="s">
        <v>318</v>
      </c>
      <c r="AI80" t="s">
        <v>318</v>
      </c>
      <c r="AJ80">
        <v>-1.295908E-2</v>
      </c>
      <c r="AK80">
        <v>0</v>
      </c>
      <c r="AL80">
        <v>1.295908E-2</v>
      </c>
      <c r="AM80" t="s">
        <v>40</v>
      </c>
      <c r="AN80" t="s">
        <v>1225</v>
      </c>
      <c r="AO80" t="s">
        <v>1225</v>
      </c>
      <c r="AP80" t="s">
        <v>31</v>
      </c>
    </row>
    <row r="81" spans="1:43" x14ac:dyDescent="0.2">
      <c r="A81">
        <v>79</v>
      </c>
      <c r="B81">
        <v>191</v>
      </c>
      <c r="C81">
        <v>10</v>
      </c>
      <c r="D81">
        <v>9886</v>
      </c>
      <c r="E81" t="s">
        <v>206</v>
      </c>
      <c r="F81" t="s">
        <v>103</v>
      </c>
      <c r="G81" t="s">
        <v>206</v>
      </c>
      <c r="H81">
        <v>0</v>
      </c>
      <c r="I81">
        <v>2.2721692807393411E-4</v>
      </c>
      <c r="J81">
        <v>0</v>
      </c>
      <c r="K81">
        <v>0</v>
      </c>
      <c r="L81" s="1">
        <v>2</v>
      </c>
      <c r="M81" s="1">
        <v>43024</v>
      </c>
      <c r="N81" s="1">
        <v>43021</v>
      </c>
      <c r="R81">
        <v>-1.2564783085930164E-2</v>
      </c>
      <c r="S81">
        <v>-1.2564783085930164E-2</v>
      </c>
      <c r="T81" t="s">
        <v>39</v>
      </c>
      <c r="U81" t="s">
        <v>39</v>
      </c>
      <c r="V81">
        <v>414791353</v>
      </c>
      <c r="W81" t="s">
        <v>206</v>
      </c>
      <c r="X81" t="s">
        <v>322</v>
      </c>
      <c r="Y81">
        <v>9886</v>
      </c>
      <c r="Z81" t="s">
        <v>31</v>
      </c>
      <c r="AA81">
        <v>1.4831155607183543E-2</v>
      </c>
      <c r="AB81">
        <v>41957.45</v>
      </c>
      <c r="AC81" t="s">
        <v>47</v>
      </c>
      <c r="AD81" t="s">
        <v>1225</v>
      </c>
      <c r="AE81" t="s">
        <v>41</v>
      </c>
      <c r="AF81">
        <v>0</v>
      </c>
      <c r="AG81">
        <v>0</v>
      </c>
      <c r="AH81" t="s">
        <v>318</v>
      </c>
      <c r="AI81" t="s">
        <v>318</v>
      </c>
      <c r="AJ81">
        <v>-1.808363316103466E-2</v>
      </c>
      <c r="AK81">
        <v>2.043069683896534E-2</v>
      </c>
      <c r="AL81">
        <v>3.8514329999999999E-2</v>
      </c>
      <c r="AM81" t="s">
        <v>41</v>
      </c>
      <c r="AO81" t="s">
        <v>1225</v>
      </c>
      <c r="AP81" t="s">
        <v>31</v>
      </c>
      <c r="AQ81">
        <v>0</v>
      </c>
    </row>
    <row r="82" spans="1:43" x14ac:dyDescent="0.2">
      <c r="A82">
        <v>80</v>
      </c>
      <c r="B82">
        <v>194</v>
      </c>
      <c r="C82">
        <v>10</v>
      </c>
      <c r="D82">
        <v>18234740</v>
      </c>
      <c r="E82" t="s">
        <v>323</v>
      </c>
      <c r="F82" t="s">
        <v>103</v>
      </c>
      <c r="G82" t="s">
        <v>323</v>
      </c>
      <c r="H82">
        <v>0</v>
      </c>
      <c r="I82">
        <v>2.114368484332552E-4</v>
      </c>
      <c r="J82">
        <v>0</v>
      </c>
      <c r="K82">
        <v>0</v>
      </c>
      <c r="L82" s="1">
        <v>2</v>
      </c>
      <c r="M82" s="1">
        <v>43024</v>
      </c>
      <c r="N82" s="1">
        <v>43021</v>
      </c>
      <c r="R82">
        <v>-1.9024703767261879E-2</v>
      </c>
      <c r="S82">
        <v>-1.9024703767261879E-2</v>
      </c>
      <c r="T82" t="s">
        <v>39</v>
      </c>
      <c r="U82" t="s">
        <v>39</v>
      </c>
      <c r="V82">
        <v>887849489</v>
      </c>
      <c r="W82" t="s">
        <v>200</v>
      </c>
      <c r="X82" t="s">
        <v>324</v>
      </c>
      <c r="Y82">
        <v>18234740</v>
      </c>
      <c r="Z82" t="s">
        <v>31</v>
      </c>
      <c r="AA82">
        <v>1.3801140728325112E-2</v>
      </c>
      <c r="AB82">
        <v>48.69</v>
      </c>
      <c r="AC82" t="s">
        <v>47</v>
      </c>
      <c r="AD82" t="s">
        <v>1225</v>
      </c>
      <c r="AE82" t="s">
        <v>41</v>
      </c>
      <c r="AF82">
        <v>0</v>
      </c>
      <c r="AG82">
        <v>0</v>
      </c>
      <c r="AH82" t="s">
        <v>318</v>
      </c>
      <c r="AI82" t="s">
        <v>318</v>
      </c>
      <c r="AJ82">
        <v>-1.1113805030546667E-2</v>
      </c>
      <c r="AK82">
        <v>4.3731344969453335E-2</v>
      </c>
      <c r="AL82">
        <v>5.4845150000000002E-2</v>
      </c>
      <c r="AM82" t="s">
        <v>41</v>
      </c>
      <c r="AO82" t="s">
        <v>1225</v>
      </c>
      <c r="AP82" t="s">
        <v>31</v>
      </c>
      <c r="AQ82">
        <v>0</v>
      </c>
    </row>
    <row r="83" spans="1:43" x14ac:dyDescent="0.2">
      <c r="A83">
        <v>81</v>
      </c>
      <c r="B83">
        <v>196</v>
      </c>
      <c r="C83">
        <v>10</v>
      </c>
      <c r="D83">
        <v>39724</v>
      </c>
      <c r="E83" t="s">
        <v>325</v>
      </c>
      <c r="F83" t="s">
        <v>103</v>
      </c>
      <c r="G83" t="s">
        <v>325</v>
      </c>
      <c r="H83">
        <v>0</v>
      </c>
      <c r="I83">
        <v>4.1507123016667187E-5</v>
      </c>
      <c r="J83">
        <v>0</v>
      </c>
      <c r="K83">
        <v>0</v>
      </c>
      <c r="L83" s="1">
        <v>2</v>
      </c>
      <c r="M83" s="1">
        <v>43024</v>
      </c>
      <c r="N83" s="1">
        <v>43021</v>
      </c>
      <c r="R83">
        <v>5.9976687738892039E-2</v>
      </c>
      <c r="S83">
        <v>5.9976687738892039E-2</v>
      </c>
      <c r="T83" t="s">
        <v>39</v>
      </c>
      <c r="U83" t="s">
        <v>39</v>
      </c>
      <c r="V83">
        <v>286139918</v>
      </c>
      <c r="W83" t="s">
        <v>325</v>
      </c>
      <c r="X83" t="s">
        <v>1231</v>
      </c>
      <c r="Y83">
        <v>39724</v>
      </c>
      <c r="Z83" t="s">
        <v>31</v>
      </c>
      <c r="AA83">
        <v>2.7092990187174391E-3</v>
      </c>
      <c r="AB83">
        <v>7203.2</v>
      </c>
      <c r="AC83" t="s">
        <v>47</v>
      </c>
      <c r="AD83" t="s">
        <v>1225</v>
      </c>
      <c r="AE83" t="s">
        <v>44</v>
      </c>
      <c r="AF83">
        <v>0</v>
      </c>
      <c r="AG83">
        <v>0</v>
      </c>
      <c r="AH83" t="s">
        <v>318</v>
      </c>
      <c r="AI83" t="s">
        <v>318</v>
      </c>
      <c r="AJ83">
        <v>6.9205427277625048E-4</v>
      </c>
      <c r="AK83">
        <v>1.409392427277625E-2</v>
      </c>
      <c r="AL83">
        <v>1.340187E-2</v>
      </c>
      <c r="AM83" t="s">
        <v>44</v>
      </c>
      <c r="AO83" t="s">
        <v>1225</v>
      </c>
      <c r="AP83" t="s">
        <v>31</v>
      </c>
      <c r="AQ83">
        <v>0</v>
      </c>
    </row>
    <row r="84" spans="1:43" x14ac:dyDescent="0.2">
      <c r="A84">
        <v>82</v>
      </c>
      <c r="B84">
        <v>197</v>
      </c>
      <c r="C84">
        <v>10</v>
      </c>
      <c r="F84" t="s">
        <v>103</v>
      </c>
      <c r="G84" t="s">
        <v>1232</v>
      </c>
      <c r="I84">
        <v>-4.4395232217335571E-4</v>
      </c>
      <c r="J84">
        <v>0</v>
      </c>
      <c r="K84">
        <v>0</v>
      </c>
      <c r="L84" s="1"/>
      <c r="M84" s="1"/>
      <c r="N84" s="1">
        <v>43021</v>
      </c>
      <c r="R84">
        <v>1.8938878961310867E-2</v>
      </c>
      <c r="S84">
        <v>1.8938878961310867E-2</v>
      </c>
      <c r="T84" t="s">
        <v>39</v>
      </c>
      <c r="U84" t="s">
        <v>39</v>
      </c>
      <c r="W84" t="s">
        <v>1233</v>
      </c>
      <c r="Z84" t="s">
        <v>31</v>
      </c>
      <c r="AA84">
        <v>-2.8978148891182286E-2</v>
      </c>
      <c r="AC84" t="s">
        <v>1225</v>
      </c>
      <c r="AD84" t="s">
        <v>1225</v>
      </c>
      <c r="AE84" t="s">
        <v>35</v>
      </c>
      <c r="AF84">
        <v>0</v>
      </c>
      <c r="AG84">
        <v>0</v>
      </c>
      <c r="AH84" t="s">
        <v>318</v>
      </c>
      <c r="AI84" t="s">
        <v>318</v>
      </c>
      <c r="AJ84">
        <v>-2.3441320000000002E-2</v>
      </c>
      <c r="AK84">
        <v>0</v>
      </c>
      <c r="AL84">
        <v>2.3441320000000002E-2</v>
      </c>
      <c r="AM84" t="s">
        <v>35</v>
      </c>
      <c r="AN84" t="s">
        <v>1225</v>
      </c>
      <c r="AO84" t="s">
        <v>1225</v>
      </c>
      <c r="AP84" t="s">
        <v>31</v>
      </c>
    </row>
    <row r="85" spans="1:43" x14ac:dyDescent="0.2">
      <c r="A85">
        <v>83</v>
      </c>
      <c r="B85">
        <v>199</v>
      </c>
      <c r="C85">
        <v>10</v>
      </c>
      <c r="D85">
        <v>1097286</v>
      </c>
      <c r="E85" t="s">
        <v>326</v>
      </c>
      <c r="F85" t="s">
        <v>103</v>
      </c>
      <c r="G85" t="s">
        <v>326</v>
      </c>
      <c r="H85">
        <v>0</v>
      </c>
      <c r="I85">
        <v>1.1953775389322797E-3</v>
      </c>
      <c r="J85">
        <v>0</v>
      </c>
      <c r="K85">
        <v>0</v>
      </c>
      <c r="L85" s="1">
        <v>2</v>
      </c>
      <c r="M85" s="1">
        <v>43024</v>
      </c>
      <c r="N85" s="1">
        <v>43021</v>
      </c>
      <c r="R85">
        <v>2.0976467600677437E-2</v>
      </c>
      <c r="S85">
        <v>2.0976467600677437E-2</v>
      </c>
      <c r="T85" t="s">
        <v>39</v>
      </c>
      <c r="U85" t="s">
        <v>39</v>
      </c>
      <c r="V85">
        <v>2103881314</v>
      </c>
      <c r="W85" t="s">
        <v>327</v>
      </c>
      <c r="X85" t="s">
        <v>327</v>
      </c>
      <c r="Y85">
        <v>1097286</v>
      </c>
      <c r="Z85" t="s">
        <v>31</v>
      </c>
      <c r="AA85">
        <v>7.8026009943537131E-2</v>
      </c>
      <c r="AB85">
        <v>1917.35</v>
      </c>
      <c r="AC85" t="s">
        <v>47</v>
      </c>
      <c r="AD85" t="s">
        <v>1225</v>
      </c>
      <c r="AE85" t="s">
        <v>35</v>
      </c>
      <c r="AF85">
        <v>0</v>
      </c>
      <c r="AG85">
        <v>0</v>
      </c>
      <c r="AH85" t="s">
        <v>318</v>
      </c>
      <c r="AI85" t="s">
        <v>318</v>
      </c>
      <c r="AJ85">
        <v>5.6986598586964893E-2</v>
      </c>
      <c r="AK85">
        <v>0.10362742858696489</v>
      </c>
      <c r="AL85">
        <v>4.6640829999999994E-2</v>
      </c>
      <c r="AM85" t="s">
        <v>35</v>
      </c>
      <c r="AO85" t="s">
        <v>1225</v>
      </c>
      <c r="AP85" t="s">
        <v>31</v>
      </c>
      <c r="AQ85">
        <v>0</v>
      </c>
    </row>
    <row r="86" spans="1:43" x14ac:dyDescent="0.2">
      <c r="A86">
        <v>84</v>
      </c>
      <c r="B86">
        <v>200</v>
      </c>
      <c r="C86">
        <v>10</v>
      </c>
      <c r="D86">
        <v>12062328</v>
      </c>
      <c r="E86" t="s">
        <v>228</v>
      </c>
      <c r="F86" t="s">
        <v>103</v>
      </c>
      <c r="G86" t="s">
        <v>228</v>
      </c>
      <c r="H86">
        <v>0</v>
      </c>
      <c r="I86">
        <v>-3.3887093746705917E-5</v>
      </c>
      <c r="J86">
        <v>0</v>
      </c>
      <c r="K86">
        <v>0</v>
      </c>
      <c r="L86" s="1">
        <v>2</v>
      </c>
      <c r="M86" s="1">
        <v>43024</v>
      </c>
      <c r="N86" s="1">
        <v>43021</v>
      </c>
      <c r="R86">
        <v>-2.3386865908274965E-2</v>
      </c>
      <c r="S86">
        <v>-2.3386865908274965E-2</v>
      </c>
      <c r="T86" t="s">
        <v>39</v>
      </c>
      <c r="U86" t="s">
        <v>39</v>
      </c>
      <c r="V86">
        <v>1164979635</v>
      </c>
      <c r="W86" t="s">
        <v>229</v>
      </c>
      <c r="X86" t="s">
        <v>328</v>
      </c>
      <c r="Y86">
        <v>12062328</v>
      </c>
      <c r="Z86" t="s">
        <v>31</v>
      </c>
      <c r="AA86">
        <v>-2.2119160077240184E-3</v>
      </c>
      <c r="AB86">
        <v>96.58</v>
      </c>
      <c r="AC86" t="s">
        <v>47</v>
      </c>
      <c r="AD86" t="s">
        <v>1225</v>
      </c>
      <c r="AE86" t="s">
        <v>41</v>
      </c>
      <c r="AF86">
        <v>0</v>
      </c>
      <c r="AG86">
        <v>0</v>
      </c>
      <c r="AH86" t="s">
        <v>318</v>
      </c>
      <c r="AI86" t="s">
        <v>318</v>
      </c>
      <c r="AJ86">
        <v>1.4489796914051514E-3</v>
      </c>
      <c r="AK86">
        <v>5.7381489691405156E-2</v>
      </c>
      <c r="AL86">
        <v>5.5932510000000005E-2</v>
      </c>
      <c r="AM86" t="s">
        <v>41</v>
      </c>
      <c r="AO86" t="s">
        <v>1225</v>
      </c>
      <c r="AP86" t="s">
        <v>31</v>
      </c>
      <c r="AQ86">
        <v>0</v>
      </c>
    </row>
    <row r="87" spans="1:43" x14ac:dyDescent="0.2">
      <c r="A87">
        <v>85</v>
      </c>
      <c r="B87">
        <v>201</v>
      </c>
      <c r="C87">
        <v>10</v>
      </c>
      <c r="D87">
        <v>656044</v>
      </c>
      <c r="E87" t="s">
        <v>242</v>
      </c>
      <c r="F87" t="s">
        <v>103</v>
      </c>
      <c r="G87" t="s">
        <v>242</v>
      </c>
      <c r="H87">
        <v>0</v>
      </c>
      <c r="I87">
        <v>1.4384208108909489E-4</v>
      </c>
      <c r="J87">
        <v>0</v>
      </c>
      <c r="K87">
        <v>0</v>
      </c>
      <c r="L87" s="1">
        <v>2</v>
      </c>
      <c r="M87" s="1">
        <v>43024</v>
      </c>
      <c r="N87" s="1">
        <v>43021</v>
      </c>
      <c r="R87">
        <v>6.3189987199676022E-3</v>
      </c>
      <c r="S87">
        <v>6.3189987199676022E-3</v>
      </c>
      <c r="T87" t="s">
        <v>39</v>
      </c>
      <c r="U87" t="s">
        <v>39</v>
      </c>
      <c r="V87">
        <v>1210663592</v>
      </c>
      <c r="W87" t="s">
        <v>243</v>
      </c>
      <c r="X87" t="s">
        <v>329</v>
      </c>
      <c r="Y87">
        <v>656044</v>
      </c>
      <c r="Z87" t="s">
        <v>31</v>
      </c>
      <c r="AA87">
        <v>9.3890200240684119E-3</v>
      </c>
      <c r="AB87">
        <v>1845.4</v>
      </c>
      <c r="AC87" t="s">
        <v>47</v>
      </c>
      <c r="AD87" t="s">
        <v>1225</v>
      </c>
      <c r="AE87" t="s">
        <v>177</v>
      </c>
      <c r="AF87">
        <v>0</v>
      </c>
      <c r="AG87">
        <v>0</v>
      </c>
      <c r="AH87" t="s">
        <v>318</v>
      </c>
      <c r="AI87" t="s">
        <v>318</v>
      </c>
      <c r="AJ87">
        <v>2.2763429376012341E-2</v>
      </c>
      <c r="AK87">
        <v>5.9631669376012338E-2</v>
      </c>
      <c r="AL87">
        <v>3.6868239999999997E-2</v>
      </c>
      <c r="AM87" t="s">
        <v>177</v>
      </c>
      <c r="AO87" t="s">
        <v>1225</v>
      </c>
      <c r="AP87" t="s">
        <v>31</v>
      </c>
      <c r="AQ87">
        <v>0</v>
      </c>
    </row>
    <row r="88" spans="1:43" x14ac:dyDescent="0.2">
      <c r="A88">
        <v>86</v>
      </c>
      <c r="B88">
        <v>202</v>
      </c>
      <c r="C88">
        <v>10</v>
      </c>
      <c r="F88" t="s">
        <v>103</v>
      </c>
      <c r="G88" t="s">
        <v>330</v>
      </c>
      <c r="I88">
        <v>5.1121757818495641E-4</v>
      </c>
      <c r="J88">
        <v>0</v>
      </c>
      <c r="K88">
        <v>0</v>
      </c>
      <c r="L88" s="1"/>
      <c r="M88" s="1"/>
      <c r="N88" s="1">
        <v>43021</v>
      </c>
      <c r="R88">
        <v>-2.1178321724803818E-2</v>
      </c>
      <c r="S88">
        <v>-2.1178321724803818E-2</v>
      </c>
      <c r="T88" t="s">
        <v>39</v>
      </c>
      <c r="U88" t="s">
        <v>39</v>
      </c>
      <c r="W88" t="s">
        <v>331</v>
      </c>
      <c r="Z88" t="s">
        <v>31</v>
      </c>
      <c r="AA88">
        <v>3.3368761365885194E-2</v>
      </c>
      <c r="AC88" t="s">
        <v>1225</v>
      </c>
      <c r="AD88" t="s">
        <v>1225</v>
      </c>
      <c r="AE88" t="s">
        <v>175</v>
      </c>
      <c r="AF88">
        <v>0</v>
      </c>
      <c r="AG88">
        <v>0</v>
      </c>
      <c r="AH88" t="s">
        <v>318</v>
      </c>
      <c r="AI88" t="s">
        <v>318</v>
      </c>
      <c r="AJ88">
        <v>-2.4138719999999999E-2</v>
      </c>
      <c r="AK88">
        <v>0</v>
      </c>
      <c r="AL88">
        <v>2.4138719999999999E-2</v>
      </c>
      <c r="AM88" t="s">
        <v>175</v>
      </c>
      <c r="AN88" t="s">
        <v>1225</v>
      </c>
      <c r="AO88" t="s">
        <v>1225</v>
      </c>
      <c r="AP88" t="s">
        <v>31</v>
      </c>
    </row>
    <row r="89" spans="1:43" x14ac:dyDescent="0.2">
      <c r="A89">
        <v>87</v>
      </c>
      <c r="B89">
        <v>203</v>
      </c>
      <c r="C89">
        <v>10</v>
      </c>
      <c r="F89" t="s">
        <v>103</v>
      </c>
      <c r="G89" t="s">
        <v>332</v>
      </c>
      <c r="I89">
        <v>5.3439667605406041E-4</v>
      </c>
      <c r="J89">
        <v>0</v>
      </c>
      <c r="K89">
        <v>0</v>
      </c>
      <c r="L89" s="1"/>
      <c r="M89" s="1"/>
      <c r="N89" s="1">
        <v>43021</v>
      </c>
      <c r="R89">
        <v>-5.5479596903968045E-2</v>
      </c>
      <c r="S89">
        <v>-5.5479596903968045E-2</v>
      </c>
      <c r="T89" t="s">
        <v>39</v>
      </c>
      <c r="U89" t="s">
        <v>39</v>
      </c>
      <c r="W89" t="s">
        <v>333</v>
      </c>
      <c r="Z89" t="s">
        <v>31</v>
      </c>
      <c r="AA89">
        <v>3.4881733177646319E-2</v>
      </c>
      <c r="AC89" t="s">
        <v>1225</v>
      </c>
      <c r="AD89" t="s">
        <v>1225</v>
      </c>
      <c r="AE89" t="s">
        <v>35</v>
      </c>
      <c r="AF89">
        <v>0</v>
      </c>
      <c r="AG89">
        <v>0</v>
      </c>
      <c r="AH89" t="s">
        <v>318</v>
      </c>
      <c r="AI89" t="s">
        <v>318</v>
      </c>
      <c r="AJ89">
        <v>-9.6323099999999998E-3</v>
      </c>
      <c r="AK89">
        <v>0</v>
      </c>
      <c r="AL89">
        <v>9.6323099999999998E-3</v>
      </c>
      <c r="AM89" t="s">
        <v>35</v>
      </c>
      <c r="AN89" t="s">
        <v>1225</v>
      </c>
      <c r="AO89" t="s">
        <v>1225</v>
      </c>
      <c r="AP89" t="s">
        <v>31</v>
      </c>
    </row>
    <row r="90" spans="1:43" x14ac:dyDescent="0.2">
      <c r="A90">
        <v>88</v>
      </c>
      <c r="B90">
        <v>204</v>
      </c>
      <c r="C90">
        <v>10</v>
      </c>
      <c r="D90">
        <v>238918</v>
      </c>
      <c r="E90" t="s">
        <v>335</v>
      </c>
      <c r="F90" t="s">
        <v>103</v>
      </c>
      <c r="G90" t="s">
        <v>335</v>
      </c>
      <c r="H90">
        <v>0</v>
      </c>
      <c r="I90">
        <v>-1.1682199276922228E-3</v>
      </c>
      <c r="J90">
        <v>0</v>
      </c>
      <c r="K90">
        <v>0</v>
      </c>
      <c r="L90" s="1">
        <v>2</v>
      </c>
      <c r="M90" s="1">
        <v>43024</v>
      </c>
      <c r="N90" s="1">
        <v>43021</v>
      </c>
      <c r="R90">
        <v>-4.8202636600878986E-2</v>
      </c>
      <c r="S90">
        <v>-4.8202636600878986E-2</v>
      </c>
      <c r="T90" t="s">
        <v>39</v>
      </c>
      <c r="U90" t="s">
        <v>39</v>
      </c>
      <c r="V90">
        <v>2247950789</v>
      </c>
      <c r="W90" t="s">
        <v>336</v>
      </c>
      <c r="X90" t="s">
        <v>336</v>
      </c>
      <c r="Y90">
        <v>238918</v>
      </c>
      <c r="Z90" t="s">
        <v>31</v>
      </c>
      <c r="AA90">
        <v>-7.6253348189701517E-2</v>
      </c>
      <c r="AB90">
        <v>9408.8799999999992</v>
      </c>
      <c r="AC90" t="s">
        <v>47</v>
      </c>
      <c r="AD90" t="s">
        <v>1225</v>
      </c>
      <c r="AE90" t="s">
        <v>177</v>
      </c>
      <c r="AF90">
        <v>0</v>
      </c>
      <c r="AG90">
        <v>0</v>
      </c>
      <c r="AH90" t="s">
        <v>318</v>
      </c>
      <c r="AI90" t="s">
        <v>318</v>
      </c>
      <c r="AJ90">
        <v>2.4235602242366136E-2</v>
      </c>
      <c r="AK90">
        <v>0.11072362224236613</v>
      </c>
      <c r="AL90">
        <v>8.6488019999999999E-2</v>
      </c>
      <c r="AM90" t="s">
        <v>177</v>
      </c>
      <c r="AO90" t="s">
        <v>1225</v>
      </c>
      <c r="AP90" t="s">
        <v>31</v>
      </c>
      <c r="AQ90">
        <v>0</v>
      </c>
    </row>
    <row r="91" spans="1:43" x14ac:dyDescent="0.2">
      <c r="A91">
        <v>89</v>
      </c>
      <c r="B91">
        <v>205</v>
      </c>
      <c r="C91">
        <v>10</v>
      </c>
      <c r="D91">
        <v>15789</v>
      </c>
      <c r="E91" t="s">
        <v>337</v>
      </c>
      <c r="F91" t="s">
        <v>103</v>
      </c>
      <c r="G91" t="s">
        <v>337</v>
      </c>
      <c r="H91">
        <v>0</v>
      </c>
      <c r="I91">
        <v>2.2143464587709007E-4</v>
      </c>
      <c r="J91">
        <v>0</v>
      </c>
      <c r="L91" s="1">
        <v>2</v>
      </c>
      <c r="M91" s="1">
        <v>43024</v>
      </c>
      <c r="R91">
        <v>4.1009281786046306E-2</v>
      </c>
      <c r="T91" t="s">
        <v>39</v>
      </c>
      <c r="V91">
        <v>109625080</v>
      </c>
      <c r="W91" t="s">
        <v>337</v>
      </c>
      <c r="X91" t="s">
        <v>338</v>
      </c>
      <c r="Y91">
        <v>15789</v>
      </c>
      <c r="Z91" t="s">
        <v>31</v>
      </c>
      <c r="AA91">
        <v>1.4453728063589008E-2</v>
      </c>
      <c r="AB91">
        <v>6943.13</v>
      </c>
      <c r="AC91" t="s">
        <v>47</v>
      </c>
      <c r="AE91" t="s">
        <v>44</v>
      </c>
      <c r="AF91">
        <v>0</v>
      </c>
      <c r="AH91" t="s">
        <v>318</v>
      </c>
      <c r="AJ91">
        <v>5.3996226276860756E-3</v>
      </c>
      <c r="AK91">
        <v>5.3996226276860756E-3</v>
      </c>
      <c r="AL91">
        <v>0</v>
      </c>
      <c r="AQ91">
        <v>0</v>
      </c>
    </row>
    <row r="92" spans="1:43" x14ac:dyDescent="0.2">
      <c r="A92">
        <v>90</v>
      </c>
      <c r="B92">
        <v>207</v>
      </c>
      <c r="C92">
        <v>10</v>
      </c>
      <c r="F92" t="s">
        <v>103</v>
      </c>
      <c r="G92" t="s">
        <v>1234</v>
      </c>
      <c r="I92">
        <v>1.6945388677665508E-4</v>
      </c>
      <c r="J92">
        <v>0</v>
      </c>
      <c r="K92">
        <v>0</v>
      </c>
      <c r="L92" s="1"/>
      <c r="M92" s="1"/>
      <c r="N92" s="1">
        <v>43021</v>
      </c>
      <c r="R92">
        <v>-1.3891245541635898E-2</v>
      </c>
      <c r="S92">
        <v>-1.3891245541635898E-2</v>
      </c>
      <c r="T92" t="s">
        <v>39</v>
      </c>
      <c r="U92" t="s">
        <v>39</v>
      </c>
      <c r="W92" t="s">
        <v>1235</v>
      </c>
      <c r="Z92" t="s">
        <v>31</v>
      </c>
      <c r="AA92">
        <v>1.1060782241580452E-2</v>
      </c>
      <c r="AC92" t="s">
        <v>1225</v>
      </c>
      <c r="AD92" t="s">
        <v>1225</v>
      </c>
      <c r="AE92" t="s">
        <v>175</v>
      </c>
      <c r="AF92">
        <v>0</v>
      </c>
      <c r="AG92">
        <v>0</v>
      </c>
      <c r="AH92" t="s">
        <v>318</v>
      </c>
      <c r="AI92" t="s">
        <v>318</v>
      </c>
      <c r="AJ92">
        <v>-1.219861E-2</v>
      </c>
      <c r="AK92">
        <v>0</v>
      </c>
      <c r="AL92">
        <v>1.219861E-2</v>
      </c>
      <c r="AM92" t="s">
        <v>175</v>
      </c>
      <c r="AN92" t="s">
        <v>1225</v>
      </c>
      <c r="AO92" t="s">
        <v>1225</v>
      </c>
      <c r="AP92" t="s">
        <v>31</v>
      </c>
    </row>
    <row r="93" spans="1:43" x14ac:dyDescent="0.2">
      <c r="A93">
        <v>91</v>
      </c>
      <c r="B93">
        <v>208</v>
      </c>
      <c r="C93">
        <v>10</v>
      </c>
      <c r="D93">
        <v>420457</v>
      </c>
      <c r="E93" t="s">
        <v>339</v>
      </c>
      <c r="F93" t="s">
        <v>103</v>
      </c>
      <c r="G93" t="s">
        <v>340</v>
      </c>
      <c r="H93">
        <v>0</v>
      </c>
      <c r="I93">
        <v>4.4080979854086935E-4</v>
      </c>
      <c r="J93">
        <v>0</v>
      </c>
      <c r="K93">
        <v>0</v>
      </c>
      <c r="L93" s="1">
        <v>2</v>
      </c>
      <c r="M93" s="1">
        <v>43024</v>
      </c>
      <c r="N93" s="1">
        <v>43021</v>
      </c>
      <c r="R93">
        <v>1.4480687796560426E-2</v>
      </c>
      <c r="S93">
        <v>1.4480687796560426E-2</v>
      </c>
      <c r="T93" t="s">
        <v>39</v>
      </c>
      <c r="U93" t="s">
        <v>39</v>
      </c>
      <c r="V93">
        <v>698976125</v>
      </c>
      <c r="W93" t="s">
        <v>341</v>
      </c>
      <c r="X93" t="s">
        <v>341</v>
      </c>
      <c r="Y93">
        <v>420457</v>
      </c>
      <c r="Z93" t="s">
        <v>31</v>
      </c>
      <c r="AA93">
        <v>2.8773026599512665E-2</v>
      </c>
      <c r="AB93">
        <v>1662.42</v>
      </c>
      <c r="AC93" t="s">
        <v>47</v>
      </c>
      <c r="AD93" t="s">
        <v>1225</v>
      </c>
      <c r="AE93" t="s">
        <v>35</v>
      </c>
      <c r="AF93">
        <v>0</v>
      </c>
      <c r="AG93">
        <v>0</v>
      </c>
      <c r="AH93" t="s">
        <v>318</v>
      </c>
      <c r="AI93" t="s">
        <v>318</v>
      </c>
      <c r="AJ93">
        <v>3.0441219694383174E-2</v>
      </c>
      <c r="AK93">
        <v>3.4428319694383175E-2</v>
      </c>
      <c r="AL93">
        <v>3.9871000000000004E-3</v>
      </c>
      <c r="AM93" t="s">
        <v>35</v>
      </c>
      <c r="AO93" t="s">
        <v>1225</v>
      </c>
      <c r="AP93" t="s">
        <v>31</v>
      </c>
      <c r="AQ93">
        <v>0</v>
      </c>
    </row>
    <row r="94" spans="1:43" x14ac:dyDescent="0.2">
      <c r="A94">
        <v>92</v>
      </c>
      <c r="B94">
        <v>257</v>
      </c>
      <c r="C94">
        <v>10</v>
      </c>
      <c r="D94">
        <v>16624627</v>
      </c>
      <c r="E94" t="s">
        <v>342</v>
      </c>
      <c r="F94" t="s">
        <v>103</v>
      </c>
      <c r="G94" t="s">
        <v>342</v>
      </c>
      <c r="H94">
        <v>0</v>
      </c>
      <c r="I94">
        <v>1.0456655582671865E-3</v>
      </c>
      <c r="J94">
        <v>0</v>
      </c>
      <c r="K94">
        <v>0</v>
      </c>
      <c r="L94" s="1">
        <v>2</v>
      </c>
      <c r="M94" s="1">
        <v>43024</v>
      </c>
      <c r="N94" s="1">
        <v>43021</v>
      </c>
      <c r="R94">
        <v>2.4449322967828483E-2</v>
      </c>
      <c r="S94">
        <v>2.4449322967828483E-2</v>
      </c>
      <c r="T94" t="s">
        <v>39</v>
      </c>
      <c r="U94" t="s">
        <v>39</v>
      </c>
      <c r="V94">
        <v>2238007293</v>
      </c>
      <c r="W94" t="s">
        <v>343</v>
      </c>
      <c r="X94" t="s">
        <v>344</v>
      </c>
      <c r="Y94">
        <v>16624627</v>
      </c>
      <c r="Z94" t="s">
        <v>31</v>
      </c>
      <c r="AA94">
        <v>6.8253843317020835E-2</v>
      </c>
      <c r="AB94">
        <v>134.62</v>
      </c>
      <c r="AC94" t="s">
        <v>47</v>
      </c>
      <c r="AD94" t="s">
        <v>1225</v>
      </c>
      <c r="AE94" t="s">
        <v>175</v>
      </c>
      <c r="AF94">
        <v>0</v>
      </c>
      <c r="AG94">
        <v>0</v>
      </c>
      <c r="AH94" t="s">
        <v>318</v>
      </c>
      <c r="AI94" t="s">
        <v>318</v>
      </c>
      <c r="AJ94">
        <v>4.2768691781082044E-2</v>
      </c>
      <c r="AK94">
        <v>0.11023385178108204</v>
      </c>
      <c r="AL94">
        <v>6.7465159999999996E-2</v>
      </c>
      <c r="AM94" t="s">
        <v>175</v>
      </c>
      <c r="AO94" t="s">
        <v>1225</v>
      </c>
      <c r="AP94" t="s">
        <v>31</v>
      </c>
      <c r="AQ94">
        <v>0</v>
      </c>
    </row>
    <row r="95" spans="1:43" x14ac:dyDescent="0.2">
      <c r="A95">
        <v>93</v>
      </c>
      <c r="B95">
        <v>255</v>
      </c>
      <c r="C95">
        <v>10</v>
      </c>
      <c r="D95">
        <v>7379966</v>
      </c>
      <c r="E95" t="s">
        <v>1236</v>
      </c>
      <c r="F95" t="s">
        <v>103</v>
      </c>
      <c r="G95" t="s">
        <v>1236</v>
      </c>
      <c r="H95">
        <v>0</v>
      </c>
      <c r="I95">
        <v>2.4883643298975581E-5</v>
      </c>
      <c r="J95">
        <v>0</v>
      </c>
      <c r="K95">
        <v>0</v>
      </c>
      <c r="L95" s="1">
        <v>2</v>
      </c>
      <c r="M95" s="1">
        <v>43024</v>
      </c>
      <c r="N95" s="1">
        <v>43021</v>
      </c>
      <c r="R95">
        <v>2.8231362721953947E-2</v>
      </c>
      <c r="S95">
        <v>2.8231362721953947E-2</v>
      </c>
      <c r="T95" t="s">
        <v>39</v>
      </c>
      <c r="U95" t="s">
        <v>39</v>
      </c>
      <c r="V95">
        <v>561467812</v>
      </c>
      <c r="W95" t="s">
        <v>1237</v>
      </c>
      <c r="X95" t="s">
        <v>1237</v>
      </c>
      <c r="Y95">
        <v>7379966</v>
      </c>
      <c r="Z95" t="s">
        <v>31</v>
      </c>
      <c r="AA95">
        <v>1.6242327936088928E-3</v>
      </c>
      <c r="AB95">
        <v>76.08</v>
      </c>
      <c r="AC95" t="s">
        <v>47</v>
      </c>
      <c r="AD95" t="s">
        <v>1225</v>
      </c>
      <c r="AE95" t="s">
        <v>175</v>
      </c>
      <c r="AF95">
        <v>0</v>
      </c>
      <c r="AG95">
        <v>0</v>
      </c>
      <c r="AH95" t="s">
        <v>318</v>
      </c>
      <c r="AI95" t="s">
        <v>318</v>
      </c>
      <c r="AJ95">
        <v>8.8141842616846003E-4</v>
      </c>
      <c r="AK95">
        <v>2.765529842616846E-2</v>
      </c>
      <c r="AL95">
        <v>2.677388E-2</v>
      </c>
      <c r="AM95" t="s">
        <v>175</v>
      </c>
      <c r="AO95" t="s">
        <v>1225</v>
      </c>
      <c r="AP95" t="s">
        <v>31</v>
      </c>
      <c r="AQ95">
        <v>0</v>
      </c>
    </row>
    <row r="96" spans="1:43" x14ac:dyDescent="0.2">
      <c r="A96">
        <v>94</v>
      </c>
      <c r="B96">
        <v>256</v>
      </c>
      <c r="C96">
        <v>10</v>
      </c>
      <c r="D96">
        <v>2581780</v>
      </c>
      <c r="E96" t="s">
        <v>345</v>
      </c>
      <c r="F96" t="s">
        <v>103</v>
      </c>
      <c r="G96" t="s">
        <v>345</v>
      </c>
      <c r="H96">
        <v>0</v>
      </c>
      <c r="I96">
        <v>2.9478360057320426E-3</v>
      </c>
      <c r="J96">
        <v>0</v>
      </c>
      <c r="K96">
        <v>0</v>
      </c>
      <c r="L96" s="1">
        <v>2</v>
      </c>
      <c r="M96" s="1">
        <v>43024</v>
      </c>
      <c r="N96" s="1">
        <v>43021</v>
      </c>
      <c r="R96">
        <v>7.7450944858738796E-2</v>
      </c>
      <c r="S96">
        <v>7.7450944858738796E-2</v>
      </c>
      <c r="T96" t="s">
        <v>39</v>
      </c>
      <c r="U96" t="s">
        <v>39</v>
      </c>
      <c r="V96">
        <v>1449127301</v>
      </c>
      <c r="W96" t="s">
        <v>346</v>
      </c>
      <c r="X96" t="s">
        <v>347</v>
      </c>
      <c r="Y96">
        <v>2581780</v>
      </c>
      <c r="Z96" t="s">
        <v>31</v>
      </c>
      <c r="AA96">
        <v>0.19241442473530992</v>
      </c>
      <c r="AB96">
        <v>561.29</v>
      </c>
      <c r="AC96" t="s">
        <v>47</v>
      </c>
      <c r="AD96" t="s">
        <v>1225</v>
      </c>
      <c r="AE96" t="s">
        <v>175</v>
      </c>
      <c r="AF96">
        <v>0</v>
      </c>
      <c r="AG96">
        <v>0</v>
      </c>
      <c r="AH96" t="s">
        <v>318</v>
      </c>
      <c r="AI96" t="s">
        <v>318</v>
      </c>
      <c r="AJ96">
        <v>3.8060684877486525E-2</v>
      </c>
      <c r="AK96">
        <v>7.1377284877486527E-2</v>
      </c>
      <c r="AL96">
        <v>3.3316600000000002E-2</v>
      </c>
      <c r="AM96" t="s">
        <v>175</v>
      </c>
      <c r="AO96" t="s">
        <v>1225</v>
      </c>
      <c r="AP96" t="s">
        <v>31</v>
      </c>
      <c r="AQ96">
        <v>0</v>
      </c>
    </row>
    <row r="97" spans="1:43" x14ac:dyDescent="0.2">
      <c r="A97">
        <v>95</v>
      </c>
      <c r="B97">
        <v>210</v>
      </c>
      <c r="C97">
        <v>10</v>
      </c>
      <c r="F97" t="s">
        <v>103</v>
      </c>
      <c r="G97" t="s">
        <v>348</v>
      </c>
      <c r="I97">
        <v>1.4558305126592373E-3</v>
      </c>
      <c r="J97">
        <v>0</v>
      </c>
      <c r="K97">
        <v>0</v>
      </c>
      <c r="L97" s="1"/>
      <c r="M97" s="1"/>
      <c r="N97" s="1">
        <v>43021</v>
      </c>
      <c r="R97">
        <v>-8.2865670986081802E-2</v>
      </c>
      <c r="S97">
        <v>-8.2865670986081802E-2</v>
      </c>
      <c r="T97" t="s">
        <v>39</v>
      </c>
      <c r="U97" t="s">
        <v>39</v>
      </c>
      <c r="W97" t="s">
        <v>1238</v>
      </c>
      <c r="Z97" t="s">
        <v>31</v>
      </c>
      <c r="AA97">
        <v>9.5026585624418056E-2</v>
      </c>
      <c r="AC97" t="s">
        <v>1225</v>
      </c>
      <c r="AD97" t="s">
        <v>1225</v>
      </c>
      <c r="AE97" t="s">
        <v>58</v>
      </c>
      <c r="AF97">
        <v>0</v>
      </c>
      <c r="AG97">
        <v>0</v>
      </c>
      <c r="AH97" t="s">
        <v>318</v>
      </c>
      <c r="AI97" t="s">
        <v>318</v>
      </c>
      <c r="AJ97">
        <v>-1.756856E-2</v>
      </c>
      <c r="AK97">
        <v>0</v>
      </c>
      <c r="AL97">
        <v>1.756856E-2</v>
      </c>
      <c r="AM97" t="s">
        <v>58</v>
      </c>
      <c r="AN97" t="s">
        <v>1225</v>
      </c>
      <c r="AO97" t="s">
        <v>1225</v>
      </c>
      <c r="AP97" t="s">
        <v>31</v>
      </c>
    </row>
    <row r="98" spans="1:43" x14ac:dyDescent="0.2">
      <c r="A98">
        <v>96</v>
      </c>
      <c r="B98">
        <v>211</v>
      </c>
      <c r="C98">
        <v>10</v>
      </c>
      <c r="D98">
        <v>193842</v>
      </c>
      <c r="E98" t="s">
        <v>349</v>
      </c>
      <c r="F98" t="s">
        <v>103</v>
      </c>
      <c r="G98" t="s">
        <v>238</v>
      </c>
      <c r="H98">
        <v>0</v>
      </c>
      <c r="I98">
        <v>-2.1313980694889339E-4</v>
      </c>
      <c r="J98">
        <v>0</v>
      </c>
      <c r="K98">
        <v>0</v>
      </c>
      <c r="L98" s="1">
        <v>2</v>
      </c>
      <c r="M98" s="1">
        <v>43024</v>
      </c>
      <c r="N98" s="1">
        <v>43021</v>
      </c>
      <c r="R98">
        <v>2.133685085994283E-2</v>
      </c>
      <c r="S98">
        <v>2.133685085994283E-2</v>
      </c>
      <c r="T98" t="s">
        <v>39</v>
      </c>
      <c r="U98" t="s">
        <v>39</v>
      </c>
      <c r="V98">
        <v>1182719206</v>
      </c>
      <c r="W98" t="s">
        <v>350</v>
      </c>
      <c r="X98" t="s">
        <v>351</v>
      </c>
      <c r="Y98">
        <v>193842</v>
      </c>
      <c r="Z98" t="s">
        <v>31</v>
      </c>
      <c r="AA98">
        <v>-1.3912298127345093E-2</v>
      </c>
      <c r="AB98">
        <v>6101.46</v>
      </c>
      <c r="AC98" t="s">
        <v>47</v>
      </c>
      <c r="AD98" t="s">
        <v>1225</v>
      </c>
      <c r="AE98" t="s">
        <v>35</v>
      </c>
      <c r="AF98">
        <v>0</v>
      </c>
      <c r="AG98">
        <v>0</v>
      </c>
      <c r="AH98" t="s">
        <v>318</v>
      </c>
      <c r="AI98" t="s">
        <v>318</v>
      </c>
      <c r="AJ98">
        <v>-9.9892813774611761E-3</v>
      </c>
      <c r="AK98">
        <v>5.825525862253883E-2</v>
      </c>
      <c r="AL98">
        <v>6.8244540000000006E-2</v>
      </c>
      <c r="AM98" t="s">
        <v>35</v>
      </c>
      <c r="AO98" t="s">
        <v>1225</v>
      </c>
      <c r="AP98" t="s">
        <v>31</v>
      </c>
      <c r="AQ98">
        <v>0</v>
      </c>
    </row>
    <row r="99" spans="1:43" x14ac:dyDescent="0.2">
      <c r="A99">
        <v>97</v>
      </c>
      <c r="B99">
        <v>212</v>
      </c>
      <c r="C99">
        <v>10</v>
      </c>
      <c r="F99" t="s">
        <v>103</v>
      </c>
      <c r="G99" t="s">
        <v>1239</v>
      </c>
      <c r="I99">
        <v>2.5667078568718401E-4</v>
      </c>
      <c r="J99">
        <v>0</v>
      </c>
      <c r="K99">
        <v>0</v>
      </c>
      <c r="L99" s="1"/>
      <c r="M99" s="1"/>
      <c r="N99" s="1">
        <v>43021</v>
      </c>
      <c r="R99">
        <v>-5.3909183181273509E-2</v>
      </c>
      <c r="S99">
        <v>-5.3909183181273509E-2</v>
      </c>
      <c r="T99" t="s">
        <v>39</v>
      </c>
      <c r="U99" t="s">
        <v>39</v>
      </c>
      <c r="W99" t="s">
        <v>1240</v>
      </c>
      <c r="Z99" t="s">
        <v>31</v>
      </c>
      <c r="AA99">
        <v>1.6753700503802316E-2</v>
      </c>
      <c r="AC99" t="s">
        <v>1225</v>
      </c>
      <c r="AD99" t="s">
        <v>1225</v>
      </c>
      <c r="AE99" t="s">
        <v>35</v>
      </c>
      <c r="AF99">
        <v>0</v>
      </c>
      <c r="AG99">
        <v>0</v>
      </c>
      <c r="AH99" t="s">
        <v>318</v>
      </c>
      <c r="AI99" t="s">
        <v>318</v>
      </c>
      <c r="AJ99">
        <v>-4.7611700000000003E-3</v>
      </c>
      <c r="AK99">
        <v>0</v>
      </c>
      <c r="AL99">
        <v>4.7611700000000003E-3</v>
      </c>
      <c r="AM99" t="s">
        <v>35</v>
      </c>
      <c r="AN99" t="s">
        <v>1225</v>
      </c>
      <c r="AO99" t="s">
        <v>1225</v>
      </c>
      <c r="AP99" t="s">
        <v>31</v>
      </c>
    </row>
    <row r="100" spans="1:43" x14ac:dyDescent="0.2">
      <c r="A100">
        <v>98</v>
      </c>
      <c r="B100">
        <v>219</v>
      </c>
      <c r="C100">
        <v>10</v>
      </c>
      <c r="F100" t="s">
        <v>103</v>
      </c>
      <c r="G100" t="s">
        <v>1241</v>
      </c>
      <c r="I100">
        <v>1.1053920126827461E-4</v>
      </c>
      <c r="J100">
        <v>0</v>
      </c>
      <c r="K100">
        <v>0</v>
      </c>
      <c r="L100" s="1"/>
      <c r="M100" s="1"/>
      <c r="N100" s="1">
        <v>43021</v>
      </c>
      <c r="R100">
        <v>-1.215302780883026E-2</v>
      </c>
      <c r="S100">
        <v>-1.215302780883026E-2</v>
      </c>
      <c r="T100" t="s">
        <v>39</v>
      </c>
      <c r="U100" t="s">
        <v>39</v>
      </c>
      <c r="W100" t="s">
        <v>1242</v>
      </c>
      <c r="Z100" t="s">
        <v>31</v>
      </c>
      <c r="AA100">
        <v>7.2152374763649165E-3</v>
      </c>
      <c r="AC100" t="s">
        <v>1225</v>
      </c>
      <c r="AD100" t="s">
        <v>1225</v>
      </c>
      <c r="AE100" t="s">
        <v>177</v>
      </c>
      <c r="AF100">
        <v>0</v>
      </c>
      <c r="AG100">
        <v>0</v>
      </c>
      <c r="AH100" t="s">
        <v>318</v>
      </c>
      <c r="AI100" t="s">
        <v>318</v>
      </c>
      <c r="AJ100">
        <v>-9.0956100000000005E-3</v>
      </c>
      <c r="AK100">
        <v>0</v>
      </c>
      <c r="AL100">
        <v>9.0956100000000005E-3</v>
      </c>
      <c r="AM100" t="s">
        <v>177</v>
      </c>
      <c r="AN100" t="s">
        <v>1225</v>
      </c>
      <c r="AO100" t="s">
        <v>1225</v>
      </c>
      <c r="AP100" t="s">
        <v>31</v>
      </c>
    </row>
    <row r="101" spans="1:43" x14ac:dyDescent="0.2">
      <c r="A101">
        <v>99</v>
      </c>
      <c r="B101">
        <v>221</v>
      </c>
      <c r="C101">
        <v>10</v>
      </c>
      <c r="F101" t="s">
        <v>103</v>
      </c>
      <c r="G101" t="s">
        <v>1243</v>
      </c>
      <c r="I101">
        <v>3.7056735561341966E-4</v>
      </c>
      <c r="J101">
        <v>0</v>
      </c>
      <c r="K101">
        <v>0</v>
      </c>
      <c r="L101" s="1"/>
      <c r="M101" s="1"/>
      <c r="N101" s="1">
        <v>43021</v>
      </c>
      <c r="R101">
        <v>-5.7057061412328192E-2</v>
      </c>
      <c r="S101">
        <v>-5.7057061412328192E-2</v>
      </c>
      <c r="T101" t="s">
        <v>39</v>
      </c>
      <c r="U101" t="s">
        <v>39</v>
      </c>
      <c r="W101" t="s">
        <v>1244</v>
      </c>
      <c r="Z101" t="s">
        <v>31</v>
      </c>
      <c r="AA101">
        <v>2.4188083874881111E-2</v>
      </c>
      <c r="AC101" t="s">
        <v>1225</v>
      </c>
      <c r="AD101" t="s">
        <v>1225</v>
      </c>
      <c r="AE101" t="s">
        <v>38</v>
      </c>
      <c r="AF101">
        <v>0</v>
      </c>
      <c r="AG101">
        <v>0</v>
      </c>
      <c r="AH101" t="s">
        <v>318</v>
      </c>
      <c r="AI101" t="s">
        <v>318</v>
      </c>
      <c r="AJ101">
        <v>-6.4946800000000001E-3</v>
      </c>
      <c r="AK101">
        <v>0</v>
      </c>
      <c r="AL101">
        <v>6.4946800000000001E-3</v>
      </c>
      <c r="AM101" t="s">
        <v>38</v>
      </c>
      <c r="AN101" t="s">
        <v>1225</v>
      </c>
      <c r="AO101" t="s">
        <v>1225</v>
      </c>
      <c r="AP101" t="s">
        <v>31</v>
      </c>
    </row>
    <row r="102" spans="1:43" x14ac:dyDescent="0.2">
      <c r="A102">
        <v>100</v>
      </c>
      <c r="B102">
        <v>224</v>
      </c>
      <c r="C102">
        <v>10</v>
      </c>
      <c r="D102">
        <v>206778937</v>
      </c>
      <c r="E102" t="s">
        <v>219</v>
      </c>
      <c r="F102" t="s">
        <v>103</v>
      </c>
      <c r="G102" t="s">
        <v>219</v>
      </c>
      <c r="H102">
        <v>0</v>
      </c>
      <c r="I102">
        <v>1.0558572985226037E-3</v>
      </c>
      <c r="J102">
        <v>0</v>
      </c>
      <c r="K102">
        <v>0</v>
      </c>
      <c r="L102" s="1">
        <v>2</v>
      </c>
      <c r="M102" s="1">
        <v>43024</v>
      </c>
      <c r="N102" s="1">
        <v>43021</v>
      </c>
      <c r="R102">
        <v>3.1982946450497839E-2</v>
      </c>
      <c r="S102">
        <v>3.1982946450497839E-2</v>
      </c>
      <c r="T102" t="s">
        <v>39</v>
      </c>
      <c r="U102" t="s">
        <v>39</v>
      </c>
      <c r="V102">
        <v>1242741415</v>
      </c>
      <c r="W102" t="s">
        <v>220</v>
      </c>
      <c r="X102" t="s">
        <v>352</v>
      </c>
      <c r="Y102">
        <v>206778937</v>
      </c>
      <c r="Z102" t="s">
        <v>31</v>
      </c>
      <c r="AA102">
        <v>6.8919089902816172E-2</v>
      </c>
      <c r="AB102">
        <v>6.01</v>
      </c>
      <c r="AC102" t="s">
        <v>47</v>
      </c>
      <c r="AD102" t="s">
        <v>1225</v>
      </c>
      <c r="AE102" t="s">
        <v>41</v>
      </c>
      <c r="AF102">
        <v>0</v>
      </c>
      <c r="AG102">
        <v>0</v>
      </c>
      <c r="AH102" t="s">
        <v>318</v>
      </c>
      <c r="AI102" t="s">
        <v>318</v>
      </c>
      <c r="AJ102">
        <v>3.3013134051198975E-2</v>
      </c>
      <c r="AK102">
        <v>6.1211674051198976E-2</v>
      </c>
      <c r="AL102">
        <v>2.8198540000000001E-2</v>
      </c>
      <c r="AM102" t="s">
        <v>41</v>
      </c>
      <c r="AO102" t="s">
        <v>1225</v>
      </c>
      <c r="AP102" t="s">
        <v>31</v>
      </c>
      <c r="AQ102">
        <v>0</v>
      </c>
    </row>
    <row r="103" spans="1:43" x14ac:dyDescent="0.2">
      <c r="A103">
        <v>101</v>
      </c>
      <c r="B103">
        <v>226</v>
      </c>
      <c r="C103">
        <v>10</v>
      </c>
      <c r="D103">
        <v>166994</v>
      </c>
      <c r="E103" t="s">
        <v>353</v>
      </c>
      <c r="F103" t="s">
        <v>103</v>
      </c>
      <c r="G103" t="s">
        <v>354</v>
      </c>
      <c r="H103">
        <v>0</v>
      </c>
      <c r="I103">
        <v>-5.3831580521007601E-5</v>
      </c>
      <c r="J103">
        <v>0</v>
      </c>
      <c r="K103">
        <v>0</v>
      </c>
      <c r="L103" s="1">
        <v>2</v>
      </c>
      <c r="M103" s="1">
        <v>43024</v>
      </c>
      <c r="N103" s="1">
        <v>43021</v>
      </c>
      <c r="R103">
        <v>-2.3777623229275988E-2</v>
      </c>
      <c r="S103">
        <v>-2.3777623229275988E-2</v>
      </c>
      <c r="T103" t="s">
        <v>39</v>
      </c>
      <c r="U103" t="s">
        <v>39</v>
      </c>
      <c r="V103">
        <v>1435552226</v>
      </c>
      <c r="W103" t="s">
        <v>355</v>
      </c>
      <c r="X103" t="s">
        <v>355</v>
      </c>
      <c r="Y103">
        <v>166994</v>
      </c>
      <c r="Z103" t="s">
        <v>31</v>
      </c>
      <c r="AA103">
        <v>-3.513754692730939E-3</v>
      </c>
      <c r="AB103">
        <v>8596.43</v>
      </c>
      <c r="AC103" t="s">
        <v>47</v>
      </c>
      <c r="AD103" t="s">
        <v>1225</v>
      </c>
      <c r="AE103" t="s">
        <v>57</v>
      </c>
      <c r="AF103">
        <v>0</v>
      </c>
      <c r="AG103">
        <v>0</v>
      </c>
      <c r="AH103" t="s">
        <v>318</v>
      </c>
      <c r="AI103" t="s">
        <v>318</v>
      </c>
      <c r="AJ103">
        <v>2.2639596902489373E-3</v>
      </c>
      <c r="AK103">
        <v>7.0708639690248931E-2</v>
      </c>
      <c r="AL103">
        <v>6.8444679999999994E-2</v>
      </c>
      <c r="AM103" t="s">
        <v>57</v>
      </c>
      <c r="AO103" t="s">
        <v>1225</v>
      </c>
      <c r="AP103" t="s">
        <v>31</v>
      </c>
      <c r="AQ103">
        <v>0</v>
      </c>
    </row>
    <row r="104" spans="1:43" x14ac:dyDescent="0.2">
      <c r="A104">
        <v>102</v>
      </c>
      <c r="B104">
        <v>228</v>
      </c>
      <c r="C104">
        <v>10</v>
      </c>
      <c r="F104" t="s">
        <v>103</v>
      </c>
      <c r="G104" t="s">
        <v>356</v>
      </c>
      <c r="I104">
        <v>4.1154699417655058E-5</v>
      </c>
      <c r="J104">
        <v>0</v>
      </c>
      <c r="K104">
        <v>0</v>
      </c>
      <c r="L104" s="1"/>
      <c r="M104" s="1"/>
      <c r="N104" s="1">
        <v>43021</v>
      </c>
      <c r="R104">
        <v>-1.7416955964321558E-2</v>
      </c>
      <c r="S104">
        <v>-1.7416955964321558E-2</v>
      </c>
      <c r="T104" t="s">
        <v>39</v>
      </c>
      <c r="U104" t="s">
        <v>39</v>
      </c>
      <c r="W104" t="s">
        <v>357</v>
      </c>
      <c r="Z104" t="s">
        <v>31</v>
      </c>
      <c r="AA104">
        <v>2.6862952342683695E-3</v>
      </c>
      <c r="AC104" t="s">
        <v>1225</v>
      </c>
      <c r="AD104" t="s">
        <v>1225</v>
      </c>
      <c r="AE104" t="s">
        <v>177</v>
      </c>
      <c r="AF104">
        <v>0</v>
      </c>
      <c r="AG104">
        <v>0</v>
      </c>
      <c r="AH104" t="s">
        <v>318</v>
      </c>
      <c r="AI104" t="s">
        <v>318</v>
      </c>
      <c r="AJ104">
        <v>-2.3629100000000002E-3</v>
      </c>
      <c r="AK104">
        <v>0</v>
      </c>
      <c r="AL104">
        <v>2.3629100000000002E-3</v>
      </c>
      <c r="AM104" t="s">
        <v>177</v>
      </c>
      <c r="AN104" t="s">
        <v>1225</v>
      </c>
      <c r="AO104" t="s">
        <v>1225</v>
      </c>
      <c r="AP104" t="s">
        <v>31</v>
      </c>
    </row>
    <row r="105" spans="1:43" x14ac:dyDescent="0.2">
      <c r="A105">
        <v>103</v>
      </c>
      <c r="B105">
        <v>460</v>
      </c>
      <c r="C105">
        <v>10</v>
      </c>
      <c r="F105" t="s">
        <v>103</v>
      </c>
      <c r="G105" t="s">
        <v>1245</v>
      </c>
      <c r="I105">
        <v>2.2906035799984942E-4</v>
      </c>
      <c r="J105">
        <v>0</v>
      </c>
      <c r="K105">
        <v>0</v>
      </c>
      <c r="L105" s="1"/>
      <c r="M105" s="1"/>
      <c r="N105" s="1">
        <v>43021</v>
      </c>
      <c r="R105">
        <v>-5.4827591835917067E-2</v>
      </c>
      <c r="S105">
        <v>-5.4827591835917067E-2</v>
      </c>
      <c r="T105" t="s">
        <v>39</v>
      </c>
      <c r="U105" t="s">
        <v>39</v>
      </c>
      <c r="W105" t="s">
        <v>1246</v>
      </c>
      <c r="Z105" t="s">
        <v>31</v>
      </c>
      <c r="AA105">
        <v>1.4951482012059911E-2</v>
      </c>
      <c r="AC105" t="s">
        <v>1225</v>
      </c>
      <c r="AD105" t="s">
        <v>1225</v>
      </c>
      <c r="AE105" t="s">
        <v>44</v>
      </c>
      <c r="AF105">
        <v>0</v>
      </c>
      <c r="AG105">
        <v>0</v>
      </c>
      <c r="AH105" t="s">
        <v>318</v>
      </c>
      <c r="AI105" t="s">
        <v>318</v>
      </c>
      <c r="AJ105">
        <v>-4.1778300000000004E-3</v>
      </c>
      <c r="AK105">
        <v>0</v>
      </c>
      <c r="AL105">
        <v>4.1778300000000004E-3</v>
      </c>
      <c r="AM105" t="s">
        <v>44</v>
      </c>
      <c r="AN105" t="s">
        <v>1225</v>
      </c>
      <c r="AO105" t="s">
        <v>1225</v>
      </c>
      <c r="AP105" t="s">
        <v>31</v>
      </c>
    </row>
    <row r="106" spans="1:43" x14ac:dyDescent="0.2">
      <c r="A106">
        <v>104</v>
      </c>
      <c r="B106">
        <v>235</v>
      </c>
      <c r="C106">
        <v>10</v>
      </c>
      <c r="F106" t="s">
        <v>103</v>
      </c>
      <c r="G106" t="s">
        <v>1247</v>
      </c>
      <c r="I106">
        <v>8.3171039116460553E-4</v>
      </c>
      <c r="J106">
        <v>0</v>
      </c>
      <c r="K106">
        <v>0</v>
      </c>
      <c r="L106" s="1"/>
      <c r="M106" s="1"/>
      <c r="N106" s="1">
        <v>43021</v>
      </c>
      <c r="R106">
        <v>-3.9235490251850559E-2</v>
      </c>
      <c r="S106">
        <v>-3.9235490251850559E-2</v>
      </c>
      <c r="T106" t="s">
        <v>39</v>
      </c>
      <c r="U106" t="s">
        <v>39</v>
      </c>
      <c r="W106" t="s">
        <v>358</v>
      </c>
      <c r="Z106" t="s">
        <v>31</v>
      </c>
      <c r="AA106">
        <v>5.4288324096433513E-2</v>
      </c>
      <c r="AC106" t="s">
        <v>1225</v>
      </c>
      <c r="AD106" t="s">
        <v>1225</v>
      </c>
      <c r="AE106" t="s">
        <v>35</v>
      </c>
      <c r="AF106">
        <v>0</v>
      </c>
      <c r="AG106">
        <v>0</v>
      </c>
      <c r="AH106" t="s">
        <v>318</v>
      </c>
      <c r="AI106" t="s">
        <v>318</v>
      </c>
      <c r="AJ106">
        <v>-2.119791E-2</v>
      </c>
      <c r="AK106">
        <v>0</v>
      </c>
      <c r="AL106">
        <v>2.119791E-2</v>
      </c>
      <c r="AM106" t="s">
        <v>35</v>
      </c>
      <c r="AN106" t="s">
        <v>1225</v>
      </c>
      <c r="AO106" t="s">
        <v>1225</v>
      </c>
      <c r="AP106" t="s">
        <v>31</v>
      </c>
    </row>
    <row r="107" spans="1:43" x14ac:dyDescent="0.2">
      <c r="A107">
        <v>105</v>
      </c>
      <c r="B107">
        <v>259</v>
      </c>
      <c r="C107">
        <v>10</v>
      </c>
      <c r="F107" t="s">
        <v>103</v>
      </c>
      <c r="G107" t="s">
        <v>359</v>
      </c>
      <c r="I107">
        <v>4.688149022646217E-4</v>
      </c>
      <c r="J107">
        <v>0</v>
      </c>
      <c r="K107">
        <v>0</v>
      </c>
      <c r="L107" s="1"/>
      <c r="M107" s="1"/>
      <c r="N107" s="1">
        <v>43021</v>
      </c>
      <c r="R107">
        <v>-4.3485410149979239E-2</v>
      </c>
      <c r="S107">
        <v>-4.3485410149979239E-2</v>
      </c>
      <c r="T107" t="s">
        <v>39</v>
      </c>
      <c r="U107" t="s">
        <v>39</v>
      </c>
      <c r="W107" t="s">
        <v>360</v>
      </c>
      <c r="Z107" t="s">
        <v>31</v>
      </c>
      <c r="AA107">
        <v>3.0601006823711176E-2</v>
      </c>
      <c r="AC107" t="s">
        <v>1225</v>
      </c>
      <c r="AD107" t="s">
        <v>1225</v>
      </c>
      <c r="AE107" t="s">
        <v>38</v>
      </c>
      <c r="AF107">
        <v>0</v>
      </c>
      <c r="AG107">
        <v>0</v>
      </c>
      <c r="AH107" t="s">
        <v>318</v>
      </c>
      <c r="AI107" t="s">
        <v>318</v>
      </c>
      <c r="AJ107">
        <v>-1.0780970000000001E-2</v>
      </c>
      <c r="AK107">
        <v>0</v>
      </c>
      <c r="AL107">
        <v>1.0780970000000001E-2</v>
      </c>
      <c r="AM107" t="s">
        <v>38</v>
      </c>
      <c r="AN107" t="s">
        <v>1225</v>
      </c>
      <c r="AO107" t="s">
        <v>1225</v>
      </c>
      <c r="AP107" t="s">
        <v>31</v>
      </c>
    </row>
    <row r="108" spans="1:43" x14ac:dyDescent="0.2">
      <c r="A108">
        <v>106</v>
      </c>
      <c r="B108">
        <v>241</v>
      </c>
      <c r="C108">
        <v>10</v>
      </c>
      <c r="F108" t="s">
        <v>103</v>
      </c>
      <c r="G108" t="s">
        <v>225</v>
      </c>
      <c r="I108">
        <v>4.2723392521239634E-4</v>
      </c>
      <c r="J108">
        <v>0</v>
      </c>
      <c r="K108">
        <v>0</v>
      </c>
      <c r="L108" s="1"/>
      <c r="M108" s="1"/>
      <c r="N108" s="1">
        <v>43021</v>
      </c>
      <c r="R108">
        <v>-4.1209241365738308E-2</v>
      </c>
      <c r="S108">
        <v>-4.1209241365738308E-2</v>
      </c>
      <c r="T108" t="s">
        <v>39</v>
      </c>
      <c r="U108" t="s">
        <v>39</v>
      </c>
      <c r="W108" t="s">
        <v>226</v>
      </c>
      <c r="Z108" t="s">
        <v>31</v>
      </c>
      <c r="AA108">
        <v>2.7886887122384976E-2</v>
      </c>
      <c r="AC108" t="s">
        <v>1225</v>
      </c>
      <c r="AD108" t="s">
        <v>1225</v>
      </c>
      <c r="AE108" t="s">
        <v>41</v>
      </c>
      <c r="AF108">
        <v>0</v>
      </c>
      <c r="AG108">
        <v>0</v>
      </c>
      <c r="AH108" t="s">
        <v>318</v>
      </c>
      <c r="AI108" t="s">
        <v>318</v>
      </c>
      <c r="AJ108">
        <v>-1.036743E-2</v>
      </c>
      <c r="AK108">
        <v>0</v>
      </c>
      <c r="AL108">
        <v>1.036743E-2</v>
      </c>
      <c r="AM108" t="s">
        <v>41</v>
      </c>
      <c r="AN108" t="s">
        <v>1225</v>
      </c>
      <c r="AO108" t="s">
        <v>1225</v>
      </c>
      <c r="AP108" t="s">
        <v>31</v>
      </c>
    </row>
    <row r="109" spans="1:43" x14ac:dyDescent="0.2">
      <c r="A109">
        <v>107</v>
      </c>
      <c r="B109">
        <v>242</v>
      </c>
      <c r="C109">
        <v>10</v>
      </c>
      <c r="F109" t="s">
        <v>103</v>
      </c>
      <c r="G109" t="s">
        <v>361</v>
      </c>
      <c r="I109">
        <v>2.797261042754682E-4</v>
      </c>
      <c r="J109">
        <v>0</v>
      </c>
      <c r="K109">
        <v>0</v>
      </c>
      <c r="L109" s="1"/>
      <c r="M109" s="1"/>
      <c r="N109" s="1">
        <v>43021</v>
      </c>
      <c r="R109">
        <v>-5.694587374860411E-2</v>
      </c>
      <c r="S109">
        <v>-5.694587374860411E-2</v>
      </c>
      <c r="T109" t="s">
        <v>39</v>
      </c>
      <c r="U109" t="s">
        <v>39</v>
      </c>
      <c r="W109" t="s">
        <v>362</v>
      </c>
      <c r="Z109" t="s">
        <v>31</v>
      </c>
      <c r="AA109">
        <v>1.8258592856914189E-2</v>
      </c>
      <c r="AC109" t="s">
        <v>1225</v>
      </c>
      <c r="AD109" t="s">
        <v>1225</v>
      </c>
      <c r="AE109" t="s">
        <v>44</v>
      </c>
      <c r="AF109">
        <v>0</v>
      </c>
      <c r="AG109">
        <v>0</v>
      </c>
      <c r="AH109" t="s">
        <v>318</v>
      </c>
      <c r="AI109" t="s">
        <v>318</v>
      </c>
      <c r="AJ109">
        <v>-4.9121399999999997E-3</v>
      </c>
      <c r="AK109">
        <v>0</v>
      </c>
      <c r="AL109">
        <v>4.9121399999999997E-3</v>
      </c>
      <c r="AM109" t="s">
        <v>44</v>
      </c>
      <c r="AN109" t="s">
        <v>1225</v>
      </c>
      <c r="AO109" t="s">
        <v>1225</v>
      </c>
      <c r="AP109" t="s">
        <v>31</v>
      </c>
    </row>
    <row r="110" spans="1:43" x14ac:dyDescent="0.2">
      <c r="A110">
        <v>108</v>
      </c>
      <c r="B110">
        <v>243</v>
      </c>
      <c r="C110">
        <v>10</v>
      </c>
      <c r="F110" t="s">
        <v>103</v>
      </c>
      <c r="G110" t="s">
        <v>256</v>
      </c>
      <c r="I110">
        <v>-9.9453365583661193E-4</v>
      </c>
      <c r="J110">
        <v>0</v>
      </c>
      <c r="K110">
        <v>0</v>
      </c>
      <c r="L110" s="1"/>
      <c r="M110" s="1"/>
      <c r="N110" s="1">
        <v>43021</v>
      </c>
      <c r="R110">
        <v>6.2166512844599106E-2</v>
      </c>
      <c r="S110">
        <v>6.2166512844599106E-2</v>
      </c>
      <c r="T110" t="s">
        <v>39</v>
      </c>
      <c r="U110" t="s">
        <v>39</v>
      </c>
      <c r="W110" t="s">
        <v>248</v>
      </c>
      <c r="Z110" t="s">
        <v>31</v>
      </c>
      <c r="AA110">
        <v>-6.4916305010049191E-2</v>
      </c>
      <c r="AC110" t="s">
        <v>1225</v>
      </c>
      <c r="AD110" t="s">
        <v>1225</v>
      </c>
      <c r="AE110" t="s">
        <v>41</v>
      </c>
      <c r="AF110">
        <v>0</v>
      </c>
      <c r="AG110">
        <v>0</v>
      </c>
      <c r="AH110" t="s">
        <v>318</v>
      </c>
      <c r="AI110" t="s">
        <v>318</v>
      </c>
      <c r="AJ110">
        <v>-1.5997899999999999E-2</v>
      </c>
      <c r="AK110">
        <v>0</v>
      </c>
      <c r="AL110">
        <v>1.5997899999999999E-2</v>
      </c>
      <c r="AM110" t="s">
        <v>41</v>
      </c>
      <c r="AN110" t="s">
        <v>1225</v>
      </c>
      <c r="AO110" t="s">
        <v>1225</v>
      </c>
      <c r="AP110" t="s">
        <v>31</v>
      </c>
    </row>
    <row r="111" spans="1:43" x14ac:dyDescent="0.2">
      <c r="A111">
        <v>109</v>
      </c>
      <c r="B111">
        <v>244</v>
      </c>
      <c r="C111">
        <v>10</v>
      </c>
      <c r="D111">
        <v>273688</v>
      </c>
      <c r="E111" t="s">
        <v>363</v>
      </c>
      <c r="F111" t="s">
        <v>103</v>
      </c>
      <c r="G111" t="s">
        <v>363</v>
      </c>
      <c r="H111">
        <v>0</v>
      </c>
      <c r="I111">
        <v>9.3920649469252527E-4</v>
      </c>
      <c r="J111">
        <v>0</v>
      </c>
      <c r="K111">
        <v>0</v>
      </c>
      <c r="L111" s="1">
        <v>2</v>
      </c>
      <c r="M111" s="1">
        <v>43024</v>
      </c>
      <c r="N111" s="1">
        <v>43021</v>
      </c>
      <c r="R111">
        <v>8.33457310501656E-2</v>
      </c>
      <c r="S111">
        <v>8.33457310501656E-2</v>
      </c>
      <c r="T111" t="s">
        <v>39</v>
      </c>
      <c r="U111" t="s">
        <v>39</v>
      </c>
      <c r="V111">
        <v>345908789</v>
      </c>
      <c r="W111" t="s">
        <v>364</v>
      </c>
      <c r="X111" t="s">
        <v>364</v>
      </c>
      <c r="Y111">
        <v>273688</v>
      </c>
      <c r="Z111" t="s">
        <v>31</v>
      </c>
      <c r="AA111">
        <v>6.1304929118352135E-2</v>
      </c>
      <c r="AB111">
        <v>1263.8800000000001</v>
      </c>
      <c r="AC111" t="s">
        <v>47</v>
      </c>
      <c r="AD111" t="s">
        <v>1225</v>
      </c>
      <c r="AE111" t="s">
        <v>44</v>
      </c>
      <c r="AF111">
        <v>0</v>
      </c>
      <c r="AG111">
        <v>0</v>
      </c>
      <c r="AH111" t="s">
        <v>318</v>
      </c>
      <c r="AI111" t="s">
        <v>318</v>
      </c>
      <c r="AJ111">
        <v>1.1268801447397697E-2</v>
      </c>
      <c r="AK111">
        <v>1.7037861447397697E-2</v>
      </c>
      <c r="AL111">
        <v>5.7690600000000003E-3</v>
      </c>
      <c r="AM111" t="s">
        <v>44</v>
      </c>
      <c r="AO111" t="s">
        <v>1225</v>
      </c>
      <c r="AP111" t="s">
        <v>31</v>
      </c>
      <c r="AQ111">
        <v>0</v>
      </c>
    </row>
    <row r="112" spans="1:43" x14ac:dyDescent="0.2">
      <c r="A112">
        <v>110</v>
      </c>
      <c r="B112">
        <v>258</v>
      </c>
      <c r="C112">
        <v>10</v>
      </c>
      <c r="D112">
        <v>576911</v>
      </c>
      <c r="E112" t="s">
        <v>1663</v>
      </c>
      <c r="F112" t="s">
        <v>103</v>
      </c>
      <c r="G112" t="s">
        <v>1664</v>
      </c>
      <c r="H112">
        <v>0</v>
      </c>
      <c r="I112">
        <v>4.9887181001149626E-4</v>
      </c>
      <c r="J112">
        <v>0</v>
      </c>
      <c r="K112">
        <v>0</v>
      </c>
      <c r="L112" s="1">
        <v>2</v>
      </c>
      <c r="M112" s="1">
        <v>43024</v>
      </c>
      <c r="N112" s="1">
        <v>43021</v>
      </c>
      <c r="R112">
        <v>-2.9426931889164325E-2</v>
      </c>
      <c r="S112">
        <v>-2.9426931889164325E-2</v>
      </c>
      <c r="T112" t="s">
        <v>39</v>
      </c>
      <c r="U112" t="s">
        <v>39</v>
      </c>
      <c r="V112">
        <v>173702132</v>
      </c>
      <c r="W112" t="s">
        <v>229</v>
      </c>
      <c r="X112" t="s">
        <v>1665</v>
      </c>
      <c r="Y112">
        <v>576911</v>
      </c>
      <c r="Z112" t="s">
        <v>31</v>
      </c>
      <c r="AA112">
        <v>3.2562914678215767E-2</v>
      </c>
      <c r="AB112">
        <v>301.08999999999997</v>
      </c>
      <c r="AC112" t="s">
        <v>47</v>
      </c>
      <c r="AD112" t="s">
        <v>1225</v>
      </c>
      <c r="AE112" t="s">
        <v>41</v>
      </c>
      <c r="AF112">
        <v>0</v>
      </c>
      <c r="AG112">
        <v>0</v>
      </c>
      <c r="AH112" t="s">
        <v>318</v>
      </c>
      <c r="AI112" t="s">
        <v>318</v>
      </c>
      <c r="AJ112">
        <v>-1.6952899197594989E-2</v>
      </c>
      <c r="AK112">
        <v>8.5557608024050113E-3</v>
      </c>
      <c r="AL112">
        <v>2.5508659999999999E-2</v>
      </c>
      <c r="AM112" t="s">
        <v>41</v>
      </c>
      <c r="AO112" t="s">
        <v>1225</v>
      </c>
      <c r="AP112" t="s">
        <v>31</v>
      </c>
      <c r="AQ112">
        <v>0</v>
      </c>
    </row>
    <row r="113" spans="1:43" x14ac:dyDescent="0.2">
      <c r="A113">
        <v>111</v>
      </c>
      <c r="B113">
        <v>245</v>
      </c>
      <c r="C113">
        <v>10</v>
      </c>
      <c r="F113" t="s">
        <v>103</v>
      </c>
      <c r="G113" t="s">
        <v>365</v>
      </c>
      <c r="I113">
        <v>3.1179953510461099E-4</v>
      </c>
      <c r="J113">
        <v>0</v>
      </c>
      <c r="K113">
        <v>0</v>
      </c>
      <c r="L113" s="1"/>
      <c r="M113" s="1"/>
      <c r="N113" s="1">
        <v>43021</v>
      </c>
      <c r="R113">
        <v>-5.4049756897874064E-2</v>
      </c>
      <c r="S113">
        <v>-5.4049756897874064E-2</v>
      </c>
      <c r="T113" t="s">
        <v>39</v>
      </c>
      <c r="U113" t="s">
        <v>39</v>
      </c>
      <c r="W113" t="s">
        <v>366</v>
      </c>
      <c r="Z113" t="s">
        <v>31</v>
      </c>
      <c r="AA113">
        <v>2.0352125444981179E-2</v>
      </c>
      <c r="AC113" t="s">
        <v>1225</v>
      </c>
      <c r="AD113" t="s">
        <v>1225</v>
      </c>
      <c r="AE113" t="s">
        <v>44</v>
      </c>
      <c r="AF113">
        <v>0</v>
      </c>
      <c r="AG113">
        <v>0</v>
      </c>
      <c r="AH113" t="s">
        <v>318</v>
      </c>
      <c r="AI113" t="s">
        <v>318</v>
      </c>
      <c r="AJ113">
        <v>-5.7687499999999996E-3</v>
      </c>
      <c r="AK113">
        <v>0</v>
      </c>
      <c r="AL113">
        <v>5.7687499999999996E-3</v>
      </c>
      <c r="AM113" t="s">
        <v>44</v>
      </c>
      <c r="AN113" t="s">
        <v>1225</v>
      </c>
      <c r="AO113" t="s">
        <v>1225</v>
      </c>
      <c r="AP113" t="s">
        <v>31</v>
      </c>
    </row>
    <row r="114" spans="1:43" x14ac:dyDescent="0.2">
      <c r="A114">
        <v>112</v>
      </c>
      <c r="B114">
        <v>247</v>
      </c>
      <c r="C114">
        <v>10</v>
      </c>
      <c r="F114" t="s">
        <v>103</v>
      </c>
      <c r="G114" t="s">
        <v>367</v>
      </c>
      <c r="I114">
        <v>7.3063891107559478E-4</v>
      </c>
      <c r="J114">
        <v>0</v>
      </c>
      <c r="K114">
        <v>0</v>
      </c>
      <c r="L114" s="1"/>
      <c r="M114" s="1"/>
      <c r="N114" s="1">
        <v>43021</v>
      </c>
      <c r="R114">
        <v>-6.0629255258772129E-2</v>
      </c>
      <c r="S114">
        <v>-6.0629255258772129E-2</v>
      </c>
      <c r="T114" t="s">
        <v>39</v>
      </c>
      <c r="U114" t="s">
        <v>39</v>
      </c>
      <c r="W114" t="s">
        <v>368</v>
      </c>
      <c r="Z114" t="s">
        <v>31</v>
      </c>
      <c r="AA114">
        <v>4.7691074228850099E-2</v>
      </c>
      <c r="AC114" t="s">
        <v>1225</v>
      </c>
      <c r="AD114" t="s">
        <v>1225</v>
      </c>
      <c r="AE114" t="s">
        <v>179</v>
      </c>
      <c r="AF114">
        <v>0</v>
      </c>
      <c r="AG114">
        <v>0</v>
      </c>
      <c r="AH114" t="s">
        <v>318</v>
      </c>
      <c r="AI114" t="s">
        <v>318</v>
      </c>
      <c r="AJ114">
        <v>-1.205093E-2</v>
      </c>
      <c r="AK114">
        <v>0</v>
      </c>
      <c r="AL114">
        <v>1.205093E-2</v>
      </c>
      <c r="AM114" t="s">
        <v>179</v>
      </c>
      <c r="AN114" t="s">
        <v>1225</v>
      </c>
      <c r="AO114" t="s">
        <v>1225</v>
      </c>
      <c r="AP114" t="s">
        <v>31</v>
      </c>
    </row>
    <row r="115" spans="1:43" x14ac:dyDescent="0.2">
      <c r="A115">
        <v>113</v>
      </c>
      <c r="B115">
        <v>248</v>
      </c>
      <c r="C115">
        <v>10</v>
      </c>
      <c r="D115">
        <v>42965</v>
      </c>
      <c r="E115" t="s">
        <v>369</v>
      </c>
      <c r="F115" t="s">
        <v>103</v>
      </c>
      <c r="G115" t="s">
        <v>370</v>
      </c>
      <c r="H115">
        <v>0</v>
      </c>
      <c r="I115">
        <v>4.0355504774369262E-4</v>
      </c>
      <c r="J115">
        <v>0</v>
      </c>
      <c r="K115">
        <v>0</v>
      </c>
      <c r="L115" s="1">
        <v>2</v>
      </c>
      <c r="M115" s="1">
        <v>43024</v>
      </c>
      <c r="N115" s="1">
        <v>43021</v>
      </c>
      <c r="R115">
        <v>1.6686370147219073E-2</v>
      </c>
      <c r="S115">
        <v>1.6686370147219073E-2</v>
      </c>
      <c r="T115" t="s">
        <v>39</v>
      </c>
      <c r="U115" t="s">
        <v>39</v>
      </c>
      <c r="V115">
        <v>1615198706</v>
      </c>
      <c r="W115" t="s">
        <v>371</v>
      </c>
      <c r="X115" t="s">
        <v>372</v>
      </c>
      <c r="Y115">
        <v>42965</v>
      </c>
      <c r="Z115" t="s">
        <v>31</v>
      </c>
      <c r="AA115">
        <v>2.6341293141695716E-2</v>
      </c>
      <c r="AB115">
        <v>37593.360000000001</v>
      </c>
      <c r="AC115" t="s">
        <v>47</v>
      </c>
      <c r="AD115" t="s">
        <v>1225</v>
      </c>
      <c r="AE115" t="s">
        <v>177</v>
      </c>
      <c r="AF115">
        <v>0</v>
      </c>
      <c r="AG115">
        <v>0</v>
      </c>
      <c r="AH115" t="s">
        <v>318</v>
      </c>
      <c r="AI115" t="s">
        <v>318</v>
      </c>
      <c r="AJ115">
        <v>2.4184711485076851E-2</v>
      </c>
      <c r="AK115">
        <v>7.9557191485076853E-2</v>
      </c>
      <c r="AL115">
        <v>5.5372480000000002E-2</v>
      </c>
      <c r="AM115" t="s">
        <v>177</v>
      </c>
      <c r="AO115" t="s">
        <v>1225</v>
      </c>
      <c r="AP115" t="s">
        <v>31</v>
      </c>
      <c r="AQ115">
        <v>0</v>
      </c>
    </row>
    <row r="116" spans="1:43" x14ac:dyDescent="0.2">
      <c r="A116">
        <v>114</v>
      </c>
      <c r="B116">
        <v>510</v>
      </c>
      <c r="C116">
        <v>10</v>
      </c>
      <c r="D116">
        <v>179821</v>
      </c>
      <c r="E116" t="s">
        <v>373</v>
      </c>
      <c r="F116" t="s">
        <v>103</v>
      </c>
      <c r="G116" t="s">
        <v>373</v>
      </c>
      <c r="H116">
        <v>0</v>
      </c>
      <c r="I116">
        <v>-1.9274703932492437E-4</v>
      </c>
      <c r="J116">
        <v>0</v>
      </c>
      <c r="L116" s="1">
        <v>2</v>
      </c>
      <c r="M116" s="1">
        <v>43024</v>
      </c>
      <c r="N116" s="1"/>
      <c r="R116">
        <v>-2.5892050106102585E-2</v>
      </c>
      <c r="T116" t="s">
        <v>39</v>
      </c>
      <c r="V116">
        <v>151135954</v>
      </c>
      <c r="W116" t="s">
        <v>374</v>
      </c>
      <c r="X116" t="s">
        <v>375</v>
      </c>
      <c r="Y116">
        <v>179821</v>
      </c>
      <c r="Z116" t="s">
        <v>31</v>
      </c>
      <c r="AA116">
        <v>-1.2581198756994457E-2</v>
      </c>
      <c r="AB116">
        <v>840.48</v>
      </c>
      <c r="AC116" t="s">
        <v>54</v>
      </c>
      <c r="AE116" t="s">
        <v>56</v>
      </c>
      <c r="AF116">
        <v>0</v>
      </c>
      <c r="AH116" t="s">
        <v>318</v>
      </c>
      <c r="AJ116">
        <v>7.4442556126328198E-3</v>
      </c>
      <c r="AK116">
        <v>7.4442556126328198E-3</v>
      </c>
      <c r="AL116">
        <v>0</v>
      </c>
      <c r="AN116" t="s">
        <v>154</v>
      </c>
      <c r="AQ116">
        <v>0</v>
      </c>
    </row>
    <row r="117" spans="1:43" x14ac:dyDescent="0.2">
      <c r="A117">
        <v>115</v>
      </c>
      <c r="B117">
        <v>250</v>
      </c>
      <c r="C117">
        <v>10</v>
      </c>
      <c r="F117" t="s">
        <v>103</v>
      </c>
      <c r="G117" t="s">
        <v>1248</v>
      </c>
      <c r="I117">
        <v>3.4339731725390637E-4</v>
      </c>
      <c r="J117">
        <v>0</v>
      </c>
      <c r="K117">
        <v>0</v>
      </c>
      <c r="L117" s="1"/>
      <c r="M117" s="1"/>
      <c r="N117" s="1">
        <v>43021</v>
      </c>
      <c r="R117">
        <v>-4.0843484884451095E-2</v>
      </c>
      <c r="S117">
        <v>-4.0843484884451095E-2</v>
      </c>
      <c r="T117" t="s">
        <v>39</v>
      </c>
      <c r="U117" t="s">
        <v>39</v>
      </c>
      <c r="W117" t="s">
        <v>1249</v>
      </c>
      <c r="Z117" t="s">
        <v>31</v>
      </c>
      <c r="AA117">
        <v>2.2414610964306563E-2</v>
      </c>
      <c r="AC117" t="s">
        <v>1225</v>
      </c>
      <c r="AD117" t="s">
        <v>1225</v>
      </c>
      <c r="AE117" t="s">
        <v>44</v>
      </c>
      <c r="AF117">
        <v>0</v>
      </c>
      <c r="AG117">
        <v>0</v>
      </c>
      <c r="AH117" t="s">
        <v>318</v>
      </c>
      <c r="AI117" t="s">
        <v>318</v>
      </c>
      <c r="AJ117">
        <v>-8.4076399999999992E-3</v>
      </c>
      <c r="AK117">
        <v>0</v>
      </c>
      <c r="AL117">
        <v>8.4076399999999992E-3</v>
      </c>
      <c r="AM117" t="s">
        <v>44</v>
      </c>
      <c r="AN117" t="s">
        <v>1225</v>
      </c>
      <c r="AO117" t="s">
        <v>1225</v>
      </c>
      <c r="AP117" t="s">
        <v>31</v>
      </c>
    </row>
    <row r="118" spans="1:43" x14ac:dyDescent="0.2">
      <c r="A118">
        <v>116</v>
      </c>
      <c r="B118">
        <v>188</v>
      </c>
      <c r="C118">
        <v>14</v>
      </c>
      <c r="D118">
        <v>598604</v>
      </c>
      <c r="E118" t="s">
        <v>376</v>
      </c>
      <c r="F118" t="s">
        <v>104</v>
      </c>
      <c r="G118" t="s">
        <v>376</v>
      </c>
      <c r="H118">
        <v>0</v>
      </c>
      <c r="I118">
        <v>3.7907535270580539E-3</v>
      </c>
      <c r="J118">
        <v>0</v>
      </c>
      <c r="L118" s="1">
        <v>2</v>
      </c>
      <c r="M118" s="1">
        <v>43024</v>
      </c>
      <c r="N118" s="1"/>
      <c r="R118">
        <v>0.19546816709924683</v>
      </c>
      <c r="T118" t="s">
        <v>39</v>
      </c>
      <c r="V118">
        <v>197192130</v>
      </c>
      <c r="W118" t="s">
        <v>377</v>
      </c>
      <c r="X118" t="s">
        <v>378</v>
      </c>
      <c r="Y118">
        <v>598604</v>
      </c>
      <c r="Z118" t="s">
        <v>31</v>
      </c>
      <c r="AA118">
        <v>4.9470260395683176E-2</v>
      </c>
      <c r="AB118">
        <v>329.42</v>
      </c>
      <c r="AC118" t="s">
        <v>47</v>
      </c>
      <c r="AE118" t="s">
        <v>35</v>
      </c>
      <c r="AF118">
        <v>0</v>
      </c>
      <c r="AH118" t="s">
        <v>318</v>
      </c>
      <c r="AJ118">
        <v>1.9393201375512668E-2</v>
      </c>
      <c r="AK118">
        <v>1.9393201375512668E-2</v>
      </c>
      <c r="AL118">
        <v>0</v>
      </c>
      <c r="AQ118">
        <v>0</v>
      </c>
    </row>
    <row r="119" spans="1:43" x14ac:dyDescent="0.2">
      <c r="A119">
        <v>117</v>
      </c>
      <c r="B119">
        <v>198</v>
      </c>
      <c r="C119">
        <v>14</v>
      </c>
      <c r="D119">
        <v>637411</v>
      </c>
      <c r="E119" t="s">
        <v>379</v>
      </c>
      <c r="F119" t="s">
        <v>104</v>
      </c>
      <c r="G119" t="s">
        <v>379</v>
      </c>
      <c r="H119">
        <v>0</v>
      </c>
      <c r="I119">
        <v>-9.5053550771371609E-4</v>
      </c>
      <c r="J119">
        <v>0</v>
      </c>
      <c r="L119" s="1">
        <v>2</v>
      </c>
      <c r="M119" s="1">
        <v>43024</v>
      </c>
      <c r="N119" s="1"/>
      <c r="R119">
        <v>-1.8667598359654883E-2</v>
      </c>
      <c r="T119" t="s">
        <v>39</v>
      </c>
      <c r="V119">
        <v>517749833</v>
      </c>
      <c r="W119" t="s">
        <v>379</v>
      </c>
      <c r="X119" t="s">
        <v>380</v>
      </c>
      <c r="Y119">
        <v>637411</v>
      </c>
      <c r="Z119" t="s">
        <v>31</v>
      </c>
      <c r="AA119">
        <v>-1.2404720788701466E-2</v>
      </c>
      <c r="AB119">
        <v>812.27</v>
      </c>
      <c r="AC119" t="s">
        <v>47</v>
      </c>
      <c r="AE119" t="s">
        <v>44</v>
      </c>
      <c r="AF119">
        <v>0</v>
      </c>
      <c r="AH119" t="s">
        <v>318</v>
      </c>
      <c r="AJ119">
        <v>5.0919003580452496E-2</v>
      </c>
      <c r="AK119">
        <v>5.0919003580452496E-2</v>
      </c>
      <c r="AL119">
        <v>0</v>
      </c>
      <c r="AQ119">
        <v>0</v>
      </c>
    </row>
    <row r="120" spans="1:43" x14ac:dyDescent="0.2">
      <c r="A120">
        <v>118</v>
      </c>
      <c r="B120">
        <v>205</v>
      </c>
      <c r="C120">
        <v>14</v>
      </c>
      <c r="D120">
        <v>97826</v>
      </c>
      <c r="E120" t="s">
        <v>337</v>
      </c>
      <c r="F120" t="s">
        <v>104</v>
      </c>
      <c r="G120" t="s">
        <v>337</v>
      </c>
      <c r="H120">
        <v>0</v>
      </c>
      <c r="I120">
        <v>3.753829242862064E-3</v>
      </c>
      <c r="J120">
        <v>0</v>
      </c>
      <c r="L120" s="1">
        <v>2</v>
      </c>
      <c r="M120" s="1">
        <v>43024</v>
      </c>
      <c r="N120" s="1"/>
      <c r="R120">
        <v>5.6195946816157402E-2</v>
      </c>
      <c r="T120" t="s">
        <v>39</v>
      </c>
      <c r="V120">
        <v>679218633</v>
      </c>
      <c r="W120" t="s">
        <v>337</v>
      </c>
      <c r="X120" t="s">
        <v>338</v>
      </c>
      <c r="Y120">
        <v>97826</v>
      </c>
      <c r="Z120" t="s">
        <v>31</v>
      </c>
      <c r="AA120">
        <v>4.8988389458661991E-2</v>
      </c>
      <c r="AB120">
        <v>6943.13</v>
      </c>
      <c r="AC120" t="s">
        <v>47</v>
      </c>
      <c r="AE120" t="s">
        <v>44</v>
      </c>
      <c r="AF120">
        <v>0</v>
      </c>
      <c r="AH120" t="s">
        <v>318</v>
      </c>
      <c r="AJ120">
        <v>6.6798932228022662E-2</v>
      </c>
      <c r="AK120">
        <v>6.6798932228022662E-2</v>
      </c>
      <c r="AL120">
        <v>0</v>
      </c>
      <c r="AQ120">
        <v>0</v>
      </c>
    </row>
    <row r="121" spans="1:43" x14ac:dyDescent="0.2">
      <c r="A121">
        <v>119</v>
      </c>
      <c r="B121">
        <v>207</v>
      </c>
      <c r="C121">
        <v>14</v>
      </c>
      <c r="D121">
        <v>73964</v>
      </c>
      <c r="E121" t="s">
        <v>1234</v>
      </c>
      <c r="F121" t="s">
        <v>104</v>
      </c>
      <c r="G121" t="s">
        <v>1234</v>
      </c>
      <c r="H121">
        <v>0</v>
      </c>
      <c r="I121">
        <v>5.5790307770360039E-4</v>
      </c>
      <c r="J121">
        <v>0</v>
      </c>
      <c r="L121" s="1">
        <v>2</v>
      </c>
      <c r="M121" s="1">
        <v>43024</v>
      </c>
      <c r="N121" s="1"/>
      <c r="R121">
        <v>5.7755947658752152E-2</v>
      </c>
      <c r="T121" t="s">
        <v>39</v>
      </c>
      <c r="V121">
        <v>98220494</v>
      </c>
      <c r="W121" t="s">
        <v>1234</v>
      </c>
      <c r="X121" t="s">
        <v>1234</v>
      </c>
      <c r="Y121">
        <v>73964</v>
      </c>
      <c r="Z121" t="s">
        <v>31</v>
      </c>
      <c r="AA121">
        <v>7.2807715755051515E-3</v>
      </c>
      <c r="AB121">
        <v>1327.95</v>
      </c>
      <c r="AC121" t="s">
        <v>47</v>
      </c>
      <c r="AE121" t="s">
        <v>175</v>
      </c>
      <c r="AF121">
        <v>0</v>
      </c>
      <c r="AH121" t="s">
        <v>318</v>
      </c>
      <c r="AJ121">
        <v>9.6596645076268191E-3</v>
      </c>
      <c r="AK121">
        <v>9.6596645076268191E-3</v>
      </c>
      <c r="AL121">
        <v>0</v>
      </c>
      <c r="AQ121">
        <v>0</v>
      </c>
    </row>
    <row r="122" spans="1:43" x14ac:dyDescent="0.2">
      <c r="A122">
        <v>120</v>
      </c>
      <c r="B122">
        <v>208</v>
      </c>
      <c r="C122">
        <v>14</v>
      </c>
      <c r="D122">
        <v>300019</v>
      </c>
      <c r="E122" t="s">
        <v>339</v>
      </c>
      <c r="F122" t="s">
        <v>104</v>
      </c>
      <c r="G122" t="s">
        <v>340</v>
      </c>
      <c r="H122">
        <v>0</v>
      </c>
      <c r="I122">
        <v>2.3438049022459534E-3</v>
      </c>
      <c r="J122">
        <v>0</v>
      </c>
      <c r="L122" s="1">
        <v>2</v>
      </c>
      <c r="M122" s="1">
        <v>43024</v>
      </c>
      <c r="N122" s="1"/>
      <c r="R122">
        <v>4.7782846002200542E-2</v>
      </c>
      <c r="T122" t="s">
        <v>39</v>
      </c>
      <c r="V122">
        <v>498757588</v>
      </c>
      <c r="W122" t="s">
        <v>341</v>
      </c>
      <c r="X122" t="s">
        <v>341</v>
      </c>
      <c r="Y122">
        <v>300019</v>
      </c>
      <c r="Z122" t="s">
        <v>31</v>
      </c>
      <c r="AA122">
        <v>3.058722705212967E-2</v>
      </c>
      <c r="AB122">
        <v>1662.42</v>
      </c>
      <c r="AC122" t="s">
        <v>47</v>
      </c>
      <c r="AE122" t="s">
        <v>35</v>
      </c>
      <c r="AF122">
        <v>0</v>
      </c>
      <c r="AH122" t="s">
        <v>318</v>
      </c>
      <c r="AJ122">
        <v>4.9051178369283702E-2</v>
      </c>
      <c r="AK122">
        <v>4.9051178369283702E-2</v>
      </c>
      <c r="AL122">
        <v>0</v>
      </c>
      <c r="AQ122">
        <v>0</v>
      </c>
    </row>
    <row r="123" spans="1:43" x14ac:dyDescent="0.2">
      <c r="A123">
        <v>121</v>
      </c>
      <c r="B123">
        <v>212</v>
      </c>
      <c r="C123">
        <v>14</v>
      </c>
      <c r="D123">
        <v>179174</v>
      </c>
      <c r="E123" t="s">
        <v>1239</v>
      </c>
      <c r="F123" t="s">
        <v>104</v>
      </c>
      <c r="G123" t="s">
        <v>1239</v>
      </c>
      <c r="H123">
        <v>0</v>
      </c>
      <c r="I123">
        <v>3.3128252882760551E-3</v>
      </c>
      <c r="J123">
        <v>0</v>
      </c>
      <c r="L123" s="1">
        <v>2</v>
      </c>
      <c r="M123" s="1">
        <v>43024</v>
      </c>
      <c r="N123" s="1"/>
      <c r="R123">
        <v>6.8044856779272009E-2</v>
      </c>
      <c r="T123" t="s">
        <v>39</v>
      </c>
      <c r="V123">
        <v>495043428</v>
      </c>
      <c r="W123" t="s">
        <v>1239</v>
      </c>
      <c r="X123" t="s">
        <v>1666</v>
      </c>
      <c r="Y123">
        <v>179174</v>
      </c>
      <c r="Z123" t="s">
        <v>31</v>
      </c>
      <c r="AA123">
        <v>4.3233180022550902E-2</v>
      </c>
      <c r="AB123">
        <v>2762.92</v>
      </c>
      <c r="AC123" t="s">
        <v>47</v>
      </c>
      <c r="AE123" t="s">
        <v>35</v>
      </c>
      <c r="AF123">
        <v>0</v>
      </c>
      <c r="AH123" t="s">
        <v>318</v>
      </c>
      <c r="AJ123">
        <v>4.8685902874663942E-2</v>
      </c>
      <c r="AK123">
        <v>4.8685902874663942E-2</v>
      </c>
      <c r="AL123">
        <v>0</v>
      </c>
      <c r="AQ123">
        <v>0</v>
      </c>
    </row>
    <row r="124" spans="1:43" x14ac:dyDescent="0.2">
      <c r="A124">
        <v>122</v>
      </c>
      <c r="B124">
        <v>218</v>
      </c>
      <c r="C124">
        <v>14</v>
      </c>
      <c r="D124">
        <v>1362167</v>
      </c>
      <c r="E124" t="s">
        <v>381</v>
      </c>
      <c r="F124" t="s">
        <v>104</v>
      </c>
      <c r="G124" t="s">
        <v>381</v>
      </c>
      <c r="H124">
        <v>0</v>
      </c>
      <c r="I124">
        <v>1.1843654910973257E-2</v>
      </c>
      <c r="J124">
        <v>0</v>
      </c>
      <c r="L124" s="1">
        <v>2</v>
      </c>
      <c r="M124" s="1">
        <v>43024</v>
      </c>
      <c r="N124" s="1"/>
      <c r="R124">
        <v>0.13332648412476869</v>
      </c>
      <c r="T124" t="s">
        <v>39</v>
      </c>
      <c r="V124">
        <v>903252951</v>
      </c>
      <c r="W124" t="s">
        <v>381</v>
      </c>
      <c r="X124" t="s">
        <v>382</v>
      </c>
      <c r="Y124">
        <v>1362167</v>
      </c>
      <c r="Z124" t="s">
        <v>31</v>
      </c>
      <c r="AA124">
        <v>0.15456259245036533</v>
      </c>
      <c r="AB124">
        <v>663.1</v>
      </c>
      <c r="AC124" t="s">
        <v>47</v>
      </c>
      <c r="AE124" t="s">
        <v>35</v>
      </c>
      <c r="AF124">
        <v>0</v>
      </c>
      <c r="AH124" t="s">
        <v>318</v>
      </c>
      <c r="AJ124">
        <v>8.8831975047731757E-2</v>
      </c>
      <c r="AK124">
        <v>8.8831975047731757E-2</v>
      </c>
      <c r="AL124">
        <v>0</v>
      </c>
      <c r="AQ124">
        <v>0</v>
      </c>
    </row>
    <row r="125" spans="1:43" x14ac:dyDescent="0.2">
      <c r="A125">
        <v>123</v>
      </c>
      <c r="B125">
        <v>222</v>
      </c>
      <c r="C125">
        <v>14</v>
      </c>
      <c r="D125">
        <v>155762</v>
      </c>
      <c r="E125" t="s">
        <v>383</v>
      </c>
      <c r="F125" t="s">
        <v>104</v>
      </c>
      <c r="G125" t="s">
        <v>383</v>
      </c>
      <c r="H125">
        <v>0</v>
      </c>
      <c r="I125">
        <v>1.5735543999204919E-3</v>
      </c>
      <c r="J125">
        <v>0</v>
      </c>
      <c r="L125" s="1">
        <v>2</v>
      </c>
      <c r="M125" s="1">
        <v>43024</v>
      </c>
      <c r="N125" s="1"/>
      <c r="R125">
        <v>2.4457441721266335E-2</v>
      </c>
      <c r="T125" t="s">
        <v>39</v>
      </c>
      <c r="V125">
        <v>654200400</v>
      </c>
      <c r="W125" t="s">
        <v>384</v>
      </c>
      <c r="X125" t="s">
        <v>385</v>
      </c>
      <c r="Y125">
        <v>155762</v>
      </c>
      <c r="Z125" t="s">
        <v>31</v>
      </c>
      <c r="AA125">
        <v>2.0535269664776486E-2</v>
      </c>
      <c r="AB125">
        <v>4200</v>
      </c>
      <c r="AC125" t="s">
        <v>47</v>
      </c>
      <c r="AE125" t="s">
        <v>35</v>
      </c>
      <c r="AF125">
        <v>0</v>
      </c>
      <c r="AH125" t="s">
        <v>318</v>
      </c>
      <c r="AJ125">
        <v>6.4338470795669872E-2</v>
      </c>
      <c r="AK125">
        <v>6.4338470795669872E-2</v>
      </c>
      <c r="AL125">
        <v>0</v>
      </c>
      <c r="AQ125">
        <v>0</v>
      </c>
    </row>
    <row r="126" spans="1:43" x14ac:dyDescent="0.2">
      <c r="A126">
        <v>124</v>
      </c>
      <c r="B126">
        <v>228</v>
      </c>
      <c r="C126">
        <v>14</v>
      </c>
      <c r="D126">
        <v>645000</v>
      </c>
      <c r="E126" t="s">
        <v>356</v>
      </c>
      <c r="F126" t="s">
        <v>104</v>
      </c>
      <c r="G126" t="s">
        <v>356</v>
      </c>
      <c r="H126">
        <v>0</v>
      </c>
      <c r="I126">
        <v>5.7986286260908659E-4</v>
      </c>
      <c r="J126">
        <v>0</v>
      </c>
      <c r="L126" s="1">
        <v>2</v>
      </c>
      <c r="M126" s="1">
        <v>43024</v>
      </c>
      <c r="N126" s="1"/>
      <c r="R126">
        <v>0.18275192664742762</v>
      </c>
      <c r="T126" t="s">
        <v>39</v>
      </c>
      <c r="V126">
        <v>32262900</v>
      </c>
      <c r="W126" t="s">
        <v>357</v>
      </c>
      <c r="X126" t="s">
        <v>1667</v>
      </c>
      <c r="Y126">
        <v>645000</v>
      </c>
      <c r="Z126" t="s">
        <v>31</v>
      </c>
      <c r="AA126">
        <v>7.5673521378533185E-3</v>
      </c>
      <c r="AB126">
        <v>50.02</v>
      </c>
      <c r="AC126" t="s">
        <v>47</v>
      </c>
      <c r="AE126" t="s">
        <v>177</v>
      </c>
      <c r="AF126">
        <v>0</v>
      </c>
      <c r="AH126" t="s">
        <v>318</v>
      </c>
      <c r="AJ126">
        <v>3.1729507493936378E-3</v>
      </c>
      <c r="AK126">
        <v>3.1729507493936378E-3</v>
      </c>
      <c r="AL126">
        <v>0</v>
      </c>
      <c r="AQ126">
        <v>0</v>
      </c>
    </row>
    <row r="127" spans="1:43" x14ac:dyDescent="0.2">
      <c r="A127">
        <v>125</v>
      </c>
      <c r="B127">
        <v>232</v>
      </c>
      <c r="C127">
        <v>14</v>
      </c>
      <c r="D127">
        <v>1720868</v>
      </c>
      <c r="E127" t="s">
        <v>386</v>
      </c>
      <c r="F127" t="s">
        <v>104</v>
      </c>
      <c r="G127" t="s">
        <v>386</v>
      </c>
      <c r="H127">
        <v>0</v>
      </c>
      <c r="I127">
        <v>7.8155426088214637E-3</v>
      </c>
      <c r="J127">
        <v>0</v>
      </c>
      <c r="L127" s="1">
        <v>2</v>
      </c>
      <c r="M127" s="1">
        <v>43024</v>
      </c>
      <c r="N127" s="1"/>
      <c r="R127">
        <v>0.18459350591686455</v>
      </c>
      <c r="T127" t="s">
        <v>39</v>
      </c>
      <c r="V127">
        <v>430509548</v>
      </c>
      <c r="W127" t="s">
        <v>386</v>
      </c>
      <c r="X127" t="s">
        <v>387</v>
      </c>
      <c r="Y127">
        <v>1720868</v>
      </c>
      <c r="Z127" t="s">
        <v>31</v>
      </c>
      <c r="AA127">
        <v>0.10199474200371393</v>
      </c>
      <c r="AB127">
        <v>250.17</v>
      </c>
      <c r="AC127" t="s">
        <v>47</v>
      </c>
      <c r="AE127" t="s">
        <v>35</v>
      </c>
      <c r="AF127">
        <v>0</v>
      </c>
      <c r="AH127" t="s">
        <v>318</v>
      </c>
      <c r="AJ127">
        <v>4.2339206734289737E-2</v>
      </c>
      <c r="AK127">
        <v>4.2339206734289737E-2</v>
      </c>
      <c r="AL127">
        <v>0</v>
      </c>
      <c r="AQ127">
        <v>0</v>
      </c>
    </row>
    <row r="128" spans="1:43" x14ac:dyDescent="0.2">
      <c r="A128">
        <v>126</v>
      </c>
      <c r="B128">
        <v>236</v>
      </c>
      <c r="C128">
        <v>14</v>
      </c>
      <c r="D128">
        <v>764772</v>
      </c>
      <c r="E128" t="s">
        <v>388</v>
      </c>
      <c r="F128" t="s">
        <v>104</v>
      </c>
      <c r="G128" t="s">
        <v>388</v>
      </c>
      <c r="H128">
        <v>0</v>
      </c>
      <c r="I128">
        <v>7.1630142121833816E-3</v>
      </c>
      <c r="J128">
        <v>0</v>
      </c>
      <c r="L128" s="1">
        <v>2</v>
      </c>
      <c r="M128" s="1">
        <v>43024</v>
      </c>
      <c r="N128" s="1"/>
      <c r="R128">
        <v>0.10310116147069315</v>
      </c>
      <c r="T128" t="s">
        <v>39</v>
      </c>
      <c r="V128">
        <v>706435192</v>
      </c>
      <c r="W128" t="s">
        <v>389</v>
      </c>
      <c r="X128" t="s">
        <v>390</v>
      </c>
      <c r="Y128">
        <v>764772</v>
      </c>
      <c r="Z128" t="s">
        <v>31</v>
      </c>
      <c r="AA128">
        <v>9.3479086879515935E-2</v>
      </c>
      <c r="AB128">
        <v>923.72</v>
      </c>
      <c r="AC128" t="s">
        <v>47</v>
      </c>
      <c r="AE128" t="s">
        <v>176</v>
      </c>
      <c r="AF128">
        <v>0</v>
      </c>
      <c r="AH128" t="s">
        <v>318</v>
      </c>
      <c r="AJ128">
        <v>6.9475591836271333E-2</v>
      </c>
      <c r="AK128">
        <v>6.9475591836271333E-2</v>
      </c>
      <c r="AL128">
        <v>0</v>
      </c>
      <c r="AQ128">
        <v>0</v>
      </c>
    </row>
    <row r="129" spans="1:43" x14ac:dyDescent="0.2">
      <c r="A129">
        <v>127</v>
      </c>
      <c r="B129">
        <v>242</v>
      </c>
      <c r="C129">
        <v>14</v>
      </c>
      <c r="D129">
        <v>756585</v>
      </c>
      <c r="E129" t="s">
        <v>361</v>
      </c>
      <c r="F129" t="s">
        <v>104</v>
      </c>
      <c r="G129" t="s">
        <v>361</v>
      </c>
      <c r="H129">
        <v>0</v>
      </c>
      <c r="I129">
        <v>1.3498407110912981E-2</v>
      </c>
      <c r="J129">
        <v>0</v>
      </c>
      <c r="L129" s="1">
        <v>2</v>
      </c>
      <c r="M129" s="1">
        <v>43024</v>
      </c>
      <c r="N129" s="1"/>
      <c r="R129">
        <v>0.16948170487417083</v>
      </c>
      <c r="T129" t="s">
        <v>39</v>
      </c>
      <c r="V129">
        <v>809841017</v>
      </c>
      <c r="W129" t="s">
        <v>362</v>
      </c>
      <c r="X129" t="s">
        <v>391</v>
      </c>
      <c r="Y129">
        <v>756585</v>
      </c>
      <c r="Z129" t="s">
        <v>31</v>
      </c>
      <c r="AA129">
        <v>0.17615751325886189</v>
      </c>
      <c r="AB129">
        <v>1070.3900000000001</v>
      </c>
      <c r="AC129" s="18" t="s">
        <v>47</v>
      </c>
      <c r="AE129" t="s">
        <v>44</v>
      </c>
      <c r="AF129">
        <v>0</v>
      </c>
      <c r="AH129" t="s">
        <v>318</v>
      </c>
      <c r="AJ129">
        <v>7.9645216697192614E-2</v>
      </c>
      <c r="AK129">
        <v>7.9645216697192614E-2</v>
      </c>
      <c r="AL129">
        <v>0</v>
      </c>
      <c r="AQ129">
        <v>0</v>
      </c>
    </row>
    <row r="130" spans="1:43" x14ac:dyDescent="0.2">
      <c r="A130">
        <v>128</v>
      </c>
      <c r="B130">
        <v>244</v>
      </c>
      <c r="C130">
        <v>14</v>
      </c>
      <c r="D130">
        <v>567398</v>
      </c>
      <c r="E130" t="s">
        <v>363</v>
      </c>
      <c r="F130" t="s">
        <v>104</v>
      </c>
      <c r="G130" t="s">
        <v>363</v>
      </c>
      <c r="H130">
        <v>0</v>
      </c>
      <c r="I130">
        <v>6.2938881414861432E-3</v>
      </c>
      <c r="J130">
        <v>0</v>
      </c>
      <c r="L130" s="1">
        <v>2</v>
      </c>
      <c r="M130" s="1">
        <v>43024</v>
      </c>
      <c r="N130" s="1"/>
      <c r="R130">
        <v>8.9241209668118965E-2</v>
      </c>
      <c r="T130" t="s">
        <v>39</v>
      </c>
      <c r="V130">
        <v>717122985</v>
      </c>
      <c r="W130" t="s">
        <v>364</v>
      </c>
      <c r="X130" t="s">
        <v>364</v>
      </c>
      <c r="Y130">
        <v>567398</v>
      </c>
      <c r="Z130" t="s">
        <v>31</v>
      </c>
      <c r="AA130">
        <v>8.2136779149095437E-2</v>
      </c>
      <c r="AB130">
        <v>1263.8800000000001</v>
      </c>
      <c r="AC130" t="s">
        <v>47</v>
      </c>
      <c r="AE130" t="s">
        <v>44</v>
      </c>
      <c r="AF130">
        <v>0</v>
      </c>
      <c r="AH130" t="s">
        <v>318</v>
      </c>
      <c r="AJ130">
        <v>7.0526701340026851E-2</v>
      </c>
      <c r="AK130">
        <v>7.0526701340026851E-2</v>
      </c>
      <c r="AL130">
        <v>0</v>
      </c>
      <c r="AQ130">
        <v>0</v>
      </c>
    </row>
    <row r="131" spans="1:43" x14ac:dyDescent="0.2">
      <c r="A131">
        <v>129</v>
      </c>
      <c r="B131">
        <v>245</v>
      </c>
      <c r="C131">
        <v>14</v>
      </c>
      <c r="D131">
        <v>10839031</v>
      </c>
      <c r="E131" t="s">
        <v>365</v>
      </c>
      <c r="F131" t="s">
        <v>104</v>
      </c>
      <c r="G131" t="s">
        <v>365</v>
      </c>
      <c r="H131">
        <v>0</v>
      </c>
      <c r="I131">
        <v>2.8976321023967046E-3</v>
      </c>
      <c r="J131">
        <v>0</v>
      </c>
      <c r="L131" s="1">
        <v>2</v>
      </c>
      <c r="M131" s="1">
        <v>43024</v>
      </c>
      <c r="N131" s="1"/>
      <c r="R131">
        <v>4.012801390831728E-2</v>
      </c>
      <c r="T131" t="s">
        <v>39</v>
      </c>
      <c r="V131">
        <v>734235959</v>
      </c>
      <c r="W131" t="s">
        <v>366</v>
      </c>
      <c r="X131" t="s">
        <v>392</v>
      </c>
      <c r="Y131">
        <v>10839031</v>
      </c>
      <c r="Z131" t="s">
        <v>31</v>
      </c>
      <c r="AA131">
        <v>3.7814807428987608E-2</v>
      </c>
      <c r="AB131">
        <v>67.739999999999995</v>
      </c>
      <c r="AC131" t="s">
        <v>47</v>
      </c>
      <c r="AE131" t="s">
        <v>44</v>
      </c>
      <c r="AF131">
        <v>0</v>
      </c>
      <c r="AH131" t="s">
        <v>318</v>
      </c>
      <c r="AJ131">
        <v>7.2209706391576894E-2</v>
      </c>
      <c r="AK131">
        <v>7.2209706391576894E-2</v>
      </c>
      <c r="AL131">
        <v>0</v>
      </c>
      <c r="AQ131">
        <v>0</v>
      </c>
    </row>
    <row r="132" spans="1:43" x14ac:dyDescent="0.2">
      <c r="A132">
        <v>130</v>
      </c>
      <c r="B132">
        <v>438</v>
      </c>
      <c r="C132">
        <v>14</v>
      </c>
      <c r="D132">
        <v>5531005</v>
      </c>
      <c r="E132" t="s">
        <v>393</v>
      </c>
      <c r="F132" t="s">
        <v>104</v>
      </c>
      <c r="G132" t="s">
        <v>393</v>
      </c>
      <c r="H132">
        <v>0</v>
      </c>
      <c r="I132">
        <v>2.0884176416308144E-3</v>
      </c>
      <c r="J132">
        <v>0</v>
      </c>
      <c r="L132" s="1">
        <v>2</v>
      </c>
      <c r="M132" s="1">
        <v>43024</v>
      </c>
      <c r="N132" s="1"/>
      <c r="R132">
        <v>2.2549698719256703E-2</v>
      </c>
      <c r="T132" t="s">
        <v>39</v>
      </c>
      <c r="V132">
        <v>941708912</v>
      </c>
      <c r="W132" t="s">
        <v>394</v>
      </c>
      <c r="X132" t="s">
        <v>394</v>
      </c>
      <c r="Y132">
        <v>5531005</v>
      </c>
      <c r="Z132" t="s">
        <v>31</v>
      </c>
      <c r="AA132">
        <v>2.725436085700771E-2</v>
      </c>
      <c r="AB132">
        <v>170.26</v>
      </c>
      <c r="AC132" t="s">
        <v>47</v>
      </c>
      <c r="AE132" t="s">
        <v>35</v>
      </c>
      <c r="AF132">
        <v>0</v>
      </c>
      <c r="AH132" t="s">
        <v>318</v>
      </c>
      <c r="AJ132">
        <v>9.2613993101707134E-2</v>
      </c>
      <c r="AK132">
        <v>9.2613993101707134E-2</v>
      </c>
      <c r="AL132">
        <v>0</v>
      </c>
      <c r="AQ132">
        <v>0</v>
      </c>
    </row>
    <row r="133" spans="1:43" x14ac:dyDescent="0.2">
      <c r="A133">
        <v>131</v>
      </c>
      <c r="B133">
        <v>247</v>
      </c>
      <c r="C133">
        <v>14</v>
      </c>
      <c r="D133">
        <v>476462</v>
      </c>
      <c r="E133" t="s">
        <v>367</v>
      </c>
      <c r="F133" t="s">
        <v>104</v>
      </c>
      <c r="G133" t="s">
        <v>367</v>
      </c>
      <c r="H133">
        <v>0</v>
      </c>
      <c r="I133">
        <v>6.8061402220580157E-3</v>
      </c>
      <c r="J133">
        <v>0</v>
      </c>
      <c r="L133" s="1">
        <v>2</v>
      </c>
      <c r="M133" s="1">
        <v>43024</v>
      </c>
      <c r="N133" s="1"/>
      <c r="R133">
        <v>0.11179007661044631</v>
      </c>
      <c r="T133" t="s">
        <v>39</v>
      </c>
      <c r="V133">
        <v>619067079</v>
      </c>
      <c r="W133" t="s">
        <v>368</v>
      </c>
      <c r="X133" t="s">
        <v>395</v>
      </c>
      <c r="Y133">
        <v>476462</v>
      </c>
      <c r="Z133" t="s">
        <v>31</v>
      </c>
      <c r="AA133">
        <v>8.8821794050021469E-2</v>
      </c>
      <c r="AB133">
        <v>1299.3</v>
      </c>
      <c r="AC133" t="s">
        <v>47</v>
      </c>
      <c r="AE133" t="s">
        <v>179</v>
      </c>
      <c r="AF133">
        <v>0</v>
      </c>
      <c r="AH133" t="s">
        <v>318</v>
      </c>
      <c r="AJ133">
        <v>6.0883223524171116E-2</v>
      </c>
      <c r="AK133">
        <v>6.0883223524171116E-2</v>
      </c>
      <c r="AL133">
        <v>0</v>
      </c>
      <c r="AQ133">
        <v>0</v>
      </c>
    </row>
    <row r="134" spans="1:43" x14ac:dyDescent="0.2">
      <c r="A134">
        <v>132</v>
      </c>
      <c r="B134">
        <v>510</v>
      </c>
      <c r="C134">
        <v>14</v>
      </c>
      <c r="D134">
        <v>628050</v>
      </c>
      <c r="E134" t="s">
        <v>373</v>
      </c>
      <c r="F134" t="s">
        <v>104</v>
      </c>
      <c r="G134" t="s">
        <v>373</v>
      </c>
      <c r="H134">
        <v>0</v>
      </c>
      <c r="I134">
        <v>3.5539578525685431E-3</v>
      </c>
      <c r="J134">
        <v>0</v>
      </c>
      <c r="L134" s="1">
        <v>2</v>
      </c>
      <c r="M134" s="1">
        <v>43024</v>
      </c>
      <c r="N134" s="1"/>
      <c r="R134">
        <v>6.845902990087864E-2</v>
      </c>
      <c r="T134" t="s">
        <v>39</v>
      </c>
      <c r="V134">
        <v>527863464</v>
      </c>
      <c r="W134" t="s">
        <v>374</v>
      </c>
      <c r="X134" t="s">
        <v>375</v>
      </c>
      <c r="Y134">
        <v>628050</v>
      </c>
      <c r="Z134" t="s">
        <v>31</v>
      </c>
      <c r="AA134">
        <v>4.6380018945282452E-2</v>
      </c>
      <c r="AB134">
        <v>840.48</v>
      </c>
      <c r="AC134" t="s">
        <v>54</v>
      </c>
      <c r="AE134" t="s">
        <v>56</v>
      </c>
      <c r="AF134">
        <v>0</v>
      </c>
      <c r="AH134" t="s">
        <v>318</v>
      </c>
      <c r="AJ134">
        <v>5.1913646128411317E-2</v>
      </c>
      <c r="AK134">
        <v>5.1913646128411317E-2</v>
      </c>
      <c r="AL134">
        <v>0</v>
      </c>
      <c r="AN134" t="s">
        <v>154</v>
      </c>
      <c r="AQ134">
        <v>0</v>
      </c>
    </row>
    <row r="135" spans="1:43" x14ac:dyDescent="0.2">
      <c r="A135">
        <v>133</v>
      </c>
      <c r="B135">
        <v>252</v>
      </c>
      <c r="C135">
        <v>14</v>
      </c>
      <c r="D135">
        <v>42494544</v>
      </c>
      <c r="E135" t="s">
        <v>396</v>
      </c>
      <c r="F135" t="s">
        <v>104</v>
      </c>
      <c r="G135" t="s">
        <v>396</v>
      </c>
      <c r="H135">
        <v>0</v>
      </c>
      <c r="I135">
        <v>1.0008677412667183E-3</v>
      </c>
      <c r="J135">
        <v>0</v>
      </c>
      <c r="L135" s="1">
        <v>2</v>
      </c>
      <c r="M135" s="1">
        <v>43024</v>
      </c>
      <c r="N135" s="1"/>
      <c r="R135">
        <v>3.35887658133254E-2</v>
      </c>
      <c r="T135" t="s">
        <v>39</v>
      </c>
      <c r="V135">
        <v>302986108</v>
      </c>
      <c r="W135" t="s">
        <v>397</v>
      </c>
      <c r="X135" t="s">
        <v>397</v>
      </c>
      <c r="Y135">
        <v>42494544</v>
      </c>
      <c r="Z135" t="s">
        <v>31</v>
      </c>
      <c r="AA135">
        <v>1.3061568743175513E-2</v>
      </c>
      <c r="AB135">
        <v>7.13</v>
      </c>
      <c r="AC135" t="s">
        <v>47</v>
      </c>
      <c r="AE135" t="s">
        <v>35</v>
      </c>
      <c r="AF135">
        <v>0</v>
      </c>
      <c r="AH135" t="s">
        <v>318</v>
      </c>
      <c r="AJ135">
        <v>2.9797693277246053E-2</v>
      </c>
      <c r="AK135">
        <v>2.9797693277246053E-2</v>
      </c>
      <c r="AL135">
        <v>0</v>
      </c>
      <c r="AQ135">
        <v>0</v>
      </c>
    </row>
    <row r="136" spans="1:43" x14ac:dyDescent="0.2">
      <c r="A136">
        <v>134</v>
      </c>
      <c r="B136">
        <v>253</v>
      </c>
      <c r="C136">
        <v>14</v>
      </c>
      <c r="D136">
        <v>260722</v>
      </c>
      <c r="E136" t="s">
        <v>398</v>
      </c>
      <c r="F136" t="s">
        <v>104</v>
      </c>
      <c r="G136" t="s">
        <v>398</v>
      </c>
      <c r="H136">
        <v>0</v>
      </c>
      <c r="I136">
        <v>-1.2966035444618102E-3</v>
      </c>
      <c r="J136">
        <v>0</v>
      </c>
      <c r="L136" s="1">
        <v>2</v>
      </c>
      <c r="M136" s="1">
        <v>43024</v>
      </c>
      <c r="N136" s="1"/>
      <c r="R136">
        <v>-4.3592483045372471E-2</v>
      </c>
      <c r="T136" t="s">
        <v>39</v>
      </c>
      <c r="V136">
        <v>302437520</v>
      </c>
      <c r="W136" t="s">
        <v>399</v>
      </c>
      <c r="X136" t="s">
        <v>399</v>
      </c>
      <c r="Y136">
        <v>260722</v>
      </c>
      <c r="Z136" t="s">
        <v>31</v>
      </c>
      <c r="AA136">
        <v>-1.6920993284486149E-2</v>
      </c>
      <c r="AB136">
        <v>1160</v>
      </c>
      <c r="AC136" t="s">
        <v>47</v>
      </c>
      <c r="AE136" t="s">
        <v>35</v>
      </c>
      <c r="AF136">
        <v>0</v>
      </c>
      <c r="AH136" t="s">
        <v>318</v>
      </c>
      <c r="AJ136">
        <v>2.9743741440749386E-2</v>
      </c>
      <c r="AK136">
        <v>2.9743741440749386E-2</v>
      </c>
      <c r="AL136">
        <v>0</v>
      </c>
      <c r="AQ136">
        <v>0</v>
      </c>
    </row>
    <row r="137" spans="1:43" x14ac:dyDescent="0.2">
      <c r="A137">
        <v>135</v>
      </c>
      <c r="B137">
        <v>87</v>
      </c>
      <c r="C137">
        <v>1</v>
      </c>
      <c r="D137">
        <v>2500</v>
      </c>
      <c r="E137" t="s">
        <v>400</v>
      </c>
      <c r="F137" t="s">
        <v>59</v>
      </c>
      <c r="G137" t="s">
        <v>401</v>
      </c>
      <c r="H137">
        <v>4.5805289599130956E-3</v>
      </c>
      <c r="I137">
        <v>3.7407669311353217E-5</v>
      </c>
      <c r="J137">
        <v>1.43</v>
      </c>
      <c r="L137" s="1">
        <v>43556</v>
      </c>
      <c r="M137" s="1">
        <v>43024</v>
      </c>
      <c r="N137" s="1"/>
      <c r="R137">
        <v>1.1678338371699761E-2</v>
      </c>
      <c r="T137" t="s">
        <v>32</v>
      </c>
      <c r="V137">
        <v>68185023</v>
      </c>
      <c r="W137" t="s">
        <v>226</v>
      </c>
      <c r="X137" t="s">
        <v>402</v>
      </c>
      <c r="Y137">
        <v>2500</v>
      </c>
      <c r="Z137" t="s">
        <v>31</v>
      </c>
      <c r="AA137">
        <v>7.6679297731924844E-3</v>
      </c>
      <c r="AB137">
        <v>102.16</v>
      </c>
      <c r="AC137" s="18" t="s">
        <v>142</v>
      </c>
      <c r="AE137" t="s">
        <v>41</v>
      </c>
      <c r="AF137">
        <v>-4.8888208702300637E-3</v>
      </c>
      <c r="AH137" t="s">
        <v>237</v>
      </c>
      <c r="AJ137">
        <v>3.2031671048343324E-3</v>
      </c>
      <c r="AK137">
        <v>3.2031671048343324E-3</v>
      </c>
      <c r="AL137">
        <v>0</v>
      </c>
      <c r="AN137" t="s">
        <v>146</v>
      </c>
      <c r="AQ137">
        <v>-1.5659710192948494E-5</v>
      </c>
    </row>
    <row r="138" spans="1:43" x14ac:dyDescent="0.2">
      <c r="A138">
        <v>136</v>
      </c>
      <c r="B138">
        <v>87</v>
      </c>
      <c r="C138">
        <v>1</v>
      </c>
      <c r="D138">
        <v>15000</v>
      </c>
      <c r="E138" t="s">
        <v>1007</v>
      </c>
      <c r="F138" t="s">
        <v>59</v>
      </c>
      <c r="G138" t="s">
        <v>1008</v>
      </c>
      <c r="H138">
        <v>2.1061598010673806E-2</v>
      </c>
      <c r="I138">
        <v>1.3013993027373932E-4</v>
      </c>
      <c r="J138">
        <v>1.89</v>
      </c>
      <c r="L138" s="1">
        <v>44287</v>
      </c>
      <c r="M138" s="1">
        <v>43024</v>
      </c>
      <c r="N138" s="1"/>
      <c r="R138">
        <v>1.1678338371699761E-2</v>
      </c>
      <c r="T138" t="s">
        <v>32</v>
      </c>
      <c r="V138">
        <v>237213232</v>
      </c>
      <c r="W138" t="s">
        <v>1009</v>
      </c>
      <c r="X138" t="s">
        <v>1010</v>
      </c>
      <c r="Y138">
        <v>15000</v>
      </c>
      <c r="Z138" t="s">
        <v>31</v>
      </c>
      <c r="AA138">
        <v>2.667645069574907E-2</v>
      </c>
      <c r="AB138">
        <v>101.53</v>
      </c>
      <c r="AC138" t="s">
        <v>142</v>
      </c>
      <c r="AE138" t="s">
        <v>41</v>
      </c>
      <c r="AF138">
        <v>6.1111791297699357E-3</v>
      </c>
      <c r="AH138" t="s">
        <v>237</v>
      </c>
      <c r="AJ138">
        <v>1.1143702651150163E-2</v>
      </c>
      <c r="AK138">
        <v>1.1143702651150163E-2</v>
      </c>
      <c r="AL138">
        <v>0</v>
      </c>
      <c r="AN138" t="s">
        <v>146</v>
      </c>
      <c r="AQ138">
        <v>6.8101163070070784E-5</v>
      </c>
    </row>
    <row r="139" spans="1:43" x14ac:dyDescent="0.2">
      <c r="A139">
        <v>137</v>
      </c>
      <c r="B139">
        <v>87</v>
      </c>
      <c r="C139">
        <v>1</v>
      </c>
      <c r="D139">
        <v>1500</v>
      </c>
      <c r="E139" t="s">
        <v>363</v>
      </c>
      <c r="F139" t="s">
        <v>59</v>
      </c>
      <c r="G139" t="s">
        <v>403</v>
      </c>
      <c r="H139">
        <v>2.5253363505682499E-4</v>
      </c>
      <c r="I139">
        <v>4.4684443036802172E-6</v>
      </c>
      <c r="J139">
        <v>0.66</v>
      </c>
      <c r="L139" s="1">
        <v>43358</v>
      </c>
      <c r="M139" s="1">
        <v>43024</v>
      </c>
      <c r="N139" s="1"/>
      <c r="R139">
        <v>1.1678338371699761E-2</v>
      </c>
      <c r="T139" t="s">
        <v>32</v>
      </c>
      <c r="V139">
        <v>8144880</v>
      </c>
      <c r="W139" t="s">
        <v>364</v>
      </c>
      <c r="X139" t="s">
        <v>404</v>
      </c>
      <c r="Y139">
        <v>1500</v>
      </c>
      <c r="Z139" t="s">
        <v>31</v>
      </c>
      <c r="AA139">
        <v>9.1595434163129928E-4</v>
      </c>
      <c r="AB139">
        <v>101.44</v>
      </c>
      <c r="AC139" t="s">
        <v>142</v>
      </c>
      <c r="AE139" t="s">
        <v>44</v>
      </c>
      <c r="AF139">
        <v>-4.8882087023006601E-4</v>
      </c>
      <c r="AH139" t="s">
        <v>237</v>
      </c>
      <c r="AJ139">
        <v>3.8262671978306817E-4</v>
      </c>
      <c r="AK139">
        <v>3.8262671978306817E-4</v>
      </c>
      <c r="AL139">
        <v>0</v>
      </c>
      <c r="AN139" t="s">
        <v>146</v>
      </c>
      <c r="AQ139">
        <v>-1.87035926137635E-7</v>
      </c>
    </row>
    <row r="140" spans="1:43" x14ac:dyDescent="0.2">
      <c r="A140">
        <v>138</v>
      </c>
      <c r="B140">
        <v>88</v>
      </c>
      <c r="C140">
        <v>1</v>
      </c>
      <c r="D140">
        <v>5000</v>
      </c>
      <c r="E140" t="s">
        <v>400</v>
      </c>
      <c r="F140" t="s">
        <v>59</v>
      </c>
      <c r="G140" t="s">
        <v>405</v>
      </c>
      <c r="H140">
        <v>1.4669837848916583E-2</v>
      </c>
      <c r="I140">
        <v>4.9696781698141417E-5</v>
      </c>
      <c r="J140">
        <v>2.31</v>
      </c>
      <c r="L140" s="1">
        <v>43891</v>
      </c>
      <c r="M140" s="1">
        <v>43024</v>
      </c>
      <c r="N140" s="1"/>
      <c r="R140">
        <v>7.8255511004973397E-3</v>
      </c>
      <c r="T140" t="s">
        <v>32</v>
      </c>
      <c r="V140">
        <v>135183202</v>
      </c>
      <c r="W140" t="s">
        <v>226</v>
      </c>
      <c r="X140" t="s">
        <v>402</v>
      </c>
      <c r="Y140">
        <v>5000</v>
      </c>
      <c r="Z140" t="s">
        <v>31</v>
      </c>
      <c r="AA140">
        <v>1.018698676047617E-2</v>
      </c>
      <c r="AB140">
        <v>101.09</v>
      </c>
      <c r="AC140" t="s">
        <v>142</v>
      </c>
      <c r="AE140" t="s">
        <v>41</v>
      </c>
      <c r="AF140">
        <v>-2.3888208702300649E-3</v>
      </c>
      <c r="AH140" t="s">
        <v>237</v>
      </c>
      <c r="AJ140">
        <v>6.3505791553751436E-3</v>
      </c>
      <c r="AK140">
        <v>6.3505791553751436E-3</v>
      </c>
      <c r="AL140">
        <v>0</v>
      </c>
      <c r="AN140" t="s">
        <v>146</v>
      </c>
      <c r="AQ140">
        <v>-1.5170396024408161E-5</v>
      </c>
    </row>
    <row r="141" spans="1:43" x14ac:dyDescent="0.2">
      <c r="A141">
        <v>139</v>
      </c>
      <c r="B141">
        <v>88</v>
      </c>
      <c r="C141">
        <v>1</v>
      </c>
      <c r="D141">
        <v>470000000</v>
      </c>
      <c r="E141" t="s">
        <v>400</v>
      </c>
      <c r="F141" t="s">
        <v>59</v>
      </c>
      <c r="G141" t="s">
        <v>406</v>
      </c>
      <c r="H141">
        <v>5.1175623758124351E-2</v>
      </c>
      <c r="I141">
        <v>1.7798998169734568E-4</v>
      </c>
      <c r="J141">
        <v>2.25</v>
      </c>
      <c r="L141" s="1">
        <v>43891</v>
      </c>
      <c r="M141" s="1">
        <v>43024</v>
      </c>
      <c r="N141" s="1"/>
      <c r="R141">
        <v>7.8255511004973397E-3</v>
      </c>
      <c r="T141" t="s">
        <v>39</v>
      </c>
      <c r="V141">
        <v>484161244</v>
      </c>
      <c r="W141" t="s">
        <v>226</v>
      </c>
      <c r="X141" t="s">
        <v>402</v>
      </c>
      <c r="Y141">
        <v>470000000</v>
      </c>
      <c r="Z141" t="s">
        <v>31</v>
      </c>
      <c r="AA141">
        <v>3.6484889465509721E-2</v>
      </c>
      <c r="AB141">
        <v>102.35</v>
      </c>
      <c r="AC141" t="s">
        <v>142</v>
      </c>
      <c r="AE141" t="s">
        <v>41</v>
      </c>
      <c r="AF141">
        <v>4.2200000000000001E-2</v>
      </c>
      <c r="AH141" t="s">
        <v>237</v>
      </c>
      <c r="AJ141">
        <v>2.2744721670277489E-2</v>
      </c>
      <c r="AK141">
        <v>2.2744721670277489E-2</v>
      </c>
      <c r="AL141">
        <v>0</v>
      </c>
      <c r="AN141" t="s">
        <v>146</v>
      </c>
      <c r="AQ141">
        <v>9.5982725448571008E-4</v>
      </c>
    </row>
    <row r="142" spans="1:43" x14ac:dyDescent="0.2">
      <c r="A142">
        <v>140</v>
      </c>
      <c r="B142">
        <v>92</v>
      </c>
      <c r="C142">
        <v>1</v>
      </c>
      <c r="D142">
        <v>6000</v>
      </c>
      <c r="E142" t="s">
        <v>407</v>
      </c>
      <c r="F142" t="s">
        <v>59</v>
      </c>
      <c r="G142" t="s">
        <v>408</v>
      </c>
      <c r="H142">
        <v>5.9620660147128119E-3</v>
      </c>
      <c r="I142">
        <v>8.1435169198457581E-5</v>
      </c>
      <c r="J142">
        <v>0.78</v>
      </c>
      <c r="L142" s="1">
        <v>43313</v>
      </c>
      <c r="M142" s="1">
        <v>43024</v>
      </c>
      <c r="N142" s="1"/>
      <c r="R142">
        <v>1.0653929664322341E-2</v>
      </c>
      <c r="T142" t="s">
        <v>32</v>
      </c>
      <c r="V142">
        <v>162708999</v>
      </c>
      <c r="W142" t="s">
        <v>229</v>
      </c>
      <c r="X142" t="s">
        <v>409</v>
      </c>
      <c r="Y142">
        <v>6000</v>
      </c>
      <c r="Z142" t="s">
        <v>31</v>
      </c>
      <c r="AA142">
        <v>1.6692811126094491E-2</v>
      </c>
      <c r="AB142">
        <v>101.01</v>
      </c>
      <c r="AC142" t="s">
        <v>42</v>
      </c>
      <c r="AE142" t="s">
        <v>41</v>
      </c>
      <c r="AF142">
        <v>-2.788820870230066E-3</v>
      </c>
      <c r="AH142" t="s">
        <v>237</v>
      </c>
      <c r="AJ142">
        <v>7.6436743778369384E-3</v>
      </c>
      <c r="AK142">
        <v>7.6436743778369384E-3</v>
      </c>
      <c r="AL142">
        <v>0</v>
      </c>
      <c r="AN142" t="s">
        <v>142</v>
      </c>
      <c r="AQ142">
        <v>-2.131683863015447E-5</v>
      </c>
    </row>
    <row r="143" spans="1:43" x14ac:dyDescent="0.2">
      <c r="A143">
        <v>141</v>
      </c>
      <c r="B143">
        <v>92</v>
      </c>
      <c r="C143">
        <v>1</v>
      </c>
      <c r="D143">
        <v>8000</v>
      </c>
      <c r="E143" t="s">
        <v>407</v>
      </c>
      <c r="F143" t="s">
        <v>59</v>
      </c>
      <c r="G143" t="s">
        <v>410</v>
      </c>
      <c r="H143">
        <v>6.2266671710580115E-3</v>
      </c>
      <c r="I143">
        <v>1.0875159685835578E-4</v>
      </c>
      <c r="J143">
        <v>0.61</v>
      </c>
      <c r="L143" s="1">
        <v>43252</v>
      </c>
      <c r="M143" s="1">
        <v>43024</v>
      </c>
      <c r="N143" s="1"/>
      <c r="R143">
        <v>1.0653929664322341E-2</v>
      </c>
      <c r="T143" t="s">
        <v>32</v>
      </c>
      <c r="V143">
        <v>217287735</v>
      </c>
      <c r="W143" t="s">
        <v>229</v>
      </c>
      <c r="X143" t="s">
        <v>409</v>
      </c>
      <c r="Y143">
        <v>8000</v>
      </c>
      <c r="Z143" t="s">
        <v>31</v>
      </c>
      <c r="AA143">
        <v>2.2292209666730674E-2</v>
      </c>
      <c r="AB143">
        <v>100.68</v>
      </c>
      <c r="AC143" t="s">
        <v>42</v>
      </c>
      <c r="AE143" t="s">
        <v>41</v>
      </c>
      <c r="AF143">
        <v>-2.8888208702300654E-3</v>
      </c>
      <c r="AH143" t="s">
        <v>237</v>
      </c>
      <c r="AJ143">
        <v>1.02076511000951E-2</v>
      </c>
      <c r="AK143">
        <v>1.02076511000951E-2</v>
      </c>
      <c r="AL143">
        <v>0</v>
      </c>
      <c r="AN143" t="s">
        <v>142</v>
      </c>
      <c r="AQ143">
        <v>-2.9488075533981613E-5</v>
      </c>
    </row>
    <row r="144" spans="1:43" x14ac:dyDescent="0.2">
      <c r="A144">
        <v>142</v>
      </c>
      <c r="B144">
        <v>92</v>
      </c>
      <c r="C144">
        <v>1</v>
      </c>
      <c r="D144">
        <v>10000</v>
      </c>
      <c r="E144" t="s">
        <v>407</v>
      </c>
      <c r="F144" t="s">
        <v>59</v>
      </c>
      <c r="G144" t="s">
        <v>446</v>
      </c>
      <c r="H144">
        <v>1.2037629919449733E-2</v>
      </c>
      <c r="I144">
        <v>1.3499796051258912E-4</v>
      </c>
      <c r="J144">
        <v>0.95</v>
      </c>
      <c r="L144" s="1">
        <v>43374</v>
      </c>
      <c r="M144" s="1">
        <v>43024</v>
      </c>
      <c r="N144" s="1"/>
      <c r="R144">
        <v>1.0653929664322341E-2</v>
      </c>
      <c r="T144" t="s">
        <v>32</v>
      </c>
      <c r="V144">
        <v>269728463</v>
      </c>
      <c r="W144" t="s">
        <v>229</v>
      </c>
      <c r="X144" t="s">
        <v>409</v>
      </c>
      <c r="Y144">
        <v>10000</v>
      </c>
      <c r="Z144" t="s">
        <v>31</v>
      </c>
      <c r="AA144">
        <v>2.7672263463379587E-2</v>
      </c>
      <c r="AB144">
        <v>101.04</v>
      </c>
      <c r="AC144" t="s">
        <v>42</v>
      </c>
      <c r="AE144" t="s">
        <v>41</v>
      </c>
      <c r="AF144">
        <v>-2.788820870230066E-3</v>
      </c>
      <c r="AH144" t="s">
        <v>237</v>
      </c>
      <c r="AJ144">
        <v>1.2671189388894456E-2</v>
      </c>
      <c r="AK144">
        <v>1.2671189388894456E-2</v>
      </c>
      <c r="AL144">
        <v>0</v>
      </c>
      <c r="AN144" t="s">
        <v>142</v>
      </c>
      <c r="AQ144">
        <v>-3.5337677418386614E-5</v>
      </c>
    </row>
    <row r="145" spans="1:43" x14ac:dyDescent="0.2">
      <c r="A145">
        <v>143</v>
      </c>
      <c r="B145">
        <v>92</v>
      </c>
      <c r="C145">
        <v>1</v>
      </c>
      <c r="D145">
        <v>1000</v>
      </c>
      <c r="E145" t="s">
        <v>411</v>
      </c>
      <c r="F145" t="s">
        <v>59</v>
      </c>
      <c r="G145" t="s">
        <v>412</v>
      </c>
      <c r="H145">
        <v>1.528115194361445E-4</v>
      </c>
      <c r="I145">
        <v>1.3567026499757582E-5</v>
      </c>
      <c r="J145">
        <v>0.12</v>
      </c>
      <c r="L145" s="1">
        <v>43070</v>
      </c>
      <c r="M145" s="1">
        <v>43024</v>
      </c>
      <c r="N145" s="1"/>
      <c r="R145">
        <v>1.0653929664322341E-2</v>
      </c>
      <c r="T145" t="s">
        <v>32</v>
      </c>
      <c r="V145">
        <v>27107174</v>
      </c>
      <c r="W145" t="s">
        <v>211</v>
      </c>
      <c r="X145" t="s">
        <v>413</v>
      </c>
      <c r="Y145">
        <v>1000</v>
      </c>
      <c r="Z145" t="s">
        <v>31</v>
      </c>
      <c r="AA145">
        <v>2.7810074336710737E-3</v>
      </c>
      <c r="AB145">
        <v>100.18</v>
      </c>
      <c r="AC145" s="18" t="s">
        <v>42</v>
      </c>
      <c r="AE145" t="s">
        <v>41</v>
      </c>
      <c r="AF145">
        <v>8.1117912976993653E-4</v>
      </c>
      <c r="AH145" t="s">
        <v>237</v>
      </c>
      <c r="AJ145">
        <v>1.2734293286345375E-3</v>
      </c>
      <c r="AK145">
        <v>1.2734293286345375E-3</v>
      </c>
      <c r="AL145">
        <v>0</v>
      </c>
      <c r="AN145" t="s">
        <v>142</v>
      </c>
      <c r="AQ145">
        <v>1.0329792946252786E-6</v>
      </c>
    </row>
    <row r="146" spans="1:43" x14ac:dyDescent="0.2">
      <c r="A146">
        <v>144</v>
      </c>
      <c r="B146">
        <v>92</v>
      </c>
      <c r="C146">
        <v>1</v>
      </c>
      <c r="D146">
        <v>5000</v>
      </c>
      <c r="E146" t="s">
        <v>411</v>
      </c>
      <c r="F146" t="s">
        <v>59</v>
      </c>
      <c r="G146" t="s">
        <v>447</v>
      </c>
      <c r="H146">
        <v>6.0409819667142095E-3</v>
      </c>
      <c r="I146">
        <v>6.7747575765066145E-5</v>
      </c>
      <c r="J146">
        <v>0.95</v>
      </c>
      <c r="L146" s="1">
        <v>43374</v>
      </c>
      <c r="M146" s="1">
        <v>43024</v>
      </c>
      <c r="N146" s="1"/>
      <c r="R146">
        <v>1.0653929664322341E-2</v>
      </c>
      <c r="T146" t="s">
        <v>32</v>
      </c>
      <c r="V146">
        <v>135360930</v>
      </c>
      <c r="W146" t="s">
        <v>211</v>
      </c>
      <c r="X146" t="s">
        <v>413</v>
      </c>
      <c r="Y146">
        <v>5000</v>
      </c>
      <c r="Z146" t="s">
        <v>31</v>
      </c>
      <c r="AA146">
        <v>1.3887089541633141E-2</v>
      </c>
      <c r="AB146">
        <v>101.39</v>
      </c>
      <c r="AC146" t="s">
        <v>42</v>
      </c>
      <c r="AE146" t="s">
        <v>41</v>
      </c>
      <c r="AF146">
        <v>-3.5888208702300646E-3</v>
      </c>
      <c r="AH146" t="s">
        <v>237</v>
      </c>
      <c r="AJ146">
        <v>6.3589283860149576E-3</v>
      </c>
      <c r="AK146">
        <v>6.3589283860149576E-3</v>
      </c>
      <c r="AL146">
        <v>0</v>
      </c>
      <c r="AN146" t="s">
        <v>142</v>
      </c>
      <c r="AQ146">
        <v>-2.2821054904028861E-5</v>
      </c>
    </row>
    <row r="147" spans="1:43" x14ac:dyDescent="0.2">
      <c r="A147">
        <v>145</v>
      </c>
      <c r="B147">
        <v>92</v>
      </c>
      <c r="C147">
        <v>1</v>
      </c>
      <c r="D147">
        <v>8000</v>
      </c>
      <c r="E147" t="s">
        <v>414</v>
      </c>
      <c r="F147" t="s">
        <v>59</v>
      </c>
      <c r="G147" t="s">
        <v>415</v>
      </c>
      <c r="H147">
        <v>7.1662151057251024E-3</v>
      </c>
      <c r="I147">
        <v>1.090690738511422E-4</v>
      </c>
      <c r="J147">
        <v>0.7</v>
      </c>
      <c r="L147" s="1">
        <v>43282</v>
      </c>
      <c r="M147" s="1">
        <v>43024</v>
      </c>
      <c r="N147" s="1"/>
      <c r="R147">
        <v>1.0653929664322341E-2</v>
      </c>
      <c r="T147" t="s">
        <v>32</v>
      </c>
      <c r="V147">
        <v>217922060</v>
      </c>
      <c r="W147" t="s">
        <v>200</v>
      </c>
      <c r="X147" t="s">
        <v>305</v>
      </c>
      <c r="Y147">
        <v>8000</v>
      </c>
      <c r="Z147" t="s">
        <v>31</v>
      </c>
      <c r="AA147">
        <v>2.235728699793323E-2</v>
      </c>
      <c r="AB147">
        <v>101.14</v>
      </c>
      <c r="AC147" t="s">
        <v>42</v>
      </c>
      <c r="AE147" t="s">
        <v>41</v>
      </c>
      <c r="AF147">
        <v>-4.9888208702300665E-3</v>
      </c>
      <c r="AH147" t="s">
        <v>237</v>
      </c>
      <c r="AJ147">
        <v>1.0237450151035861E-2</v>
      </c>
      <c r="AK147">
        <v>1.0237450151035861E-2</v>
      </c>
      <c r="AL147">
        <v>0</v>
      </c>
      <c r="AN147" t="s">
        <v>142</v>
      </c>
      <c r="AQ147">
        <v>-5.1072804971427651E-5</v>
      </c>
    </row>
    <row r="148" spans="1:43" x14ac:dyDescent="0.2">
      <c r="A148">
        <v>146</v>
      </c>
      <c r="B148">
        <v>92</v>
      </c>
      <c r="C148">
        <v>1</v>
      </c>
      <c r="D148">
        <v>1000</v>
      </c>
      <c r="E148" t="s">
        <v>414</v>
      </c>
      <c r="F148" t="s">
        <v>59</v>
      </c>
      <c r="G148" t="s">
        <v>416</v>
      </c>
      <c r="H148">
        <v>3.6742243245546473E-4</v>
      </c>
      <c r="I148">
        <v>1.3498250870602578E-5</v>
      </c>
      <c r="J148">
        <v>0.28999999999999998</v>
      </c>
      <c r="L148" s="1">
        <v>43132</v>
      </c>
      <c r="M148" s="1">
        <v>43024</v>
      </c>
      <c r="N148" s="1"/>
      <c r="R148">
        <v>1.0653929664322341E-2</v>
      </c>
      <c r="T148" t="s">
        <v>32</v>
      </c>
      <c r="V148">
        <v>26969759</v>
      </c>
      <c r="W148" t="s">
        <v>200</v>
      </c>
      <c r="X148" t="s">
        <v>305</v>
      </c>
      <c r="Y148">
        <v>1000</v>
      </c>
      <c r="Z148" t="s">
        <v>31</v>
      </c>
      <c r="AA148">
        <v>2.7669096108401911E-3</v>
      </c>
      <c r="AB148">
        <v>100.37</v>
      </c>
      <c r="AC148" t="s">
        <v>42</v>
      </c>
      <c r="AE148" t="s">
        <v>41</v>
      </c>
      <c r="AF148">
        <v>1.2111791297699341E-3</v>
      </c>
      <c r="AH148" t="s">
        <v>237</v>
      </c>
      <c r="AJ148">
        <v>1.266973905018844E-3</v>
      </c>
      <c r="AK148">
        <v>1.266973905018844E-3</v>
      </c>
      <c r="AL148">
        <v>0</v>
      </c>
      <c r="AN148" t="s">
        <v>142</v>
      </c>
      <c r="AQ148">
        <v>1.5345323517219385E-6</v>
      </c>
    </row>
    <row r="149" spans="1:43" x14ac:dyDescent="0.2">
      <c r="A149">
        <v>147</v>
      </c>
      <c r="B149">
        <v>92</v>
      </c>
      <c r="C149">
        <v>1</v>
      </c>
      <c r="D149">
        <v>1000</v>
      </c>
      <c r="E149" t="s">
        <v>417</v>
      </c>
      <c r="F149" t="s">
        <v>59</v>
      </c>
      <c r="G149" t="s">
        <v>816</v>
      </c>
      <c r="H149">
        <v>3.5668457481524971E-6</v>
      </c>
      <c r="I149">
        <v>9.5002309310759767E-7</v>
      </c>
      <c r="J149">
        <v>0.04</v>
      </c>
      <c r="L149" s="1">
        <v>43040</v>
      </c>
      <c r="M149" s="1">
        <v>43024</v>
      </c>
      <c r="N149" s="1"/>
      <c r="R149">
        <v>1.0653929664322341E-2</v>
      </c>
      <c r="T149" t="s">
        <v>32</v>
      </c>
      <c r="V149">
        <v>1898164</v>
      </c>
      <c r="W149" t="s">
        <v>216</v>
      </c>
      <c r="X149" t="s">
        <v>419</v>
      </c>
      <c r="Y149">
        <v>1000</v>
      </c>
      <c r="Z149" t="s">
        <v>31</v>
      </c>
      <c r="AA149">
        <v>1.9473841848386038E-4</v>
      </c>
      <c r="AB149">
        <v>99.94</v>
      </c>
      <c r="AC149" t="s">
        <v>42</v>
      </c>
      <c r="AE149" t="s">
        <v>41</v>
      </c>
      <c r="AF149">
        <v>2.1311179129769937E-2</v>
      </c>
      <c r="AH149" t="s">
        <v>237</v>
      </c>
      <c r="AJ149">
        <v>8.9171143703812431E-5</v>
      </c>
      <c r="AK149">
        <v>8.9171143703812431E-5</v>
      </c>
      <c r="AL149">
        <v>0</v>
      </c>
      <c r="AN149" t="s">
        <v>142</v>
      </c>
      <c r="AQ149">
        <v>1.9003422166784034E-6</v>
      </c>
    </row>
    <row r="150" spans="1:43" x14ac:dyDescent="0.2">
      <c r="A150">
        <v>148</v>
      </c>
      <c r="B150">
        <v>92</v>
      </c>
      <c r="C150">
        <v>1</v>
      </c>
      <c r="D150">
        <v>1000</v>
      </c>
      <c r="E150" t="s">
        <v>417</v>
      </c>
      <c r="F150" t="s">
        <v>59</v>
      </c>
      <c r="G150" t="s">
        <v>418</v>
      </c>
      <c r="H150">
        <v>5.6694860433388627E-4</v>
      </c>
      <c r="I150">
        <v>1.3422734564130981E-5</v>
      </c>
      <c r="J150">
        <v>0.45</v>
      </c>
      <c r="L150" s="1">
        <v>43191</v>
      </c>
      <c r="M150" s="1">
        <v>43024</v>
      </c>
      <c r="N150" s="1"/>
      <c r="R150">
        <v>1.0653929664322341E-2</v>
      </c>
      <c r="T150" t="s">
        <v>32</v>
      </c>
      <c r="V150">
        <v>26818876</v>
      </c>
      <c r="W150" t="s">
        <v>216</v>
      </c>
      <c r="X150" t="s">
        <v>419</v>
      </c>
      <c r="Y150">
        <v>1000</v>
      </c>
      <c r="Z150" t="s">
        <v>31</v>
      </c>
      <c r="AA150">
        <v>2.7514300649231363E-3</v>
      </c>
      <c r="AB150">
        <v>100.45</v>
      </c>
      <c r="AC150" t="s">
        <v>42</v>
      </c>
      <c r="AE150" t="s">
        <v>41</v>
      </c>
      <c r="AF150">
        <v>1.6111791297699352E-3</v>
      </c>
      <c r="AH150" t="s">
        <v>237</v>
      </c>
      <c r="AJ150">
        <v>1.2598857874086362E-3</v>
      </c>
      <c r="AK150">
        <v>1.2598857874086362E-3</v>
      </c>
      <c r="AL150">
        <v>0</v>
      </c>
      <c r="AN150" t="s">
        <v>142</v>
      </c>
      <c r="AQ150">
        <v>2.029901686566556E-6</v>
      </c>
    </row>
    <row r="151" spans="1:43" x14ac:dyDescent="0.2">
      <c r="A151">
        <v>149</v>
      </c>
      <c r="B151">
        <v>93</v>
      </c>
      <c r="C151">
        <v>1</v>
      </c>
      <c r="D151">
        <v>4000</v>
      </c>
      <c r="E151" t="s">
        <v>423</v>
      </c>
      <c r="F151" t="s">
        <v>59</v>
      </c>
      <c r="G151" t="s">
        <v>424</v>
      </c>
      <c r="H151">
        <v>1.6039671617426676E-3</v>
      </c>
      <c r="I151">
        <v>1.4163158093662213E-5</v>
      </c>
      <c r="J151">
        <v>0.95</v>
      </c>
      <c r="L151" s="1">
        <v>43556</v>
      </c>
      <c r="M151" s="1">
        <v>43024</v>
      </c>
      <c r="N151" s="1"/>
      <c r="R151">
        <v>8.3885758448823868E-3</v>
      </c>
      <c r="T151" t="s">
        <v>32</v>
      </c>
      <c r="V151">
        <v>35940264</v>
      </c>
      <c r="W151" t="s">
        <v>319</v>
      </c>
      <c r="X151" t="s">
        <v>425</v>
      </c>
      <c r="Y151">
        <v>4000</v>
      </c>
      <c r="Z151" t="s">
        <v>31</v>
      </c>
      <c r="AA151">
        <v>2.9032041725161393E-3</v>
      </c>
      <c r="AB151">
        <v>100.96</v>
      </c>
      <c r="AC151" s="18" t="s">
        <v>36</v>
      </c>
      <c r="AE151" t="s">
        <v>178</v>
      </c>
      <c r="AF151">
        <v>-9.8882087023006646E-4</v>
      </c>
      <c r="AH151" t="s">
        <v>237</v>
      </c>
      <c r="AJ151">
        <v>1.6883864860449134E-3</v>
      </c>
      <c r="AK151">
        <v>1.6883864860449134E-3</v>
      </c>
      <c r="AL151">
        <v>0</v>
      </c>
      <c r="AN151" t="s">
        <v>150</v>
      </c>
      <c r="AQ151">
        <v>-1.6695117944156152E-6</v>
      </c>
    </row>
    <row r="152" spans="1:43" x14ac:dyDescent="0.2">
      <c r="A152">
        <v>150</v>
      </c>
      <c r="B152">
        <v>93</v>
      </c>
      <c r="C152">
        <v>1</v>
      </c>
      <c r="D152">
        <v>5000</v>
      </c>
      <c r="E152" t="s">
        <v>426</v>
      </c>
      <c r="F152" t="s">
        <v>59</v>
      </c>
      <c r="G152" t="s">
        <v>427</v>
      </c>
      <c r="H152">
        <v>2.8245518942270555E-3</v>
      </c>
      <c r="I152">
        <v>5.2653261761177484E-5</v>
      </c>
      <c r="J152">
        <v>0.45</v>
      </c>
      <c r="L152" s="1">
        <v>43191</v>
      </c>
      <c r="M152" s="1">
        <v>43024</v>
      </c>
      <c r="N152" s="1"/>
      <c r="R152">
        <v>8.3885758448823868E-3</v>
      </c>
      <c r="T152" t="s">
        <v>32</v>
      </c>
      <c r="V152">
        <v>133612300</v>
      </c>
      <c r="W152" t="s">
        <v>181</v>
      </c>
      <c r="X152" t="s">
        <v>428</v>
      </c>
      <c r="Y152">
        <v>5000</v>
      </c>
      <c r="Z152" t="s">
        <v>31</v>
      </c>
      <c r="AA152">
        <v>1.0793014399100635E-2</v>
      </c>
      <c r="AB152">
        <v>100.11</v>
      </c>
      <c r="AC152" t="s">
        <v>33</v>
      </c>
      <c r="AE152" t="s">
        <v>41</v>
      </c>
      <c r="AF152">
        <v>4.1111791297699339E-3</v>
      </c>
      <c r="AH152" t="s">
        <v>237</v>
      </c>
      <c r="AJ152">
        <v>6.276781987171234E-3</v>
      </c>
      <c r="AK152">
        <v>6.276781987171234E-3</v>
      </c>
      <c r="AL152">
        <v>0</v>
      </c>
      <c r="AN152" t="s">
        <v>148</v>
      </c>
      <c r="AQ152">
        <v>2.5804975107774232E-5</v>
      </c>
    </row>
    <row r="153" spans="1:43" x14ac:dyDescent="0.2">
      <c r="A153">
        <v>151</v>
      </c>
      <c r="B153">
        <v>93</v>
      </c>
      <c r="C153">
        <v>1</v>
      </c>
      <c r="D153">
        <v>1000</v>
      </c>
      <c r="E153" t="s">
        <v>426</v>
      </c>
      <c r="F153" t="s">
        <v>59</v>
      </c>
      <c r="G153" t="s">
        <v>429</v>
      </c>
      <c r="H153">
        <v>6.0242161442882554E-4</v>
      </c>
      <c r="I153">
        <v>1.0528040423401451E-5</v>
      </c>
      <c r="J153">
        <v>0.48</v>
      </c>
      <c r="L153" s="1">
        <v>43199</v>
      </c>
      <c r="M153" s="1">
        <v>43024</v>
      </c>
      <c r="N153" s="1"/>
      <c r="R153">
        <v>8.3885758448823868E-3</v>
      </c>
      <c r="T153" t="s">
        <v>32</v>
      </c>
      <c r="V153">
        <v>26715832</v>
      </c>
      <c r="W153" t="s">
        <v>181</v>
      </c>
      <c r="X153" t="s">
        <v>428</v>
      </c>
      <c r="Y153">
        <v>1000</v>
      </c>
      <c r="Z153" t="s">
        <v>31</v>
      </c>
      <c r="AA153">
        <v>2.1580674792661563E-3</v>
      </c>
      <c r="AB153">
        <v>100.15</v>
      </c>
      <c r="AC153" t="s">
        <v>33</v>
      </c>
      <c r="AE153" t="s">
        <v>41</v>
      </c>
      <c r="AF153">
        <v>3.3111791297699353E-3</v>
      </c>
      <c r="AH153" t="s">
        <v>237</v>
      </c>
      <c r="AJ153">
        <v>1.2550450300600532E-3</v>
      </c>
      <c r="AK153">
        <v>1.2550450300600532E-3</v>
      </c>
      <c r="AL153">
        <v>0</v>
      </c>
      <c r="AN153" t="s">
        <v>148</v>
      </c>
      <c r="AQ153">
        <v>4.1556789104563295E-6</v>
      </c>
    </row>
    <row r="154" spans="1:43" x14ac:dyDescent="0.2">
      <c r="A154">
        <v>152</v>
      </c>
      <c r="B154">
        <v>93</v>
      </c>
      <c r="C154">
        <v>1</v>
      </c>
      <c r="D154">
        <v>11500</v>
      </c>
      <c r="E154" t="s">
        <v>430</v>
      </c>
      <c r="F154" t="s">
        <v>59</v>
      </c>
      <c r="G154" t="s">
        <v>431</v>
      </c>
      <c r="H154">
        <v>5.8438725181848849E-4</v>
      </c>
      <c r="I154">
        <v>1.2255441961654434E-4</v>
      </c>
      <c r="J154">
        <v>0.04</v>
      </c>
      <c r="L154" s="1">
        <v>43040</v>
      </c>
      <c r="M154" s="1">
        <v>43024</v>
      </c>
      <c r="N154" s="1"/>
      <c r="R154">
        <v>8.3885758448823868E-3</v>
      </c>
      <c r="T154" t="s">
        <v>32</v>
      </c>
      <c r="V154">
        <v>310992659</v>
      </c>
      <c r="W154" t="s">
        <v>248</v>
      </c>
      <c r="X154" t="s">
        <v>432</v>
      </c>
      <c r="Y154">
        <v>11500</v>
      </c>
      <c r="Z154" t="s">
        <v>31</v>
      </c>
      <c r="AA154">
        <v>2.5121551283838337E-2</v>
      </c>
      <c r="AB154">
        <v>99.94</v>
      </c>
      <c r="AC154" t="s">
        <v>34</v>
      </c>
      <c r="AE154" t="s">
        <v>41</v>
      </c>
      <c r="AF154">
        <v>2.1411179129769933E-2</v>
      </c>
      <c r="AH154" t="s">
        <v>237</v>
      </c>
      <c r="AJ154">
        <v>1.4609681295462213E-2</v>
      </c>
      <c r="AK154">
        <v>1.4609681295462213E-2</v>
      </c>
      <c r="AL154">
        <v>0</v>
      </c>
      <c r="AN154" t="s">
        <v>54</v>
      </c>
      <c r="AQ154">
        <v>3.1281050324599068E-4</v>
      </c>
    </row>
    <row r="155" spans="1:43" x14ac:dyDescent="0.2">
      <c r="A155">
        <v>153</v>
      </c>
      <c r="B155">
        <v>93</v>
      </c>
      <c r="C155">
        <v>1</v>
      </c>
      <c r="D155">
        <v>1500</v>
      </c>
      <c r="E155" t="s">
        <v>430</v>
      </c>
      <c r="F155" t="s">
        <v>59</v>
      </c>
      <c r="G155" t="s">
        <v>433</v>
      </c>
      <c r="H155">
        <v>3.9845730698730684E-4</v>
      </c>
      <c r="I155">
        <v>1.5916615907669563E-5</v>
      </c>
      <c r="J155">
        <v>0.21</v>
      </c>
      <c r="L155" s="1">
        <v>43101</v>
      </c>
      <c r="M155" s="1">
        <v>43024</v>
      </c>
      <c r="N155" s="1"/>
      <c r="R155">
        <v>8.3885758448823868E-3</v>
      </c>
      <c r="T155" t="s">
        <v>32</v>
      </c>
      <c r="V155">
        <v>40389818</v>
      </c>
      <c r="W155" t="s">
        <v>248</v>
      </c>
      <c r="X155" t="s">
        <v>432</v>
      </c>
      <c r="Y155">
        <v>1500</v>
      </c>
      <c r="Z155" t="s">
        <v>31</v>
      </c>
      <c r="AA155">
        <v>3.2626329106755438E-3</v>
      </c>
      <c r="AB155">
        <v>100.11</v>
      </c>
      <c r="AC155" t="s">
        <v>34</v>
      </c>
      <c r="AE155" t="s">
        <v>41</v>
      </c>
      <c r="AF155">
        <v>4.1117912976993548E-4</v>
      </c>
      <c r="AH155" t="s">
        <v>237</v>
      </c>
      <c r="AJ155">
        <v>1.8974157475586042E-3</v>
      </c>
      <c r="AK155">
        <v>1.8974157475586042E-3</v>
      </c>
      <c r="AL155">
        <v>0</v>
      </c>
      <c r="AN155" t="s">
        <v>54</v>
      </c>
      <c r="AQ155">
        <v>7.8017775589291847E-7</v>
      </c>
    </row>
    <row r="156" spans="1:43" x14ac:dyDescent="0.2">
      <c r="A156">
        <v>154</v>
      </c>
      <c r="B156">
        <v>93</v>
      </c>
      <c r="C156">
        <v>1</v>
      </c>
      <c r="D156">
        <v>9000</v>
      </c>
      <c r="E156" t="s">
        <v>430</v>
      </c>
      <c r="F156" t="s">
        <v>59</v>
      </c>
      <c r="G156" t="s">
        <v>474</v>
      </c>
      <c r="H156">
        <v>2.3464193183550721E-3</v>
      </c>
      <c r="I156">
        <v>2.0719069911493427E-5</v>
      </c>
      <c r="J156">
        <v>0.95</v>
      </c>
      <c r="L156" s="1">
        <v>43647</v>
      </c>
      <c r="M156" s="1">
        <v>43024</v>
      </c>
      <c r="N156" s="1"/>
      <c r="R156">
        <v>8.3885758448823868E-3</v>
      </c>
      <c r="T156" t="s">
        <v>32</v>
      </c>
      <c r="V156">
        <v>52576469</v>
      </c>
      <c r="W156" t="s">
        <v>248</v>
      </c>
      <c r="X156" t="s">
        <v>432</v>
      </c>
      <c r="Y156">
        <v>9000</v>
      </c>
      <c r="Z156" t="s">
        <v>31</v>
      </c>
      <c r="AA156">
        <v>4.247053504586539E-3</v>
      </c>
      <c r="AB156">
        <v>100.97</v>
      </c>
      <c r="AC156" s="18" t="s">
        <v>34</v>
      </c>
      <c r="AE156" t="s">
        <v>41</v>
      </c>
      <c r="AF156">
        <v>-4.088820870230065E-3</v>
      </c>
      <c r="AH156" t="s">
        <v>237</v>
      </c>
      <c r="AJ156">
        <v>2.4699150719527077E-3</v>
      </c>
      <c r="AK156">
        <v>2.4699150719527077E-3</v>
      </c>
      <c r="AL156">
        <v>0</v>
      </c>
      <c r="AN156" t="s">
        <v>54</v>
      </c>
      <c r="AQ156">
        <v>-1.0099040293896023E-5</v>
      </c>
    </row>
    <row r="157" spans="1:43" x14ac:dyDescent="0.2">
      <c r="A157">
        <v>155</v>
      </c>
      <c r="B157">
        <v>93</v>
      </c>
      <c r="C157">
        <v>1</v>
      </c>
      <c r="D157">
        <v>7000</v>
      </c>
      <c r="E157" t="s">
        <v>326</v>
      </c>
      <c r="F157" t="s">
        <v>59</v>
      </c>
      <c r="G157" t="s">
        <v>434</v>
      </c>
      <c r="H157">
        <v>4.923515078368493E-3</v>
      </c>
      <c r="I157">
        <v>7.5093235742392994E-5</v>
      </c>
      <c r="J157">
        <v>0.55000000000000004</v>
      </c>
      <c r="L157" s="1">
        <v>43227</v>
      </c>
      <c r="M157" s="1">
        <v>43024</v>
      </c>
      <c r="N157" s="1"/>
      <c r="R157">
        <v>8.3885758448823868E-3</v>
      </c>
      <c r="T157" t="s">
        <v>32</v>
      </c>
      <c r="V157">
        <v>190555715</v>
      </c>
      <c r="W157" t="s">
        <v>327</v>
      </c>
      <c r="X157" t="s">
        <v>435</v>
      </c>
      <c r="Y157">
        <v>7000</v>
      </c>
      <c r="Z157" t="s">
        <v>31</v>
      </c>
      <c r="AA157">
        <v>1.5392823683342903E-2</v>
      </c>
      <c r="AB157">
        <v>100.56</v>
      </c>
      <c r="AC157" s="18" t="s">
        <v>34</v>
      </c>
      <c r="AE157" t="s">
        <v>35</v>
      </c>
      <c r="AF157">
        <v>9.1117912976993592E-4</v>
      </c>
      <c r="AH157" t="s">
        <v>237</v>
      </c>
      <c r="AJ157">
        <v>8.9518455970336221E-3</v>
      </c>
      <c r="AK157">
        <v>8.9518455970336221E-3</v>
      </c>
      <c r="AL157">
        <v>0</v>
      </c>
      <c r="AN157" t="s">
        <v>54</v>
      </c>
      <c r="AQ157">
        <v>8.1567348809399276E-6</v>
      </c>
    </row>
    <row r="158" spans="1:43" x14ac:dyDescent="0.2">
      <c r="A158">
        <v>156</v>
      </c>
      <c r="B158">
        <v>93</v>
      </c>
      <c r="C158">
        <v>1</v>
      </c>
      <c r="D158">
        <v>2500</v>
      </c>
      <c r="E158" t="s">
        <v>332</v>
      </c>
      <c r="F158" t="s">
        <v>59</v>
      </c>
      <c r="G158" t="s">
        <v>436</v>
      </c>
      <c r="H158">
        <v>8.648429797693891E-4</v>
      </c>
      <c r="I158">
        <v>1.3434816536499265E-5</v>
      </c>
      <c r="J158">
        <v>0.54</v>
      </c>
      <c r="L158" s="1">
        <v>43409</v>
      </c>
      <c r="M158" s="1">
        <v>43024</v>
      </c>
      <c r="N158" s="1"/>
      <c r="R158">
        <v>8.3885758448823868E-3</v>
      </c>
      <c r="T158" t="s">
        <v>32</v>
      </c>
      <c r="V158">
        <v>34092033</v>
      </c>
      <c r="W158" t="s">
        <v>333</v>
      </c>
      <c r="X158" t="s">
        <v>437</v>
      </c>
      <c r="Y158">
        <v>2500</v>
      </c>
      <c r="Z158" t="s">
        <v>31</v>
      </c>
      <c r="AA158">
        <v>2.753906661764029E-3</v>
      </c>
      <c r="AB158">
        <v>100.72</v>
      </c>
      <c r="AC158" t="s">
        <v>34</v>
      </c>
      <c r="AE158" t="s">
        <v>35</v>
      </c>
      <c r="AF158">
        <v>-2.4888208702300643E-3</v>
      </c>
      <c r="AH158" t="s">
        <v>237</v>
      </c>
      <c r="AJ158">
        <v>1.6015610736470167E-3</v>
      </c>
      <c r="AK158">
        <v>1.6015610736470167E-3</v>
      </c>
      <c r="AL158">
        <v>0</v>
      </c>
      <c r="AN158" t="s">
        <v>54</v>
      </c>
      <c r="AQ158">
        <v>-3.9859986250407643E-6</v>
      </c>
    </row>
    <row r="159" spans="1:43" x14ac:dyDescent="0.2">
      <c r="A159">
        <v>157</v>
      </c>
      <c r="B159">
        <v>93</v>
      </c>
      <c r="C159">
        <v>1</v>
      </c>
      <c r="D159">
        <v>2500</v>
      </c>
      <c r="E159" t="s">
        <v>440</v>
      </c>
      <c r="F159" t="s">
        <v>59</v>
      </c>
      <c r="G159" t="s">
        <v>441</v>
      </c>
      <c r="H159">
        <v>2.1794984095008301E-3</v>
      </c>
      <c r="I159">
        <v>2.1509279661056757E-5</v>
      </c>
      <c r="J159">
        <v>0.85</v>
      </c>
      <c r="L159" s="1">
        <v>43617</v>
      </c>
      <c r="M159" s="1">
        <v>43024</v>
      </c>
      <c r="N159" s="1"/>
      <c r="R159">
        <v>8.3885758448823868E-3</v>
      </c>
      <c r="T159" t="s">
        <v>32</v>
      </c>
      <c r="V159">
        <v>54581696</v>
      </c>
      <c r="W159" t="s">
        <v>442</v>
      </c>
      <c r="X159" t="s">
        <v>443</v>
      </c>
      <c r="Y159">
        <v>2500</v>
      </c>
      <c r="Z159" t="s">
        <v>31</v>
      </c>
      <c r="AA159">
        <v>4.4090329322624749E-3</v>
      </c>
      <c r="AB159">
        <v>100.95</v>
      </c>
      <c r="AC159" t="s">
        <v>34</v>
      </c>
      <c r="AE159" t="s">
        <v>41</v>
      </c>
      <c r="AF159">
        <v>2.4111791297699338E-3</v>
      </c>
      <c r="AH159" t="s">
        <v>237</v>
      </c>
      <c r="AJ159">
        <v>2.5641157758833294E-3</v>
      </c>
      <c r="AK159">
        <v>2.5641157758833294E-3</v>
      </c>
      <c r="AL159">
        <v>0</v>
      </c>
      <c r="AN159" t="s">
        <v>54</v>
      </c>
      <c r="AQ159">
        <v>6.1825424451237246E-6</v>
      </c>
    </row>
    <row r="160" spans="1:43" x14ac:dyDescent="0.2">
      <c r="A160">
        <v>158</v>
      </c>
      <c r="B160">
        <v>93</v>
      </c>
      <c r="C160">
        <v>1</v>
      </c>
      <c r="D160">
        <v>4000</v>
      </c>
      <c r="E160" t="s">
        <v>359</v>
      </c>
      <c r="F160" t="s">
        <v>59</v>
      </c>
      <c r="G160" t="s">
        <v>444</v>
      </c>
      <c r="H160">
        <v>1.2671051603663842E-3</v>
      </c>
      <c r="I160">
        <v>1.7424930723238152E-5</v>
      </c>
      <c r="J160">
        <v>0.61</v>
      </c>
      <c r="L160" s="1">
        <v>43435</v>
      </c>
      <c r="M160" s="1">
        <v>43024</v>
      </c>
      <c r="N160" s="1"/>
      <c r="R160">
        <v>8.3885758448823868E-3</v>
      </c>
      <c r="T160" t="s">
        <v>32</v>
      </c>
      <c r="V160">
        <v>44217300</v>
      </c>
      <c r="W160" t="s">
        <v>360</v>
      </c>
      <c r="X160" t="s">
        <v>445</v>
      </c>
      <c r="Y160">
        <v>4000</v>
      </c>
      <c r="Z160" t="s">
        <v>31</v>
      </c>
      <c r="AA160">
        <v>3.5718115442167557E-3</v>
      </c>
      <c r="AB160">
        <v>100.59</v>
      </c>
      <c r="AC160" s="18" t="s">
        <v>33</v>
      </c>
      <c r="AE160" t="s">
        <v>38</v>
      </c>
      <c r="AF160">
        <v>1.5111791297699358E-3</v>
      </c>
      <c r="AH160" t="s">
        <v>237</v>
      </c>
      <c r="AJ160">
        <v>2.0772215743711216E-3</v>
      </c>
      <c r="AK160">
        <v>2.0772215743711216E-3</v>
      </c>
      <c r="AL160">
        <v>0</v>
      </c>
      <c r="AN160" t="s">
        <v>148</v>
      </c>
      <c r="AQ160">
        <v>3.1390538910974874E-6</v>
      </c>
    </row>
    <row r="161" spans="1:43" x14ac:dyDescent="0.2">
      <c r="A161">
        <v>159</v>
      </c>
      <c r="B161">
        <v>95</v>
      </c>
      <c r="C161">
        <v>1</v>
      </c>
      <c r="D161">
        <v>5000</v>
      </c>
      <c r="E161" t="s">
        <v>411</v>
      </c>
      <c r="F161" t="s">
        <v>59</v>
      </c>
      <c r="G161" t="s">
        <v>448</v>
      </c>
      <c r="H161">
        <v>7.5867634120976623E-3</v>
      </c>
      <c r="I161">
        <v>1.1757736073172898E-4</v>
      </c>
      <c r="J161">
        <v>1.18</v>
      </c>
      <c r="L161" s="1">
        <v>43466</v>
      </c>
      <c r="M161" s="1">
        <v>43024</v>
      </c>
      <c r="N161" s="1"/>
      <c r="R161">
        <v>1.8287282484940392E-2</v>
      </c>
      <c r="T161" t="s">
        <v>32</v>
      </c>
      <c r="V161">
        <v>136862330</v>
      </c>
      <c r="W161" t="s">
        <v>211</v>
      </c>
      <c r="X161" t="s">
        <v>413</v>
      </c>
      <c r="Y161">
        <v>5000</v>
      </c>
      <c r="Z161" t="s">
        <v>31</v>
      </c>
      <c r="AA161">
        <v>2.4101339687971145E-2</v>
      </c>
      <c r="AB161">
        <v>101.63</v>
      </c>
      <c r="AC161" t="s">
        <v>42</v>
      </c>
      <c r="AE161" t="s">
        <v>41</v>
      </c>
      <c r="AF161">
        <v>-2.788820870230066E-3</v>
      </c>
      <c r="AH161" t="s">
        <v>237</v>
      </c>
      <c r="AJ161">
        <v>6.4294605187268329E-3</v>
      </c>
      <c r="AK161">
        <v>6.4294605187268329E-3</v>
      </c>
      <c r="AL161">
        <v>0</v>
      </c>
      <c r="AN161" t="s">
        <v>142</v>
      </c>
      <c r="AQ161">
        <v>-1.7930613678945618E-5</v>
      </c>
    </row>
    <row r="162" spans="1:43" x14ac:dyDescent="0.2">
      <c r="A162">
        <v>160</v>
      </c>
      <c r="B162">
        <v>95</v>
      </c>
      <c r="C162">
        <v>1</v>
      </c>
      <c r="D162">
        <v>3000</v>
      </c>
      <c r="E162" t="s">
        <v>417</v>
      </c>
      <c r="F162" t="s">
        <v>59</v>
      </c>
      <c r="G162" t="s">
        <v>449</v>
      </c>
      <c r="H162">
        <v>5.4495443907454618E-3</v>
      </c>
      <c r="I162">
        <v>6.969045992152772E-5</v>
      </c>
      <c r="J162">
        <v>1.43</v>
      </c>
      <c r="L162" s="1">
        <v>43556</v>
      </c>
      <c r="M162" s="1">
        <v>43024</v>
      </c>
      <c r="N162" s="1"/>
      <c r="R162">
        <v>1.8287282484940392E-2</v>
      </c>
      <c r="T162" t="s">
        <v>32</v>
      </c>
      <c r="V162">
        <v>81121048</v>
      </c>
      <c r="W162" t="s">
        <v>216</v>
      </c>
      <c r="X162" t="s">
        <v>419</v>
      </c>
      <c r="Y162">
        <v>3000</v>
      </c>
      <c r="Z162" t="s">
        <v>31</v>
      </c>
      <c r="AA162">
        <v>1.4285347426806282E-2</v>
      </c>
      <c r="AB162">
        <v>101.3</v>
      </c>
      <c r="AC162" t="s">
        <v>42</v>
      </c>
      <c r="AE162" t="s">
        <v>41</v>
      </c>
      <c r="AF162">
        <v>-2.5888208702300637E-3</v>
      </c>
      <c r="AH162" t="s">
        <v>237</v>
      </c>
      <c r="AJ162">
        <v>3.8108702033185049E-3</v>
      </c>
      <c r="AK162">
        <v>3.8108702033185049E-3</v>
      </c>
      <c r="AL162">
        <v>0</v>
      </c>
      <c r="AN162" t="s">
        <v>142</v>
      </c>
      <c r="AQ162">
        <v>-9.8656603160888316E-6</v>
      </c>
    </row>
    <row r="163" spans="1:43" x14ac:dyDescent="0.2">
      <c r="A163">
        <v>161</v>
      </c>
      <c r="B163">
        <v>95</v>
      </c>
      <c r="C163">
        <v>1</v>
      </c>
      <c r="D163">
        <v>6500</v>
      </c>
      <c r="E163" t="s">
        <v>450</v>
      </c>
      <c r="F163" t="s">
        <v>59</v>
      </c>
      <c r="G163" t="s">
        <v>451</v>
      </c>
      <c r="H163">
        <v>1.0859167378279154E-2</v>
      </c>
      <c r="I163">
        <v>9.1093881375156158E-5</v>
      </c>
      <c r="J163">
        <v>2.1800000000000002</v>
      </c>
      <c r="L163" s="1">
        <v>44377</v>
      </c>
      <c r="M163" s="1">
        <v>43024</v>
      </c>
      <c r="N163" s="1"/>
      <c r="R163">
        <v>1.8287282484940392E-2</v>
      </c>
      <c r="T163" t="s">
        <v>32</v>
      </c>
      <c r="V163">
        <v>106035046</v>
      </c>
      <c r="W163" t="s">
        <v>452</v>
      </c>
      <c r="X163" t="s">
        <v>453</v>
      </c>
      <c r="Y163">
        <v>6500</v>
      </c>
      <c r="Z163" t="s">
        <v>31</v>
      </c>
      <c r="AA163">
        <v>1.8672681244544395E-2</v>
      </c>
      <c r="AB163">
        <v>101.75</v>
      </c>
      <c r="AC163" t="s">
        <v>42</v>
      </c>
      <c r="AE163" t="s">
        <v>176</v>
      </c>
      <c r="AF163">
        <v>-2.2888208702300655E-3</v>
      </c>
      <c r="AH163" t="s">
        <v>237</v>
      </c>
      <c r="AJ163">
        <v>4.9812694395775931E-3</v>
      </c>
      <c r="AK163">
        <v>4.9812694395775931E-3</v>
      </c>
      <c r="AL163">
        <v>0</v>
      </c>
      <c r="AN163" t="s">
        <v>142</v>
      </c>
      <c r="AQ163">
        <v>-1.1401233453544417E-5</v>
      </c>
    </row>
    <row r="164" spans="1:43" x14ac:dyDescent="0.2">
      <c r="A164">
        <v>162</v>
      </c>
      <c r="B164">
        <v>96</v>
      </c>
      <c r="C164">
        <v>1</v>
      </c>
      <c r="D164">
        <v>1500</v>
      </c>
      <c r="E164" t="s">
        <v>454</v>
      </c>
      <c r="F164" t="s">
        <v>59</v>
      </c>
      <c r="G164" t="s">
        <v>455</v>
      </c>
      <c r="H164">
        <v>5.3487914555685866E-3</v>
      </c>
      <c r="I164">
        <v>3.9894088872202886E-5</v>
      </c>
      <c r="J164">
        <v>2.76</v>
      </c>
      <c r="L164" s="1">
        <v>44075</v>
      </c>
      <c r="M164" s="1">
        <v>43024</v>
      </c>
      <c r="N164" s="1"/>
      <c r="R164">
        <v>2.0585525945799901E-2</v>
      </c>
      <c r="T164" t="s">
        <v>32</v>
      </c>
      <c r="V164">
        <v>41253042</v>
      </c>
      <c r="W164" t="s">
        <v>456</v>
      </c>
      <c r="X164" t="s">
        <v>457</v>
      </c>
      <c r="Y164">
        <v>1500</v>
      </c>
      <c r="Z164" t="s">
        <v>31</v>
      </c>
      <c r="AA164">
        <v>8.1776030816415862E-3</v>
      </c>
      <c r="AB164">
        <v>102.74</v>
      </c>
      <c r="AC164" t="s">
        <v>34</v>
      </c>
      <c r="AE164" t="s">
        <v>177</v>
      </c>
      <c r="AF164">
        <v>-1.1888208702300652E-3</v>
      </c>
      <c r="AH164" t="s">
        <v>237</v>
      </c>
      <c r="AJ164">
        <v>1.9379679186842707E-3</v>
      </c>
      <c r="AK164">
        <v>1.9379679186842707E-3</v>
      </c>
      <c r="AL164">
        <v>0</v>
      </c>
      <c r="AN164" t="s">
        <v>54</v>
      </c>
      <c r="AQ164">
        <v>-2.303896707568183E-6</v>
      </c>
    </row>
    <row r="165" spans="1:43" x14ac:dyDescent="0.2">
      <c r="A165">
        <v>163</v>
      </c>
      <c r="B165">
        <v>96</v>
      </c>
      <c r="C165">
        <v>1</v>
      </c>
      <c r="D165">
        <v>500</v>
      </c>
      <c r="E165" t="s">
        <v>454</v>
      </c>
      <c r="F165" t="s">
        <v>59</v>
      </c>
      <c r="G165" t="s">
        <v>458</v>
      </c>
      <c r="H165">
        <v>1.0647245858674611E-3</v>
      </c>
      <c r="I165">
        <v>1.1475348475133862E-5</v>
      </c>
      <c r="J165">
        <v>1.91</v>
      </c>
      <c r="L165" s="1">
        <v>44287</v>
      </c>
      <c r="M165" s="1">
        <v>43024</v>
      </c>
      <c r="N165" s="1"/>
      <c r="R165">
        <v>2.0585525945799901E-2</v>
      </c>
      <c r="T165" t="s">
        <v>32</v>
      </c>
      <c r="V165">
        <v>11866245</v>
      </c>
      <c r="W165" t="s">
        <v>456</v>
      </c>
      <c r="X165" t="s">
        <v>457</v>
      </c>
      <c r="Y165">
        <v>500</v>
      </c>
      <c r="Z165" t="s">
        <v>31</v>
      </c>
      <c r="AA165">
        <v>2.352249360895957E-3</v>
      </c>
      <c r="AB165">
        <v>101.61</v>
      </c>
      <c r="AC165" t="s">
        <v>34</v>
      </c>
      <c r="AE165" t="s">
        <v>177</v>
      </c>
      <c r="AF165">
        <v>-2.1888208702300661E-3</v>
      </c>
      <c r="AH165" t="s">
        <v>237</v>
      </c>
      <c r="AJ165">
        <v>5.5744742715573882E-4</v>
      </c>
      <c r="AK165">
        <v>5.5744742715573882E-4</v>
      </c>
      <c r="AL165">
        <v>0</v>
      </c>
      <c r="AN165" t="s">
        <v>54</v>
      </c>
      <c r="AQ165">
        <v>-1.2201525626145356E-6</v>
      </c>
    </row>
    <row r="166" spans="1:43" x14ac:dyDescent="0.2">
      <c r="A166">
        <v>164</v>
      </c>
      <c r="B166">
        <v>96</v>
      </c>
      <c r="C166">
        <v>1</v>
      </c>
      <c r="D166">
        <v>2000</v>
      </c>
      <c r="E166" t="s">
        <v>459</v>
      </c>
      <c r="F166" t="s">
        <v>59</v>
      </c>
      <c r="G166" t="s">
        <v>460</v>
      </c>
      <c r="H166">
        <v>3.6401697572706762E-3</v>
      </c>
      <c r="I166">
        <v>5.2401964325462685E-5</v>
      </c>
      <c r="J166">
        <v>1.43</v>
      </c>
      <c r="L166" s="1">
        <v>43556</v>
      </c>
      <c r="M166" s="1">
        <v>43024</v>
      </c>
      <c r="N166" s="1"/>
      <c r="R166">
        <v>2.0585525945799901E-2</v>
      </c>
      <c r="T166" t="s">
        <v>32</v>
      </c>
      <c r="V166">
        <v>54186986</v>
      </c>
      <c r="W166" t="s">
        <v>249</v>
      </c>
      <c r="X166" t="s">
        <v>461</v>
      </c>
      <c r="Y166">
        <v>2000</v>
      </c>
      <c r="Z166" t="s">
        <v>31</v>
      </c>
      <c r="AA166">
        <v>1.0741502740536554E-2</v>
      </c>
      <c r="AB166">
        <v>101.5</v>
      </c>
      <c r="AC166" t="s">
        <v>34</v>
      </c>
      <c r="AE166" t="s">
        <v>41</v>
      </c>
      <c r="AF166">
        <v>-4.1888208702300644E-3</v>
      </c>
      <c r="AH166" t="s">
        <v>237</v>
      </c>
      <c r="AJ166">
        <v>2.5455732568326409E-3</v>
      </c>
      <c r="AK166">
        <v>2.5455732568326409E-3</v>
      </c>
      <c r="AL166">
        <v>0</v>
      </c>
      <c r="AN166" t="s">
        <v>54</v>
      </c>
      <c r="AQ166">
        <v>-1.0662950384920082E-5</v>
      </c>
    </row>
    <row r="167" spans="1:43" x14ac:dyDescent="0.2">
      <c r="A167">
        <v>165</v>
      </c>
      <c r="B167">
        <v>96</v>
      </c>
      <c r="C167">
        <v>1</v>
      </c>
      <c r="D167">
        <v>1000</v>
      </c>
      <c r="E167" t="s">
        <v>462</v>
      </c>
      <c r="F167" t="s">
        <v>59</v>
      </c>
      <c r="G167" t="s">
        <v>463</v>
      </c>
      <c r="H167">
        <v>3.4283981722374722E-3</v>
      </c>
      <c r="I167">
        <v>2.7249181284605189E-5</v>
      </c>
      <c r="J167">
        <v>2.59</v>
      </c>
      <c r="L167" s="1">
        <v>44021</v>
      </c>
      <c r="M167" s="1">
        <v>43024</v>
      </c>
      <c r="N167" s="1"/>
      <c r="R167">
        <v>2.0585525945799901E-2</v>
      </c>
      <c r="T167" t="s">
        <v>32</v>
      </c>
      <c r="V167">
        <v>28177398</v>
      </c>
      <c r="W167" t="s">
        <v>220</v>
      </c>
      <c r="X167" t="s">
        <v>464</v>
      </c>
      <c r="Y167">
        <v>1000</v>
      </c>
      <c r="Z167" t="s">
        <v>31</v>
      </c>
      <c r="AA167">
        <v>5.5856141885837528E-3</v>
      </c>
      <c r="AB167">
        <v>104.56</v>
      </c>
      <c r="AC167" t="s">
        <v>33</v>
      </c>
      <c r="AE167" t="s">
        <v>41</v>
      </c>
      <c r="AF167">
        <v>-9.8882087023006646E-4</v>
      </c>
      <c r="AH167" t="s">
        <v>237</v>
      </c>
      <c r="AJ167">
        <v>1.3237058580067461E-3</v>
      </c>
      <c r="AK167">
        <v>1.3237058580067461E-3</v>
      </c>
      <c r="AL167">
        <v>0</v>
      </c>
      <c r="AN167" t="s">
        <v>148</v>
      </c>
      <c r="AQ167">
        <v>-1.3089079784428674E-6</v>
      </c>
    </row>
    <row r="168" spans="1:43" x14ac:dyDescent="0.2">
      <c r="A168">
        <v>166</v>
      </c>
      <c r="B168">
        <v>96</v>
      </c>
      <c r="C168">
        <v>1</v>
      </c>
      <c r="D168">
        <v>1000</v>
      </c>
      <c r="E168" t="s">
        <v>462</v>
      </c>
      <c r="F168" t="s">
        <v>59</v>
      </c>
      <c r="G168" t="s">
        <v>465</v>
      </c>
      <c r="H168">
        <v>3.3522498599713318E-3</v>
      </c>
      <c r="I168">
        <v>2.6541471718939974E-5</v>
      </c>
      <c r="J168">
        <v>2.6</v>
      </c>
      <c r="L168" s="1">
        <v>44013</v>
      </c>
      <c r="M168" s="1">
        <v>43024</v>
      </c>
      <c r="N168" s="1"/>
      <c r="R168">
        <v>2.0585525945799901E-2</v>
      </c>
      <c r="T168" t="s">
        <v>32</v>
      </c>
      <c r="V168">
        <v>27445581</v>
      </c>
      <c r="W168" t="s">
        <v>220</v>
      </c>
      <c r="X168" t="s">
        <v>464</v>
      </c>
      <c r="Y168">
        <v>1000</v>
      </c>
      <c r="Z168" t="s">
        <v>31</v>
      </c>
      <c r="AA168">
        <v>5.4405458817568843E-3</v>
      </c>
      <c r="AB168">
        <v>102.05</v>
      </c>
      <c r="AC168" t="s">
        <v>33</v>
      </c>
      <c r="AE168" t="s">
        <v>41</v>
      </c>
      <c r="AF168">
        <v>-1.388820870230064E-3</v>
      </c>
      <c r="AH168" t="s">
        <v>237</v>
      </c>
      <c r="AJ168">
        <v>1.289326869219743E-3</v>
      </c>
      <c r="AK168">
        <v>1.289326869219743E-3</v>
      </c>
      <c r="AL168">
        <v>0</v>
      </c>
      <c r="AN168" t="s">
        <v>148</v>
      </c>
      <c r="AQ168">
        <v>-1.7906440645207673E-6</v>
      </c>
    </row>
    <row r="169" spans="1:43" x14ac:dyDescent="0.2">
      <c r="A169">
        <v>167</v>
      </c>
      <c r="B169">
        <v>96</v>
      </c>
      <c r="C169">
        <v>1</v>
      </c>
      <c r="D169">
        <v>10000</v>
      </c>
      <c r="E169" t="s">
        <v>466</v>
      </c>
      <c r="F169" t="s">
        <v>59</v>
      </c>
      <c r="G169" t="s">
        <v>467</v>
      </c>
      <c r="H169">
        <v>1.7184123545882338E-2</v>
      </c>
      <c r="I169">
        <v>2.6203275637747545E-4</v>
      </c>
      <c r="J169">
        <v>1.35</v>
      </c>
      <c r="L169" s="1">
        <v>43525</v>
      </c>
      <c r="M169" s="1">
        <v>43024</v>
      </c>
      <c r="N169" s="1"/>
      <c r="R169">
        <v>2.0585525945799901E-2</v>
      </c>
      <c r="T169" t="s">
        <v>32</v>
      </c>
      <c r="V169">
        <v>270958646</v>
      </c>
      <c r="W169" t="s">
        <v>250</v>
      </c>
      <c r="X169" t="s">
        <v>468</v>
      </c>
      <c r="Y169">
        <v>10000</v>
      </c>
      <c r="Z169" t="s">
        <v>31</v>
      </c>
      <c r="AA169">
        <v>5.3712214932586842E-2</v>
      </c>
      <c r="AB169">
        <v>101.26</v>
      </c>
      <c r="AC169" t="s">
        <v>33</v>
      </c>
      <c r="AE169" t="s">
        <v>41</v>
      </c>
      <c r="AF169">
        <v>-2.788820870230066E-3</v>
      </c>
      <c r="AH169" t="s">
        <v>237</v>
      </c>
      <c r="AJ169">
        <v>1.2728980404357286E-2</v>
      </c>
      <c r="AK169">
        <v>1.2728980404357286E-2</v>
      </c>
      <c r="AL169">
        <v>0</v>
      </c>
      <c r="AN169" t="s">
        <v>148</v>
      </c>
      <c r="AQ169">
        <v>-3.5498846208421143E-5</v>
      </c>
    </row>
    <row r="170" spans="1:43" x14ac:dyDescent="0.2">
      <c r="A170">
        <v>168</v>
      </c>
      <c r="B170">
        <v>96</v>
      </c>
      <c r="C170">
        <v>1</v>
      </c>
      <c r="D170">
        <v>2000</v>
      </c>
      <c r="E170" t="s">
        <v>469</v>
      </c>
      <c r="F170" t="s">
        <v>59</v>
      </c>
      <c r="G170" t="s">
        <v>470</v>
      </c>
      <c r="H170">
        <v>4.0658646215232476E-3</v>
      </c>
      <c r="I170">
        <v>5.331080360412529E-5</v>
      </c>
      <c r="J170">
        <v>1.57</v>
      </c>
      <c r="L170" s="1">
        <v>43617</v>
      </c>
      <c r="M170" s="1">
        <v>43024</v>
      </c>
      <c r="N170" s="1"/>
      <c r="R170">
        <v>2.0585525945799901E-2</v>
      </c>
      <c r="T170" t="s">
        <v>32</v>
      </c>
      <c r="V170">
        <v>55126784</v>
      </c>
      <c r="W170" t="s">
        <v>220</v>
      </c>
      <c r="X170" t="s">
        <v>471</v>
      </c>
      <c r="Y170">
        <v>2000</v>
      </c>
      <c r="Z170" t="s">
        <v>31</v>
      </c>
      <c r="AA170">
        <v>1.0927799184345971E-2</v>
      </c>
      <c r="AB170">
        <v>102.05</v>
      </c>
      <c r="AC170" t="s">
        <v>33</v>
      </c>
      <c r="AE170" t="s">
        <v>41</v>
      </c>
      <c r="AF170">
        <v>-1.8888208702300645E-3</v>
      </c>
      <c r="AH170" t="s">
        <v>237</v>
      </c>
      <c r="AJ170">
        <v>2.5897226888683105E-3</v>
      </c>
      <c r="AK170">
        <v>2.5897226888683105E-3</v>
      </c>
      <c r="AL170">
        <v>0</v>
      </c>
      <c r="AN170" t="s">
        <v>148</v>
      </c>
      <c r="AQ170">
        <v>-4.8915222628427844E-6</v>
      </c>
    </row>
    <row r="171" spans="1:43" x14ac:dyDescent="0.2">
      <c r="A171">
        <v>169</v>
      </c>
      <c r="B171">
        <v>96</v>
      </c>
      <c r="C171">
        <v>1</v>
      </c>
      <c r="D171">
        <v>3000</v>
      </c>
      <c r="E171" t="s">
        <v>469</v>
      </c>
      <c r="F171" t="s">
        <v>59</v>
      </c>
      <c r="G171" t="s">
        <v>472</v>
      </c>
      <c r="H171">
        <v>9.1716926569891753E-3</v>
      </c>
      <c r="I171">
        <v>7.9664184454579352E-5</v>
      </c>
      <c r="J171">
        <v>2.37</v>
      </c>
      <c r="L171" s="1">
        <v>43922</v>
      </c>
      <c r="M171" s="1">
        <v>43024</v>
      </c>
      <c r="N171" s="1"/>
      <c r="R171">
        <v>2.0585525945799901E-2</v>
      </c>
      <c r="T171" t="s">
        <v>32</v>
      </c>
      <c r="V171">
        <v>82377867</v>
      </c>
      <c r="W171" t="s">
        <v>220</v>
      </c>
      <c r="X171" t="s">
        <v>471</v>
      </c>
      <c r="Y171">
        <v>3000</v>
      </c>
      <c r="Z171" t="s">
        <v>31</v>
      </c>
      <c r="AA171">
        <v>1.6329789668317326E-2</v>
      </c>
      <c r="AB171">
        <v>102.85</v>
      </c>
      <c r="AC171" t="s">
        <v>33</v>
      </c>
      <c r="AE171" t="s">
        <v>41</v>
      </c>
      <c r="AF171">
        <v>-7.888208702300642E-4</v>
      </c>
      <c r="AH171" t="s">
        <v>237</v>
      </c>
      <c r="AJ171">
        <v>3.8699125134975419E-3</v>
      </c>
      <c r="AK171">
        <v>3.8699125134975419E-3</v>
      </c>
      <c r="AL171">
        <v>0</v>
      </c>
      <c r="AN171" t="s">
        <v>148</v>
      </c>
      <c r="AQ171">
        <v>-3.052667756611346E-6</v>
      </c>
    </row>
    <row r="172" spans="1:43" x14ac:dyDescent="0.2">
      <c r="A172">
        <v>170</v>
      </c>
      <c r="B172">
        <v>96</v>
      </c>
      <c r="C172">
        <v>1</v>
      </c>
      <c r="D172">
        <v>8000</v>
      </c>
      <c r="E172" t="s">
        <v>430</v>
      </c>
      <c r="F172" t="s">
        <v>59</v>
      </c>
      <c r="G172" t="s">
        <v>475</v>
      </c>
      <c r="H172">
        <v>7.8001889347724691E-3</v>
      </c>
      <c r="I172">
        <v>9.0208422302752773E-5</v>
      </c>
      <c r="J172">
        <v>1.78</v>
      </c>
      <c r="L172" s="1">
        <v>44348</v>
      </c>
      <c r="M172" s="1">
        <v>43024</v>
      </c>
      <c r="N172" s="1"/>
      <c r="R172">
        <v>2.0585525945799901E-2</v>
      </c>
      <c r="T172" t="s">
        <v>32</v>
      </c>
      <c r="V172">
        <v>93281284</v>
      </c>
      <c r="W172" t="s">
        <v>248</v>
      </c>
      <c r="X172" t="s">
        <v>432</v>
      </c>
      <c r="Y172">
        <v>8000</v>
      </c>
      <c r="Z172" t="s">
        <v>31</v>
      </c>
      <c r="AA172">
        <v>1.8491177341488755E-2</v>
      </c>
      <c r="AB172">
        <v>101.41</v>
      </c>
      <c r="AC172" t="s">
        <v>34</v>
      </c>
      <c r="AE172" t="s">
        <v>41</v>
      </c>
      <c r="AF172">
        <v>-1.6888208702300657E-3</v>
      </c>
      <c r="AH172" t="s">
        <v>237</v>
      </c>
      <c r="AJ172">
        <v>4.3821286150407127E-3</v>
      </c>
      <c r="AK172">
        <v>4.3821286150407127E-3</v>
      </c>
      <c r="AL172">
        <v>0</v>
      </c>
      <c r="AN172" t="s">
        <v>54</v>
      </c>
      <c r="AQ172">
        <v>-7.4006302611131292E-6</v>
      </c>
    </row>
    <row r="173" spans="1:43" x14ac:dyDescent="0.2">
      <c r="A173">
        <v>171</v>
      </c>
      <c r="B173">
        <v>96</v>
      </c>
      <c r="C173">
        <v>1</v>
      </c>
      <c r="D173">
        <v>3000</v>
      </c>
      <c r="E173" t="s">
        <v>332</v>
      </c>
      <c r="F173" t="s">
        <v>59</v>
      </c>
      <c r="G173" t="s">
        <v>476</v>
      </c>
      <c r="H173">
        <v>6.0199872266486175E-3</v>
      </c>
      <c r="I173">
        <v>7.794000204249E-5</v>
      </c>
      <c r="J173">
        <v>1.59</v>
      </c>
      <c r="L173" s="1">
        <v>44075</v>
      </c>
      <c r="M173" s="1">
        <v>43024</v>
      </c>
      <c r="N173" s="1"/>
      <c r="R173">
        <v>2.0585525945799901E-2</v>
      </c>
      <c r="T173" t="s">
        <v>32</v>
      </c>
      <c r="V173">
        <v>80594952</v>
      </c>
      <c r="W173" t="s">
        <v>333</v>
      </c>
      <c r="X173" t="s">
        <v>334</v>
      </c>
      <c r="Y173">
        <v>3000</v>
      </c>
      <c r="Z173" t="s">
        <v>31</v>
      </c>
      <c r="AA173">
        <v>1.5976361884778238E-2</v>
      </c>
      <c r="AB173">
        <v>100.45</v>
      </c>
      <c r="AC173" t="s">
        <v>34</v>
      </c>
      <c r="AE173" t="s">
        <v>35</v>
      </c>
      <c r="AF173">
        <v>-1.4888208702300634E-3</v>
      </c>
      <c r="AH173" t="s">
        <v>237</v>
      </c>
      <c r="AJ173">
        <v>3.7861554884582498E-3</v>
      </c>
      <c r="AK173">
        <v>3.7861554884582498E-3</v>
      </c>
      <c r="AL173">
        <v>0</v>
      </c>
      <c r="AN173" t="s">
        <v>54</v>
      </c>
      <c r="AQ173">
        <v>-5.6369073091527424E-6</v>
      </c>
    </row>
    <row r="174" spans="1:43" x14ac:dyDescent="0.2">
      <c r="A174">
        <v>172</v>
      </c>
      <c r="B174">
        <v>96</v>
      </c>
      <c r="C174">
        <v>1</v>
      </c>
      <c r="D174">
        <v>1500</v>
      </c>
      <c r="E174" t="s">
        <v>477</v>
      </c>
      <c r="F174" t="s">
        <v>59</v>
      </c>
      <c r="G174" t="s">
        <v>478</v>
      </c>
      <c r="H174">
        <v>2.250802968658362E-3</v>
      </c>
      <c r="I174">
        <v>2.9892879296903319E-5</v>
      </c>
      <c r="J174">
        <v>1.55</v>
      </c>
      <c r="L174" s="1">
        <v>44059</v>
      </c>
      <c r="M174" s="1">
        <v>43024</v>
      </c>
      <c r="N174" s="1"/>
      <c r="R174">
        <v>2.0585525945799901E-2</v>
      </c>
      <c r="T174" t="s">
        <v>32</v>
      </c>
      <c r="V174">
        <v>30911151</v>
      </c>
      <c r="W174" t="s">
        <v>479</v>
      </c>
      <c r="X174" t="s">
        <v>480</v>
      </c>
      <c r="Y174">
        <v>1500</v>
      </c>
      <c r="Z174" t="s">
        <v>31</v>
      </c>
      <c r="AA174">
        <v>6.1275268784951285E-3</v>
      </c>
      <c r="AB174">
        <v>102.47</v>
      </c>
      <c r="AC174" t="s">
        <v>33</v>
      </c>
      <c r="AE174" t="s">
        <v>44</v>
      </c>
      <c r="AF174">
        <v>-4.8888208702300637E-3</v>
      </c>
      <c r="AH174" t="s">
        <v>237</v>
      </c>
      <c r="AJ174">
        <v>1.4521309475215237E-3</v>
      </c>
      <c r="AK174">
        <v>1.4521309475215237E-3</v>
      </c>
      <c r="AL174">
        <v>0</v>
      </c>
      <c r="AN174" t="s">
        <v>148</v>
      </c>
      <c r="AQ174">
        <v>-7.0992080825501827E-6</v>
      </c>
    </row>
    <row r="175" spans="1:43" x14ac:dyDescent="0.2">
      <c r="A175">
        <v>173</v>
      </c>
      <c r="B175">
        <v>96</v>
      </c>
      <c r="C175">
        <v>1</v>
      </c>
      <c r="D175">
        <v>9000</v>
      </c>
      <c r="E175" t="s">
        <v>339</v>
      </c>
      <c r="F175" t="s">
        <v>59</v>
      </c>
      <c r="G175" t="s">
        <v>481</v>
      </c>
      <c r="H175">
        <v>2.0844621496243224E-2</v>
      </c>
      <c r="I175">
        <v>2.3320516121809413E-4</v>
      </c>
      <c r="J175">
        <v>1.84</v>
      </c>
      <c r="L175" s="1">
        <v>43709</v>
      </c>
      <c r="M175" s="1">
        <v>43024</v>
      </c>
      <c r="N175" s="1"/>
      <c r="R175">
        <v>2.0585525945799901E-2</v>
      </c>
      <c r="T175" t="s">
        <v>32</v>
      </c>
      <c r="V175">
        <v>241149067</v>
      </c>
      <c r="W175" t="s">
        <v>341</v>
      </c>
      <c r="X175" t="s">
        <v>482</v>
      </c>
      <c r="Y175">
        <v>9000</v>
      </c>
      <c r="Z175" t="s">
        <v>31</v>
      </c>
      <c r="AA175">
        <v>4.7803053007198684E-2</v>
      </c>
      <c r="AB175">
        <v>100.22</v>
      </c>
      <c r="AC175" t="s">
        <v>34</v>
      </c>
      <c r="AE175" t="s">
        <v>35</v>
      </c>
      <c r="AF175">
        <v>-1.7888208702300651E-3</v>
      </c>
      <c r="AH175" t="s">
        <v>237</v>
      </c>
      <c r="AJ175">
        <v>1.1328598639262621E-2</v>
      </c>
      <c r="AK175">
        <v>1.1328598639262621E-2</v>
      </c>
      <c r="AL175">
        <v>0</v>
      </c>
      <c r="AN175" t="s">
        <v>54</v>
      </c>
      <c r="AQ175">
        <v>-2.0264833676372891E-5</v>
      </c>
    </row>
    <row r="176" spans="1:43" x14ac:dyDescent="0.2">
      <c r="A176">
        <v>174</v>
      </c>
      <c r="B176">
        <v>96</v>
      </c>
      <c r="C176">
        <v>1</v>
      </c>
      <c r="D176">
        <v>5000</v>
      </c>
      <c r="E176" t="s">
        <v>438</v>
      </c>
      <c r="F176" t="s">
        <v>59</v>
      </c>
      <c r="G176" t="s">
        <v>483</v>
      </c>
      <c r="H176">
        <v>7.891141953439226E-3</v>
      </c>
      <c r="I176">
        <v>1.342506672929862E-4</v>
      </c>
      <c r="J176">
        <v>1.21</v>
      </c>
      <c r="L176" s="1">
        <v>43477</v>
      </c>
      <c r="M176" s="1">
        <v>43024</v>
      </c>
      <c r="N176" s="1"/>
      <c r="R176">
        <v>2.0585525945799901E-2</v>
      </c>
      <c r="T176" t="s">
        <v>32</v>
      </c>
      <c r="V176">
        <v>138823785</v>
      </c>
      <c r="W176" t="s">
        <v>438</v>
      </c>
      <c r="X176" t="s">
        <v>439</v>
      </c>
      <c r="Y176">
        <v>5000</v>
      </c>
      <c r="Z176" t="s">
        <v>31</v>
      </c>
      <c r="AA176">
        <v>2.7519081187301269E-2</v>
      </c>
      <c r="AB176">
        <v>102.92</v>
      </c>
      <c r="AC176" t="s">
        <v>36</v>
      </c>
      <c r="AE176" t="s">
        <v>175</v>
      </c>
      <c r="AF176">
        <v>-2.8888208702300654E-3</v>
      </c>
      <c r="AH176" t="s">
        <v>237</v>
      </c>
      <c r="AJ176">
        <v>6.5216049201977074E-3</v>
      </c>
      <c r="AK176">
        <v>6.5216049201977074E-3</v>
      </c>
      <c r="AL176">
        <v>0</v>
      </c>
      <c r="AN176" t="s">
        <v>150</v>
      </c>
      <c r="AQ176">
        <v>-1.8839748400862218E-5</v>
      </c>
    </row>
    <row r="177" spans="1:43" x14ac:dyDescent="0.2">
      <c r="A177">
        <v>175</v>
      </c>
      <c r="B177">
        <v>96</v>
      </c>
      <c r="C177">
        <v>1</v>
      </c>
      <c r="D177">
        <v>6500</v>
      </c>
      <c r="E177" t="s">
        <v>508</v>
      </c>
      <c r="F177" t="s">
        <v>59</v>
      </c>
      <c r="G177" t="s">
        <v>509</v>
      </c>
      <c r="H177">
        <v>1.6051638323897253E-2</v>
      </c>
      <c r="I177">
        <v>1.1433613051528819E-4</v>
      </c>
      <c r="J177">
        <v>2.89</v>
      </c>
      <c r="L177" s="1">
        <v>45245</v>
      </c>
      <c r="M177" s="1">
        <v>43024</v>
      </c>
      <c r="N177" s="1"/>
      <c r="R177">
        <v>2.0585525945799901E-2</v>
      </c>
      <c r="T177" t="s">
        <v>32</v>
      </c>
      <c r="V177">
        <v>118230879</v>
      </c>
      <c r="W177" t="s">
        <v>510</v>
      </c>
      <c r="X177" t="s">
        <v>511</v>
      </c>
      <c r="Y177">
        <v>6500</v>
      </c>
      <c r="Z177" t="s">
        <v>31</v>
      </c>
      <c r="AA177">
        <v>2.343694315816985E-2</v>
      </c>
      <c r="AB177">
        <v>103.45</v>
      </c>
      <c r="AC177" t="s">
        <v>33</v>
      </c>
      <c r="AE177" t="s">
        <v>178</v>
      </c>
      <c r="AF177">
        <v>-7.888208702300642E-4</v>
      </c>
      <c r="AH177" t="s">
        <v>237</v>
      </c>
      <c r="AJ177">
        <v>5.5542001120751734E-3</v>
      </c>
      <c r="AK177">
        <v>5.5542001120751734E-3</v>
      </c>
      <c r="AL177">
        <v>0</v>
      </c>
      <c r="AN177" t="s">
        <v>148</v>
      </c>
      <c r="AQ177">
        <v>-4.381268965839058E-6</v>
      </c>
    </row>
    <row r="178" spans="1:43" x14ac:dyDescent="0.2">
      <c r="A178">
        <v>176</v>
      </c>
      <c r="B178">
        <v>96</v>
      </c>
      <c r="C178">
        <v>1</v>
      </c>
      <c r="D178">
        <v>7000</v>
      </c>
      <c r="E178" t="s">
        <v>484</v>
      </c>
      <c r="F178" t="s">
        <v>59</v>
      </c>
      <c r="G178" t="s">
        <v>485</v>
      </c>
      <c r="H178">
        <v>1.5782173232406986E-2</v>
      </c>
      <c r="I178">
        <v>1.8355047263097327E-4</v>
      </c>
      <c r="J178">
        <v>1.77</v>
      </c>
      <c r="L178" s="1">
        <v>44331</v>
      </c>
      <c r="M178" s="1">
        <v>43024</v>
      </c>
      <c r="N178" s="1"/>
      <c r="R178">
        <v>2.0585525945799901E-2</v>
      </c>
      <c r="T178" t="s">
        <v>32</v>
      </c>
      <c r="V178">
        <v>189802940</v>
      </c>
      <c r="W178" t="s">
        <v>486</v>
      </c>
      <c r="X178" t="s">
        <v>487</v>
      </c>
      <c r="Y178">
        <v>7000</v>
      </c>
      <c r="Z178" t="s">
        <v>31</v>
      </c>
      <c r="AA178">
        <v>3.7624694611578781E-2</v>
      </c>
      <c r="AB178">
        <v>100.65</v>
      </c>
      <c r="AC178" t="s">
        <v>36</v>
      </c>
      <c r="AE178" t="s">
        <v>175</v>
      </c>
      <c r="AF178">
        <v>-2.3888208702300649E-3</v>
      </c>
      <c r="AH178" t="s">
        <v>237</v>
      </c>
      <c r="AJ178">
        <v>8.9164820522073373E-3</v>
      </c>
      <c r="AK178">
        <v>8.9164820522073373E-3</v>
      </c>
      <c r="AL178">
        <v>0</v>
      </c>
      <c r="AN178" t="s">
        <v>150</v>
      </c>
      <c r="AQ178">
        <v>-2.1299878415344688E-5</v>
      </c>
    </row>
    <row r="179" spans="1:43" x14ac:dyDescent="0.2">
      <c r="A179">
        <v>177</v>
      </c>
      <c r="B179">
        <v>96</v>
      </c>
      <c r="C179">
        <v>1</v>
      </c>
      <c r="D179">
        <v>3500</v>
      </c>
      <c r="E179" t="s">
        <v>488</v>
      </c>
      <c r="F179" t="s">
        <v>59</v>
      </c>
      <c r="G179" t="s">
        <v>489</v>
      </c>
      <c r="H179">
        <v>1.1970421435212004E-2</v>
      </c>
      <c r="I179">
        <v>9.0928937651924726E-5</v>
      </c>
      <c r="J179">
        <v>2.71</v>
      </c>
      <c r="L179" s="1">
        <v>44044</v>
      </c>
      <c r="M179" s="1">
        <v>43024</v>
      </c>
      <c r="N179" s="1"/>
      <c r="R179">
        <v>2.0585525945799901E-2</v>
      </c>
      <c r="T179" t="s">
        <v>32</v>
      </c>
      <c r="V179">
        <v>94026343</v>
      </c>
      <c r="W179" t="s">
        <v>490</v>
      </c>
      <c r="X179" t="s">
        <v>491</v>
      </c>
      <c r="Y179">
        <v>3500</v>
      </c>
      <c r="Z179" t="s">
        <v>31</v>
      </c>
      <c r="AA179">
        <v>1.8638870614009238E-2</v>
      </c>
      <c r="AB179">
        <v>100.31</v>
      </c>
      <c r="AC179" t="s">
        <v>33</v>
      </c>
      <c r="AE179" t="s">
        <v>41</v>
      </c>
      <c r="AF179">
        <v>-2.788820870230066E-3</v>
      </c>
      <c r="AH179" t="s">
        <v>237</v>
      </c>
      <c r="AJ179">
        <v>4.4171296808900385E-3</v>
      </c>
      <c r="AK179">
        <v>4.4171296808900385E-3</v>
      </c>
      <c r="AL179">
        <v>0</v>
      </c>
      <c r="AN179" t="s">
        <v>148</v>
      </c>
      <c r="AQ179">
        <v>-1.231858344057881E-5</v>
      </c>
    </row>
    <row r="180" spans="1:43" x14ac:dyDescent="0.2">
      <c r="A180">
        <v>178</v>
      </c>
      <c r="B180">
        <v>96</v>
      </c>
      <c r="C180">
        <v>1</v>
      </c>
      <c r="D180">
        <v>2000</v>
      </c>
      <c r="E180" t="s">
        <v>492</v>
      </c>
      <c r="F180" t="s">
        <v>59</v>
      </c>
      <c r="G180" t="s">
        <v>493</v>
      </c>
      <c r="H180">
        <v>2.2897658625479047E-3</v>
      </c>
      <c r="I180">
        <v>3.2507610050542613E-5</v>
      </c>
      <c r="J180">
        <v>1.45</v>
      </c>
      <c r="L180" s="1">
        <v>44027</v>
      </c>
      <c r="M180" s="1">
        <v>43024</v>
      </c>
      <c r="N180" s="1"/>
      <c r="R180">
        <v>2.0585525945799901E-2</v>
      </c>
      <c r="T180" t="s">
        <v>32</v>
      </c>
      <c r="V180">
        <v>33614950</v>
      </c>
      <c r="W180" t="s">
        <v>494</v>
      </c>
      <c r="X180" t="s">
        <v>495</v>
      </c>
      <c r="Y180">
        <v>2000</v>
      </c>
      <c r="Z180" t="s">
        <v>31</v>
      </c>
      <c r="AA180">
        <v>6.6635017778622942E-3</v>
      </c>
      <c r="AB180">
        <v>103.94</v>
      </c>
      <c r="AC180" t="s">
        <v>34</v>
      </c>
      <c r="AE180" t="s">
        <v>57</v>
      </c>
      <c r="AF180">
        <v>-8.1888208702300645E-3</v>
      </c>
      <c r="AH180" t="s">
        <v>237</v>
      </c>
      <c r="AJ180">
        <v>1.579148870722693E-3</v>
      </c>
      <c r="AK180">
        <v>1.579148870722693E-3</v>
      </c>
      <c r="AL180">
        <v>0</v>
      </c>
      <c r="AN180" t="s">
        <v>54</v>
      </c>
      <c r="AQ180">
        <v>-1.2931367229774227E-5</v>
      </c>
    </row>
    <row r="181" spans="1:43" x14ac:dyDescent="0.2">
      <c r="A181">
        <v>179</v>
      </c>
      <c r="B181">
        <v>96</v>
      </c>
      <c r="C181">
        <v>1</v>
      </c>
      <c r="D181">
        <v>2000</v>
      </c>
      <c r="E181" t="s">
        <v>496</v>
      </c>
      <c r="F181" t="s">
        <v>59</v>
      </c>
      <c r="G181" t="s">
        <v>497</v>
      </c>
      <c r="H181">
        <v>6.8693273780038033E-3</v>
      </c>
      <c r="I181">
        <v>5.123504238046772E-5</v>
      </c>
      <c r="J181">
        <v>2.76</v>
      </c>
      <c r="L181" s="1">
        <v>44057</v>
      </c>
      <c r="M181" s="1">
        <v>43024</v>
      </c>
      <c r="N181" s="1"/>
      <c r="R181">
        <v>2.0585525945799901E-2</v>
      </c>
      <c r="T181" t="s">
        <v>32</v>
      </c>
      <c r="V181">
        <v>52980314</v>
      </c>
      <c r="W181" t="s">
        <v>498</v>
      </c>
      <c r="X181" t="s">
        <v>499</v>
      </c>
      <c r="Y181">
        <v>2000</v>
      </c>
      <c r="Z181" t="s">
        <v>31</v>
      </c>
      <c r="AA181">
        <v>1.050230378241534E-2</v>
      </c>
      <c r="AB181">
        <v>99.03</v>
      </c>
      <c r="AC181" t="s">
        <v>33</v>
      </c>
      <c r="AE181" t="s">
        <v>43</v>
      </c>
      <c r="AF181">
        <v>-4.8882087023006601E-4</v>
      </c>
      <c r="AH181" t="s">
        <v>237</v>
      </c>
      <c r="AJ181">
        <v>2.4888867311607986E-3</v>
      </c>
      <c r="AK181">
        <v>2.4888867311607986E-3</v>
      </c>
      <c r="AL181">
        <v>0</v>
      </c>
      <c r="AN181" t="s">
        <v>148</v>
      </c>
      <c r="AQ181">
        <v>-1.2166197778300859E-6</v>
      </c>
    </row>
    <row r="182" spans="1:43" x14ac:dyDescent="0.2">
      <c r="A182">
        <v>180</v>
      </c>
      <c r="B182">
        <v>96</v>
      </c>
      <c r="C182">
        <v>1</v>
      </c>
      <c r="D182">
        <v>4000</v>
      </c>
      <c r="E182" t="s">
        <v>500</v>
      </c>
      <c r="F182" t="s">
        <v>59</v>
      </c>
      <c r="G182" t="s">
        <v>501</v>
      </c>
      <c r="H182">
        <v>5.9430265367968029E-3</v>
      </c>
      <c r="I182">
        <v>7.9441770759615529E-5</v>
      </c>
      <c r="J182">
        <v>1.54</v>
      </c>
      <c r="L182" s="1">
        <v>44058</v>
      </c>
      <c r="M182" s="1">
        <v>43024</v>
      </c>
      <c r="N182" s="1"/>
      <c r="R182">
        <v>2.0585525945799901E-2</v>
      </c>
      <c r="T182" t="s">
        <v>32</v>
      </c>
      <c r="V182">
        <v>82147877</v>
      </c>
      <c r="W182" t="s">
        <v>502</v>
      </c>
      <c r="X182" t="s">
        <v>503</v>
      </c>
      <c r="Y182">
        <v>4000</v>
      </c>
      <c r="Z182" t="s">
        <v>31</v>
      </c>
      <c r="AA182">
        <v>1.6284198680560674E-2</v>
      </c>
      <c r="AB182">
        <v>102.11</v>
      </c>
      <c r="AC182" t="s">
        <v>33</v>
      </c>
      <c r="AE182" t="s">
        <v>35</v>
      </c>
      <c r="AF182">
        <v>-2.5888208702300637E-3</v>
      </c>
      <c r="AH182" t="s">
        <v>237</v>
      </c>
      <c r="AJ182">
        <v>3.8591081407771447E-3</v>
      </c>
      <c r="AK182">
        <v>3.8591081407771447E-3</v>
      </c>
      <c r="AL182">
        <v>0</v>
      </c>
      <c r="AN182" t="s">
        <v>148</v>
      </c>
      <c r="AQ182">
        <v>-9.9905396953186114E-6</v>
      </c>
    </row>
    <row r="183" spans="1:43" x14ac:dyDescent="0.2">
      <c r="A183">
        <v>181</v>
      </c>
      <c r="B183">
        <v>96</v>
      </c>
      <c r="C183">
        <v>1</v>
      </c>
      <c r="D183">
        <v>1000</v>
      </c>
      <c r="E183" t="s">
        <v>359</v>
      </c>
      <c r="F183" t="s">
        <v>59</v>
      </c>
      <c r="G183" t="s">
        <v>504</v>
      </c>
      <c r="H183">
        <v>3.3121178224621824E-3</v>
      </c>
      <c r="I183">
        <v>2.7056225146762511E-5</v>
      </c>
      <c r="J183">
        <v>2.52</v>
      </c>
      <c r="L183" s="1">
        <v>44348</v>
      </c>
      <c r="M183" s="1">
        <v>43024</v>
      </c>
      <c r="N183" s="1"/>
      <c r="R183">
        <v>2.0585525945799901E-2</v>
      </c>
      <c r="T183" t="s">
        <v>32</v>
      </c>
      <c r="V183">
        <v>27977869</v>
      </c>
      <c r="W183" t="s">
        <v>360</v>
      </c>
      <c r="X183" t="s">
        <v>445</v>
      </c>
      <c r="Y183">
        <v>1000</v>
      </c>
      <c r="Z183" t="s">
        <v>31</v>
      </c>
      <c r="AA183">
        <v>5.5460614941357442E-3</v>
      </c>
      <c r="AB183">
        <v>103.52</v>
      </c>
      <c r="AC183" t="s">
        <v>33</v>
      </c>
      <c r="AE183" t="s">
        <v>38</v>
      </c>
      <c r="AF183">
        <v>-7.888208702300642E-4</v>
      </c>
      <c r="AH183" t="s">
        <v>237</v>
      </c>
      <c r="AJ183">
        <v>1.3143324692310248E-3</v>
      </c>
      <c r="AK183">
        <v>1.3143324692310248E-3</v>
      </c>
      <c r="AL183">
        <v>0</v>
      </c>
      <c r="AN183" t="s">
        <v>148</v>
      </c>
      <c r="AQ183">
        <v>-1.036772882150446E-6</v>
      </c>
    </row>
    <row r="184" spans="1:43" x14ac:dyDescent="0.2">
      <c r="A184">
        <v>182</v>
      </c>
      <c r="B184">
        <v>99</v>
      </c>
      <c r="C184">
        <v>1</v>
      </c>
      <c r="D184">
        <v>5000</v>
      </c>
      <c r="E184" t="s">
        <v>505</v>
      </c>
      <c r="F184" t="s">
        <v>59</v>
      </c>
      <c r="G184" t="s">
        <v>506</v>
      </c>
      <c r="H184">
        <v>2.2812114452243897E-2</v>
      </c>
      <c r="I184">
        <v>1.306668580025476E-4</v>
      </c>
      <c r="J184">
        <v>3.62</v>
      </c>
      <c r="L184" s="1">
        <v>44409</v>
      </c>
      <c r="M184" s="1">
        <v>43024</v>
      </c>
      <c r="N184" s="1"/>
      <c r="R184">
        <v>2.0735211852432846E-2</v>
      </c>
      <c r="T184" t="s">
        <v>32</v>
      </c>
      <c r="V184">
        <v>134142491</v>
      </c>
      <c r="W184" t="s">
        <v>206</v>
      </c>
      <c r="X184" t="s">
        <v>507</v>
      </c>
      <c r="Y184">
        <v>5000</v>
      </c>
      <c r="Z184" t="s">
        <v>31</v>
      </c>
      <c r="AA184">
        <v>2.678446183074976E-2</v>
      </c>
      <c r="AB184">
        <v>100.09</v>
      </c>
      <c r="AC184" t="s">
        <v>36</v>
      </c>
      <c r="AE184" t="s">
        <v>41</v>
      </c>
      <c r="AF184">
        <v>2.3111791297699344E-3</v>
      </c>
      <c r="AH184" t="s">
        <v>237</v>
      </c>
      <c r="AJ184">
        <v>6.3016890752054964E-3</v>
      </c>
      <c r="AK184">
        <v>6.3016890752054964E-3</v>
      </c>
      <c r="AL184">
        <v>0</v>
      </c>
      <c r="AN184" t="s">
        <v>150</v>
      </c>
      <c r="AQ184">
        <v>1.4564332272914142E-5</v>
      </c>
    </row>
    <row r="185" spans="1:43" x14ac:dyDescent="0.2">
      <c r="A185">
        <v>183</v>
      </c>
      <c r="B185">
        <v>99</v>
      </c>
      <c r="C185">
        <v>1</v>
      </c>
      <c r="D185">
        <v>1500</v>
      </c>
      <c r="E185" t="s">
        <v>513</v>
      </c>
      <c r="F185" t="s">
        <v>59</v>
      </c>
      <c r="G185" t="s">
        <v>514</v>
      </c>
      <c r="H185">
        <v>3.2793506841063804E-3</v>
      </c>
      <c r="I185">
        <v>2.0794504945983604E-5</v>
      </c>
      <c r="J185">
        <v>3.27</v>
      </c>
      <c r="L185" s="1">
        <v>45505</v>
      </c>
      <c r="M185" s="1">
        <v>43024</v>
      </c>
      <c r="N185" s="1"/>
      <c r="R185">
        <v>2.0735211852432846E-2</v>
      </c>
      <c r="T185" t="s">
        <v>32</v>
      </c>
      <c r="V185">
        <v>21347622</v>
      </c>
      <c r="W185" t="s">
        <v>515</v>
      </c>
      <c r="X185" t="s">
        <v>516</v>
      </c>
      <c r="Y185">
        <v>1500</v>
      </c>
      <c r="Z185" t="s">
        <v>31</v>
      </c>
      <c r="AA185">
        <v>4.2625163911431596E-3</v>
      </c>
      <c r="AB185">
        <v>113</v>
      </c>
      <c r="AC185" t="s">
        <v>34</v>
      </c>
      <c r="AE185" t="s">
        <v>175</v>
      </c>
      <c r="AF185">
        <v>-3.4888208702300652E-3</v>
      </c>
      <c r="AH185" t="s">
        <v>237</v>
      </c>
      <c r="AJ185">
        <v>1.0028595364239695E-3</v>
      </c>
      <c r="AK185">
        <v>1.0028595364239695E-3</v>
      </c>
      <c r="AL185">
        <v>0</v>
      </c>
      <c r="AN185" t="s">
        <v>54</v>
      </c>
      <c r="AQ185">
        <v>-3.4987972805851932E-6</v>
      </c>
    </row>
    <row r="186" spans="1:43" x14ac:dyDescent="0.2">
      <c r="A186">
        <v>184</v>
      </c>
      <c r="B186">
        <v>104</v>
      </c>
      <c r="C186">
        <v>1</v>
      </c>
      <c r="D186">
        <v>137100000</v>
      </c>
      <c r="E186" t="s">
        <v>505</v>
      </c>
      <c r="F186" t="s">
        <v>59</v>
      </c>
      <c r="G186" t="s">
        <v>517</v>
      </c>
      <c r="H186">
        <v>3.4274461274994873E-3</v>
      </c>
      <c r="I186">
        <v>3.2372431921471707E-5</v>
      </c>
      <c r="J186">
        <v>0.52</v>
      </c>
      <c r="L186" s="1">
        <v>43221</v>
      </c>
      <c r="M186" s="1">
        <v>43024</v>
      </c>
      <c r="N186" s="1"/>
      <c r="R186">
        <v>4.9114308359520104E-3</v>
      </c>
      <c r="T186" t="s">
        <v>39</v>
      </c>
      <c r="V186">
        <v>140306144</v>
      </c>
      <c r="W186" t="s">
        <v>206</v>
      </c>
      <c r="X186" t="s">
        <v>507</v>
      </c>
      <c r="Y186">
        <v>137100000</v>
      </c>
      <c r="Z186" t="s">
        <v>31</v>
      </c>
      <c r="AA186">
        <v>6.6357925829386571E-3</v>
      </c>
      <c r="AB186">
        <v>100.04</v>
      </c>
      <c r="AC186" t="s">
        <v>36</v>
      </c>
      <c r="AE186" t="s">
        <v>41</v>
      </c>
      <c r="AF186">
        <v>4.99E-2</v>
      </c>
      <c r="AH186" t="s">
        <v>237</v>
      </c>
      <c r="AJ186">
        <v>6.5912425528836293E-3</v>
      </c>
      <c r="AK186">
        <v>6.5912425528836293E-3</v>
      </c>
      <c r="AL186">
        <v>0</v>
      </c>
      <c r="AN186" t="s">
        <v>150</v>
      </c>
      <c r="AQ186">
        <v>3.2890300338889308E-4</v>
      </c>
    </row>
    <row r="187" spans="1:43" x14ac:dyDescent="0.2">
      <c r="A187">
        <v>185</v>
      </c>
      <c r="B187">
        <v>104</v>
      </c>
      <c r="C187">
        <v>1</v>
      </c>
      <c r="D187">
        <v>70000000</v>
      </c>
      <c r="E187" t="s">
        <v>469</v>
      </c>
      <c r="F187" t="s">
        <v>59</v>
      </c>
      <c r="G187" t="s">
        <v>518</v>
      </c>
      <c r="H187">
        <v>2.0974729952971905E-3</v>
      </c>
      <c r="I187">
        <v>1.688785827324467E-5</v>
      </c>
      <c r="J187">
        <v>0.61</v>
      </c>
      <c r="L187" s="1">
        <v>43252</v>
      </c>
      <c r="M187" s="1">
        <v>43024</v>
      </c>
      <c r="N187" s="1"/>
      <c r="R187">
        <v>4.9114308359520104E-3</v>
      </c>
      <c r="T187" t="s">
        <v>39</v>
      </c>
      <c r="V187">
        <v>73194077</v>
      </c>
      <c r="W187" t="s">
        <v>220</v>
      </c>
      <c r="X187" t="s">
        <v>471</v>
      </c>
      <c r="Y187">
        <v>70000000</v>
      </c>
      <c r="Z187" t="s">
        <v>31</v>
      </c>
      <c r="AA187">
        <v>3.4617209155975446E-3</v>
      </c>
      <c r="AB187">
        <v>102.04</v>
      </c>
      <c r="AC187" t="s">
        <v>33</v>
      </c>
      <c r="AE187" t="s">
        <v>41</v>
      </c>
      <c r="AF187">
        <v>3.2099999999999997E-2</v>
      </c>
      <c r="AH187" t="s">
        <v>237</v>
      </c>
      <c r="AJ187">
        <v>3.438480320159329E-3</v>
      </c>
      <c r="AK187">
        <v>3.438480320159329E-3</v>
      </c>
      <c r="AL187">
        <v>0</v>
      </c>
      <c r="AN187" t="s">
        <v>148</v>
      </c>
      <c r="AQ187">
        <v>1.1037521827711445E-4</v>
      </c>
    </row>
    <row r="188" spans="1:43" x14ac:dyDescent="0.2">
      <c r="A188">
        <v>186</v>
      </c>
      <c r="B188">
        <v>104</v>
      </c>
      <c r="C188">
        <v>1</v>
      </c>
      <c r="D188">
        <v>520000000</v>
      </c>
      <c r="E188" t="s">
        <v>519</v>
      </c>
      <c r="F188" t="s">
        <v>59</v>
      </c>
      <c r="G188" t="s">
        <v>520</v>
      </c>
      <c r="H188">
        <v>3.0481210246469394E-3</v>
      </c>
      <c r="I188">
        <v>3.0552317535029827E-5</v>
      </c>
      <c r="J188">
        <v>0.49</v>
      </c>
      <c r="L188" s="1">
        <v>43296</v>
      </c>
      <c r="M188" s="1">
        <v>43024</v>
      </c>
      <c r="N188" s="1"/>
      <c r="R188">
        <v>4.9114308359520104E-3</v>
      </c>
      <c r="T188" t="s">
        <v>39</v>
      </c>
      <c r="V188">
        <v>132417542</v>
      </c>
      <c r="W188" t="s">
        <v>519</v>
      </c>
      <c r="X188" t="s">
        <v>521</v>
      </c>
      <c r="Y188">
        <v>520000000</v>
      </c>
      <c r="Z188" t="s">
        <v>31</v>
      </c>
      <c r="AA188">
        <v>6.262700392183595E-3</v>
      </c>
      <c r="AB188">
        <v>100.63</v>
      </c>
      <c r="AC188" t="s">
        <v>33</v>
      </c>
      <c r="AE188" t="s">
        <v>41</v>
      </c>
      <c r="AF188">
        <v>3.49E-2</v>
      </c>
      <c r="AH188" t="s">
        <v>237</v>
      </c>
      <c r="AJ188">
        <v>6.2206551523406924E-3</v>
      </c>
      <c r="AK188">
        <v>6.2206551523406924E-3</v>
      </c>
      <c r="AL188">
        <v>0</v>
      </c>
      <c r="AN188" t="s">
        <v>148</v>
      </c>
      <c r="AQ188">
        <v>2.1710086481669018E-4</v>
      </c>
    </row>
    <row r="189" spans="1:43" x14ac:dyDescent="0.2">
      <c r="A189">
        <v>187</v>
      </c>
      <c r="B189">
        <v>104</v>
      </c>
      <c r="C189">
        <v>1</v>
      </c>
      <c r="D189">
        <v>540000000</v>
      </c>
      <c r="E189" t="s">
        <v>440</v>
      </c>
      <c r="F189" t="s">
        <v>59</v>
      </c>
      <c r="G189" t="s">
        <v>522</v>
      </c>
      <c r="H189">
        <v>6.6704169341682985E-3</v>
      </c>
      <c r="I189">
        <v>5.0401986798662539E-5</v>
      </c>
      <c r="J189">
        <v>0.65</v>
      </c>
      <c r="L189" s="1">
        <v>43358</v>
      </c>
      <c r="M189" s="1">
        <v>43024</v>
      </c>
      <c r="N189" s="1"/>
      <c r="R189">
        <v>4.9114308359520104E-3</v>
      </c>
      <c r="T189" t="s">
        <v>39</v>
      </c>
      <c r="V189">
        <v>218448476</v>
      </c>
      <c r="W189" t="s">
        <v>442</v>
      </c>
      <c r="X189" t="s">
        <v>443</v>
      </c>
      <c r="Y189">
        <v>540000000</v>
      </c>
      <c r="Z189" t="s">
        <v>31</v>
      </c>
      <c r="AA189">
        <v>1.0331541694959936E-2</v>
      </c>
      <c r="AB189">
        <v>100.7</v>
      </c>
      <c r="AC189" t="s">
        <v>34</v>
      </c>
      <c r="AE189" t="s">
        <v>41</v>
      </c>
      <c r="AF189">
        <v>4.1000000000000002E-2</v>
      </c>
      <c r="AH189" t="s">
        <v>237</v>
      </c>
      <c r="AJ189">
        <v>1.0262179898720459E-2</v>
      </c>
      <c r="AK189">
        <v>1.0262179898720459E-2</v>
      </c>
      <c r="AL189">
        <v>0</v>
      </c>
      <c r="AN189" t="s">
        <v>54</v>
      </c>
      <c r="AQ189">
        <v>4.2074937584753885E-4</v>
      </c>
    </row>
    <row r="190" spans="1:43" x14ac:dyDescent="0.2">
      <c r="A190">
        <v>188</v>
      </c>
      <c r="B190">
        <v>106</v>
      </c>
      <c r="C190">
        <v>1</v>
      </c>
      <c r="D190">
        <v>70000000</v>
      </c>
      <c r="E190" t="s">
        <v>414</v>
      </c>
      <c r="F190" t="s">
        <v>59</v>
      </c>
      <c r="G190" t="s">
        <v>523</v>
      </c>
      <c r="H190">
        <v>5.3207747094355905E-3</v>
      </c>
      <c r="I190">
        <v>6.9507119640230901E-6</v>
      </c>
      <c r="J190">
        <v>1.54</v>
      </c>
      <c r="L190" s="1">
        <v>43617</v>
      </c>
      <c r="M190" s="1">
        <v>43024</v>
      </c>
      <c r="N190" s="1"/>
      <c r="R190">
        <v>2.0117552441401925E-3</v>
      </c>
      <c r="T190" t="s">
        <v>39</v>
      </c>
      <c r="V190">
        <v>73546760</v>
      </c>
      <c r="W190" t="s">
        <v>200</v>
      </c>
      <c r="X190" t="s">
        <v>305</v>
      </c>
      <c r="Y190">
        <v>70000000</v>
      </c>
      <c r="Z190" t="s">
        <v>31</v>
      </c>
      <c r="AA190">
        <v>1.4247765817808399E-3</v>
      </c>
      <c r="AB190">
        <v>102.94</v>
      </c>
      <c r="AC190" t="s">
        <v>42</v>
      </c>
      <c r="AE190" t="s">
        <v>41</v>
      </c>
      <c r="AF190">
        <v>3.61E-2</v>
      </c>
      <c r="AH190" t="s">
        <v>237</v>
      </c>
      <c r="AJ190">
        <v>3.4550485126205134E-3</v>
      </c>
      <c r="AK190">
        <v>3.4550485126205134E-3</v>
      </c>
      <c r="AL190">
        <v>0</v>
      </c>
      <c r="AN190" t="s">
        <v>142</v>
      </c>
      <c r="AQ190">
        <v>1.2472725130560053E-4</v>
      </c>
    </row>
    <row r="191" spans="1:43" x14ac:dyDescent="0.2">
      <c r="A191">
        <v>189</v>
      </c>
      <c r="B191">
        <v>107</v>
      </c>
      <c r="C191">
        <v>1</v>
      </c>
      <c r="D191">
        <v>150000000</v>
      </c>
      <c r="E191" t="s">
        <v>320</v>
      </c>
      <c r="F191" t="s">
        <v>59</v>
      </c>
      <c r="G191" t="s">
        <v>528</v>
      </c>
      <c r="H191">
        <v>8.0130000847074279E-3</v>
      </c>
      <c r="I191">
        <v>1.2438097337624497E-5</v>
      </c>
      <c r="J191">
        <v>1.42</v>
      </c>
      <c r="L191" s="1">
        <v>43931</v>
      </c>
      <c r="M191" s="1">
        <v>43024</v>
      </c>
      <c r="N191" s="1"/>
      <c r="R191">
        <v>2.2041804608406751E-3</v>
      </c>
      <c r="T191" t="s">
        <v>39</v>
      </c>
      <c r="V191">
        <v>120120242</v>
      </c>
      <c r="W191" t="s">
        <v>321</v>
      </c>
      <c r="X191" t="s">
        <v>529</v>
      </c>
      <c r="Y191">
        <v>150000000</v>
      </c>
      <c r="Z191" t="s">
        <v>31</v>
      </c>
      <c r="AA191">
        <v>2.5495963435522282E-3</v>
      </c>
      <c r="AB191">
        <v>103.34</v>
      </c>
      <c r="AC191" t="s">
        <v>34</v>
      </c>
      <c r="AE191" t="s">
        <v>40</v>
      </c>
      <c r="AF191">
        <v>4.0399999999999998E-2</v>
      </c>
      <c r="AH191" t="s">
        <v>237</v>
      </c>
      <c r="AJ191">
        <v>5.6429578061319915E-3</v>
      </c>
      <c r="AK191">
        <v>5.6429578061319915E-3</v>
      </c>
      <c r="AL191">
        <v>0</v>
      </c>
      <c r="AN191" t="s">
        <v>54</v>
      </c>
      <c r="AQ191">
        <v>2.2797549536773245E-4</v>
      </c>
    </row>
    <row r="192" spans="1:43" x14ac:dyDescent="0.2">
      <c r="A192">
        <v>190</v>
      </c>
      <c r="B192">
        <v>107</v>
      </c>
      <c r="C192">
        <v>1</v>
      </c>
      <c r="D192">
        <v>50000000</v>
      </c>
      <c r="E192" t="s">
        <v>426</v>
      </c>
      <c r="F192" t="s">
        <v>59</v>
      </c>
      <c r="G192" t="s">
        <v>530</v>
      </c>
      <c r="H192">
        <v>5.1337799628790124E-3</v>
      </c>
      <c r="I192">
        <v>5.4665591712238104E-6</v>
      </c>
      <c r="J192">
        <v>2.0699999999999998</v>
      </c>
      <c r="L192" s="1">
        <v>43831</v>
      </c>
      <c r="M192" s="1">
        <v>43024</v>
      </c>
      <c r="N192" s="1"/>
      <c r="R192">
        <v>2.2041804608406751E-3</v>
      </c>
      <c r="T192" t="s">
        <v>39</v>
      </c>
      <c r="V192">
        <v>52792995</v>
      </c>
      <c r="W192" t="s">
        <v>181</v>
      </c>
      <c r="X192" t="s">
        <v>428</v>
      </c>
      <c r="Y192">
        <v>50000000</v>
      </c>
      <c r="Z192" t="s">
        <v>31</v>
      </c>
      <c r="AA192">
        <v>1.120550747951133E-3</v>
      </c>
      <c r="AB192">
        <v>103.79</v>
      </c>
      <c r="AC192" t="s">
        <v>33</v>
      </c>
      <c r="AE192" t="s">
        <v>41</v>
      </c>
      <c r="AF192">
        <v>4.1000000000000002E-2</v>
      </c>
      <c r="AH192" t="s">
        <v>237</v>
      </c>
      <c r="AJ192">
        <v>2.4800869385888952E-3</v>
      </c>
      <c r="AK192">
        <v>2.4800869385888952E-3</v>
      </c>
      <c r="AL192">
        <v>0</v>
      </c>
      <c r="AN192" t="s">
        <v>148</v>
      </c>
      <c r="AQ192">
        <v>1.0168356448214471E-4</v>
      </c>
    </row>
    <row r="193" spans="1:43" x14ac:dyDescent="0.2">
      <c r="A193">
        <v>191</v>
      </c>
      <c r="B193">
        <v>107</v>
      </c>
      <c r="C193">
        <v>1</v>
      </c>
      <c r="D193">
        <v>60000000</v>
      </c>
      <c r="E193" t="s">
        <v>459</v>
      </c>
      <c r="F193" t="s">
        <v>59</v>
      </c>
      <c r="G193" t="s">
        <v>856</v>
      </c>
      <c r="H193">
        <v>7.0055869319730893E-3</v>
      </c>
      <c r="I193">
        <v>6.5989648855452379E-6</v>
      </c>
      <c r="J193">
        <v>2.34</v>
      </c>
      <c r="L193" s="1">
        <v>43952</v>
      </c>
      <c r="M193" s="1">
        <v>43024</v>
      </c>
      <c r="N193" s="1"/>
      <c r="R193">
        <v>2.2041804608406751E-3</v>
      </c>
      <c r="T193" t="s">
        <v>39</v>
      </c>
      <c r="V193">
        <v>63729141</v>
      </c>
      <c r="W193" t="s">
        <v>249</v>
      </c>
      <c r="X193" t="s">
        <v>461</v>
      </c>
      <c r="Y193">
        <v>60000000</v>
      </c>
      <c r="Z193" t="s">
        <v>31</v>
      </c>
      <c r="AA193">
        <v>1.352674471562623E-3</v>
      </c>
      <c r="AB193">
        <v>103.45</v>
      </c>
      <c r="AC193" t="s">
        <v>34</v>
      </c>
      <c r="AE193" t="s">
        <v>41</v>
      </c>
      <c r="AF193">
        <v>4.3700000000000003E-2</v>
      </c>
      <c r="AH193" t="s">
        <v>237</v>
      </c>
      <c r="AJ193">
        <v>2.9938405692192692E-3</v>
      </c>
      <c r="AK193">
        <v>2.9938405692192692E-3</v>
      </c>
      <c r="AL193">
        <v>0</v>
      </c>
      <c r="AN193" t="s">
        <v>54</v>
      </c>
      <c r="AQ193">
        <v>1.3083083287488206E-4</v>
      </c>
    </row>
    <row r="194" spans="1:43" x14ac:dyDescent="0.2">
      <c r="A194">
        <v>192</v>
      </c>
      <c r="B194">
        <v>107</v>
      </c>
      <c r="C194">
        <v>1</v>
      </c>
      <c r="D194">
        <v>50000000</v>
      </c>
      <c r="E194" t="s">
        <v>466</v>
      </c>
      <c r="F194" t="s">
        <v>59</v>
      </c>
      <c r="G194" t="s">
        <v>533</v>
      </c>
      <c r="H194">
        <v>7.3048851096579786E-3</v>
      </c>
      <c r="I194">
        <v>5.4580627211505449E-6</v>
      </c>
      <c r="J194">
        <v>2.95</v>
      </c>
      <c r="L194" s="1">
        <v>44197</v>
      </c>
      <c r="M194" s="1">
        <v>43024</v>
      </c>
      <c r="N194" s="1"/>
      <c r="R194">
        <v>2.2041804608406751E-3</v>
      </c>
      <c r="T194" t="s">
        <v>39</v>
      </c>
      <c r="V194">
        <v>52710941</v>
      </c>
      <c r="W194" t="s">
        <v>250</v>
      </c>
      <c r="X194" t="s">
        <v>468</v>
      </c>
      <c r="Y194">
        <v>50000000</v>
      </c>
      <c r="Z194" t="s">
        <v>31</v>
      </c>
      <c r="AA194">
        <v>1.1188091216033117E-3</v>
      </c>
      <c r="AB194">
        <v>103.76</v>
      </c>
      <c r="AC194" t="s">
        <v>33</v>
      </c>
      <c r="AE194" t="s">
        <v>41</v>
      </c>
      <c r="AF194">
        <v>4.2500000000000003E-2</v>
      </c>
      <c r="AH194" t="s">
        <v>237</v>
      </c>
      <c r="AJ194">
        <v>2.4762322405620265E-3</v>
      </c>
      <c r="AK194">
        <v>2.4762322405620265E-3</v>
      </c>
      <c r="AL194">
        <v>0</v>
      </c>
      <c r="AN194" t="s">
        <v>148</v>
      </c>
      <c r="AQ194">
        <v>1.0523987022388614E-4</v>
      </c>
    </row>
    <row r="195" spans="1:43" x14ac:dyDescent="0.2">
      <c r="A195">
        <v>193</v>
      </c>
      <c r="B195">
        <v>107</v>
      </c>
      <c r="C195">
        <v>1</v>
      </c>
      <c r="D195">
        <v>50000000</v>
      </c>
      <c r="E195" t="s">
        <v>488</v>
      </c>
      <c r="F195" t="s">
        <v>59</v>
      </c>
      <c r="G195" t="s">
        <v>531</v>
      </c>
      <c r="H195">
        <v>5.6243568916053682E-3</v>
      </c>
      <c r="I195">
        <v>5.320642731876029E-6</v>
      </c>
      <c r="J195">
        <v>2.33</v>
      </c>
      <c r="L195" s="1">
        <v>43922</v>
      </c>
      <c r="M195" s="1">
        <v>43024</v>
      </c>
      <c r="N195" s="1"/>
      <c r="R195">
        <v>2.2041804608406751E-3</v>
      </c>
      <c r="T195" t="s">
        <v>39</v>
      </c>
      <c r="V195">
        <v>51383815</v>
      </c>
      <c r="W195" t="s">
        <v>490</v>
      </c>
      <c r="X195" t="s">
        <v>491</v>
      </c>
      <c r="Y195">
        <v>50000000</v>
      </c>
      <c r="Z195" t="s">
        <v>31</v>
      </c>
      <c r="AA195">
        <v>1.0906403838394209E-3</v>
      </c>
      <c r="AB195">
        <v>102.54</v>
      </c>
      <c r="AC195" t="s">
        <v>33</v>
      </c>
      <c r="AE195" t="s">
        <v>41</v>
      </c>
      <c r="AF195">
        <v>4.1700000000000001E-2</v>
      </c>
      <c r="AH195" t="s">
        <v>237</v>
      </c>
      <c r="AJ195">
        <v>2.4138870779422182E-3</v>
      </c>
      <c r="AK195">
        <v>2.4138870779422182E-3</v>
      </c>
      <c r="AL195">
        <v>0</v>
      </c>
      <c r="AN195" t="s">
        <v>148</v>
      </c>
      <c r="AQ195">
        <v>1.006590911501905E-4</v>
      </c>
    </row>
    <row r="196" spans="1:43" x14ac:dyDescent="0.2">
      <c r="A196">
        <v>194</v>
      </c>
      <c r="B196">
        <v>107</v>
      </c>
      <c r="C196">
        <v>1</v>
      </c>
      <c r="D196">
        <v>50000000</v>
      </c>
      <c r="E196" t="s">
        <v>440</v>
      </c>
      <c r="F196" t="s">
        <v>59</v>
      </c>
      <c r="G196" t="s">
        <v>532</v>
      </c>
      <c r="H196">
        <v>2.9799811752002111E-3</v>
      </c>
      <c r="I196">
        <v>5.2971099032655953E-6</v>
      </c>
      <c r="J196">
        <v>1.24</v>
      </c>
      <c r="L196" s="1">
        <v>43862</v>
      </c>
      <c r="M196" s="1">
        <v>43024</v>
      </c>
      <c r="N196" s="1"/>
      <c r="R196">
        <v>2.2041804608406751E-3</v>
      </c>
      <c r="T196" t="s">
        <v>39</v>
      </c>
      <c r="V196">
        <v>51156548</v>
      </c>
      <c r="W196" t="s">
        <v>442</v>
      </c>
      <c r="X196" t="s">
        <v>443</v>
      </c>
      <c r="Y196">
        <v>50000000</v>
      </c>
      <c r="Z196" t="s">
        <v>31</v>
      </c>
      <c r="AA196">
        <v>1.085816558124767E-3</v>
      </c>
      <c r="AB196">
        <v>101.18</v>
      </c>
      <c r="AC196" t="s">
        <v>34</v>
      </c>
      <c r="AE196" t="s">
        <v>41</v>
      </c>
      <c r="AF196">
        <v>4.4999999999999998E-2</v>
      </c>
      <c r="AH196" t="s">
        <v>237</v>
      </c>
      <c r="AJ196">
        <v>2.4032106251614606E-3</v>
      </c>
      <c r="AK196">
        <v>2.4032106251614606E-3</v>
      </c>
      <c r="AL196">
        <v>0</v>
      </c>
      <c r="AN196" t="s">
        <v>54</v>
      </c>
      <c r="AQ196">
        <v>1.0814447813226573E-4</v>
      </c>
    </row>
    <row r="197" spans="1:43" x14ac:dyDescent="0.2">
      <c r="A197">
        <v>195</v>
      </c>
      <c r="B197">
        <v>110</v>
      </c>
      <c r="C197">
        <v>1</v>
      </c>
      <c r="D197">
        <v>80000000</v>
      </c>
      <c r="E197" t="s">
        <v>326</v>
      </c>
      <c r="F197" t="s">
        <v>59</v>
      </c>
      <c r="G197" t="s">
        <v>534</v>
      </c>
      <c r="H197">
        <v>1.4867514401818487E-2</v>
      </c>
      <c r="I197">
        <v>8.1646654801805138E-6</v>
      </c>
      <c r="J197">
        <v>3.87</v>
      </c>
      <c r="L197" s="1">
        <v>44872</v>
      </c>
      <c r="M197" s="1">
        <v>43024</v>
      </c>
      <c r="N197" s="1"/>
      <c r="R197">
        <v>2.1252547368936022E-3</v>
      </c>
      <c r="T197" t="s">
        <v>39</v>
      </c>
      <c r="V197">
        <v>81778059</v>
      </c>
      <c r="W197" t="s">
        <v>327</v>
      </c>
      <c r="X197" t="s">
        <v>435</v>
      </c>
      <c r="Y197">
        <v>80000000</v>
      </c>
      <c r="Z197" t="s">
        <v>31</v>
      </c>
      <c r="AA197">
        <v>1.673616204274778E-3</v>
      </c>
      <c r="AB197">
        <v>100.16</v>
      </c>
      <c r="AC197" t="s">
        <v>34</v>
      </c>
      <c r="AE197" t="s">
        <v>35</v>
      </c>
      <c r="AF197">
        <v>4.65E-2</v>
      </c>
      <c r="AH197" t="s">
        <v>237</v>
      </c>
      <c r="AJ197">
        <v>3.8417349875499965E-3</v>
      </c>
      <c r="AK197">
        <v>3.8417349875499965E-3</v>
      </c>
      <c r="AL197">
        <v>0</v>
      </c>
      <c r="AN197" t="s">
        <v>54</v>
      </c>
      <c r="AQ197">
        <v>1.7864067692107484E-4</v>
      </c>
    </row>
    <row r="198" spans="1:43" x14ac:dyDescent="0.2">
      <c r="A198">
        <v>196</v>
      </c>
      <c r="B198">
        <v>110</v>
      </c>
      <c r="C198">
        <v>1</v>
      </c>
      <c r="D198">
        <v>130000000</v>
      </c>
      <c r="E198" t="s">
        <v>349</v>
      </c>
      <c r="F198" t="s">
        <v>59</v>
      </c>
      <c r="G198" t="s">
        <v>535</v>
      </c>
      <c r="H198">
        <v>2.1560286259622384E-2</v>
      </c>
      <c r="I198">
        <v>1.3243092630648703E-5</v>
      </c>
      <c r="J198">
        <v>3.46</v>
      </c>
      <c r="L198" s="1">
        <v>44666</v>
      </c>
      <c r="M198" s="1">
        <v>43024</v>
      </c>
      <c r="N198" s="1"/>
      <c r="R198">
        <v>2.1252547368936022E-3</v>
      </c>
      <c r="T198" t="s">
        <v>39</v>
      </c>
      <c r="V198">
        <v>132644064</v>
      </c>
      <c r="W198" t="s">
        <v>350</v>
      </c>
      <c r="X198" t="s">
        <v>536</v>
      </c>
      <c r="Y198">
        <v>130000000</v>
      </c>
      <c r="Z198" t="s">
        <v>31</v>
      </c>
      <c r="AA198">
        <v>2.714606553712173E-3</v>
      </c>
      <c r="AB198">
        <v>102.02</v>
      </c>
      <c r="AC198" t="s">
        <v>33</v>
      </c>
      <c r="AE198" t="s">
        <v>35</v>
      </c>
      <c r="AF198">
        <v>4.4900000000000002E-2</v>
      </c>
      <c r="AH198" t="s">
        <v>237</v>
      </c>
      <c r="AJ198">
        <v>6.2312966068272784E-3</v>
      </c>
      <c r="AK198">
        <v>6.2312966068272784E-3</v>
      </c>
      <c r="AL198">
        <v>0</v>
      </c>
      <c r="AN198" t="s">
        <v>148</v>
      </c>
      <c r="AQ198">
        <v>2.7978521764654484E-4</v>
      </c>
    </row>
    <row r="199" spans="1:43" x14ac:dyDescent="0.2">
      <c r="A199">
        <v>197</v>
      </c>
      <c r="B199">
        <v>110</v>
      </c>
      <c r="C199">
        <v>1</v>
      </c>
      <c r="D199">
        <v>200000000</v>
      </c>
      <c r="E199" t="s">
        <v>488</v>
      </c>
      <c r="F199" t="s">
        <v>59</v>
      </c>
      <c r="G199" t="s">
        <v>537</v>
      </c>
      <c r="H199">
        <v>3.5093195785460995E-2</v>
      </c>
      <c r="I199">
        <v>2.0322065551985169E-5</v>
      </c>
      <c r="J199">
        <v>3.67</v>
      </c>
      <c r="L199" s="1">
        <v>44484</v>
      </c>
      <c r="M199" s="1">
        <v>43024</v>
      </c>
      <c r="N199" s="1"/>
      <c r="R199">
        <v>2.1252547368936022E-3</v>
      </c>
      <c r="T199" t="s">
        <v>39</v>
      </c>
      <c r="V199">
        <v>203547724</v>
      </c>
      <c r="W199" t="s">
        <v>490</v>
      </c>
      <c r="X199" t="s">
        <v>491</v>
      </c>
      <c r="Y199">
        <v>200000000</v>
      </c>
      <c r="Z199" t="s">
        <v>31</v>
      </c>
      <c r="AA199">
        <v>4.1656744290011838E-3</v>
      </c>
      <c r="AB199">
        <v>101.75</v>
      </c>
      <c r="AC199" t="s">
        <v>33</v>
      </c>
      <c r="AE199" t="s">
        <v>41</v>
      </c>
      <c r="AF199">
        <v>4.5999999999999999E-2</v>
      </c>
      <c r="AH199" t="s">
        <v>237</v>
      </c>
      <c r="AJ199">
        <v>9.5621786881365106E-3</v>
      </c>
      <c r="AK199">
        <v>9.5621786881365106E-3</v>
      </c>
      <c r="AL199">
        <v>0</v>
      </c>
      <c r="AN199" t="s">
        <v>148</v>
      </c>
      <c r="AQ199">
        <v>4.398602196542795E-4</v>
      </c>
    </row>
    <row r="200" spans="1:43" x14ac:dyDescent="0.2">
      <c r="A200">
        <v>198</v>
      </c>
      <c r="B200">
        <v>129</v>
      </c>
      <c r="C200">
        <v>1</v>
      </c>
      <c r="D200">
        <v>475000000</v>
      </c>
      <c r="E200" t="s">
        <v>276</v>
      </c>
      <c r="F200" t="s">
        <v>59</v>
      </c>
      <c r="G200" t="s">
        <v>277</v>
      </c>
      <c r="H200">
        <v>7.2415312388874803E-2</v>
      </c>
      <c r="I200">
        <v>8.3940412874225666E-5</v>
      </c>
      <c r="J200">
        <v>3.15</v>
      </c>
      <c r="L200" s="1">
        <v>44256</v>
      </c>
      <c r="M200" s="1">
        <v>43024</v>
      </c>
      <c r="N200" s="1"/>
      <c r="R200">
        <v>3.6513313528760334E-3</v>
      </c>
      <c r="T200" t="s">
        <v>39</v>
      </c>
      <c r="V200">
        <v>489360882</v>
      </c>
      <c r="W200" t="s">
        <v>278</v>
      </c>
      <c r="X200" t="s">
        <v>279</v>
      </c>
      <c r="Y200">
        <v>475000000</v>
      </c>
      <c r="Z200" t="s">
        <v>31</v>
      </c>
      <c r="AA200">
        <v>1.7206343054818371E-2</v>
      </c>
      <c r="AB200">
        <v>102.46</v>
      </c>
      <c r="AC200" t="s">
        <v>42</v>
      </c>
      <c r="AE200" t="s">
        <v>182</v>
      </c>
      <c r="AF200">
        <v>3.7499999999999999E-2</v>
      </c>
      <c r="AH200" t="s">
        <v>280</v>
      </c>
      <c r="AJ200">
        <v>2.2988988059960257E-2</v>
      </c>
      <c r="AK200">
        <v>2.2988988059960257E-2</v>
      </c>
      <c r="AL200">
        <v>0</v>
      </c>
      <c r="AN200" t="s">
        <v>142</v>
      </c>
      <c r="AQ200">
        <v>8.6208705224850965E-4</v>
      </c>
    </row>
    <row r="201" spans="1:43" x14ac:dyDescent="0.2">
      <c r="A201">
        <v>199</v>
      </c>
      <c r="B201">
        <v>137</v>
      </c>
      <c r="C201">
        <v>1</v>
      </c>
      <c r="D201">
        <v>15000</v>
      </c>
      <c r="E201" t="s">
        <v>286</v>
      </c>
      <c r="F201" t="s">
        <v>59</v>
      </c>
      <c r="G201" t="s">
        <v>289</v>
      </c>
      <c r="H201">
        <v>6.2185302917459793E-2</v>
      </c>
      <c r="I201">
        <v>5.1889984293687901E-4</v>
      </c>
      <c r="J201">
        <v>3.3</v>
      </c>
      <c r="L201" s="1">
        <v>44256</v>
      </c>
      <c r="M201" s="1">
        <v>43024</v>
      </c>
      <c r="N201" s="1"/>
      <c r="R201">
        <v>2.7536562521285363E-2</v>
      </c>
      <c r="T201" t="s">
        <v>32</v>
      </c>
      <c r="V201">
        <v>401128214</v>
      </c>
      <c r="W201" t="s">
        <v>278</v>
      </c>
      <c r="X201" t="s">
        <v>288</v>
      </c>
      <c r="Y201">
        <v>15000</v>
      </c>
      <c r="Z201" t="s">
        <v>31</v>
      </c>
      <c r="AA201">
        <v>0.10636555626717453</v>
      </c>
      <c r="AB201">
        <v>100.12</v>
      </c>
      <c r="AC201" t="s">
        <v>42</v>
      </c>
      <c r="AE201" t="s">
        <v>182</v>
      </c>
      <c r="AF201">
        <v>-8.8888208702300655E-3</v>
      </c>
      <c r="AH201" t="s">
        <v>280</v>
      </c>
      <c r="AJ201">
        <v>1.884403118710903E-2</v>
      </c>
      <c r="AK201">
        <v>1.884403118710903E-2</v>
      </c>
      <c r="AL201">
        <v>0</v>
      </c>
      <c r="AN201" t="s">
        <v>142</v>
      </c>
      <c r="AQ201">
        <v>-1.6750121769524098E-4</v>
      </c>
    </row>
    <row r="202" spans="1:43" x14ac:dyDescent="0.2">
      <c r="A202">
        <v>200</v>
      </c>
      <c r="B202">
        <v>144</v>
      </c>
      <c r="C202">
        <v>1</v>
      </c>
      <c r="D202">
        <v>1</v>
      </c>
      <c r="E202" t="s">
        <v>206</v>
      </c>
      <c r="F202" t="s">
        <v>59</v>
      </c>
      <c r="G202" t="s">
        <v>207</v>
      </c>
      <c r="H202">
        <v>0</v>
      </c>
      <c r="I202">
        <v>5.8816096853724226E-6</v>
      </c>
      <c r="J202">
        <v>0</v>
      </c>
      <c r="L202" s="1">
        <v>43025</v>
      </c>
      <c r="M202" s="1">
        <v>43024</v>
      </c>
      <c r="N202" s="1"/>
      <c r="R202">
        <v>3.184230860651199E-4</v>
      </c>
      <c r="T202" t="s">
        <v>39</v>
      </c>
      <c r="V202">
        <v>393188719</v>
      </c>
      <c r="W202" t="s">
        <v>206</v>
      </c>
      <c r="X202" t="s">
        <v>208</v>
      </c>
      <c r="Y202">
        <v>393211000</v>
      </c>
      <c r="Z202" t="s">
        <v>31</v>
      </c>
      <c r="AA202">
        <v>1.2056289753148751E-3</v>
      </c>
      <c r="AB202">
        <v>99.994332999999997</v>
      </c>
      <c r="AC202" t="s">
        <v>52</v>
      </c>
      <c r="AE202" t="s">
        <v>41</v>
      </c>
      <c r="AF202">
        <v>2.0400000000000001E-2</v>
      </c>
      <c r="AH202" t="s">
        <v>209</v>
      </c>
      <c r="AJ202">
        <v>1.8471052956787151E-2</v>
      </c>
      <c r="AK202">
        <v>1.8471052956787151E-2</v>
      </c>
      <c r="AL202">
        <v>0</v>
      </c>
      <c r="AQ202">
        <v>3.7680948031845789E-4</v>
      </c>
    </row>
    <row r="203" spans="1:43" x14ac:dyDescent="0.2">
      <c r="A203">
        <v>201</v>
      </c>
      <c r="B203">
        <v>145</v>
      </c>
      <c r="C203">
        <v>1</v>
      </c>
      <c r="D203">
        <v>210000000</v>
      </c>
      <c r="E203" t="s">
        <v>524</v>
      </c>
      <c r="F203" t="s">
        <v>59</v>
      </c>
      <c r="G203" t="s">
        <v>525</v>
      </c>
      <c r="H203">
        <v>9.7794818846310902E-3</v>
      </c>
      <c r="I203">
        <v>1.4554169976168215E-5</v>
      </c>
      <c r="J203">
        <v>0.98</v>
      </c>
      <c r="L203" s="1">
        <v>43388</v>
      </c>
      <c r="M203" s="1">
        <v>43024</v>
      </c>
      <c r="N203" s="1"/>
      <c r="R203">
        <v>1.458470575937152E-3</v>
      </c>
      <c r="T203" t="s">
        <v>39</v>
      </c>
      <c r="V203">
        <v>212421840</v>
      </c>
      <c r="W203" t="s">
        <v>526</v>
      </c>
      <c r="X203" t="s">
        <v>527</v>
      </c>
      <c r="Y203">
        <v>210000000</v>
      </c>
      <c r="Z203" t="s">
        <v>31</v>
      </c>
      <c r="AA203">
        <v>2.9833548932302425E-3</v>
      </c>
      <c r="AB203">
        <v>101.14</v>
      </c>
      <c r="AC203" t="s">
        <v>42</v>
      </c>
      <c r="AE203" t="s">
        <v>41</v>
      </c>
      <c r="AF203">
        <v>3.6999999999999998E-2</v>
      </c>
      <c r="AH203" t="s">
        <v>237</v>
      </c>
      <c r="AJ203">
        <v>9.9790631475827445E-3</v>
      </c>
      <c r="AK203">
        <v>9.9790631475827445E-3</v>
      </c>
      <c r="AL203">
        <v>0</v>
      </c>
      <c r="AN203" t="s">
        <v>142</v>
      </c>
      <c r="AQ203">
        <v>3.6922533646056155E-4</v>
      </c>
    </row>
    <row r="204" spans="1:43" x14ac:dyDescent="0.2">
      <c r="A204">
        <v>202</v>
      </c>
      <c r="B204">
        <v>146</v>
      </c>
      <c r="C204">
        <v>1</v>
      </c>
      <c r="D204">
        <v>1</v>
      </c>
      <c r="E204" t="s">
        <v>203</v>
      </c>
      <c r="F204" t="s">
        <v>59</v>
      </c>
      <c r="G204" t="s">
        <v>207</v>
      </c>
      <c r="H204">
        <v>5.9605773131786244E-3</v>
      </c>
      <c r="I204">
        <v>1.4893665763488762E-5</v>
      </c>
      <c r="J204">
        <v>0.32</v>
      </c>
      <c r="L204" s="1">
        <v>43139</v>
      </c>
      <c r="M204" s="1">
        <v>43024</v>
      </c>
      <c r="N204" s="1"/>
      <c r="R204">
        <v>7.9958245550796009E-4</v>
      </c>
      <c r="T204" t="s">
        <v>39</v>
      </c>
      <c r="V204">
        <v>396504155</v>
      </c>
      <c r="W204" t="s">
        <v>181</v>
      </c>
      <c r="X204" t="s">
        <v>236</v>
      </c>
      <c r="Y204">
        <v>400000000</v>
      </c>
      <c r="Z204" t="s">
        <v>31</v>
      </c>
      <c r="AA204">
        <v>3.0529456991636819E-3</v>
      </c>
      <c r="AB204">
        <v>99.126037999999994</v>
      </c>
      <c r="AC204" t="s">
        <v>52</v>
      </c>
      <c r="AE204" t="s">
        <v>41</v>
      </c>
      <c r="AF204">
        <v>2.76E-2</v>
      </c>
      <c r="AH204" t="s">
        <v>209</v>
      </c>
      <c r="AJ204">
        <v>1.8626804103683201E-2</v>
      </c>
      <c r="AK204">
        <v>1.8626804103683201E-2</v>
      </c>
      <c r="AL204">
        <v>0</v>
      </c>
      <c r="AQ204">
        <v>5.140997932616563E-4</v>
      </c>
    </row>
    <row r="205" spans="1:43" x14ac:dyDescent="0.2">
      <c r="A205">
        <v>203</v>
      </c>
      <c r="B205">
        <v>146</v>
      </c>
      <c r="C205">
        <v>1</v>
      </c>
      <c r="D205">
        <v>1</v>
      </c>
      <c r="E205" t="s">
        <v>222</v>
      </c>
      <c r="F205" t="s">
        <v>59</v>
      </c>
      <c r="G205" t="s">
        <v>207</v>
      </c>
      <c r="H205">
        <v>2.331532204360289E-3</v>
      </c>
      <c r="I205">
        <v>7.4570089802331474E-6</v>
      </c>
      <c r="J205">
        <v>0.25</v>
      </c>
      <c r="L205" s="1">
        <v>43117</v>
      </c>
      <c r="M205" s="1">
        <v>43024</v>
      </c>
      <c r="N205" s="1"/>
      <c r="R205">
        <v>7.9958245550796009E-4</v>
      </c>
      <c r="T205" t="s">
        <v>39</v>
      </c>
      <c r="V205">
        <v>198522989</v>
      </c>
      <c r="W205" t="s">
        <v>223</v>
      </c>
      <c r="X205" t="s">
        <v>224</v>
      </c>
      <c r="Y205">
        <v>200000000</v>
      </c>
      <c r="Z205" t="s">
        <v>31</v>
      </c>
      <c r="AA205">
        <v>1.5285587750087232E-3</v>
      </c>
      <c r="AB205">
        <v>99.261493999999999</v>
      </c>
      <c r="AC205" t="s">
        <v>218</v>
      </c>
      <c r="AE205" t="s">
        <v>41</v>
      </c>
      <c r="AF205">
        <v>2.8799999999999999E-2</v>
      </c>
      <c r="AH205" t="s">
        <v>209</v>
      </c>
      <c r="AJ205">
        <v>9.3261288174411559E-3</v>
      </c>
      <c r="AK205">
        <v>9.3261288174411559E-3</v>
      </c>
      <c r="AL205">
        <v>0</v>
      </c>
      <c r="AQ205">
        <v>2.6859250994230529E-4</v>
      </c>
    </row>
    <row r="206" spans="1:43" x14ac:dyDescent="0.2">
      <c r="A206">
        <v>204</v>
      </c>
      <c r="B206">
        <v>146</v>
      </c>
      <c r="C206">
        <v>1</v>
      </c>
      <c r="D206">
        <v>1</v>
      </c>
      <c r="E206" t="s">
        <v>204</v>
      </c>
      <c r="F206" t="s">
        <v>59</v>
      </c>
      <c r="G206" t="s">
        <v>207</v>
      </c>
      <c r="H206">
        <v>1.9612542803441094E-3</v>
      </c>
      <c r="I206">
        <v>6.2727380534121603E-6</v>
      </c>
      <c r="J206">
        <v>0.25</v>
      </c>
      <c r="L206" s="1">
        <v>43115</v>
      </c>
      <c r="M206" s="1">
        <v>43024</v>
      </c>
      <c r="N206" s="1"/>
      <c r="R206">
        <v>7.9958245550796009E-4</v>
      </c>
      <c r="T206" t="s">
        <v>39</v>
      </c>
      <c r="V206">
        <v>166994932</v>
      </c>
      <c r="W206" t="s">
        <v>200</v>
      </c>
      <c r="X206" t="s">
        <v>214</v>
      </c>
      <c r="Y206">
        <v>168160000</v>
      </c>
      <c r="Z206" t="s">
        <v>31</v>
      </c>
      <c r="AA206">
        <v>1.2858035735628835E-3</v>
      </c>
      <c r="AB206">
        <v>99.307165999999995</v>
      </c>
      <c r="AC206" t="s">
        <v>52</v>
      </c>
      <c r="AE206" t="s">
        <v>41</v>
      </c>
      <c r="AF206">
        <v>2.76E-2</v>
      </c>
      <c r="AH206" t="s">
        <v>209</v>
      </c>
      <c r="AJ206">
        <v>7.8450171213764377E-3</v>
      </c>
      <c r="AK206">
        <v>7.8450171213764377E-3</v>
      </c>
      <c r="AL206">
        <v>0</v>
      </c>
      <c r="AQ206">
        <v>2.1652247254998967E-4</v>
      </c>
    </row>
    <row r="207" spans="1:43" x14ac:dyDescent="0.2">
      <c r="A207">
        <v>205</v>
      </c>
      <c r="B207">
        <v>146</v>
      </c>
      <c r="C207">
        <v>1</v>
      </c>
      <c r="D207">
        <v>2</v>
      </c>
      <c r="E207" t="s">
        <v>215</v>
      </c>
      <c r="F207" t="s">
        <v>59</v>
      </c>
      <c r="G207" t="s">
        <v>207</v>
      </c>
      <c r="H207">
        <v>6.5258286703039781E-3</v>
      </c>
      <c r="I207">
        <v>1.8635493258663929E-5</v>
      </c>
      <c r="J207">
        <v>0.28000000000000003</v>
      </c>
      <c r="L207" s="1">
        <v>43126</v>
      </c>
      <c r="M207" s="1">
        <v>43024</v>
      </c>
      <c r="N207" s="1"/>
      <c r="R207">
        <v>7.9958245550796009E-4</v>
      </c>
      <c r="T207" t="s">
        <v>39</v>
      </c>
      <c r="V207">
        <v>496120339</v>
      </c>
      <c r="W207" t="s">
        <v>216</v>
      </c>
      <c r="X207" t="s">
        <v>217</v>
      </c>
      <c r="Y207">
        <v>500000000</v>
      </c>
      <c r="Z207" t="s">
        <v>31</v>
      </c>
      <c r="AA207">
        <v>3.8199560738970757E-3</v>
      </c>
      <c r="AB207">
        <v>99.224067000000005</v>
      </c>
      <c r="AC207" t="s">
        <v>52</v>
      </c>
      <c r="AE207" t="s">
        <v>41</v>
      </c>
      <c r="AF207">
        <v>2.76E-2</v>
      </c>
      <c r="AH207" t="s">
        <v>209</v>
      </c>
      <c r="AJ207">
        <v>2.3306530965371348E-2</v>
      </c>
      <c r="AK207">
        <v>2.3306530965371348E-2</v>
      </c>
      <c r="AL207">
        <v>0</v>
      </c>
      <c r="AQ207">
        <v>6.4326025464424915E-4</v>
      </c>
    </row>
    <row r="208" spans="1:43" x14ac:dyDescent="0.2">
      <c r="A208">
        <v>206</v>
      </c>
      <c r="B208">
        <v>146</v>
      </c>
      <c r="C208">
        <v>1</v>
      </c>
      <c r="D208">
        <v>3</v>
      </c>
      <c r="E208" t="s">
        <v>215</v>
      </c>
      <c r="F208" t="s">
        <v>59</v>
      </c>
      <c r="G208" t="s">
        <v>207</v>
      </c>
      <c r="H208">
        <v>1.3104712562129741E-2</v>
      </c>
      <c r="I208">
        <v>3.6132062928116242E-5</v>
      </c>
      <c r="J208">
        <v>0.28999999999999998</v>
      </c>
      <c r="L208" s="1">
        <v>43129</v>
      </c>
      <c r="M208" s="1">
        <v>43024</v>
      </c>
      <c r="N208" s="1"/>
      <c r="R208">
        <v>7.9958245550796009E-4</v>
      </c>
      <c r="T208" t="s">
        <v>39</v>
      </c>
      <c r="V208">
        <v>961919873</v>
      </c>
      <c r="W208" t="s">
        <v>216</v>
      </c>
      <c r="X208" t="s">
        <v>217</v>
      </c>
      <c r="Y208">
        <v>970000000</v>
      </c>
      <c r="Z208" t="s">
        <v>31</v>
      </c>
      <c r="AA208">
        <v>7.4064523717675161E-3</v>
      </c>
      <c r="AB208">
        <v>99.166996999999995</v>
      </c>
      <c r="AC208" t="s">
        <v>52</v>
      </c>
      <c r="AE208" t="s">
        <v>41</v>
      </c>
      <c r="AF208">
        <v>2.8799999999999999E-2</v>
      </c>
      <c r="AH208" t="s">
        <v>209</v>
      </c>
      <c r="AJ208">
        <v>4.5188664007343941E-2</v>
      </c>
      <c r="AK208">
        <v>4.5188664007343941E-2</v>
      </c>
      <c r="AL208">
        <v>0</v>
      </c>
      <c r="AQ208">
        <v>1.3014335234115054E-3</v>
      </c>
    </row>
    <row r="209" spans="1:43" x14ac:dyDescent="0.2">
      <c r="A209">
        <v>207</v>
      </c>
      <c r="B209">
        <v>146</v>
      </c>
      <c r="C209">
        <v>1</v>
      </c>
      <c r="D209">
        <v>1</v>
      </c>
      <c r="E209" t="s">
        <v>256</v>
      </c>
      <c r="F209" t="s">
        <v>59</v>
      </c>
      <c r="G209" t="s">
        <v>207</v>
      </c>
      <c r="H209">
        <v>3.7777571408835519E-3</v>
      </c>
      <c r="I209">
        <v>1.1187512337112596E-5</v>
      </c>
      <c r="J209">
        <v>0.27</v>
      </c>
      <c r="L209" s="1">
        <v>43123</v>
      </c>
      <c r="M209" s="1">
        <v>43024</v>
      </c>
      <c r="N209" s="1"/>
      <c r="R209">
        <v>7.9958245550796009E-4</v>
      </c>
      <c r="T209" t="s">
        <v>39</v>
      </c>
      <c r="V209">
        <v>297837698</v>
      </c>
      <c r="W209" t="s">
        <v>248</v>
      </c>
      <c r="X209" t="s">
        <v>257</v>
      </c>
      <c r="Y209">
        <v>300000000</v>
      </c>
      <c r="Z209" t="s">
        <v>31</v>
      </c>
      <c r="AA209">
        <v>2.2932478958711329E-3</v>
      </c>
      <c r="AB209">
        <v>99.279231999999993</v>
      </c>
      <c r="AC209" t="s">
        <v>52</v>
      </c>
      <c r="AE209" t="s">
        <v>41</v>
      </c>
      <c r="AF209">
        <v>2.64E-2</v>
      </c>
      <c r="AH209" t="s">
        <v>209</v>
      </c>
      <c r="AJ209">
        <v>1.3991693114383525E-2</v>
      </c>
      <c r="AK209">
        <v>1.3991693114383525E-2</v>
      </c>
      <c r="AL209">
        <v>0</v>
      </c>
      <c r="AQ209">
        <v>3.6938069821972503E-4</v>
      </c>
    </row>
    <row r="210" spans="1:43" x14ac:dyDescent="0.2">
      <c r="A210">
        <v>208</v>
      </c>
      <c r="B210">
        <v>147</v>
      </c>
      <c r="C210">
        <v>1</v>
      </c>
      <c r="D210">
        <v>1</v>
      </c>
      <c r="E210" t="s">
        <v>206</v>
      </c>
      <c r="F210" t="s">
        <v>59</v>
      </c>
      <c r="G210" t="s">
        <v>207</v>
      </c>
      <c r="H210">
        <v>1.8772633257670181E-4</v>
      </c>
      <c r="I210">
        <v>2.1502779348471026E-6</v>
      </c>
      <c r="J210">
        <v>0.04</v>
      </c>
      <c r="L210" s="1">
        <v>43038</v>
      </c>
      <c r="M210" s="1">
        <v>43024</v>
      </c>
      <c r="N210" s="1"/>
      <c r="R210">
        <v>4.5817289568974781E-4</v>
      </c>
      <c r="T210" t="s">
        <v>39</v>
      </c>
      <c r="V210">
        <v>99902096</v>
      </c>
      <c r="W210" t="s">
        <v>206</v>
      </c>
      <c r="X210" t="s">
        <v>208</v>
      </c>
      <c r="Y210">
        <v>100000000</v>
      </c>
      <c r="Z210" t="s">
        <v>31</v>
      </c>
      <c r="AA210">
        <v>4.4077004798181291E-4</v>
      </c>
      <c r="AB210">
        <v>99.902096</v>
      </c>
      <c r="AC210" t="s">
        <v>52</v>
      </c>
      <c r="AE210" t="s">
        <v>41</v>
      </c>
      <c r="AF210">
        <v>2.52E-2</v>
      </c>
      <c r="AH210" t="s">
        <v>209</v>
      </c>
      <c r="AJ210">
        <v>4.6931583144175452E-3</v>
      </c>
      <c r="AK210">
        <v>4.6931583144175452E-3</v>
      </c>
      <c r="AL210">
        <v>0</v>
      </c>
      <c r="AQ210">
        <v>1.1826758952332214E-4</v>
      </c>
    </row>
    <row r="211" spans="1:43" x14ac:dyDescent="0.2">
      <c r="A211">
        <v>209</v>
      </c>
      <c r="B211">
        <v>147</v>
      </c>
      <c r="C211">
        <v>1</v>
      </c>
      <c r="D211">
        <v>1</v>
      </c>
      <c r="E211" t="s">
        <v>251</v>
      </c>
      <c r="F211" t="s">
        <v>59</v>
      </c>
      <c r="G211" t="s">
        <v>207</v>
      </c>
      <c r="H211">
        <v>3.5193296211501771E-4</v>
      </c>
      <c r="I211">
        <v>3.2249228868181593E-6</v>
      </c>
      <c r="J211">
        <v>0.05</v>
      </c>
      <c r="L211" s="1">
        <v>43041</v>
      </c>
      <c r="M211" s="1">
        <v>43024</v>
      </c>
      <c r="N211" s="1"/>
      <c r="R211">
        <v>4.5817289568974781E-4</v>
      </c>
      <c r="T211" t="s">
        <v>39</v>
      </c>
      <c r="V211">
        <v>149830192</v>
      </c>
      <c r="W211" t="s">
        <v>251</v>
      </c>
      <c r="X211" t="s">
        <v>1668</v>
      </c>
      <c r="Y211">
        <v>150000000</v>
      </c>
      <c r="Z211" t="s">
        <v>31</v>
      </c>
      <c r="AA211">
        <v>6.6105380728913071E-4</v>
      </c>
      <c r="AB211">
        <v>99.886793999999995</v>
      </c>
      <c r="AC211" t="s">
        <v>34</v>
      </c>
      <c r="AE211" t="s">
        <v>41</v>
      </c>
      <c r="AF211">
        <v>2.4E-2</v>
      </c>
      <c r="AH211" t="s">
        <v>209</v>
      </c>
      <c r="AJ211">
        <v>7.0386592423003535E-3</v>
      </c>
      <c r="AK211">
        <v>7.0386592423003535E-3</v>
      </c>
      <c r="AL211">
        <v>0</v>
      </c>
      <c r="AN211" t="s">
        <v>54</v>
      </c>
      <c r="AQ211">
        <v>1.689278218152085E-4</v>
      </c>
    </row>
    <row r="212" spans="1:43" x14ac:dyDescent="0.2">
      <c r="A212">
        <v>210</v>
      </c>
      <c r="B212">
        <v>147</v>
      </c>
      <c r="C212">
        <v>1</v>
      </c>
      <c r="D212">
        <v>1</v>
      </c>
      <c r="E212" t="s">
        <v>1669</v>
      </c>
      <c r="F212" t="s">
        <v>59</v>
      </c>
      <c r="G212" t="s">
        <v>207</v>
      </c>
      <c r="H212">
        <v>2.7371698210415144E-4</v>
      </c>
      <c r="I212">
        <v>2.5081940458023586E-6</v>
      </c>
      <c r="J212">
        <v>0.05</v>
      </c>
      <c r="L212" s="1">
        <v>43042</v>
      </c>
      <c r="M212" s="1">
        <v>43024</v>
      </c>
      <c r="N212" s="1"/>
      <c r="R212">
        <v>4.5817289568974781E-4</v>
      </c>
      <c r="T212" t="s">
        <v>39</v>
      </c>
      <c r="V212">
        <v>116530909</v>
      </c>
      <c r="W212" t="s">
        <v>1670</v>
      </c>
      <c r="X212" t="s">
        <v>1671</v>
      </c>
      <c r="Y212">
        <v>116786811</v>
      </c>
      <c r="Z212" t="s">
        <v>31</v>
      </c>
      <c r="AA212">
        <v>5.1413670391154027E-4</v>
      </c>
      <c r="AB212">
        <v>99.780880999999994</v>
      </c>
      <c r="AC212" t="s">
        <v>34</v>
      </c>
      <c r="AE212" t="s">
        <v>180</v>
      </c>
      <c r="AF212">
        <v>4.3920000000000001E-2</v>
      </c>
      <c r="AH212" t="s">
        <v>539</v>
      </c>
      <c r="AJ212">
        <v>5.4743396420830282E-3</v>
      </c>
      <c r="AK212">
        <v>5.4743396420830282E-3</v>
      </c>
      <c r="AL212">
        <v>0</v>
      </c>
      <c r="AN212" t="s">
        <v>54</v>
      </c>
      <c r="AQ212">
        <v>2.4043299708028661E-4</v>
      </c>
    </row>
    <row r="213" spans="1:43" x14ac:dyDescent="0.2">
      <c r="A213">
        <v>211</v>
      </c>
      <c r="B213">
        <v>148</v>
      </c>
      <c r="C213">
        <v>1</v>
      </c>
      <c r="D213">
        <v>1</v>
      </c>
      <c r="E213" t="s">
        <v>203</v>
      </c>
      <c r="F213" t="s">
        <v>59</v>
      </c>
      <c r="G213" t="s">
        <v>207</v>
      </c>
      <c r="H213">
        <v>9.521634297906768E-3</v>
      </c>
      <c r="I213">
        <v>1.909968319347583E-5</v>
      </c>
      <c r="J213">
        <v>0.41</v>
      </c>
      <c r="L213" s="1">
        <v>43173</v>
      </c>
      <c r="M213" s="1">
        <v>43024</v>
      </c>
      <c r="N213" s="1"/>
      <c r="R213">
        <v>8.2242920325627548E-4</v>
      </c>
      <c r="T213" t="s">
        <v>39</v>
      </c>
      <c r="V213">
        <v>494352843</v>
      </c>
      <c r="W213" t="s">
        <v>181</v>
      </c>
      <c r="X213" t="s">
        <v>236</v>
      </c>
      <c r="Y213">
        <v>500000000</v>
      </c>
      <c r="Z213" t="s">
        <v>31</v>
      </c>
      <c r="AA213">
        <v>3.915107038581213E-3</v>
      </c>
      <c r="AB213">
        <v>98.870568000000006</v>
      </c>
      <c r="AC213" t="s">
        <v>52</v>
      </c>
      <c r="AE213" t="s">
        <v>41</v>
      </c>
      <c r="AF213">
        <v>2.76E-2</v>
      </c>
      <c r="AH213" t="s">
        <v>209</v>
      </c>
      <c r="AJ213">
        <v>2.3223498287577485E-2</v>
      </c>
      <c r="AK213">
        <v>2.3223498287577485E-2</v>
      </c>
      <c r="AL213">
        <v>0</v>
      </c>
      <c r="AQ213">
        <v>6.4096855273713862E-4</v>
      </c>
    </row>
    <row r="214" spans="1:43" x14ac:dyDescent="0.2">
      <c r="A214">
        <v>212</v>
      </c>
      <c r="B214">
        <v>148</v>
      </c>
      <c r="C214">
        <v>1</v>
      </c>
      <c r="D214">
        <v>1</v>
      </c>
      <c r="E214" t="s">
        <v>206</v>
      </c>
      <c r="F214" t="s">
        <v>59</v>
      </c>
      <c r="G214" t="s">
        <v>207</v>
      </c>
      <c r="H214">
        <v>8.6011700324917194E-3</v>
      </c>
      <c r="I214">
        <v>1.9118522748361937E-5</v>
      </c>
      <c r="J214">
        <v>0.37</v>
      </c>
      <c r="L214" s="1">
        <v>43160</v>
      </c>
      <c r="M214" s="1">
        <v>43024</v>
      </c>
      <c r="N214" s="1"/>
      <c r="R214">
        <v>8.2242920325627548E-4</v>
      </c>
      <c r="T214" t="s">
        <v>39</v>
      </c>
      <c r="V214">
        <v>494840463</v>
      </c>
      <c r="W214" t="s">
        <v>206</v>
      </c>
      <c r="X214" t="s">
        <v>208</v>
      </c>
      <c r="Y214">
        <v>500000000</v>
      </c>
      <c r="Z214" t="s">
        <v>31</v>
      </c>
      <c r="AA214">
        <v>3.9189688237842015E-3</v>
      </c>
      <c r="AB214">
        <v>98.968091999999999</v>
      </c>
      <c r="AC214" t="s">
        <v>52</v>
      </c>
      <c r="AE214" t="s">
        <v>41</v>
      </c>
      <c r="AF214">
        <v>2.76E-2</v>
      </c>
      <c r="AH214" t="s">
        <v>209</v>
      </c>
      <c r="AJ214">
        <v>2.3246405493220861E-2</v>
      </c>
      <c r="AK214">
        <v>2.3246405493220861E-2</v>
      </c>
      <c r="AL214">
        <v>0</v>
      </c>
      <c r="AQ214">
        <v>6.4160079161289577E-4</v>
      </c>
    </row>
    <row r="215" spans="1:43" x14ac:dyDescent="0.2">
      <c r="A215">
        <v>213</v>
      </c>
      <c r="B215">
        <v>148</v>
      </c>
      <c r="C215">
        <v>1</v>
      </c>
      <c r="D215">
        <v>1</v>
      </c>
      <c r="E215" t="s">
        <v>206</v>
      </c>
      <c r="F215" t="s">
        <v>59</v>
      </c>
      <c r="G215" t="s">
        <v>207</v>
      </c>
      <c r="H215">
        <v>3.6228060385501307E-3</v>
      </c>
      <c r="I215">
        <v>7.6397473944533529E-6</v>
      </c>
      <c r="J215">
        <v>0.39</v>
      </c>
      <c r="L215" s="1">
        <v>43167</v>
      </c>
      <c r="M215" s="1">
        <v>43024</v>
      </c>
      <c r="N215" s="1"/>
      <c r="R215">
        <v>8.2242920325627548E-4</v>
      </c>
      <c r="T215" t="s">
        <v>39</v>
      </c>
      <c r="V215">
        <v>197737879</v>
      </c>
      <c r="W215" t="s">
        <v>206</v>
      </c>
      <c r="X215" t="s">
        <v>208</v>
      </c>
      <c r="Y215">
        <v>200000000</v>
      </c>
      <c r="Z215" t="s">
        <v>31</v>
      </c>
      <c r="AA215">
        <v>1.5660170115923057E-3</v>
      </c>
      <c r="AB215">
        <v>98.868938999999997</v>
      </c>
      <c r="AC215" t="s">
        <v>52</v>
      </c>
      <c r="AE215" t="s">
        <v>41</v>
      </c>
      <c r="AF215">
        <v>2.8799999999999999E-2</v>
      </c>
      <c r="AH215" t="s">
        <v>209</v>
      </c>
      <c r="AJ215">
        <v>9.2892462526926421E-3</v>
      </c>
      <c r="AK215">
        <v>9.2892462526926421E-3</v>
      </c>
      <c r="AL215">
        <v>0</v>
      </c>
      <c r="AQ215">
        <v>2.6753029207754811E-4</v>
      </c>
    </row>
    <row r="216" spans="1:43" x14ac:dyDescent="0.2">
      <c r="A216">
        <v>214</v>
      </c>
      <c r="B216">
        <v>148</v>
      </c>
      <c r="C216">
        <v>1</v>
      </c>
      <c r="D216">
        <v>2</v>
      </c>
      <c r="E216" t="s">
        <v>206</v>
      </c>
      <c r="F216" t="s">
        <v>59</v>
      </c>
      <c r="G216" t="s">
        <v>207</v>
      </c>
      <c r="H216">
        <v>1.3174109962296485E-2</v>
      </c>
      <c r="I216">
        <v>2.7781468615133484E-5</v>
      </c>
      <c r="J216">
        <v>0.39</v>
      </c>
      <c r="L216" s="1">
        <v>43168</v>
      </c>
      <c r="M216" s="1">
        <v>43024</v>
      </c>
      <c r="R216">
        <v>8.2242920325627548E-4</v>
      </c>
      <c r="T216" t="s">
        <v>39</v>
      </c>
      <c r="V216">
        <v>719061560</v>
      </c>
      <c r="W216" t="s">
        <v>206</v>
      </c>
      <c r="X216" t="s">
        <v>208</v>
      </c>
      <c r="Y216">
        <v>727000000</v>
      </c>
      <c r="Z216" t="s">
        <v>31</v>
      </c>
      <c r="AA216">
        <v>5.6947239498917725E-3</v>
      </c>
      <c r="AB216">
        <v>98.908055000000004</v>
      </c>
      <c r="AC216" t="s">
        <v>52</v>
      </c>
      <c r="AE216" t="s">
        <v>41</v>
      </c>
      <c r="AF216">
        <v>2.76E-2</v>
      </c>
      <c r="AH216" t="s">
        <v>209</v>
      </c>
      <c r="AJ216">
        <v>3.377976913409355E-2</v>
      </c>
      <c r="AK216">
        <v>3.377976913409355E-2</v>
      </c>
      <c r="AL216">
        <v>0</v>
      </c>
      <c r="AQ216">
        <v>9.3232162810098199E-4</v>
      </c>
    </row>
    <row r="217" spans="1:43" x14ac:dyDescent="0.2">
      <c r="A217">
        <v>215</v>
      </c>
      <c r="B217">
        <v>148</v>
      </c>
      <c r="C217">
        <v>1</v>
      </c>
      <c r="D217">
        <v>2</v>
      </c>
      <c r="E217" t="s">
        <v>222</v>
      </c>
      <c r="F217" t="s">
        <v>59</v>
      </c>
      <c r="G217" t="s">
        <v>207</v>
      </c>
      <c r="H217">
        <v>7.4471735130007622E-3</v>
      </c>
      <c r="I217">
        <v>1.4938470680020622E-5</v>
      </c>
      <c r="J217">
        <v>0.41</v>
      </c>
      <c r="L217" s="1">
        <v>43173</v>
      </c>
      <c r="M217" s="1">
        <v>43024</v>
      </c>
      <c r="N217" s="1"/>
      <c r="R217">
        <v>8.2242920325627548E-4</v>
      </c>
      <c r="T217" t="s">
        <v>39</v>
      </c>
      <c r="V217">
        <v>386649107</v>
      </c>
      <c r="W217" t="s">
        <v>223</v>
      </c>
      <c r="X217" t="s">
        <v>224</v>
      </c>
      <c r="Y217">
        <v>391450000</v>
      </c>
      <c r="Z217" t="s">
        <v>31</v>
      </c>
      <c r="AA217">
        <v>3.0621299375774816E-3</v>
      </c>
      <c r="AB217">
        <v>98.773561000000001</v>
      </c>
      <c r="AC217" t="s">
        <v>218</v>
      </c>
      <c r="AE217" t="s">
        <v>41</v>
      </c>
      <c r="AF217">
        <v>0.03</v>
      </c>
      <c r="AH217" t="s">
        <v>209</v>
      </c>
      <c r="AJ217">
        <v>1.8163837836587225E-2</v>
      </c>
      <c r="AK217">
        <v>1.8163837836587225E-2</v>
      </c>
      <c r="AL217">
        <v>0</v>
      </c>
      <c r="AQ217">
        <v>5.4491513509761678E-4</v>
      </c>
    </row>
    <row r="218" spans="1:43" x14ac:dyDescent="0.2">
      <c r="A218">
        <v>216</v>
      </c>
      <c r="B218">
        <v>148</v>
      </c>
      <c r="C218">
        <v>1</v>
      </c>
      <c r="D218">
        <v>1</v>
      </c>
      <c r="E218" t="s">
        <v>219</v>
      </c>
      <c r="F218" t="s">
        <v>59</v>
      </c>
      <c r="G218" t="s">
        <v>207</v>
      </c>
      <c r="H218">
        <v>2.6785956358311566E-3</v>
      </c>
      <c r="I218">
        <v>6.1193202072843186E-6</v>
      </c>
      <c r="J218">
        <v>0.36</v>
      </c>
      <c r="L218" s="1">
        <v>43157</v>
      </c>
      <c r="M218" s="1">
        <v>43024</v>
      </c>
      <c r="N218" s="1"/>
      <c r="R218">
        <v>8.2242920325627548E-4</v>
      </c>
      <c r="T218" t="s">
        <v>39</v>
      </c>
      <c r="V218">
        <v>158385001</v>
      </c>
      <c r="W218" t="s">
        <v>220</v>
      </c>
      <c r="X218" t="s">
        <v>221</v>
      </c>
      <c r="Y218">
        <v>160000000</v>
      </c>
      <c r="Z218" t="s">
        <v>31</v>
      </c>
      <c r="AA218">
        <v>1.2543555498896815E-3</v>
      </c>
      <c r="AB218">
        <v>98.990624999999994</v>
      </c>
      <c r="AC218" t="s">
        <v>52</v>
      </c>
      <c r="AE218" t="s">
        <v>41</v>
      </c>
      <c r="AF218">
        <v>2.76E-2</v>
      </c>
      <c r="AH218" t="s">
        <v>209</v>
      </c>
      <c r="AJ218">
        <v>7.4405434328643242E-3</v>
      </c>
      <c r="AK218">
        <v>7.4405434328643242E-3</v>
      </c>
      <c r="AL218">
        <v>0</v>
      </c>
      <c r="AQ218">
        <v>2.0535899874705535E-4</v>
      </c>
    </row>
    <row r="219" spans="1:43" x14ac:dyDescent="0.2">
      <c r="A219">
        <v>217</v>
      </c>
      <c r="B219">
        <v>148</v>
      </c>
      <c r="C219">
        <v>1</v>
      </c>
      <c r="D219">
        <v>1</v>
      </c>
      <c r="E219" t="s">
        <v>215</v>
      </c>
      <c r="F219" t="s">
        <v>59</v>
      </c>
      <c r="G219" t="s">
        <v>207</v>
      </c>
      <c r="H219">
        <v>6.5134414459403116E-3</v>
      </c>
      <c r="I219">
        <v>1.5305269882403125E-5</v>
      </c>
      <c r="J219">
        <v>0.35</v>
      </c>
      <c r="L219" s="1">
        <v>43151</v>
      </c>
      <c r="M219" s="1">
        <v>43024</v>
      </c>
      <c r="N219" s="1"/>
      <c r="R219">
        <v>8.2242920325627548E-4</v>
      </c>
      <c r="T219" t="s">
        <v>39</v>
      </c>
      <c r="V219">
        <v>396142889</v>
      </c>
      <c r="W219" t="s">
        <v>216</v>
      </c>
      <c r="X219" t="s">
        <v>217</v>
      </c>
      <c r="Y219">
        <v>400000000</v>
      </c>
      <c r="Z219" t="s">
        <v>31</v>
      </c>
      <c r="AA219">
        <v>3.1373174746924556E-3</v>
      </c>
      <c r="AB219">
        <v>99.035722000000007</v>
      </c>
      <c r="AC219" t="s">
        <v>52</v>
      </c>
      <c r="AE219" t="s">
        <v>41</v>
      </c>
      <c r="AF219">
        <v>2.76E-2</v>
      </c>
      <c r="AH219" t="s">
        <v>209</v>
      </c>
      <c r="AJ219">
        <v>1.8609832702686607E-2</v>
      </c>
      <c r="AK219">
        <v>1.8609832702686607E-2</v>
      </c>
      <c r="AL219">
        <v>0</v>
      </c>
      <c r="AQ219">
        <v>5.1363138259415033E-4</v>
      </c>
    </row>
    <row r="220" spans="1:43" x14ac:dyDescent="0.2">
      <c r="A220">
        <v>218</v>
      </c>
      <c r="B220">
        <v>148</v>
      </c>
      <c r="C220">
        <v>1</v>
      </c>
      <c r="D220">
        <v>1</v>
      </c>
      <c r="E220" t="s">
        <v>256</v>
      </c>
      <c r="F220" t="s">
        <v>59</v>
      </c>
      <c r="G220" t="s">
        <v>207</v>
      </c>
      <c r="H220">
        <v>1.7203645500416514E-3</v>
      </c>
      <c r="I220">
        <v>3.8239947194624217E-6</v>
      </c>
      <c r="J220">
        <v>0.37</v>
      </c>
      <c r="L220" s="1">
        <v>43159</v>
      </c>
      <c r="M220" s="1">
        <v>43024</v>
      </c>
      <c r="N220" s="1"/>
      <c r="R220">
        <v>8.2242920325627548E-4</v>
      </c>
      <c r="T220" t="s">
        <v>39</v>
      </c>
      <c r="V220">
        <v>98975603</v>
      </c>
      <c r="W220" t="s">
        <v>248</v>
      </c>
      <c r="X220" t="s">
        <v>257</v>
      </c>
      <c r="Y220">
        <v>100000000</v>
      </c>
      <c r="Z220" t="s">
        <v>31</v>
      </c>
      <c r="AA220">
        <v>7.8385324458044991E-4</v>
      </c>
      <c r="AB220">
        <v>98.975603000000007</v>
      </c>
      <c r="AC220" t="s">
        <v>52</v>
      </c>
      <c r="AE220" t="s">
        <v>41</v>
      </c>
      <c r="AF220">
        <v>2.76E-2</v>
      </c>
      <c r="AH220" t="s">
        <v>209</v>
      </c>
      <c r="AJ220">
        <v>4.64963391903149E-3</v>
      </c>
      <c r="AK220">
        <v>4.64963391903149E-3</v>
      </c>
      <c r="AL220">
        <v>0</v>
      </c>
      <c r="AQ220">
        <v>1.2832989616526913E-4</v>
      </c>
    </row>
    <row r="221" spans="1:43" x14ac:dyDescent="0.2">
      <c r="A221">
        <v>219</v>
      </c>
      <c r="B221">
        <v>149</v>
      </c>
      <c r="C221">
        <v>1</v>
      </c>
      <c r="D221">
        <v>1</v>
      </c>
      <c r="E221" t="s">
        <v>203</v>
      </c>
      <c r="F221" t="s">
        <v>59</v>
      </c>
      <c r="G221" t="s">
        <v>207</v>
      </c>
      <c r="H221">
        <v>4.6858867023952076E-4</v>
      </c>
      <c r="I221">
        <v>2.8725988018614317E-6</v>
      </c>
      <c r="J221">
        <v>0.1</v>
      </c>
      <c r="L221" s="1">
        <v>43062</v>
      </c>
      <c r="M221" s="1">
        <v>43024</v>
      </c>
      <c r="N221" s="1"/>
      <c r="R221">
        <v>6.130320650717169E-4</v>
      </c>
      <c r="T221" t="s">
        <v>39</v>
      </c>
      <c r="V221">
        <v>99747307</v>
      </c>
      <c r="W221" t="s">
        <v>181</v>
      </c>
      <c r="X221" t="s">
        <v>236</v>
      </c>
      <c r="Y221">
        <v>100000000</v>
      </c>
      <c r="Z221" t="s">
        <v>31</v>
      </c>
      <c r="AA221">
        <v>5.8883342065219697E-4</v>
      </c>
      <c r="AB221">
        <v>99.747307000000006</v>
      </c>
      <c r="AC221" t="s">
        <v>52</v>
      </c>
      <c r="AE221" t="s">
        <v>41</v>
      </c>
      <c r="AF221">
        <v>2.4E-2</v>
      </c>
      <c r="AH221" t="s">
        <v>209</v>
      </c>
      <c r="AJ221">
        <v>4.6858867023952073E-3</v>
      </c>
      <c r="AK221">
        <v>4.6858867023952073E-3</v>
      </c>
      <c r="AL221">
        <v>0</v>
      </c>
      <c r="AQ221">
        <v>1.1246128085748498E-4</v>
      </c>
    </row>
    <row r="222" spans="1:43" x14ac:dyDescent="0.2">
      <c r="A222">
        <v>220</v>
      </c>
      <c r="B222">
        <v>149</v>
      </c>
      <c r="C222">
        <v>1</v>
      </c>
      <c r="D222">
        <v>2</v>
      </c>
      <c r="E222" t="s">
        <v>250</v>
      </c>
      <c r="F222" t="s">
        <v>59</v>
      </c>
      <c r="G222" t="s">
        <v>207</v>
      </c>
      <c r="H222">
        <v>1.2363998988295056E-3</v>
      </c>
      <c r="I222">
        <v>6.3162731936159476E-6</v>
      </c>
      <c r="J222">
        <v>0.12</v>
      </c>
      <c r="L222" s="1">
        <v>43068</v>
      </c>
      <c r="M222" s="1">
        <v>43024</v>
      </c>
      <c r="N222" s="1"/>
      <c r="R222">
        <v>6.130320650717169E-4</v>
      </c>
      <c r="T222" t="s">
        <v>39</v>
      </c>
      <c r="V222">
        <v>219324481</v>
      </c>
      <c r="W222" t="s">
        <v>250</v>
      </c>
      <c r="X222" t="s">
        <v>258</v>
      </c>
      <c r="Y222">
        <v>220000000</v>
      </c>
      <c r="Z222" t="s">
        <v>31</v>
      </c>
      <c r="AA222">
        <v>1.2947275296364422E-3</v>
      </c>
      <c r="AB222">
        <v>99.692944999999995</v>
      </c>
      <c r="AC222" t="s">
        <v>52</v>
      </c>
      <c r="AE222" t="s">
        <v>41</v>
      </c>
      <c r="AF222">
        <v>2.52E-2</v>
      </c>
      <c r="AH222" t="s">
        <v>209</v>
      </c>
      <c r="AJ222">
        <v>1.030333249024588E-2</v>
      </c>
      <c r="AK222">
        <v>1.030333249024588E-2</v>
      </c>
      <c r="AL222">
        <v>0</v>
      </c>
      <c r="AQ222">
        <v>2.5964397875419617E-4</v>
      </c>
    </row>
    <row r="223" spans="1:43" x14ac:dyDescent="0.2">
      <c r="A223">
        <v>221</v>
      </c>
      <c r="B223">
        <v>149</v>
      </c>
      <c r="C223">
        <v>1</v>
      </c>
      <c r="D223">
        <v>2</v>
      </c>
      <c r="E223" t="s">
        <v>228</v>
      </c>
      <c r="F223" t="s">
        <v>59</v>
      </c>
      <c r="G223" t="s">
        <v>207</v>
      </c>
      <c r="H223">
        <v>1.3105667138489303E-3</v>
      </c>
      <c r="I223">
        <v>5.7387101357504541E-6</v>
      </c>
      <c r="J223">
        <v>0.14000000000000001</v>
      </c>
      <c r="L223" s="1">
        <v>43074</v>
      </c>
      <c r="M223" s="1">
        <v>43024</v>
      </c>
      <c r="N223" s="1"/>
      <c r="R223">
        <v>6.130320650717169E-4</v>
      </c>
      <c r="T223" t="s">
        <v>39</v>
      </c>
      <c r="V223">
        <v>199269345</v>
      </c>
      <c r="W223" t="s">
        <v>229</v>
      </c>
      <c r="X223" t="s">
        <v>230</v>
      </c>
      <c r="Y223">
        <v>200000000</v>
      </c>
      <c r="Z223" t="s">
        <v>31</v>
      </c>
      <c r="AA223">
        <v>1.1763370217851873E-3</v>
      </c>
      <c r="AB223">
        <v>99.634671999999995</v>
      </c>
      <c r="AC223" t="s">
        <v>52</v>
      </c>
      <c r="AE223" t="s">
        <v>41</v>
      </c>
      <c r="AF223">
        <v>2.64E-2</v>
      </c>
      <c r="AH223" t="s">
        <v>209</v>
      </c>
      <c r="AJ223">
        <v>9.3611908132066445E-3</v>
      </c>
      <c r="AK223">
        <v>9.3611908132066445E-3</v>
      </c>
      <c r="AL223">
        <v>0</v>
      </c>
      <c r="AQ223">
        <v>2.4713543746865543E-4</v>
      </c>
    </row>
    <row r="224" spans="1:43" x14ac:dyDescent="0.2">
      <c r="A224">
        <v>222</v>
      </c>
      <c r="B224">
        <v>149</v>
      </c>
      <c r="C224">
        <v>1</v>
      </c>
      <c r="D224">
        <v>1</v>
      </c>
      <c r="E224" t="s">
        <v>254</v>
      </c>
      <c r="F224" t="s">
        <v>59</v>
      </c>
      <c r="G224" t="s">
        <v>207</v>
      </c>
      <c r="H224">
        <v>1.3103491184143307E-4</v>
      </c>
      <c r="I224">
        <v>5.7377573287602908E-7</v>
      </c>
      <c r="J224">
        <v>0.14000000000000001</v>
      </c>
      <c r="L224" s="1">
        <v>43074</v>
      </c>
      <c r="M224" s="1">
        <v>43024</v>
      </c>
      <c r="N224" s="1"/>
      <c r="R224">
        <v>6.130320650717169E-4</v>
      </c>
      <c r="T224" t="s">
        <v>39</v>
      </c>
      <c r="V224">
        <v>19923626</v>
      </c>
      <c r="W224" t="s">
        <v>249</v>
      </c>
      <c r="X224" t="s">
        <v>255</v>
      </c>
      <c r="Y224">
        <v>20000000</v>
      </c>
      <c r="Z224" t="s">
        <v>31</v>
      </c>
      <c r="AA224">
        <v>1.1761417127156174E-4</v>
      </c>
      <c r="AB224">
        <v>99.618129999999994</v>
      </c>
      <c r="AC224" t="s">
        <v>52</v>
      </c>
      <c r="AE224" t="s">
        <v>41</v>
      </c>
      <c r="AF224">
        <v>2.76E-2</v>
      </c>
      <c r="AH224" t="s">
        <v>209</v>
      </c>
      <c r="AJ224">
        <v>9.3596365601023609E-4</v>
      </c>
      <c r="AK224">
        <v>9.3596365601023609E-4</v>
      </c>
      <c r="AL224">
        <v>0</v>
      </c>
      <c r="AQ224">
        <v>2.5832596905882516E-5</v>
      </c>
    </row>
    <row r="225" spans="1:43" x14ac:dyDescent="0.2">
      <c r="A225">
        <v>223</v>
      </c>
      <c r="B225">
        <v>149</v>
      </c>
      <c r="C225">
        <v>1</v>
      </c>
      <c r="D225">
        <v>1</v>
      </c>
      <c r="E225" t="s">
        <v>225</v>
      </c>
      <c r="F225" t="s">
        <v>59</v>
      </c>
      <c r="G225" t="s">
        <v>207</v>
      </c>
      <c r="H225">
        <v>1.5458389271455326E-4</v>
      </c>
      <c r="I225">
        <v>8.6149893616024835E-7</v>
      </c>
      <c r="J225">
        <v>0.11</v>
      </c>
      <c r="L225" s="1">
        <v>43063</v>
      </c>
      <c r="M225" s="1">
        <v>43024</v>
      </c>
      <c r="N225" s="1"/>
      <c r="R225">
        <v>6.130320650717169E-4</v>
      </c>
      <c r="T225" t="s">
        <v>39</v>
      </c>
      <c r="V225">
        <v>29914445</v>
      </c>
      <c r="W225" t="s">
        <v>226</v>
      </c>
      <c r="X225" t="s">
        <v>227</v>
      </c>
      <c r="Y225">
        <v>30000000</v>
      </c>
      <c r="Z225" t="s">
        <v>31</v>
      </c>
      <c r="AA225">
        <v>1.765924866148217E-4</v>
      </c>
      <c r="AB225">
        <v>99.714815999999999</v>
      </c>
      <c r="AC225" t="s">
        <v>52</v>
      </c>
      <c r="AE225" t="s">
        <v>41</v>
      </c>
      <c r="AF225">
        <v>2.64E-2</v>
      </c>
      <c r="AH225" t="s">
        <v>209</v>
      </c>
      <c r="AJ225">
        <v>1.4053081155868479E-3</v>
      </c>
      <c r="AK225">
        <v>1.4053081155868479E-3</v>
      </c>
      <c r="AL225">
        <v>0</v>
      </c>
      <c r="AQ225">
        <v>3.7100134251492783E-5</v>
      </c>
    </row>
    <row r="226" spans="1:43" x14ac:dyDescent="0.2">
      <c r="A226">
        <v>224</v>
      </c>
      <c r="B226">
        <v>150</v>
      </c>
      <c r="C226">
        <v>1</v>
      </c>
      <c r="D226">
        <v>1</v>
      </c>
      <c r="E226" t="s">
        <v>519</v>
      </c>
      <c r="F226" t="s">
        <v>59</v>
      </c>
      <c r="G226" t="s">
        <v>207</v>
      </c>
      <c r="H226">
        <v>2.2680691952850648E-3</v>
      </c>
      <c r="I226">
        <v>5.6275750288490385E-6</v>
      </c>
      <c r="J226">
        <v>0.49</v>
      </c>
      <c r="L226" s="1">
        <v>43203</v>
      </c>
      <c r="M226" s="1">
        <v>43024</v>
      </c>
      <c r="N226" s="1"/>
      <c r="R226">
        <v>1.2157970179518477E-3</v>
      </c>
      <c r="T226" t="s">
        <v>39</v>
      </c>
      <c r="V226">
        <v>98530257</v>
      </c>
      <c r="W226" t="s">
        <v>519</v>
      </c>
      <c r="X226" t="s">
        <v>258</v>
      </c>
      <c r="Y226">
        <v>100000000</v>
      </c>
      <c r="Z226" t="s">
        <v>31</v>
      </c>
      <c r="AA226">
        <v>1.1535562334937964E-3</v>
      </c>
      <c r="AB226">
        <v>98.530257000000006</v>
      </c>
      <c r="AC226" t="s">
        <v>52</v>
      </c>
      <c r="AE226" t="s">
        <v>41</v>
      </c>
      <c r="AF226">
        <v>0.03</v>
      </c>
      <c r="AH226" t="s">
        <v>209</v>
      </c>
      <c r="AJ226">
        <v>4.6287126434389082E-3</v>
      </c>
      <c r="AK226">
        <v>4.6287126434389082E-3</v>
      </c>
      <c r="AL226">
        <v>0</v>
      </c>
      <c r="AQ226">
        <v>1.3886137930316724E-4</v>
      </c>
    </row>
    <row r="227" spans="1:43" x14ac:dyDescent="0.2">
      <c r="A227">
        <v>225</v>
      </c>
      <c r="B227">
        <v>150</v>
      </c>
      <c r="C227">
        <v>1</v>
      </c>
      <c r="D227">
        <v>2</v>
      </c>
      <c r="E227" t="s">
        <v>254</v>
      </c>
      <c r="F227" t="s">
        <v>59</v>
      </c>
      <c r="G227" t="s">
        <v>207</v>
      </c>
      <c r="H227">
        <v>4.8858825875541549E-3</v>
      </c>
      <c r="I227">
        <v>1.2375503083356665E-5</v>
      </c>
      <c r="J227">
        <v>0.48</v>
      </c>
      <c r="L227" s="1">
        <v>43201</v>
      </c>
      <c r="M227" s="1">
        <v>43024</v>
      </c>
      <c r="N227" s="1"/>
      <c r="R227">
        <v>1.2157970179518477E-3</v>
      </c>
      <c r="T227" t="s">
        <v>39</v>
      </c>
      <c r="V227">
        <v>216676187</v>
      </c>
      <c r="W227" t="s">
        <v>249</v>
      </c>
      <c r="X227" t="s">
        <v>255</v>
      </c>
      <c r="Y227">
        <v>220000000</v>
      </c>
      <c r="Z227" t="s">
        <v>31</v>
      </c>
      <c r="AA227">
        <v>2.5367655964148913E-3</v>
      </c>
      <c r="AB227">
        <v>98.489175000000003</v>
      </c>
      <c r="AC227" t="s">
        <v>52</v>
      </c>
      <c r="AE227" t="s">
        <v>41</v>
      </c>
      <c r="AF227">
        <v>3.1199999999999999E-2</v>
      </c>
      <c r="AH227" t="s">
        <v>209</v>
      </c>
      <c r="AJ227">
        <v>1.0178922057404489E-2</v>
      </c>
      <c r="AK227">
        <v>1.0178922057404489E-2</v>
      </c>
      <c r="AL227">
        <v>0</v>
      </c>
      <c r="AQ227">
        <v>3.1758236819102005E-4</v>
      </c>
    </row>
    <row r="228" spans="1:43" x14ac:dyDescent="0.2">
      <c r="A228">
        <v>226</v>
      </c>
      <c r="B228">
        <v>150</v>
      </c>
      <c r="C228">
        <v>1</v>
      </c>
      <c r="D228">
        <v>1</v>
      </c>
      <c r="E228" t="s">
        <v>210</v>
      </c>
      <c r="F228" t="s">
        <v>59</v>
      </c>
      <c r="G228" t="s">
        <v>207</v>
      </c>
      <c r="H228">
        <v>2.3443424185301199E-2</v>
      </c>
      <c r="I228">
        <v>5.8168255540958005E-5</v>
      </c>
      <c r="J228">
        <v>0.49</v>
      </c>
      <c r="L228" s="1">
        <v>43202</v>
      </c>
      <c r="M228" s="1">
        <v>43024</v>
      </c>
      <c r="N228" s="1"/>
      <c r="R228">
        <v>1.2157970179518477E-3</v>
      </c>
      <c r="T228" t="s">
        <v>39</v>
      </c>
      <c r="V228">
        <v>1018437451</v>
      </c>
      <c r="W228" t="s">
        <v>211</v>
      </c>
      <c r="X228" t="s">
        <v>212</v>
      </c>
      <c r="Y228">
        <v>1032940000</v>
      </c>
      <c r="Z228" t="s">
        <v>31</v>
      </c>
      <c r="AA228">
        <v>1.1923493409994688E-2</v>
      </c>
      <c r="AB228">
        <v>98.595993000000007</v>
      </c>
      <c r="AC228" t="s">
        <v>52</v>
      </c>
      <c r="AE228" t="s">
        <v>41</v>
      </c>
      <c r="AF228">
        <v>2.8799999999999999E-2</v>
      </c>
      <c r="AH228" t="s">
        <v>209</v>
      </c>
      <c r="AJ228">
        <v>4.7843722827145302E-2</v>
      </c>
      <c r="AK228">
        <v>4.7843722827145302E-2</v>
      </c>
      <c r="AL228">
        <v>0</v>
      </c>
      <c r="AQ228">
        <v>1.3778992174217847E-3</v>
      </c>
    </row>
    <row r="229" spans="1:43" x14ac:dyDescent="0.2">
      <c r="A229">
        <v>227</v>
      </c>
      <c r="B229">
        <v>150</v>
      </c>
      <c r="C229">
        <v>1</v>
      </c>
      <c r="D229">
        <v>2</v>
      </c>
      <c r="E229" t="s">
        <v>222</v>
      </c>
      <c r="F229" t="s">
        <v>59</v>
      </c>
      <c r="G229" t="s">
        <v>207</v>
      </c>
      <c r="H229">
        <v>8.5198253290026463E-3</v>
      </c>
      <c r="I229">
        <v>2.2518213540156603E-5</v>
      </c>
      <c r="J229">
        <v>0.46</v>
      </c>
      <c r="L229" s="1">
        <v>43192</v>
      </c>
      <c r="M229" s="1">
        <v>43024</v>
      </c>
      <c r="N229" s="1"/>
      <c r="R229">
        <v>1.2157970179518477E-3</v>
      </c>
      <c r="T229" t="s">
        <v>39</v>
      </c>
      <c r="V229">
        <v>394259580</v>
      </c>
      <c r="W229" t="s">
        <v>223</v>
      </c>
      <c r="X229" t="s">
        <v>224</v>
      </c>
      <c r="Y229">
        <v>400000000</v>
      </c>
      <c r="Z229" t="s">
        <v>31</v>
      </c>
      <c r="AA229">
        <v>4.6158470501466995E-3</v>
      </c>
      <c r="AB229">
        <v>98.564895000000007</v>
      </c>
      <c r="AC229" t="s">
        <v>218</v>
      </c>
      <c r="AE229" t="s">
        <v>41</v>
      </c>
      <c r="AF229">
        <v>3.1199999999999999E-2</v>
      </c>
      <c r="AH229" t="s">
        <v>209</v>
      </c>
      <c r="AJ229">
        <v>1.8521359410875318E-2</v>
      </c>
      <c r="AK229">
        <v>1.8521359410875318E-2</v>
      </c>
      <c r="AL229">
        <v>0</v>
      </c>
      <c r="AQ229">
        <v>5.7786641361930993E-4</v>
      </c>
    </row>
    <row r="230" spans="1:43" x14ac:dyDescent="0.2">
      <c r="A230">
        <v>228</v>
      </c>
      <c r="B230">
        <v>150</v>
      </c>
      <c r="C230">
        <v>1</v>
      </c>
      <c r="D230">
        <v>1</v>
      </c>
      <c r="E230" t="s">
        <v>1250</v>
      </c>
      <c r="F230" t="s">
        <v>59</v>
      </c>
      <c r="G230" t="s">
        <v>207</v>
      </c>
      <c r="H230">
        <v>3.1917139680301995E-3</v>
      </c>
      <c r="I230">
        <v>9.0243635453171517E-6</v>
      </c>
      <c r="J230">
        <v>0.43</v>
      </c>
      <c r="L230" s="1">
        <v>43182</v>
      </c>
      <c r="M230" s="1">
        <v>43024</v>
      </c>
      <c r="N230" s="1"/>
      <c r="R230">
        <v>1.2157970179518477E-3</v>
      </c>
      <c r="T230" t="s">
        <v>39</v>
      </c>
      <c r="V230">
        <v>158002844</v>
      </c>
      <c r="W230" t="s">
        <v>220</v>
      </c>
      <c r="X230" t="s">
        <v>1251</v>
      </c>
      <c r="Y230">
        <v>160000000</v>
      </c>
      <c r="Z230" t="s">
        <v>31</v>
      </c>
      <c r="AA230">
        <v>1.8498395432577416E-3</v>
      </c>
      <c r="AB230">
        <v>98.751777000000004</v>
      </c>
      <c r="AC230" t="s">
        <v>52</v>
      </c>
      <c r="AE230" t="s">
        <v>41</v>
      </c>
      <c r="AF230">
        <v>2.8799999999999999E-2</v>
      </c>
      <c r="AH230" t="s">
        <v>209</v>
      </c>
      <c r="AJ230">
        <v>7.422590623326045E-3</v>
      </c>
      <c r="AK230">
        <v>7.422590623326045E-3</v>
      </c>
      <c r="AL230">
        <v>0</v>
      </c>
      <c r="AQ230">
        <v>2.1377060995179009E-4</v>
      </c>
    </row>
    <row r="231" spans="1:43" x14ac:dyDescent="0.2">
      <c r="A231">
        <v>229</v>
      </c>
      <c r="B231">
        <v>150</v>
      </c>
      <c r="C231">
        <v>1</v>
      </c>
      <c r="D231">
        <v>1</v>
      </c>
      <c r="E231" t="s">
        <v>219</v>
      </c>
      <c r="F231" t="s">
        <v>59</v>
      </c>
      <c r="G231" t="s">
        <v>207</v>
      </c>
      <c r="H231">
        <v>9.5164017038846145E-3</v>
      </c>
      <c r="I231">
        <v>2.7547649555273324E-5</v>
      </c>
      <c r="J231">
        <v>0.42</v>
      </c>
      <c r="L231" s="1">
        <v>43178</v>
      </c>
      <c r="M231" s="1">
        <v>43024</v>
      </c>
      <c r="N231" s="1"/>
      <c r="R231">
        <v>1.2157970179518477E-3</v>
      </c>
      <c r="T231" t="s">
        <v>39</v>
      </c>
      <c r="V231">
        <v>482317335</v>
      </c>
      <c r="W231" t="s">
        <v>220</v>
      </c>
      <c r="X231" t="s">
        <v>221</v>
      </c>
      <c r="Y231">
        <v>488259485</v>
      </c>
      <c r="Z231" t="s">
        <v>31</v>
      </c>
      <c r="AA231">
        <v>5.6467950582059848E-3</v>
      </c>
      <c r="AB231">
        <v>98.782993000000005</v>
      </c>
      <c r="AC231" t="s">
        <v>52</v>
      </c>
      <c r="AE231" t="s">
        <v>41</v>
      </c>
      <c r="AF231">
        <v>2.8799999999999999E-2</v>
      </c>
      <c r="AH231" t="s">
        <v>209</v>
      </c>
      <c r="AJ231">
        <v>2.2658099294963367E-2</v>
      </c>
      <c r="AK231">
        <v>2.2658099294963367E-2</v>
      </c>
      <c r="AL231">
        <v>0</v>
      </c>
      <c r="AQ231">
        <v>6.5255325969494496E-4</v>
      </c>
    </row>
    <row r="232" spans="1:43" x14ac:dyDescent="0.2">
      <c r="A232">
        <v>230</v>
      </c>
      <c r="B232">
        <v>150</v>
      </c>
      <c r="C232">
        <v>1</v>
      </c>
      <c r="D232">
        <v>1</v>
      </c>
      <c r="E232" t="s">
        <v>225</v>
      </c>
      <c r="F232" t="s">
        <v>59</v>
      </c>
      <c r="G232" t="s">
        <v>207</v>
      </c>
      <c r="H232">
        <v>3.8961162343066772E-3</v>
      </c>
      <c r="I232">
        <v>1.1278301188723431E-5</v>
      </c>
      <c r="J232">
        <v>0.42</v>
      </c>
      <c r="L232" s="1">
        <v>43178</v>
      </c>
      <c r="M232" s="1">
        <v>43024</v>
      </c>
      <c r="N232" s="1"/>
      <c r="R232">
        <v>1.2157970179518477E-3</v>
      </c>
      <c r="T232" t="s">
        <v>39</v>
      </c>
      <c r="V232">
        <v>197465855</v>
      </c>
      <c r="W232" t="s">
        <v>226</v>
      </c>
      <c r="X232" t="s">
        <v>227</v>
      </c>
      <c r="Y232">
        <v>200000000</v>
      </c>
      <c r="Z232" t="s">
        <v>31</v>
      </c>
      <c r="AA232">
        <v>2.3118580512525425E-3</v>
      </c>
      <c r="AB232">
        <v>98.732927000000004</v>
      </c>
      <c r="AC232" t="s">
        <v>52</v>
      </c>
      <c r="AE232" t="s">
        <v>41</v>
      </c>
      <c r="AF232">
        <v>0.03</v>
      </c>
      <c r="AH232" t="s">
        <v>209</v>
      </c>
      <c r="AJ232">
        <v>9.2764672245397081E-3</v>
      </c>
      <c r="AK232">
        <v>9.2764672245397081E-3</v>
      </c>
      <c r="AL232">
        <v>0</v>
      </c>
      <c r="AQ232">
        <v>2.7829401673619121E-4</v>
      </c>
    </row>
    <row r="233" spans="1:43" x14ac:dyDescent="0.2">
      <c r="A233">
        <v>231</v>
      </c>
      <c r="B233">
        <v>150</v>
      </c>
      <c r="C233">
        <v>1</v>
      </c>
      <c r="D233">
        <v>1</v>
      </c>
      <c r="E233" t="s">
        <v>215</v>
      </c>
      <c r="F233" t="s">
        <v>59</v>
      </c>
      <c r="G233" t="s">
        <v>207</v>
      </c>
      <c r="H233">
        <v>3.9000695720895718E-3</v>
      </c>
      <c r="I233">
        <v>1.1289745132264858E-5</v>
      </c>
      <c r="J233">
        <v>0.42</v>
      </c>
      <c r="L233" s="1">
        <v>43178</v>
      </c>
      <c r="M233" s="1">
        <v>43024</v>
      </c>
      <c r="N233" s="1"/>
      <c r="R233">
        <v>1.2157970179518477E-3</v>
      </c>
      <c r="T233" t="s">
        <v>39</v>
      </c>
      <c r="V233">
        <v>197666221</v>
      </c>
      <c r="W233" t="s">
        <v>216</v>
      </c>
      <c r="X233" t="s">
        <v>217</v>
      </c>
      <c r="Y233">
        <v>200000000</v>
      </c>
      <c r="Z233" t="s">
        <v>31</v>
      </c>
      <c r="AA233">
        <v>2.3142038631413738E-3</v>
      </c>
      <c r="AB233">
        <v>98.833110000000005</v>
      </c>
      <c r="AC233" t="s">
        <v>52</v>
      </c>
      <c r="AE233" t="s">
        <v>41</v>
      </c>
      <c r="AF233">
        <v>2.76E-2</v>
      </c>
      <c r="AH233" t="s">
        <v>209</v>
      </c>
      <c r="AJ233">
        <v>9.2858799335465998E-3</v>
      </c>
      <c r="AK233">
        <v>9.2858799335465998E-3</v>
      </c>
      <c r="AL233">
        <v>0</v>
      </c>
      <c r="AQ233">
        <v>2.5629028616588613E-4</v>
      </c>
    </row>
    <row r="234" spans="1:43" x14ac:dyDescent="0.2">
      <c r="A234">
        <v>232</v>
      </c>
      <c r="B234">
        <v>150</v>
      </c>
      <c r="C234">
        <v>1</v>
      </c>
      <c r="D234">
        <v>2</v>
      </c>
      <c r="E234" t="s">
        <v>215</v>
      </c>
      <c r="F234" t="s">
        <v>59</v>
      </c>
      <c r="G234" t="s">
        <v>207</v>
      </c>
      <c r="H234">
        <v>1.0622224309776255E-2</v>
      </c>
      <c r="I234">
        <v>2.8698819199647986E-5</v>
      </c>
      <c r="J234">
        <v>0.45</v>
      </c>
      <c r="L234" s="1">
        <v>43188</v>
      </c>
      <c r="M234" s="1">
        <v>43024</v>
      </c>
      <c r="N234" s="1"/>
      <c r="R234">
        <v>1.2157970179518477E-3</v>
      </c>
      <c r="T234" t="s">
        <v>39</v>
      </c>
      <c r="V234">
        <v>502472560</v>
      </c>
      <c r="W234" t="s">
        <v>216</v>
      </c>
      <c r="X234" t="s">
        <v>217</v>
      </c>
      <c r="Y234">
        <v>509065000</v>
      </c>
      <c r="Z234" t="s">
        <v>31</v>
      </c>
      <c r="AA234">
        <v>5.8827650652284978E-3</v>
      </c>
      <c r="AB234">
        <v>98.704989999999995</v>
      </c>
      <c r="AC234" t="s">
        <v>52</v>
      </c>
      <c r="AE234" t="s">
        <v>41</v>
      </c>
      <c r="AF234">
        <v>2.8799999999999999E-2</v>
      </c>
      <c r="AH234" t="s">
        <v>209</v>
      </c>
      <c r="AJ234">
        <v>2.3604942910613897E-2</v>
      </c>
      <c r="AK234">
        <v>2.3604942910613897E-2</v>
      </c>
      <c r="AL234">
        <v>0</v>
      </c>
      <c r="AQ234">
        <v>6.7982235582568018E-4</v>
      </c>
    </row>
    <row r="235" spans="1:43" x14ac:dyDescent="0.2">
      <c r="A235">
        <v>233</v>
      </c>
      <c r="B235">
        <v>150</v>
      </c>
      <c r="C235">
        <v>1</v>
      </c>
      <c r="D235">
        <v>1</v>
      </c>
      <c r="E235" t="s">
        <v>256</v>
      </c>
      <c r="F235" t="s">
        <v>59</v>
      </c>
      <c r="G235" t="s">
        <v>207</v>
      </c>
      <c r="H235">
        <v>1.0897697047311054E-2</v>
      </c>
      <c r="I235">
        <v>2.8190186324815822E-5</v>
      </c>
      <c r="J235">
        <v>0.47</v>
      </c>
      <c r="L235" s="1">
        <v>43194</v>
      </c>
      <c r="M235" s="1">
        <v>43024</v>
      </c>
      <c r="N235" s="1"/>
      <c r="R235">
        <v>1.2157970179518477E-3</v>
      </c>
      <c r="T235" t="s">
        <v>39</v>
      </c>
      <c r="V235">
        <v>493567174</v>
      </c>
      <c r="W235" t="s">
        <v>248</v>
      </c>
      <c r="X235" t="s">
        <v>257</v>
      </c>
      <c r="Y235">
        <v>500000000</v>
      </c>
      <c r="Z235" t="s">
        <v>31</v>
      </c>
      <c r="AA235">
        <v>5.7785040610988892E-3</v>
      </c>
      <c r="AB235">
        <v>98.713434000000007</v>
      </c>
      <c r="AC235" t="s">
        <v>52</v>
      </c>
      <c r="AE235" t="s">
        <v>41</v>
      </c>
      <c r="AF235">
        <v>2.76E-2</v>
      </c>
      <c r="AH235" t="s">
        <v>209</v>
      </c>
      <c r="AJ235">
        <v>2.3186589462363946E-2</v>
      </c>
      <c r="AK235">
        <v>2.3186589462363946E-2</v>
      </c>
      <c r="AL235">
        <v>0</v>
      </c>
      <c r="AQ235">
        <v>6.3994986916124494E-4</v>
      </c>
    </row>
    <row r="236" spans="1:43" x14ac:dyDescent="0.2">
      <c r="A236">
        <v>234</v>
      </c>
      <c r="B236">
        <v>151</v>
      </c>
      <c r="C236">
        <v>1</v>
      </c>
      <c r="D236">
        <v>1</v>
      </c>
      <c r="E236" t="s">
        <v>203</v>
      </c>
      <c r="F236" t="s">
        <v>59</v>
      </c>
      <c r="G236" t="s">
        <v>207</v>
      </c>
      <c r="H236">
        <v>3.2213728134556285E-4</v>
      </c>
      <c r="I236">
        <v>1.0887689512018725E-6</v>
      </c>
      <c r="J236">
        <v>0.23</v>
      </c>
      <c r="L236" s="1">
        <v>43109</v>
      </c>
      <c r="M236" s="1">
        <v>43024</v>
      </c>
      <c r="N236" s="1"/>
      <c r="R236">
        <v>7.7736068837001111E-4</v>
      </c>
      <c r="T236" t="s">
        <v>39</v>
      </c>
      <c r="V236">
        <v>29814158</v>
      </c>
      <c r="W236" t="s">
        <v>181</v>
      </c>
      <c r="X236" t="s">
        <v>236</v>
      </c>
      <c r="Y236">
        <v>30000000</v>
      </c>
      <c r="Z236" t="s">
        <v>31</v>
      </c>
      <c r="AA236">
        <v>2.2317893658546094E-4</v>
      </c>
      <c r="AB236">
        <v>99.380526000000003</v>
      </c>
      <c r="AC236" t="s">
        <v>52</v>
      </c>
      <c r="AE236" t="s">
        <v>41</v>
      </c>
      <c r="AF236">
        <v>2.64E-2</v>
      </c>
      <c r="AH236" t="s">
        <v>209</v>
      </c>
      <c r="AJ236">
        <v>1.4005968754154906E-3</v>
      </c>
      <c r="AK236">
        <v>1.4005968754154906E-3</v>
      </c>
      <c r="AL236">
        <v>0</v>
      </c>
      <c r="AQ236">
        <v>3.6975757510968954E-5</v>
      </c>
    </row>
    <row r="237" spans="1:43" x14ac:dyDescent="0.2">
      <c r="A237">
        <v>235</v>
      </c>
      <c r="B237">
        <v>151</v>
      </c>
      <c r="C237">
        <v>1</v>
      </c>
      <c r="D237">
        <v>1</v>
      </c>
      <c r="E237" t="s">
        <v>250</v>
      </c>
      <c r="F237" t="s">
        <v>59</v>
      </c>
      <c r="G237" t="s">
        <v>207</v>
      </c>
      <c r="H237">
        <v>2.1475819044499988E-3</v>
      </c>
      <c r="I237">
        <v>7.2584597720618718E-6</v>
      </c>
      <c r="J237">
        <v>0.23</v>
      </c>
      <c r="L237" s="1">
        <v>43109</v>
      </c>
      <c r="M237" s="1">
        <v>43024</v>
      </c>
      <c r="N237" s="1"/>
      <c r="R237">
        <v>7.7736068837001111E-4</v>
      </c>
      <c r="T237" t="s">
        <v>39</v>
      </c>
      <c r="V237">
        <v>198761056</v>
      </c>
      <c r="W237" t="s">
        <v>250</v>
      </c>
      <c r="X237" t="s">
        <v>258</v>
      </c>
      <c r="Y237">
        <v>200000000</v>
      </c>
      <c r="Z237" t="s">
        <v>31</v>
      </c>
      <c r="AA237">
        <v>1.4878595971981917E-3</v>
      </c>
      <c r="AB237">
        <v>99.380527999999998</v>
      </c>
      <c r="AC237" t="s">
        <v>52</v>
      </c>
      <c r="AE237" t="s">
        <v>41</v>
      </c>
      <c r="AF237">
        <v>2.64E-2</v>
      </c>
      <c r="AH237" t="s">
        <v>209</v>
      </c>
      <c r="AJ237">
        <v>9.3373126280434735E-3</v>
      </c>
      <c r="AK237">
        <v>9.3373126280434735E-3</v>
      </c>
      <c r="AL237">
        <v>0</v>
      </c>
      <c r="AQ237">
        <v>2.4650505338034772E-4</v>
      </c>
    </row>
    <row r="238" spans="1:43" x14ac:dyDescent="0.2">
      <c r="A238">
        <v>236</v>
      </c>
      <c r="B238">
        <v>151</v>
      </c>
      <c r="C238">
        <v>1</v>
      </c>
      <c r="D238">
        <v>2</v>
      </c>
      <c r="E238" t="s">
        <v>210</v>
      </c>
      <c r="F238" t="s">
        <v>59</v>
      </c>
      <c r="G238" t="s">
        <v>207</v>
      </c>
      <c r="H238">
        <v>2.240791729159601E-3</v>
      </c>
      <c r="I238">
        <v>7.2579308378055626E-6</v>
      </c>
      <c r="J238">
        <v>0.24</v>
      </c>
      <c r="L238" s="1">
        <v>43110</v>
      </c>
      <c r="M238" s="1">
        <v>43024</v>
      </c>
      <c r="N238" s="1"/>
      <c r="R238">
        <v>7.7736068837001111E-4</v>
      </c>
      <c r="T238" t="s">
        <v>39</v>
      </c>
      <c r="V238">
        <v>198746572</v>
      </c>
      <c r="W238" t="s">
        <v>211</v>
      </c>
      <c r="X238" t="s">
        <v>212</v>
      </c>
      <c r="Y238">
        <v>200000000</v>
      </c>
      <c r="Z238" t="s">
        <v>31</v>
      </c>
      <c r="AA238">
        <v>1.4877511747595133E-3</v>
      </c>
      <c r="AB238">
        <v>99.373285999999993</v>
      </c>
      <c r="AC238" t="s">
        <v>52</v>
      </c>
      <c r="AE238" t="s">
        <v>41</v>
      </c>
      <c r="AF238">
        <v>2.64E-2</v>
      </c>
      <c r="AH238" t="s">
        <v>209</v>
      </c>
      <c r="AJ238">
        <v>9.3366322048316717E-3</v>
      </c>
      <c r="AK238">
        <v>9.3366322048316717E-3</v>
      </c>
      <c r="AL238">
        <v>0</v>
      </c>
      <c r="AQ238">
        <v>2.4648709020755615E-4</v>
      </c>
    </row>
    <row r="239" spans="1:43" x14ac:dyDescent="0.2">
      <c r="A239">
        <v>237</v>
      </c>
      <c r="B239">
        <v>151</v>
      </c>
      <c r="C239">
        <v>1</v>
      </c>
      <c r="D239">
        <v>2</v>
      </c>
      <c r="E239" t="s">
        <v>210</v>
      </c>
      <c r="F239" t="s">
        <v>59</v>
      </c>
      <c r="G239" t="s">
        <v>207</v>
      </c>
      <c r="H239">
        <v>5.3034941771974223E-3</v>
      </c>
      <c r="I239">
        <v>1.7178032851468894E-5</v>
      </c>
      <c r="J239">
        <v>0.24</v>
      </c>
      <c r="L239" s="1">
        <v>43111</v>
      </c>
      <c r="M239" s="1">
        <v>43024</v>
      </c>
      <c r="N239" s="1"/>
      <c r="R239">
        <v>7.7736068837001111E-4</v>
      </c>
      <c r="T239" t="s">
        <v>39</v>
      </c>
      <c r="V239">
        <v>470392350</v>
      </c>
      <c r="W239" t="s">
        <v>211</v>
      </c>
      <c r="X239" t="s">
        <v>212</v>
      </c>
      <c r="Y239">
        <v>473393453</v>
      </c>
      <c r="Z239" t="s">
        <v>31</v>
      </c>
      <c r="AA239">
        <v>3.5212017207038333E-3</v>
      </c>
      <c r="AB239">
        <v>99.366044000000002</v>
      </c>
      <c r="AC239" t="s">
        <v>52</v>
      </c>
      <c r="AE239" t="s">
        <v>41</v>
      </c>
      <c r="AF239">
        <v>2.64E-2</v>
      </c>
      <c r="AH239" t="s">
        <v>209</v>
      </c>
      <c r="AJ239">
        <v>2.2097892404989262E-2</v>
      </c>
      <c r="AK239">
        <v>2.2097892404989262E-2</v>
      </c>
      <c r="AL239">
        <v>0</v>
      </c>
      <c r="AQ239">
        <v>5.833843594917165E-4</v>
      </c>
    </row>
    <row r="240" spans="1:43" x14ac:dyDescent="0.2">
      <c r="A240">
        <v>238</v>
      </c>
      <c r="B240">
        <v>151</v>
      </c>
      <c r="C240">
        <v>1</v>
      </c>
      <c r="D240">
        <v>1</v>
      </c>
      <c r="E240" t="s">
        <v>215</v>
      </c>
      <c r="F240" t="s">
        <v>59</v>
      </c>
      <c r="G240" t="s">
        <v>207</v>
      </c>
      <c r="H240">
        <v>1.0735704578041805E-3</v>
      </c>
      <c r="I240">
        <v>3.6284846525755029E-6</v>
      </c>
      <c r="J240">
        <v>0.23</v>
      </c>
      <c r="L240" s="1">
        <v>43108</v>
      </c>
      <c r="M240" s="1">
        <v>43024</v>
      </c>
      <c r="N240" s="1"/>
      <c r="R240">
        <v>7.7736068837001111E-4</v>
      </c>
      <c r="T240" t="s">
        <v>39</v>
      </c>
      <c r="V240">
        <v>99360121</v>
      </c>
      <c r="W240" t="s">
        <v>216</v>
      </c>
      <c r="X240" t="s">
        <v>217</v>
      </c>
      <c r="Y240">
        <v>100000000</v>
      </c>
      <c r="Z240" t="s">
        <v>31</v>
      </c>
      <c r="AA240">
        <v>7.4377703853929821E-4</v>
      </c>
      <c r="AB240">
        <v>99.360121000000007</v>
      </c>
      <c r="AC240" t="s">
        <v>52</v>
      </c>
      <c r="AE240" t="s">
        <v>41</v>
      </c>
      <c r="AF240">
        <v>2.76E-2</v>
      </c>
      <c r="AH240" t="s">
        <v>209</v>
      </c>
      <c r="AJ240">
        <v>4.6676976426268712E-3</v>
      </c>
      <c r="AK240">
        <v>4.6676976426268712E-3</v>
      </c>
      <c r="AL240">
        <v>0</v>
      </c>
      <c r="AQ240">
        <v>1.2882845493650163E-4</v>
      </c>
    </row>
    <row r="241" spans="1:43" x14ac:dyDescent="0.2">
      <c r="A241">
        <v>239</v>
      </c>
      <c r="B241">
        <v>152</v>
      </c>
      <c r="C241">
        <v>1</v>
      </c>
      <c r="D241">
        <v>1</v>
      </c>
      <c r="E241" t="s">
        <v>254</v>
      </c>
      <c r="F241" t="s">
        <v>59</v>
      </c>
      <c r="G241" t="s">
        <v>207</v>
      </c>
      <c r="H241">
        <v>2.7663882695427633E-2</v>
      </c>
      <c r="I241">
        <v>5.8034082751865433E-5</v>
      </c>
      <c r="J241">
        <v>0.6</v>
      </c>
      <c r="L241" s="1">
        <v>43242</v>
      </c>
      <c r="M241" s="1">
        <v>43024</v>
      </c>
      <c r="N241" s="1"/>
      <c r="R241">
        <v>1.2586971263030436E-3</v>
      </c>
      <c r="T241" t="s">
        <v>39</v>
      </c>
      <c r="V241">
        <v>981457006</v>
      </c>
      <c r="W241" t="s">
        <v>249</v>
      </c>
      <c r="X241" t="s">
        <v>255</v>
      </c>
      <c r="Y241">
        <v>1000000000</v>
      </c>
      <c r="Z241" t="s">
        <v>31</v>
      </c>
      <c r="AA241">
        <v>1.1895990292500998E-2</v>
      </c>
      <c r="AB241">
        <v>98.145700000000005</v>
      </c>
      <c r="AC241" t="s">
        <v>52</v>
      </c>
      <c r="AE241" t="s">
        <v>41</v>
      </c>
      <c r="AF241">
        <v>3.1199999999999999E-2</v>
      </c>
      <c r="AH241" t="s">
        <v>209</v>
      </c>
      <c r="AJ241">
        <v>4.6106471159046057E-2</v>
      </c>
      <c r="AK241">
        <v>4.6106471159046057E-2</v>
      </c>
      <c r="AL241">
        <v>0</v>
      </c>
      <c r="AQ241">
        <v>1.438521900162237E-3</v>
      </c>
    </row>
    <row r="242" spans="1:43" x14ac:dyDescent="0.2">
      <c r="A242">
        <v>240</v>
      </c>
      <c r="B242">
        <v>152</v>
      </c>
      <c r="C242">
        <v>1</v>
      </c>
      <c r="D242">
        <v>1</v>
      </c>
      <c r="E242" t="s">
        <v>222</v>
      </c>
      <c r="F242" t="s">
        <v>59</v>
      </c>
      <c r="G242" t="s">
        <v>207</v>
      </c>
      <c r="H242">
        <v>4.624414383138784E-3</v>
      </c>
      <c r="I242">
        <v>1.1641474189782498E-5</v>
      </c>
      <c r="J242">
        <v>0.5</v>
      </c>
      <c r="L242" s="1">
        <v>43207</v>
      </c>
      <c r="M242" s="1">
        <v>43024</v>
      </c>
      <c r="N242" s="1"/>
      <c r="R242">
        <v>1.2586971263030436E-3</v>
      </c>
      <c r="T242" t="s">
        <v>39</v>
      </c>
      <c r="V242">
        <v>196877522</v>
      </c>
      <c r="W242" t="s">
        <v>223</v>
      </c>
      <c r="X242" t="s">
        <v>224</v>
      </c>
      <c r="Y242">
        <v>200000000</v>
      </c>
      <c r="Z242" t="s">
        <v>31</v>
      </c>
      <c r="AA242">
        <v>2.3863022793722375E-3</v>
      </c>
      <c r="AB242">
        <v>98.438761</v>
      </c>
      <c r="AC242" t="s">
        <v>218</v>
      </c>
      <c r="AE242" t="s">
        <v>41</v>
      </c>
      <c r="AF242">
        <v>3.1199999999999999E-2</v>
      </c>
      <c r="AH242" t="s">
        <v>209</v>
      </c>
      <c r="AJ242">
        <v>9.248828766277568E-3</v>
      </c>
      <c r="AK242">
        <v>9.248828766277568E-3</v>
      </c>
      <c r="AL242">
        <v>0</v>
      </c>
      <c r="AQ242">
        <v>2.8856345750786008E-4</v>
      </c>
    </row>
    <row r="243" spans="1:43" x14ac:dyDescent="0.2">
      <c r="A243">
        <v>241</v>
      </c>
      <c r="B243">
        <v>152</v>
      </c>
      <c r="C243">
        <v>1</v>
      </c>
      <c r="D243">
        <v>1</v>
      </c>
      <c r="E243" t="s">
        <v>219</v>
      </c>
      <c r="F243" t="s">
        <v>59</v>
      </c>
      <c r="G243" t="s">
        <v>207</v>
      </c>
      <c r="H243">
        <v>1.2931726655596772E-2</v>
      </c>
      <c r="I243">
        <v>2.9066298534885935E-5</v>
      </c>
      <c r="J243">
        <v>0.56000000000000005</v>
      </c>
      <c r="L243" s="1">
        <v>43230</v>
      </c>
      <c r="M243" s="1">
        <v>43024</v>
      </c>
      <c r="N243" s="1"/>
      <c r="R243">
        <v>1.2586971263030436E-3</v>
      </c>
      <c r="T243" t="s">
        <v>39</v>
      </c>
      <c r="V243">
        <v>491561527</v>
      </c>
      <c r="W243" t="s">
        <v>220</v>
      </c>
      <c r="X243" t="s">
        <v>221</v>
      </c>
      <c r="Y243">
        <v>500000000</v>
      </c>
      <c r="Z243" t="s">
        <v>31</v>
      </c>
      <c r="AA243">
        <v>5.9580920178983043E-3</v>
      </c>
      <c r="AB243">
        <v>98.312304999999995</v>
      </c>
      <c r="AC243" t="s">
        <v>52</v>
      </c>
      <c r="AE243" t="s">
        <v>41</v>
      </c>
      <c r="AF243">
        <v>0.03</v>
      </c>
      <c r="AH243" t="s">
        <v>209</v>
      </c>
      <c r="AJ243">
        <v>2.3092369027851375E-2</v>
      </c>
      <c r="AK243">
        <v>2.3092369027851375E-2</v>
      </c>
      <c r="AL243">
        <v>0</v>
      </c>
      <c r="AQ243">
        <v>6.9277107083554122E-4</v>
      </c>
    </row>
    <row r="244" spans="1:43" x14ac:dyDescent="0.2">
      <c r="A244">
        <v>242</v>
      </c>
      <c r="B244">
        <v>152</v>
      </c>
      <c r="C244">
        <v>1</v>
      </c>
      <c r="D244">
        <v>1</v>
      </c>
      <c r="E244" t="s">
        <v>219</v>
      </c>
      <c r="F244" t="s">
        <v>59</v>
      </c>
      <c r="G244" t="s">
        <v>207</v>
      </c>
      <c r="H244">
        <v>6.0789543680081848E-3</v>
      </c>
      <c r="I244">
        <v>1.1593276354453389E-5</v>
      </c>
      <c r="J244">
        <v>0.66</v>
      </c>
      <c r="L244" s="1">
        <v>43265</v>
      </c>
      <c r="M244" s="1">
        <v>43024</v>
      </c>
      <c r="N244" s="1"/>
      <c r="R244">
        <v>1.2586971263030436E-3</v>
      </c>
      <c r="T244" t="s">
        <v>39</v>
      </c>
      <c r="V244">
        <v>196062413</v>
      </c>
      <c r="W244" t="s">
        <v>220</v>
      </c>
      <c r="X244" t="s">
        <v>221</v>
      </c>
      <c r="Y244">
        <v>200000000</v>
      </c>
      <c r="Z244" t="s">
        <v>31</v>
      </c>
      <c r="AA244">
        <v>2.3764225508746549E-3</v>
      </c>
      <c r="AB244">
        <v>98.031205999999997</v>
      </c>
      <c r="AC244" t="s">
        <v>52</v>
      </c>
      <c r="AE244" t="s">
        <v>41</v>
      </c>
      <c r="AF244">
        <v>0.03</v>
      </c>
      <c r="AH244" t="s">
        <v>209</v>
      </c>
      <c r="AJ244">
        <v>9.2105369212245221E-3</v>
      </c>
      <c r="AK244">
        <v>9.2105369212245221E-3</v>
      </c>
      <c r="AL244">
        <v>0</v>
      </c>
      <c r="AQ244">
        <v>2.7631610763673565E-4</v>
      </c>
    </row>
    <row r="245" spans="1:43" x14ac:dyDescent="0.2">
      <c r="A245">
        <v>243</v>
      </c>
      <c r="B245">
        <v>153</v>
      </c>
      <c r="C245">
        <v>1</v>
      </c>
      <c r="D245">
        <v>1</v>
      </c>
      <c r="E245" t="s">
        <v>215</v>
      </c>
      <c r="F245" t="s">
        <v>59</v>
      </c>
      <c r="G245" t="s">
        <v>207</v>
      </c>
      <c r="H245">
        <v>6.9553306339637921E-3</v>
      </c>
      <c r="I245">
        <v>7.5050078013821584E-6</v>
      </c>
      <c r="J245">
        <v>1.02</v>
      </c>
      <c r="L245" s="1">
        <v>43395</v>
      </c>
      <c r="M245" s="1">
        <v>43024</v>
      </c>
      <c r="N245" s="1"/>
      <c r="R245">
        <v>1.1006102168643005E-3</v>
      </c>
      <c r="T245" t="s">
        <v>39</v>
      </c>
      <c r="V245">
        <v>145153330</v>
      </c>
      <c r="W245" t="s">
        <v>216</v>
      </c>
      <c r="X245" t="s">
        <v>217</v>
      </c>
      <c r="Y245">
        <v>150000000</v>
      </c>
      <c r="Z245" t="s">
        <v>31</v>
      </c>
      <c r="AA245">
        <v>1.5383977090172351E-3</v>
      </c>
      <c r="AB245">
        <v>96.768885999999995</v>
      </c>
      <c r="AC245" t="s">
        <v>52</v>
      </c>
      <c r="AE245" t="s">
        <v>41</v>
      </c>
      <c r="AF245">
        <v>3.2399999999999998E-2</v>
      </c>
      <c r="AH245" t="s">
        <v>209</v>
      </c>
      <c r="AJ245">
        <v>6.8189516019252858E-3</v>
      </c>
      <c r="AK245">
        <v>6.8189516019252858E-3</v>
      </c>
      <c r="AL245">
        <v>0</v>
      </c>
      <c r="AQ245">
        <v>2.2093403190237925E-4</v>
      </c>
    </row>
    <row r="246" spans="1:43" x14ac:dyDescent="0.2">
      <c r="A246">
        <v>244</v>
      </c>
      <c r="B246">
        <v>144</v>
      </c>
      <c r="C246">
        <v>2</v>
      </c>
      <c r="D246">
        <v>1</v>
      </c>
      <c r="E246" t="s">
        <v>206</v>
      </c>
      <c r="F246" t="s">
        <v>60</v>
      </c>
      <c r="G246" t="s">
        <v>207</v>
      </c>
      <c r="H246">
        <v>0</v>
      </c>
      <c r="I246">
        <v>5.5976715618448038E-5</v>
      </c>
      <c r="J246">
        <v>0</v>
      </c>
      <c r="L246" s="1">
        <v>43025</v>
      </c>
      <c r="M246" s="1">
        <v>43024</v>
      </c>
      <c r="N246" s="1"/>
      <c r="R246">
        <v>1.0648037504149021E-3</v>
      </c>
      <c r="T246" t="s">
        <v>39</v>
      </c>
      <c r="V246">
        <v>3628632900</v>
      </c>
      <c r="W246" t="s">
        <v>206</v>
      </c>
      <c r="X246" t="s">
        <v>208</v>
      </c>
      <c r="Y246">
        <v>3628899000</v>
      </c>
      <c r="Z246" t="s">
        <v>31</v>
      </c>
      <c r="AA246">
        <v>3.2850753731054755E-2</v>
      </c>
      <c r="AB246">
        <v>99.992666999999997</v>
      </c>
      <c r="AC246" t="s">
        <v>52</v>
      </c>
      <c r="AE246" t="s">
        <v>41</v>
      </c>
      <c r="AF246">
        <v>2.64E-2</v>
      </c>
      <c r="AH246" t="s">
        <v>209</v>
      </c>
      <c r="AJ246">
        <v>5.2569983526670187E-2</v>
      </c>
      <c r="AK246">
        <v>5.2569983526670187E-2</v>
      </c>
      <c r="AL246">
        <v>0</v>
      </c>
      <c r="AQ246">
        <v>1.3878475651040929E-3</v>
      </c>
    </row>
    <row r="247" spans="1:43" x14ac:dyDescent="0.2">
      <c r="A247">
        <v>245</v>
      </c>
      <c r="B247">
        <v>144</v>
      </c>
      <c r="C247">
        <v>2</v>
      </c>
      <c r="D247">
        <v>2</v>
      </c>
      <c r="E247" t="s">
        <v>206</v>
      </c>
      <c r="F247" t="s">
        <v>60</v>
      </c>
      <c r="G247" t="s">
        <v>207</v>
      </c>
      <c r="H247">
        <v>5.7941682962760943E-5</v>
      </c>
      <c r="I247">
        <v>6.1696521324099089E-6</v>
      </c>
      <c r="J247">
        <v>0.01</v>
      </c>
      <c r="L247" s="1">
        <v>43026</v>
      </c>
      <c r="M247" s="1">
        <v>43024</v>
      </c>
      <c r="N247" s="1"/>
      <c r="R247">
        <v>1.0648037504149021E-3</v>
      </c>
      <c r="T247" t="s">
        <v>39</v>
      </c>
      <c r="V247">
        <v>399941341</v>
      </c>
      <c r="W247" t="s">
        <v>206</v>
      </c>
      <c r="X247" t="s">
        <v>208</v>
      </c>
      <c r="Y247">
        <v>400000000</v>
      </c>
      <c r="Z247" t="s">
        <v>31</v>
      </c>
      <c r="AA247">
        <v>3.6207505311597631E-3</v>
      </c>
      <c r="AB247">
        <v>99.985335000000006</v>
      </c>
      <c r="AC247" t="s">
        <v>52</v>
      </c>
      <c r="AE247" t="s">
        <v>41</v>
      </c>
      <c r="AF247">
        <v>2.64E-2</v>
      </c>
      <c r="AH247" t="s">
        <v>209</v>
      </c>
      <c r="AJ247">
        <v>5.7941682962760945E-3</v>
      </c>
      <c r="AK247">
        <v>5.7941682962760945E-3</v>
      </c>
      <c r="AL247">
        <v>0</v>
      </c>
      <c r="AQ247">
        <v>1.529660430216889E-4</v>
      </c>
    </row>
    <row r="248" spans="1:43" x14ac:dyDescent="0.2">
      <c r="A248">
        <v>246</v>
      </c>
      <c r="B248">
        <v>144</v>
      </c>
      <c r="C248">
        <v>2</v>
      </c>
      <c r="D248">
        <v>2</v>
      </c>
      <c r="E248" t="s">
        <v>228</v>
      </c>
      <c r="F248" t="s">
        <v>60</v>
      </c>
      <c r="G248" t="s">
        <v>207</v>
      </c>
      <c r="H248">
        <v>0</v>
      </c>
      <c r="I248">
        <v>3.0850676975050205E-6</v>
      </c>
      <c r="J248">
        <v>0</v>
      </c>
      <c r="L248" s="1">
        <v>43025</v>
      </c>
      <c r="M248" s="1">
        <v>43024</v>
      </c>
      <c r="N248" s="1"/>
      <c r="R248">
        <v>1.0648037504149021E-3</v>
      </c>
      <c r="T248" t="s">
        <v>39</v>
      </c>
      <c r="V248">
        <v>199986334</v>
      </c>
      <c r="W248" t="s">
        <v>229</v>
      </c>
      <c r="X248" t="s">
        <v>230</v>
      </c>
      <c r="Y248">
        <v>200000000</v>
      </c>
      <c r="Z248" t="s">
        <v>31</v>
      </c>
      <c r="AA248">
        <v>1.8105170704400717E-3</v>
      </c>
      <c r="AB248">
        <v>99.993167</v>
      </c>
      <c r="AC248" t="s">
        <v>52</v>
      </c>
      <c r="AE248" t="s">
        <v>41</v>
      </c>
      <c r="AF248">
        <v>2.46E-2</v>
      </c>
      <c r="AH248" t="s">
        <v>209</v>
      </c>
      <c r="AJ248">
        <v>2.8973110738039006E-3</v>
      </c>
      <c r="AK248">
        <v>2.8973110738039006E-3</v>
      </c>
      <c r="AL248">
        <v>0</v>
      </c>
      <c r="AQ248">
        <v>7.1273852415575957E-5</v>
      </c>
    </row>
    <row r="249" spans="1:43" x14ac:dyDescent="0.2">
      <c r="A249">
        <v>247</v>
      </c>
      <c r="B249">
        <v>144</v>
      </c>
      <c r="C249">
        <v>2</v>
      </c>
      <c r="D249">
        <v>1</v>
      </c>
      <c r="E249" t="s">
        <v>228</v>
      </c>
      <c r="F249" t="s">
        <v>60</v>
      </c>
      <c r="G249" t="s">
        <v>207</v>
      </c>
      <c r="H249">
        <v>3.4872311390779439E-4</v>
      </c>
      <c r="I249">
        <v>3.713216795453826E-5</v>
      </c>
      <c r="J249">
        <v>0.01</v>
      </c>
      <c r="L249" s="1">
        <v>43027</v>
      </c>
      <c r="M249" s="1">
        <v>43024</v>
      </c>
      <c r="N249" s="1"/>
      <c r="R249">
        <v>1.0648037504149021E-3</v>
      </c>
      <c r="T249" t="s">
        <v>39</v>
      </c>
      <c r="V249">
        <v>2407054519</v>
      </c>
      <c r="W249" t="s">
        <v>229</v>
      </c>
      <c r="X249" t="s">
        <v>230</v>
      </c>
      <c r="Y249">
        <v>2407560000</v>
      </c>
      <c r="Z249" t="s">
        <v>31</v>
      </c>
      <c r="AA249">
        <v>2.1791555497634237E-2</v>
      </c>
      <c r="AB249">
        <v>99.979004000000003</v>
      </c>
      <c r="AC249" t="s">
        <v>52</v>
      </c>
      <c r="AE249" t="s">
        <v>41</v>
      </c>
      <c r="AF249">
        <v>2.52E-2</v>
      </c>
      <c r="AH249" t="s">
        <v>209</v>
      </c>
      <c r="AJ249">
        <v>3.487231139077944E-2</v>
      </c>
      <c r="AK249">
        <v>3.487231139077944E-2</v>
      </c>
      <c r="AL249">
        <v>0</v>
      </c>
      <c r="AQ249">
        <v>8.7878224704764194E-4</v>
      </c>
    </row>
    <row r="250" spans="1:43" x14ac:dyDescent="0.2">
      <c r="A250">
        <v>248</v>
      </c>
      <c r="B250">
        <v>144</v>
      </c>
      <c r="C250">
        <v>2</v>
      </c>
      <c r="D250">
        <v>1</v>
      </c>
      <c r="E250" t="s">
        <v>210</v>
      </c>
      <c r="F250" t="s">
        <v>60</v>
      </c>
      <c r="G250" t="s">
        <v>207</v>
      </c>
      <c r="H250">
        <v>7.2426137927462419E-6</v>
      </c>
      <c r="I250">
        <v>7.7119623293228969E-7</v>
      </c>
      <c r="J250">
        <v>0.01</v>
      </c>
      <c r="L250" s="1">
        <v>43026</v>
      </c>
      <c r="M250" s="1">
        <v>43024</v>
      </c>
      <c r="N250" s="1"/>
      <c r="R250">
        <v>1.0648037504149021E-3</v>
      </c>
      <c r="T250" t="s">
        <v>39</v>
      </c>
      <c r="V250">
        <v>49992001</v>
      </c>
      <c r="W250" t="s">
        <v>211</v>
      </c>
      <c r="X250" t="s">
        <v>212</v>
      </c>
      <c r="Y250">
        <v>50000000</v>
      </c>
      <c r="Z250" t="s">
        <v>31</v>
      </c>
      <c r="AA250">
        <v>4.525877813028821E-4</v>
      </c>
      <c r="AB250">
        <v>99.984002000000004</v>
      </c>
      <c r="AC250" t="s">
        <v>52</v>
      </c>
      <c r="AE250" t="s">
        <v>41</v>
      </c>
      <c r="AF250">
        <v>2.8799999999999999E-2</v>
      </c>
      <c r="AH250" t="s">
        <v>209</v>
      </c>
      <c r="AJ250">
        <v>7.2426137927462421E-4</v>
      </c>
      <c r="AK250">
        <v>7.2426137927462421E-4</v>
      </c>
      <c r="AL250">
        <v>0</v>
      </c>
      <c r="AQ250">
        <v>2.0858727723109176E-5</v>
      </c>
    </row>
    <row r="251" spans="1:43" x14ac:dyDescent="0.2">
      <c r="A251">
        <v>249</v>
      </c>
      <c r="B251">
        <v>144</v>
      </c>
      <c r="C251">
        <v>2</v>
      </c>
      <c r="D251">
        <v>1</v>
      </c>
      <c r="E251" t="s">
        <v>225</v>
      </c>
      <c r="F251" t="s">
        <v>60</v>
      </c>
      <c r="G251" t="s">
        <v>207</v>
      </c>
      <c r="H251">
        <v>0</v>
      </c>
      <c r="I251">
        <v>6.1700222886996964E-6</v>
      </c>
      <c r="J251">
        <v>0</v>
      </c>
      <c r="L251" s="1">
        <v>43025</v>
      </c>
      <c r="M251" s="1">
        <v>43024</v>
      </c>
      <c r="N251" s="1"/>
      <c r="R251">
        <v>1.0648037504149021E-3</v>
      </c>
      <c r="T251" t="s">
        <v>39</v>
      </c>
      <c r="V251">
        <v>399965336</v>
      </c>
      <c r="W251" t="s">
        <v>226</v>
      </c>
      <c r="X251" t="s">
        <v>227</v>
      </c>
      <c r="Y251">
        <v>400000000</v>
      </c>
      <c r="Z251" t="s">
        <v>31</v>
      </c>
      <c r="AA251">
        <v>3.6209677627887264E-3</v>
      </c>
      <c r="AB251">
        <v>99.991333999999995</v>
      </c>
      <c r="AC251" t="s">
        <v>52</v>
      </c>
      <c r="AE251" t="s">
        <v>41</v>
      </c>
      <c r="AF251">
        <v>3.1199999999999999E-2</v>
      </c>
      <c r="AH251" t="s">
        <v>209</v>
      </c>
      <c r="AJ251">
        <v>5.7945159249256396E-3</v>
      </c>
      <c r="AK251">
        <v>5.7945159249256396E-3</v>
      </c>
      <c r="AL251">
        <v>0</v>
      </c>
      <c r="AQ251">
        <v>1.8078889685767995E-4</v>
      </c>
    </row>
    <row r="252" spans="1:43" x14ac:dyDescent="0.2">
      <c r="A252">
        <v>250</v>
      </c>
      <c r="B252">
        <v>144</v>
      </c>
      <c r="C252">
        <v>2</v>
      </c>
      <c r="D252">
        <v>1</v>
      </c>
      <c r="E252" t="s">
        <v>204</v>
      </c>
      <c r="F252" t="s">
        <v>60</v>
      </c>
      <c r="G252" t="s">
        <v>207</v>
      </c>
      <c r="H252">
        <v>7.5627373594447668E-5</v>
      </c>
      <c r="I252">
        <v>8.0528311037396809E-6</v>
      </c>
      <c r="J252">
        <v>0.01</v>
      </c>
      <c r="L252" s="1">
        <v>43026</v>
      </c>
      <c r="M252" s="1">
        <v>43024</v>
      </c>
      <c r="N252" s="1"/>
      <c r="R252">
        <v>1.0648037504149021E-3</v>
      </c>
      <c r="T252" t="s">
        <v>39</v>
      </c>
      <c r="V252">
        <v>522016477</v>
      </c>
      <c r="W252" t="s">
        <v>200</v>
      </c>
      <c r="X252" t="s">
        <v>214</v>
      </c>
      <c r="Y252">
        <v>522100000</v>
      </c>
      <c r="Z252" t="s">
        <v>31</v>
      </c>
      <c r="AA252">
        <v>4.7259216355227908E-3</v>
      </c>
      <c r="AB252">
        <v>99.984002000000004</v>
      </c>
      <c r="AC252" t="s">
        <v>52</v>
      </c>
      <c r="AE252" t="s">
        <v>41</v>
      </c>
      <c r="AF252">
        <v>2.8799999999999999E-2</v>
      </c>
      <c r="AH252" t="s">
        <v>209</v>
      </c>
      <c r="AJ252">
        <v>7.5627373594447664E-3</v>
      </c>
      <c r="AK252">
        <v>7.5627373594447664E-3</v>
      </c>
      <c r="AL252">
        <v>0</v>
      </c>
      <c r="AQ252">
        <v>2.1780683595200927E-4</v>
      </c>
    </row>
    <row r="253" spans="1:43" x14ac:dyDescent="0.2">
      <c r="A253">
        <v>251</v>
      </c>
      <c r="B253">
        <v>144</v>
      </c>
      <c r="C253">
        <v>2</v>
      </c>
      <c r="D253">
        <v>4</v>
      </c>
      <c r="E253" t="s">
        <v>204</v>
      </c>
      <c r="F253" t="s">
        <v>60</v>
      </c>
      <c r="G253" t="s">
        <v>207</v>
      </c>
      <c r="H253">
        <v>1.1587263992648136E-4</v>
      </c>
      <c r="I253">
        <v>1.2338162156419288E-5</v>
      </c>
      <c r="J253">
        <v>0.01</v>
      </c>
      <c r="L253" s="1">
        <v>43027</v>
      </c>
      <c r="M253" s="1">
        <v>43024</v>
      </c>
      <c r="N253" s="1"/>
      <c r="R253">
        <v>1.0648037504149021E-3</v>
      </c>
      <c r="T253" t="s">
        <v>39</v>
      </c>
      <c r="V253">
        <v>799808646</v>
      </c>
      <c r="W253" t="s">
        <v>200</v>
      </c>
      <c r="X253" t="s">
        <v>214</v>
      </c>
      <c r="Y253">
        <v>800000000</v>
      </c>
      <c r="Z253" t="s">
        <v>31</v>
      </c>
      <c r="AA253">
        <v>7.2408307993113196E-3</v>
      </c>
      <c r="AB253">
        <v>99.976079999999996</v>
      </c>
      <c r="AC253" t="s">
        <v>52</v>
      </c>
      <c r="AE253" t="s">
        <v>41</v>
      </c>
      <c r="AF253">
        <v>2.7900000000000001E-2</v>
      </c>
      <c r="AH253" t="s">
        <v>209</v>
      </c>
      <c r="AJ253">
        <v>1.1587263992648136E-2</v>
      </c>
      <c r="AK253">
        <v>1.1587263992648136E-2</v>
      </c>
      <c r="AL253">
        <v>0</v>
      </c>
      <c r="AQ253">
        <v>3.2328466539488298E-4</v>
      </c>
    </row>
    <row r="254" spans="1:43" x14ac:dyDescent="0.2">
      <c r="A254">
        <v>252</v>
      </c>
      <c r="B254">
        <v>144</v>
      </c>
      <c r="C254">
        <v>2</v>
      </c>
      <c r="D254">
        <v>1</v>
      </c>
      <c r="E254" t="s">
        <v>256</v>
      </c>
      <c r="F254" t="s">
        <v>60</v>
      </c>
      <c r="G254" t="s">
        <v>207</v>
      </c>
      <c r="H254">
        <v>7.2424206737673536E-6</v>
      </c>
      <c r="I254">
        <v>7.7117566955099002E-7</v>
      </c>
      <c r="J254">
        <v>0.01</v>
      </c>
      <c r="L254" s="1">
        <v>43026</v>
      </c>
      <c r="M254" s="1">
        <v>43024</v>
      </c>
      <c r="N254" s="1"/>
      <c r="R254">
        <v>1.0648037504149021E-3</v>
      </c>
      <c r="T254" t="s">
        <v>39</v>
      </c>
      <c r="V254">
        <v>49990668</v>
      </c>
      <c r="W254" t="s">
        <v>248</v>
      </c>
      <c r="X254" t="s">
        <v>257</v>
      </c>
      <c r="Y254">
        <v>50000000</v>
      </c>
      <c r="Z254" t="s">
        <v>31</v>
      </c>
      <c r="AA254">
        <v>4.5257571338200666E-4</v>
      </c>
      <c r="AB254">
        <v>99.981335999999999</v>
      </c>
      <c r="AC254" t="s">
        <v>52</v>
      </c>
      <c r="AE254" t="s">
        <v>41</v>
      </c>
      <c r="AF254">
        <v>3.3599999999999998E-2</v>
      </c>
      <c r="AH254" t="s">
        <v>209</v>
      </c>
      <c r="AJ254">
        <v>7.2424206737673532E-4</v>
      </c>
      <c r="AK254">
        <v>7.2424206737673532E-4</v>
      </c>
      <c r="AL254">
        <v>0</v>
      </c>
      <c r="AQ254">
        <v>2.4334533463858304E-5</v>
      </c>
    </row>
    <row r="255" spans="1:43" x14ac:dyDescent="0.2">
      <c r="A255">
        <v>253</v>
      </c>
      <c r="B255">
        <v>145</v>
      </c>
      <c r="C255">
        <v>2</v>
      </c>
      <c r="D255">
        <v>1</v>
      </c>
      <c r="E255" t="s">
        <v>219</v>
      </c>
      <c r="F255" t="s">
        <v>60</v>
      </c>
      <c r="G255" t="s">
        <v>207</v>
      </c>
      <c r="H255">
        <v>1.1443335518016968E-3</v>
      </c>
      <c r="I255">
        <v>4.114154703299505E-6</v>
      </c>
      <c r="J255">
        <v>0.81</v>
      </c>
      <c r="L255" s="1">
        <v>43318</v>
      </c>
      <c r="M255" s="1">
        <v>43024</v>
      </c>
      <c r="N255" s="1"/>
      <c r="R255">
        <v>2.9121450685648401E-3</v>
      </c>
      <c r="T255" t="s">
        <v>39</v>
      </c>
      <c r="V255">
        <v>97515310</v>
      </c>
      <c r="W255" t="s">
        <v>220</v>
      </c>
      <c r="X255" t="s">
        <v>221</v>
      </c>
      <c r="Y255">
        <v>100000000</v>
      </c>
      <c r="Z255" t="s">
        <v>31</v>
      </c>
      <c r="AA255">
        <v>2.4144518211963615E-3</v>
      </c>
      <c r="AB255">
        <v>97.515309999999999</v>
      </c>
      <c r="AC255" t="s">
        <v>52</v>
      </c>
      <c r="AE255" t="s">
        <v>41</v>
      </c>
      <c r="AF255">
        <v>3.1199999999999999E-2</v>
      </c>
      <c r="AH255" t="s">
        <v>209</v>
      </c>
      <c r="AJ255">
        <v>1.4127574713601193E-3</v>
      </c>
      <c r="AK255">
        <v>1.4127574713601193E-3</v>
      </c>
      <c r="AL255">
        <v>0</v>
      </c>
      <c r="AQ255">
        <v>4.4078033106435718E-5</v>
      </c>
    </row>
    <row r="256" spans="1:43" x14ac:dyDescent="0.2">
      <c r="A256">
        <v>254</v>
      </c>
      <c r="B256">
        <v>145</v>
      </c>
      <c r="C256">
        <v>2</v>
      </c>
      <c r="D256">
        <v>1</v>
      </c>
      <c r="E256" t="s">
        <v>219</v>
      </c>
      <c r="F256" t="s">
        <v>60</v>
      </c>
      <c r="G256" t="s">
        <v>207</v>
      </c>
      <c r="H256">
        <v>7.0295912664945183E-3</v>
      </c>
      <c r="I256">
        <v>2.4664083784034316E-5</v>
      </c>
      <c r="J256">
        <v>0.83</v>
      </c>
      <c r="L256" s="1">
        <v>43328</v>
      </c>
      <c r="M256" s="1">
        <v>43024</v>
      </c>
      <c r="N256" s="1"/>
      <c r="R256">
        <v>2.9121450685648401E-3</v>
      </c>
      <c r="T256" t="s">
        <v>39</v>
      </c>
      <c r="V256">
        <v>584597797</v>
      </c>
      <c r="W256" t="s">
        <v>220</v>
      </c>
      <c r="X256" t="s">
        <v>221</v>
      </c>
      <c r="Y256">
        <v>600000000</v>
      </c>
      <c r="Z256" t="s">
        <v>31</v>
      </c>
      <c r="AA256">
        <v>1.4474478065383076E-2</v>
      </c>
      <c r="AB256">
        <v>97.432965999999993</v>
      </c>
      <c r="AC256" t="s">
        <v>52</v>
      </c>
      <c r="AE256" t="s">
        <v>41</v>
      </c>
      <c r="AF256">
        <v>3.1199999999999999E-2</v>
      </c>
      <c r="AH256" t="s">
        <v>209</v>
      </c>
      <c r="AJ256">
        <v>8.4693870680656851E-3</v>
      </c>
      <c r="AK256">
        <v>8.4693870680656851E-3</v>
      </c>
      <c r="AL256">
        <v>0</v>
      </c>
      <c r="AQ256">
        <v>2.6424487652364936E-4</v>
      </c>
    </row>
    <row r="257" spans="1:43" x14ac:dyDescent="0.2">
      <c r="A257">
        <v>255</v>
      </c>
      <c r="B257">
        <v>145</v>
      </c>
      <c r="C257">
        <v>2</v>
      </c>
      <c r="D257">
        <v>1</v>
      </c>
      <c r="E257" t="s">
        <v>225</v>
      </c>
      <c r="F257" t="s">
        <v>60</v>
      </c>
      <c r="G257" t="s">
        <v>207</v>
      </c>
      <c r="H257">
        <v>4.4578219944143762E-3</v>
      </c>
      <c r="I257">
        <v>1.6432689034903425E-5</v>
      </c>
      <c r="J257">
        <v>0.79</v>
      </c>
      <c r="L257" s="1">
        <v>43313</v>
      </c>
      <c r="M257" s="1">
        <v>43024</v>
      </c>
      <c r="N257" s="1"/>
      <c r="R257">
        <v>2.9121450685648401E-3</v>
      </c>
      <c r="T257" t="s">
        <v>39</v>
      </c>
      <c r="V257">
        <v>389494047</v>
      </c>
      <c r="W257" t="s">
        <v>226</v>
      </c>
      <c r="X257" t="s">
        <v>227</v>
      </c>
      <c r="Y257">
        <v>400000000</v>
      </c>
      <c r="Z257" t="s">
        <v>31</v>
      </c>
      <c r="AA257">
        <v>9.6437637446293422E-3</v>
      </c>
      <c r="AB257">
        <v>97.373510999999993</v>
      </c>
      <c r="AC257" t="s">
        <v>52</v>
      </c>
      <c r="AE257" t="s">
        <v>41</v>
      </c>
      <c r="AF257">
        <v>3.3599999999999998E-2</v>
      </c>
      <c r="AH257" t="s">
        <v>209</v>
      </c>
      <c r="AJ257">
        <v>5.6428126511574384E-3</v>
      </c>
      <c r="AK257">
        <v>5.6428126511574384E-3</v>
      </c>
      <c r="AL257">
        <v>0</v>
      </c>
      <c r="AQ257">
        <v>1.8959850507888992E-4</v>
      </c>
    </row>
    <row r="258" spans="1:43" x14ac:dyDescent="0.2">
      <c r="A258">
        <v>256</v>
      </c>
      <c r="B258">
        <v>145</v>
      </c>
      <c r="C258">
        <v>2</v>
      </c>
      <c r="D258">
        <v>1</v>
      </c>
      <c r="E258" t="s">
        <v>215</v>
      </c>
      <c r="F258" t="s">
        <v>60</v>
      </c>
      <c r="G258" t="s">
        <v>207</v>
      </c>
      <c r="H258">
        <v>4.1902612951051441E-3</v>
      </c>
      <c r="I258">
        <v>1.6490065900727793E-5</v>
      </c>
      <c r="J258">
        <v>0.74</v>
      </c>
      <c r="L258" s="1">
        <v>43294</v>
      </c>
      <c r="M258" s="1">
        <v>43024</v>
      </c>
      <c r="N258" s="1"/>
      <c r="R258">
        <v>2.9121450685648401E-3</v>
      </c>
      <c r="T258" t="s">
        <v>39</v>
      </c>
      <c r="V258">
        <v>390854016</v>
      </c>
      <c r="W258" t="s">
        <v>216</v>
      </c>
      <c r="X258" t="s">
        <v>217</v>
      </c>
      <c r="Y258">
        <v>400000000</v>
      </c>
      <c r="Z258" t="s">
        <v>31</v>
      </c>
      <c r="AA258">
        <v>9.677436196973704E-3</v>
      </c>
      <c r="AB258">
        <v>97.713504</v>
      </c>
      <c r="AC258" t="s">
        <v>52</v>
      </c>
      <c r="AE258" t="s">
        <v>41</v>
      </c>
      <c r="AF258">
        <v>3.1199999999999999E-2</v>
      </c>
      <c r="AH258" t="s">
        <v>209</v>
      </c>
      <c r="AJ258">
        <v>5.6625152636556007E-3</v>
      </c>
      <c r="AK258">
        <v>5.6625152636556007E-3</v>
      </c>
      <c r="AL258">
        <v>0</v>
      </c>
      <c r="AQ258">
        <v>1.7667047622605474E-4</v>
      </c>
    </row>
    <row r="259" spans="1:43" x14ac:dyDescent="0.2">
      <c r="A259">
        <v>257</v>
      </c>
      <c r="B259">
        <v>145</v>
      </c>
      <c r="C259">
        <v>2</v>
      </c>
      <c r="D259">
        <v>1</v>
      </c>
      <c r="E259" t="s">
        <v>215</v>
      </c>
      <c r="F259" t="s">
        <v>60</v>
      </c>
      <c r="G259" t="s">
        <v>207</v>
      </c>
      <c r="H259">
        <v>1.3087764346964766E-2</v>
      </c>
      <c r="I259">
        <v>4.0982224087690517E-5</v>
      </c>
      <c r="J259">
        <v>0.93</v>
      </c>
      <c r="L259" s="1">
        <v>43364</v>
      </c>
      <c r="M259" s="1">
        <v>43024</v>
      </c>
      <c r="N259" s="1"/>
      <c r="R259">
        <v>2.9121450685648401E-3</v>
      </c>
      <c r="T259" t="s">
        <v>39</v>
      </c>
      <c r="V259">
        <v>971376765</v>
      </c>
      <c r="W259" t="s">
        <v>216</v>
      </c>
      <c r="X259" t="s">
        <v>217</v>
      </c>
      <c r="Y259">
        <v>1000000000</v>
      </c>
      <c r="Z259" t="s">
        <v>31</v>
      </c>
      <c r="AA259">
        <v>2.4051017212805663E-2</v>
      </c>
      <c r="AB259">
        <v>97.137675999999999</v>
      </c>
      <c r="AC259" t="s">
        <v>52</v>
      </c>
      <c r="AE259" t="s">
        <v>41</v>
      </c>
      <c r="AF259">
        <v>3.1199999999999999E-2</v>
      </c>
      <c r="AH259" t="s">
        <v>209</v>
      </c>
      <c r="AJ259">
        <v>1.4072864889209426E-2</v>
      </c>
      <c r="AK259">
        <v>1.4072864889209426E-2</v>
      </c>
      <c r="AL259">
        <v>0</v>
      </c>
      <c r="AQ259">
        <v>4.3907338454333408E-4</v>
      </c>
    </row>
    <row r="260" spans="1:43" x14ac:dyDescent="0.2">
      <c r="A260">
        <v>258</v>
      </c>
      <c r="B260">
        <v>145</v>
      </c>
      <c r="C260">
        <v>2</v>
      </c>
      <c r="D260">
        <v>1</v>
      </c>
      <c r="E260" t="s">
        <v>215</v>
      </c>
      <c r="F260" t="s">
        <v>60</v>
      </c>
      <c r="G260" t="s">
        <v>207</v>
      </c>
      <c r="H260">
        <v>5.783626985042597E-3</v>
      </c>
      <c r="I260">
        <v>1.7186490615214624E-5</v>
      </c>
      <c r="J260">
        <v>0.98</v>
      </c>
      <c r="L260" s="1">
        <v>43382</v>
      </c>
      <c r="M260" s="1">
        <v>43024</v>
      </c>
      <c r="N260" s="1"/>
      <c r="R260">
        <v>2.9121450685648401E-3</v>
      </c>
      <c r="T260" t="s">
        <v>39</v>
      </c>
      <c r="V260">
        <v>407360948</v>
      </c>
      <c r="W260" t="s">
        <v>216</v>
      </c>
      <c r="X260" t="s">
        <v>217</v>
      </c>
      <c r="Y260">
        <v>420000000</v>
      </c>
      <c r="Z260" t="s">
        <v>31</v>
      </c>
      <c r="AA260">
        <v>1.0086143219796728E-2</v>
      </c>
      <c r="AB260">
        <v>96.990701000000001</v>
      </c>
      <c r="AC260" t="s">
        <v>52</v>
      </c>
      <c r="AE260" t="s">
        <v>41</v>
      </c>
      <c r="AF260">
        <v>3.1199999999999999E-2</v>
      </c>
      <c r="AH260" t="s">
        <v>209</v>
      </c>
      <c r="AJ260">
        <v>5.9016601888189765E-3</v>
      </c>
      <c r="AK260">
        <v>5.9016601888189765E-3</v>
      </c>
      <c r="AL260">
        <v>0</v>
      </c>
      <c r="AQ260">
        <v>1.8413179789115205E-4</v>
      </c>
    </row>
    <row r="261" spans="1:43" x14ac:dyDescent="0.2">
      <c r="A261">
        <v>259</v>
      </c>
      <c r="B261">
        <v>145</v>
      </c>
      <c r="C261">
        <v>2</v>
      </c>
      <c r="D261">
        <v>2</v>
      </c>
      <c r="E261" t="s">
        <v>256</v>
      </c>
      <c r="F261" t="s">
        <v>60</v>
      </c>
      <c r="G261" t="s">
        <v>207</v>
      </c>
      <c r="H261">
        <v>9.2622095434586691E-3</v>
      </c>
      <c r="I261">
        <v>3.2893777860972389E-5</v>
      </c>
      <c r="J261">
        <v>0.82</v>
      </c>
      <c r="L261" s="1">
        <v>43325</v>
      </c>
      <c r="M261" s="1">
        <v>43024</v>
      </c>
      <c r="N261" s="1"/>
      <c r="R261">
        <v>2.9121450685648401E-3</v>
      </c>
      <c r="T261" t="s">
        <v>39</v>
      </c>
      <c r="V261">
        <v>779661237</v>
      </c>
      <c r="W261" t="s">
        <v>248</v>
      </c>
      <c r="X261" t="s">
        <v>257</v>
      </c>
      <c r="Y261">
        <v>800000000</v>
      </c>
      <c r="Z261" t="s">
        <v>31</v>
      </c>
      <c r="AA261">
        <v>1.9304194321802984E-2</v>
      </c>
      <c r="AB261">
        <v>97.457654000000005</v>
      </c>
      <c r="AC261" t="s">
        <v>52</v>
      </c>
      <c r="AE261" t="s">
        <v>41</v>
      </c>
      <c r="AF261">
        <v>3.1199999999999999E-2</v>
      </c>
      <c r="AH261" t="s">
        <v>209</v>
      </c>
      <c r="AJ261">
        <v>1.1295377492022767E-2</v>
      </c>
      <c r="AK261">
        <v>1.1295377492022767E-2</v>
      </c>
      <c r="AL261">
        <v>0</v>
      </c>
      <c r="AQ261">
        <v>3.5241577775111033E-4</v>
      </c>
    </row>
    <row r="262" spans="1:43" x14ac:dyDescent="0.2">
      <c r="A262">
        <v>260</v>
      </c>
      <c r="B262">
        <v>145</v>
      </c>
      <c r="C262">
        <v>2</v>
      </c>
      <c r="D262">
        <v>1</v>
      </c>
      <c r="E262" t="s">
        <v>256</v>
      </c>
      <c r="F262" t="s">
        <v>60</v>
      </c>
      <c r="G262" t="s">
        <v>207</v>
      </c>
      <c r="H262">
        <v>1.3363596500340209E-2</v>
      </c>
      <c r="I262">
        <v>4.0964980680795891E-5</v>
      </c>
      <c r="J262">
        <v>0.95</v>
      </c>
      <c r="L262" s="1">
        <v>43369</v>
      </c>
      <c r="M262" s="1">
        <v>43024</v>
      </c>
      <c r="N262" s="1"/>
      <c r="R262">
        <v>2.9121450685648401E-3</v>
      </c>
      <c r="T262" t="s">
        <v>39</v>
      </c>
      <c r="V262">
        <v>970968055</v>
      </c>
      <c r="W262" t="s">
        <v>248</v>
      </c>
      <c r="X262" t="s">
        <v>257</v>
      </c>
      <c r="Y262">
        <v>1000000000</v>
      </c>
      <c r="Z262" t="s">
        <v>31</v>
      </c>
      <c r="AA262">
        <v>2.404089766743539E-2</v>
      </c>
      <c r="AB262">
        <v>97.096805000000003</v>
      </c>
      <c r="AC262" t="s">
        <v>52</v>
      </c>
      <c r="AE262" t="s">
        <v>41</v>
      </c>
      <c r="AF262">
        <v>3.1199999999999999E-2</v>
      </c>
      <c r="AH262" t="s">
        <v>209</v>
      </c>
      <c r="AJ262">
        <v>1.4066943684568642E-2</v>
      </c>
      <c r="AK262">
        <v>1.4066943684568642E-2</v>
      </c>
      <c r="AL262">
        <v>0</v>
      </c>
      <c r="AQ262">
        <v>4.3888864295854157E-4</v>
      </c>
    </row>
    <row r="263" spans="1:43" x14ac:dyDescent="0.2">
      <c r="A263">
        <v>261</v>
      </c>
      <c r="B263">
        <v>146</v>
      </c>
      <c r="C263">
        <v>2</v>
      </c>
      <c r="D263">
        <v>2</v>
      </c>
      <c r="E263" t="s">
        <v>206</v>
      </c>
      <c r="F263" t="s">
        <v>60</v>
      </c>
      <c r="G263" t="s">
        <v>207</v>
      </c>
      <c r="H263">
        <v>8.9865676689237345E-4</v>
      </c>
      <c r="I263">
        <v>6.6763213072983752E-6</v>
      </c>
      <c r="J263">
        <v>0.25</v>
      </c>
      <c r="L263" s="1">
        <v>43115</v>
      </c>
      <c r="M263" s="1">
        <v>43024</v>
      </c>
      <c r="N263" s="1"/>
      <c r="R263">
        <v>1.8573056903542899E-3</v>
      </c>
      <c r="T263" t="s">
        <v>39</v>
      </c>
      <c r="V263">
        <v>248118435</v>
      </c>
      <c r="W263" t="s">
        <v>206</v>
      </c>
      <c r="X263" t="s">
        <v>208</v>
      </c>
      <c r="Y263">
        <v>250000000</v>
      </c>
      <c r="Z263" t="s">
        <v>31</v>
      </c>
      <c r="AA263">
        <v>3.9180967420527129E-3</v>
      </c>
      <c r="AB263">
        <v>99.247373999999994</v>
      </c>
      <c r="AC263" t="s">
        <v>52</v>
      </c>
      <c r="AE263" t="s">
        <v>41</v>
      </c>
      <c r="AF263">
        <v>0.03</v>
      </c>
      <c r="AH263" t="s">
        <v>209</v>
      </c>
      <c r="AJ263">
        <v>3.5946270675694938E-3</v>
      </c>
      <c r="AK263">
        <v>3.5946270675694938E-3</v>
      </c>
      <c r="AL263">
        <v>0</v>
      </c>
      <c r="AQ263">
        <v>1.0783881202708481E-4</v>
      </c>
    </row>
    <row r="264" spans="1:43" x14ac:dyDescent="0.2">
      <c r="A264">
        <v>262</v>
      </c>
      <c r="B264">
        <v>146</v>
      </c>
      <c r="C264">
        <v>2</v>
      </c>
      <c r="D264">
        <v>1</v>
      </c>
      <c r="E264" t="s">
        <v>206</v>
      </c>
      <c r="F264" t="s">
        <v>60</v>
      </c>
      <c r="G264" t="s">
        <v>207</v>
      </c>
      <c r="H264">
        <v>8.3327808972740781E-4</v>
      </c>
      <c r="I264">
        <v>5.3367315093043694E-6</v>
      </c>
      <c r="J264">
        <v>0.28999999999999998</v>
      </c>
      <c r="L264" s="1">
        <v>43129</v>
      </c>
      <c r="M264" s="1">
        <v>43024</v>
      </c>
      <c r="N264" s="1"/>
      <c r="R264">
        <v>1.8573056903542899E-3</v>
      </c>
      <c r="T264" t="s">
        <v>39</v>
      </c>
      <c r="V264">
        <v>198333994</v>
      </c>
      <c r="W264" t="s">
        <v>206</v>
      </c>
      <c r="X264" t="s">
        <v>208</v>
      </c>
      <c r="Y264">
        <v>200000000</v>
      </c>
      <c r="Z264" t="s">
        <v>31</v>
      </c>
      <c r="AA264">
        <v>3.1319388893038206E-3</v>
      </c>
      <c r="AB264">
        <v>99.166996999999995</v>
      </c>
      <c r="AC264" t="s">
        <v>52</v>
      </c>
      <c r="AE264" t="s">
        <v>41</v>
      </c>
      <c r="AF264">
        <v>2.8799999999999999E-2</v>
      </c>
      <c r="AH264" t="s">
        <v>209</v>
      </c>
      <c r="AJ264">
        <v>2.873372723197958E-3</v>
      </c>
      <c r="AK264">
        <v>2.873372723197958E-3</v>
      </c>
      <c r="AL264">
        <v>0</v>
      </c>
      <c r="AQ264">
        <v>8.275313442810119E-5</v>
      </c>
    </row>
    <row r="265" spans="1:43" x14ac:dyDescent="0.2">
      <c r="A265">
        <v>263</v>
      </c>
      <c r="B265">
        <v>146</v>
      </c>
      <c r="C265">
        <v>2</v>
      </c>
      <c r="D265">
        <v>1</v>
      </c>
      <c r="E265" t="s">
        <v>206</v>
      </c>
      <c r="F265" t="s">
        <v>60</v>
      </c>
      <c r="G265" t="s">
        <v>207</v>
      </c>
      <c r="H265">
        <v>4.4430357560577393E-4</v>
      </c>
      <c r="I265">
        <v>2.6619598684431014E-6</v>
      </c>
      <c r="J265">
        <v>0.31</v>
      </c>
      <c r="L265" s="1">
        <v>43136</v>
      </c>
      <c r="M265" s="1">
        <v>43024</v>
      </c>
      <c r="N265" s="1"/>
      <c r="R265">
        <v>1.8573056903542899E-3</v>
      </c>
      <c r="T265" t="s">
        <v>39</v>
      </c>
      <c r="V265">
        <v>98928929</v>
      </c>
      <c r="W265" t="s">
        <v>206</v>
      </c>
      <c r="X265" t="s">
        <v>208</v>
      </c>
      <c r="Y265">
        <v>100000000</v>
      </c>
      <c r="Z265" t="s">
        <v>31</v>
      </c>
      <c r="AA265">
        <v>1.5622100566999955E-3</v>
      </c>
      <c r="AB265">
        <v>98.928928999999997</v>
      </c>
      <c r="AC265" t="s">
        <v>52</v>
      </c>
      <c r="AE265" t="s">
        <v>41</v>
      </c>
      <c r="AF265">
        <v>3.4799999999999998E-2</v>
      </c>
      <c r="AH265" t="s">
        <v>209</v>
      </c>
      <c r="AJ265">
        <v>1.4332373406637869E-3</v>
      </c>
      <c r="AK265">
        <v>1.4332373406637869E-3</v>
      </c>
      <c r="AL265">
        <v>0</v>
      </c>
      <c r="AQ265">
        <v>4.9876659455099782E-5</v>
      </c>
    </row>
    <row r="266" spans="1:43" x14ac:dyDescent="0.2">
      <c r="A266">
        <v>264</v>
      </c>
      <c r="B266">
        <v>146</v>
      </c>
      <c r="C266">
        <v>2</v>
      </c>
      <c r="D266">
        <v>1</v>
      </c>
      <c r="E266" t="s">
        <v>254</v>
      </c>
      <c r="F266" t="s">
        <v>60</v>
      </c>
      <c r="G266" t="s">
        <v>207</v>
      </c>
      <c r="H266">
        <v>1.5528686212306505E-3</v>
      </c>
      <c r="I266">
        <v>1.0682043431793732E-5</v>
      </c>
      <c r="J266">
        <v>0.27</v>
      </c>
      <c r="L266" s="1">
        <v>43123</v>
      </c>
      <c r="M266" s="1">
        <v>43024</v>
      </c>
      <c r="N266" s="1"/>
      <c r="R266">
        <v>1.8573056903542899E-3</v>
      </c>
      <c r="T266" t="s">
        <v>39</v>
      </c>
      <c r="V266">
        <v>396986870</v>
      </c>
      <c r="W266" t="s">
        <v>249</v>
      </c>
      <c r="X266" t="s">
        <v>255</v>
      </c>
      <c r="Y266">
        <v>400000000</v>
      </c>
      <c r="Z266" t="s">
        <v>31</v>
      </c>
      <c r="AA266">
        <v>6.2689133194988259E-3</v>
      </c>
      <c r="AB266">
        <v>99.246717000000004</v>
      </c>
      <c r="AC266" t="s">
        <v>52</v>
      </c>
      <c r="AE266" t="s">
        <v>41</v>
      </c>
      <c r="AF266">
        <v>2.76E-2</v>
      </c>
      <c r="AH266" t="s">
        <v>209</v>
      </c>
      <c r="AJ266">
        <v>5.7513652638172237E-3</v>
      </c>
      <c r="AK266">
        <v>5.7513652638172237E-3</v>
      </c>
      <c r="AL266">
        <v>0</v>
      </c>
      <c r="AQ266">
        <v>1.5873768128135538E-4</v>
      </c>
    </row>
    <row r="267" spans="1:43" x14ac:dyDescent="0.2">
      <c r="A267">
        <v>265</v>
      </c>
      <c r="B267">
        <v>146</v>
      </c>
      <c r="C267">
        <v>2</v>
      </c>
      <c r="D267">
        <v>1</v>
      </c>
      <c r="E267" t="s">
        <v>210</v>
      </c>
      <c r="F267" t="s">
        <v>60</v>
      </c>
      <c r="G267" t="s">
        <v>207</v>
      </c>
      <c r="H267">
        <v>2.1579113288505264E-3</v>
      </c>
      <c r="I267">
        <v>1.6031603961416279E-5</v>
      </c>
      <c r="J267">
        <v>0.25</v>
      </c>
      <c r="L267" s="1">
        <v>43116</v>
      </c>
      <c r="M267" s="1">
        <v>43024</v>
      </c>
      <c r="N267" s="1"/>
      <c r="R267">
        <v>1.8573056903542899E-3</v>
      </c>
      <c r="T267" t="s">
        <v>39</v>
      </c>
      <c r="V267">
        <v>595797641</v>
      </c>
      <c r="W267" t="s">
        <v>211</v>
      </c>
      <c r="X267" t="s">
        <v>212</v>
      </c>
      <c r="Y267">
        <v>600000000</v>
      </c>
      <c r="Z267" t="s">
        <v>31</v>
      </c>
      <c r="AA267">
        <v>9.4083811068886979E-3</v>
      </c>
      <c r="AB267">
        <v>99.299605999999997</v>
      </c>
      <c r="AC267" t="s">
        <v>52</v>
      </c>
      <c r="AE267" t="s">
        <v>41</v>
      </c>
      <c r="AF267">
        <v>2.76E-2</v>
      </c>
      <c r="AH267" t="s">
        <v>209</v>
      </c>
      <c r="AJ267">
        <v>8.6316453154021058E-3</v>
      </c>
      <c r="AK267">
        <v>8.6316453154021058E-3</v>
      </c>
      <c r="AL267">
        <v>0</v>
      </c>
      <c r="AQ267">
        <v>2.3823341070509813E-4</v>
      </c>
    </row>
    <row r="268" spans="1:43" x14ac:dyDescent="0.2">
      <c r="A268">
        <v>266</v>
      </c>
      <c r="B268">
        <v>146</v>
      </c>
      <c r="C268">
        <v>2</v>
      </c>
      <c r="D268">
        <v>1</v>
      </c>
      <c r="E268" t="s">
        <v>210</v>
      </c>
      <c r="F268" t="s">
        <v>60</v>
      </c>
      <c r="G268" t="s">
        <v>207</v>
      </c>
      <c r="H268">
        <v>2.2653896304822845E-3</v>
      </c>
      <c r="I268">
        <v>1.6182773275247496E-5</v>
      </c>
      <c r="J268">
        <v>0.26</v>
      </c>
      <c r="L268" s="1">
        <v>43119</v>
      </c>
      <c r="M268" s="1">
        <v>43024</v>
      </c>
      <c r="N268" s="1"/>
      <c r="R268">
        <v>1.8573056903542899E-3</v>
      </c>
      <c r="T268" t="s">
        <v>39</v>
      </c>
      <c r="V268">
        <v>601415689</v>
      </c>
      <c r="W268" t="s">
        <v>211</v>
      </c>
      <c r="X268" t="s">
        <v>212</v>
      </c>
      <c r="Y268">
        <v>605796000</v>
      </c>
      <c r="Z268" t="s">
        <v>31</v>
      </c>
      <c r="AA268">
        <v>9.4970970282409178E-3</v>
      </c>
      <c r="AB268">
        <v>99.276932000000002</v>
      </c>
      <c r="AC268" t="s">
        <v>52</v>
      </c>
      <c r="AE268" t="s">
        <v>41</v>
      </c>
      <c r="AF268">
        <v>2.76E-2</v>
      </c>
      <c r="AH268" t="s">
        <v>209</v>
      </c>
      <c r="AJ268">
        <v>8.7130370403164792E-3</v>
      </c>
      <c r="AK268">
        <v>8.7130370403164792E-3</v>
      </c>
      <c r="AL268">
        <v>0</v>
      </c>
      <c r="AQ268">
        <v>2.4047982231273482E-4</v>
      </c>
    </row>
    <row r="269" spans="1:43" x14ac:dyDescent="0.2">
      <c r="A269">
        <v>267</v>
      </c>
      <c r="B269">
        <v>146</v>
      </c>
      <c r="C269">
        <v>2</v>
      </c>
      <c r="D269">
        <v>1</v>
      </c>
      <c r="E269" t="s">
        <v>222</v>
      </c>
      <c r="F269" t="s">
        <v>60</v>
      </c>
      <c r="G269" t="s">
        <v>207</v>
      </c>
      <c r="H269">
        <v>8.4951753912815471E-4</v>
      </c>
      <c r="I269">
        <v>5.2593791982616495E-6</v>
      </c>
      <c r="J269">
        <v>0.3</v>
      </c>
      <c r="L269" s="1">
        <v>43133</v>
      </c>
      <c r="M269" s="1">
        <v>43024</v>
      </c>
      <c r="N269" s="1"/>
      <c r="R269">
        <v>1.8573056903542899E-3</v>
      </c>
      <c r="T269" t="s">
        <v>39</v>
      </c>
      <c r="V269">
        <v>195459277</v>
      </c>
      <c r="W269" t="s">
        <v>223</v>
      </c>
      <c r="X269" t="s">
        <v>224</v>
      </c>
      <c r="Y269">
        <v>197660800</v>
      </c>
      <c r="Z269" t="s">
        <v>31</v>
      </c>
      <c r="AA269">
        <v>3.0865435549667186E-3</v>
      </c>
      <c r="AB269">
        <v>98.886211000000003</v>
      </c>
      <c r="AC269" t="s">
        <v>218</v>
      </c>
      <c r="AE269" t="s">
        <v>41</v>
      </c>
      <c r="AF269">
        <v>3.7199999999999997E-2</v>
      </c>
      <c r="AH269" t="s">
        <v>209</v>
      </c>
      <c r="AJ269">
        <v>2.8317251304271823E-3</v>
      </c>
      <c r="AK269">
        <v>2.8317251304271823E-3</v>
      </c>
      <c r="AL269">
        <v>0</v>
      </c>
      <c r="AQ269">
        <v>1.0534017485189118E-4</v>
      </c>
    </row>
    <row r="270" spans="1:43" x14ac:dyDescent="0.2">
      <c r="A270">
        <v>268</v>
      </c>
      <c r="B270">
        <v>146</v>
      </c>
      <c r="C270">
        <v>2</v>
      </c>
      <c r="D270">
        <v>1</v>
      </c>
      <c r="E270" t="s">
        <v>225</v>
      </c>
      <c r="F270" t="s">
        <v>60</v>
      </c>
      <c r="G270" t="s">
        <v>207</v>
      </c>
      <c r="H270">
        <v>4.1620567167728286E-4</v>
      </c>
      <c r="I270">
        <v>2.6655902150480925E-6</v>
      </c>
      <c r="J270">
        <v>0.28999999999999998</v>
      </c>
      <c r="L270" s="1">
        <v>43129</v>
      </c>
      <c r="M270" s="1">
        <v>43024</v>
      </c>
      <c r="N270" s="1"/>
      <c r="R270">
        <v>1.8573056903542899E-3</v>
      </c>
      <c r="T270" t="s">
        <v>39</v>
      </c>
      <c r="V270">
        <v>99063847</v>
      </c>
      <c r="W270" t="s">
        <v>226</v>
      </c>
      <c r="X270" t="s">
        <v>227</v>
      </c>
      <c r="Y270">
        <v>100000000</v>
      </c>
      <c r="Z270" t="s">
        <v>31</v>
      </c>
      <c r="AA270">
        <v>1.5643405786672335E-3</v>
      </c>
      <c r="AB270">
        <v>99.063846999999996</v>
      </c>
      <c r="AC270" t="s">
        <v>52</v>
      </c>
      <c r="AE270" t="s">
        <v>41</v>
      </c>
      <c r="AF270">
        <v>3.2399999999999998E-2</v>
      </c>
      <c r="AH270" t="s">
        <v>209</v>
      </c>
      <c r="AJ270">
        <v>1.4351919713009756E-3</v>
      </c>
      <c r="AK270">
        <v>1.4351919713009756E-3</v>
      </c>
      <c r="AL270">
        <v>0</v>
      </c>
      <c r="AQ270">
        <v>4.6500219870151605E-5</v>
      </c>
    </row>
    <row r="271" spans="1:43" x14ac:dyDescent="0.2">
      <c r="A271">
        <v>269</v>
      </c>
      <c r="B271">
        <v>146</v>
      </c>
      <c r="C271">
        <v>2</v>
      </c>
      <c r="D271">
        <v>2</v>
      </c>
      <c r="E271" t="s">
        <v>204</v>
      </c>
      <c r="F271" t="s">
        <v>60</v>
      </c>
      <c r="G271" t="s">
        <v>207</v>
      </c>
      <c r="H271">
        <v>1.2589316345733494E-3</v>
      </c>
      <c r="I271">
        <v>9.3528835546404366E-6</v>
      </c>
      <c r="J271">
        <v>0.25</v>
      </c>
      <c r="L271" s="1">
        <v>43115</v>
      </c>
      <c r="M271" s="1">
        <v>43024</v>
      </c>
      <c r="N271" s="1"/>
      <c r="R271">
        <v>1.8573056903542899E-3</v>
      </c>
      <c r="T271" t="s">
        <v>39</v>
      </c>
      <c r="V271">
        <v>347590046</v>
      </c>
      <c r="W271" t="s">
        <v>200</v>
      </c>
      <c r="X271" t="s">
        <v>214</v>
      </c>
      <c r="Y271">
        <v>350000000</v>
      </c>
      <c r="Z271" t="s">
        <v>31</v>
      </c>
      <c r="AA271">
        <v>5.488876418241766E-3</v>
      </c>
      <c r="AB271">
        <v>99.311441000000002</v>
      </c>
      <c r="AC271" t="s">
        <v>52</v>
      </c>
      <c r="AE271" t="s">
        <v>41</v>
      </c>
      <c r="AF271">
        <v>2.7E-2</v>
      </c>
      <c r="AH271" t="s">
        <v>209</v>
      </c>
      <c r="AJ271">
        <v>5.0357265382933976E-3</v>
      </c>
      <c r="AK271">
        <v>5.0357265382933976E-3</v>
      </c>
      <c r="AL271">
        <v>0</v>
      </c>
      <c r="AQ271">
        <v>1.3596461653392174E-4</v>
      </c>
    </row>
    <row r="272" spans="1:43" x14ac:dyDescent="0.2">
      <c r="A272">
        <v>270</v>
      </c>
      <c r="B272">
        <v>146</v>
      </c>
      <c r="C272">
        <v>2</v>
      </c>
      <c r="D272">
        <v>1</v>
      </c>
      <c r="E272" t="s">
        <v>204</v>
      </c>
      <c r="F272" t="s">
        <v>60</v>
      </c>
      <c r="G272" t="s">
        <v>207</v>
      </c>
      <c r="H272">
        <v>2.1551221569293269E-3</v>
      </c>
      <c r="I272">
        <v>1.3342402151578165E-5</v>
      </c>
      <c r="J272">
        <v>0.3</v>
      </c>
      <c r="L272" s="1">
        <v>43133</v>
      </c>
      <c r="M272" s="1">
        <v>43024</v>
      </c>
      <c r="N272" s="1"/>
      <c r="R272">
        <v>1.8573056903542899E-3</v>
      </c>
      <c r="T272" t="s">
        <v>39</v>
      </c>
      <c r="V272">
        <v>495856294</v>
      </c>
      <c r="W272" t="s">
        <v>200</v>
      </c>
      <c r="X272" t="s">
        <v>214</v>
      </c>
      <c r="Y272">
        <v>500000000</v>
      </c>
      <c r="Z272" t="s">
        <v>31</v>
      </c>
      <c r="AA272">
        <v>7.8301837187056741E-3</v>
      </c>
      <c r="AB272">
        <v>99.171257999999995</v>
      </c>
      <c r="AC272" t="s">
        <v>52</v>
      </c>
      <c r="AE272" t="s">
        <v>41</v>
      </c>
      <c r="AF272">
        <v>2.76E-2</v>
      </c>
      <c r="AH272" t="s">
        <v>209</v>
      </c>
      <c r="AJ272">
        <v>7.1837405230977562E-3</v>
      </c>
      <c r="AK272">
        <v>7.1837405230977562E-3</v>
      </c>
      <c r="AL272">
        <v>0</v>
      </c>
      <c r="AQ272">
        <v>1.9827123843749807E-4</v>
      </c>
    </row>
    <row r="273" spans="1:43" x14ac:dyDescent="0.2">
      <c r="A273">
        <v>271</v>
      </c>
      <c r="B273">
        <v>146</v>
      </c>
      <c r="C273">
        <v>2</v>
      </c>
      <c r="D273">
        <v>1</v>
      </c>
      <c r="E273" t="s">
        <v>215</v>
      </c>
      <c r="F273" t="s">
        <v>60</v>
      </c>
      <c r="G273" t="s">
        <v>207</v>
      </c>
      <c r="H273">
        <v>3.7445527195290176E-4</v>
      </c>
      <c r="I273">
        <v>2.3981996806251297E-6</v>
      </c>
      <c r="J273">
        <v>0.28999999999999998</v>
      </c>
      <c r="L273" s="1">
        <v>43129</v>
      </c>
      <c r="M273" s="1">
        <v>43024</v>
      </c>
      <c r="N273" s="1"/>
      <c r="R273">
        <v>1.8573056903542899E-3</v>
      </c>
      <c r="T273" t="s">
        <v>39</v>
      </c>
      <c r="V273">
        <v>89126560</v>
      </c>
      <c r="W273" t="s">
        <v>216</v>
      </c>
      <c r="X273" t="s">
        <v>217</v>
      </c>
      <c r="Y273">
        <v>90000000</v>
      </c>
      <c r="Z273" t="s">
        <v>31</v>
      </c>
      <c r="AA273">
        <v>1.4074185352908805E-3</v>
      </c>
      <c r="AB273">
        <v>99.029510999999999</v>
      </c>
      <c r="AC273" t="s">
        <v>52</v>
      </c>
      <c r="AE273" t="s">
        <v>41</v>
      </c>
      <c r="AF273">
        <v>3.3599999999999998E-2</v>
      </c>
      <c r="AH273" t="s">
        <v>209</v>
      </c>
      <c r="AJ273">
        <v>1.2912250756996614E-3</v>
      </c>
      <c r="AK273">
        <v>1.2912250756996614E-3</v>
      </c>
      <c r="AL273">
        <v>0</v>
      </c>
      <c r="AQ273">
        <v>4.338516254350862E-5</v>
      </c>
    </row>
    <row r="274" spans="1:43" x14ac:dyDescent="0.2">
      <c r="A274">
        <v>272</v>
      </c>
      <c r="B274">
        <v>146</v>
      </c>
      <c r="C274">
        <v>2</v>
      </c>
      <c r="D274">
        <v>1</v>
      </c>
      <c r="E274" t="s">
        <v>215</v>
      </c>
      <c r="F274" t="s">
        <v>60</v>
      </c>
      <c r="G274" t="s">
        <v>207</v>
      </c>
      <c r="H274">
        <v>9.2688578151222637E-4</v>
      </c>
      <c r="I274">
        <v>5.7383674543704709E-6</v>
      </c>
      <c r="J274">
        <v>0.3</v>
      </c>
      <c r="L274" s="1">
        <v>43133</v>
      </c>
      <c r="M274" s="1">
        <v>43024</v>
      </c>
      <c r="N274" s="1"/>
      <c r="R274">
        <v>1.8573056903542899E-3</v>
      </c>
      <c r="T274" t="s">
        <v>39</v>
      </c>
      <c r="V274">
        <v>213260370</v>
      </c>
      <c r="W274" t="s">
        <v>216</v>
      </c>
      <c r="X274" t="s">
        <v>217</v>
      </c>
      <c r="Y274">
        <v>215120000</v>
      </c>
      <c r="Z274" t="s">
        <v>31</v>
      </c>
      <c r="AA274">
        <v>3.367644814082259E-3</v>
      </c>
      <c r="AB274">
        <v>99.135537999999997</v>
      </c>
      <c r="AC274" t="s">
        <v>52</v>
      </c>
      <c r="AE274" t="s">
        <v>41</v>
      </c>
      <c r="AF274">
        <v>2.8799999999999999E-2</v>
      </c>
      <c r="AH274" t="s">
        <v>209</v>
      </c>
      <c r="AJ274">
        <v>3.0896192717074214E-3</v>
      </c>
      <c r="AK274">
        <v>3.0896192717074214E-3</v>
      </c>
      <c r="AL274">
        <v>0</v>
      </c>
      <c r="AQ274">
        <v>8.8981035025173727E-5</v>
      </c>
    </row>
    <row r="275" spans="1:43" x14ac:dyDescent="0.2">
      <c r="A275">
        <v>273</v>
      </c>
      <c r="B275">
        <v>147</v>
      </c>
      <c r="C275">
        <v>2</v>
      </c>
      <c r="D275">
        <v>2</v>
      </c>
      <c r="E275" t="s">
        <v>203</v>
      </c>
      <c r="F275" t="s">
        <v>60</v>
      </c>
      <c r="G275" t="s">
        <v>207</v>
      </c>
      <c r="H275">
        <v>1.9092156124454135E-3</v>
      </c>
      <c r="I275">
        <v>4.0225789000963334E-5</v>
      </c>
      <c r="J275">
        <v>0.06</v>
      </c>
      <c r="L275" s="1">
        <v>43047</v>
      </c>
      <c r="M275" s="1">
        <v>43024</v>
      </c>
      <c r="N275" s="1"/>
      <c r="R275">
        <v>1.2641565071670529E-3</v>
      </c>
      <c r="T275" t="s">
        <v>39</v>
      </c>
      <c r="V275">
        <v>2196387279</v>
      </c>
      <c r="W275" t="s">
        <v>181</v>
      </c>
      <c r="X275" t="s">
        <v>236</v>
      </c>
      <c r="Y275">
        <v>2200000000</v>
      </c>
      <c r="Z275" t="s">
        <v>31</v>
      </c>
      <c r="AA275">
        <v>2.3607092225906033E-2</v>
      </c>
      <c r="AB275">
        <v>99.835785000000001</v>
      </c>
      <c r="AC275" t="s">
        <v>52</v>
      </c>
      <c r="AE275" t="s">
        <v>41</v>
      </c>
      <c r="AF275">
        <v>2.58E-2</v>
      </c>
      <c r="AH275" t="s">
        <v>209</v>
      </c>
      <c r="AJ275">
        <v>3.182026020742356E-2</v>
      </c>
      <c r="AK275">
        <v>3.182026020742356E-2</v>
      </c>
      <c r="AL275">
        <v>0</v>
      </c>
      <c r="AQ275">
        <v>8.2096271335152786E-4</v>
      </c>
    </row>
    <row r="276" spans="1:43" x14ac:dyDescent="0.2">
      <c r="A276">
        <v>274</v>
      </c>
      <c r="B276">
        <v>147</v>
      </c>
      <c r="C276">
        <v>2</v>
      </c>
      <c r="D276">
        <v>1</v>
      </c>
      <c r="E276" t="s">
        <v>203</v>
      </c>
      <c r="F276" t="s">
        <v>60</v>
      </c>
      <c r="G276" t="s">
        <v>207</v>
      </c>
      <c r="H276">
        <v>4.0487525760711225E-4</v>
      </c>
      <c r="I276">
        <v>7.3117955927852539E-6</v>
      </c>
      <c r="J276">
        <v>7.0000000000000007E-2</v>
      </c>
      <c r="L276" s="1">
        <v>43049</v>
      </c>
      <c r="M276" s="1">
        <v>43024</v>
      </c>
      <c r="N276" s="1"/>
      <c r="R276">
        <v>1.2641565071670529E-3</v>
      </c>
      <c r="T276" t="s">
        <v>39</v>
      </c>
      <c r="V276">
        <v>399234800</v>
      </c>
      <c r="W276" t="s">
        <v>181</v>
      </c>
      <c r="X276" t="s">
        <v>236</v>
      </c>
      <c r="Y276">
        <v>400000000</v>
      </c>
      <c r="Z276" t="s">
        <v>31</v>
      </c>
      <c r="AA276">
        <v>4.2910341147496464E-3</v>
      </c>
      <c r="AB276">
        <v>99.808700000000002</v>
      </c>
      <c r="AC276" t="s">
        <v>52</v>
      </c>
      <c r="AE276" t="s">
        <v>41</v>
      </c>
      <c r="AF276">
        <v>2.76E-2</v>
      </c>
      <c r="AH276" t="s">
        <v>209</v>
      </c>
      <c r="AJ276">
        <v>5.7839322515301746E-3</v>
      </c>
      <c r="AK276">
        <v>5.7839322515301746E-3</v>
      </c>
      <c r="AL276">
        <v>0</v>
      </c>
      <c r="AQ276">
        <v>1.5963653014223282E-4</v>
      </c>
    </row>
    <row r="277" spans="1:43" x14ac:dyDescent="0.2">
      <c r="A277">
        <v>275</v>
      </c>
      <c r="B277">
        <v>147</v>
      </c>
      <c r="C277">
        <v>2</v>
      </c>
      <c r="D277">
        <v>1</v>
      </c>
      <c r="E277" t="s">
        <v>203</v>
      </c>
      <c r="F277" t="s">
        <v>60</v>
      </c>
      <c r="G277" t="s">
        <v>207</v>
      </c>
      <c r="H277">
        <v>3.4693782427601503E-4</v>
      </c>
      <c r="I277">
        <v>5.4822963517612988E-6</v>
      </c>
      <c r="J277">
        <v>0.08</v>
      </c>
      <c r="L277" s="1">
        <v>43054</v>
      </c>
      <c r="M277" s="1">
        <v>43024</v>
      </c>
      <c r="N277" s="1"/>
      <c r="R277">
        <v>1.2641565071670529E-3</v>
      </c>
      <c r="T277" t="s">
        <v>39</v>
      </c>
      <c r="V277">
        <v>299341449</v>
      </c>
      <c r="W277" t="s">
        <v>181</v>
      </c>
      <c r="X277" t="s">
        <v>236</v>
      </c>
      <c r="Y277">
        <v>300000000</v>
      </c>
      <c r="Z277" t="s">
        <v>31</v>
      </c>
      <c r="AA277">
        <v>3.2173657447136157E-3</v>
      </c>
      <c r="AB277">
        <v>99.780483000000004</v>
      </c>
      <c r="AC277" t="s">
        <v>52</v>
      </c>
      <c r="AE277" t="s">
        <v>41</v>
      </c>
      <c r="AF277">
        <v>2.64E-2</v>
      </c>
      <c r="AH277" t="s">
        <v>209</v>
      </c>
      <c r="AJ277">
        <v>4.3367228034501878E-3</v>
      </c>
      <c r="AK277">
        <v>4.3367228034501878E-3</v>
      </c>
      <c r="AL277">
        <v>0</v>
      </c>
      <c r="AQ277">
        <v>1.1448948201108496E-4</v>
      </c>
    </row>
    <row r="278" spans="1:43" x14ac:dyDescent="0.2">
      <c r="A278">
        <v>276</v>
      </c>
      <c r="B278">
        <v>147</v>
      </c>
      <c r="C278">
        <v>2</v>
      </c>
      <c r="D278">
        <v>1</v>
      </c>
      <c r="E278" t="s">
        <v>206</v>
      </c>
      <c r="F278" t="s">
        <v>60</v>
      </c>
      <c r="G278" t="s">
        <v>207</v>
      </c>
      <c r="H278">
        <v>2.8961575174966956E-5</v>
      </c>
      <c r="I278">
        <v>1.8305981857621128E-6</v>
      </c>
      <c r="J278">
        <v>0.02</v>
      </c>
      <c r="L278" s="1">
        <v>43031</v>
      </c>
      <c r="M278" s="1">
        <v>43024</v>
      </c>
      <c r="N278" s="1"/>
      <c r="R278">
        <v>1.2641565071670529E-3</v>
      </c>
      <c r="T278" t="s">
        <v>39</v>
      </c>
      <c r="V278">
        <v>99953355</v>
      </c>
      <c r="W278" t="s">
        <v>206</v>
      </c>
      <c r="X278" t="s">
        <v>208</v>
      </c>
      <c r="Y278">
        <v>100000000</v>
      </c>
      <c r="Z278" t="s">
        <v>31</v>
      </c>
      <c r="AA278">
        <v>1.0743133018180835E-3</v>
      </c>
      <c r="AB278">
        <v>99.953355000000002</v>
      </c>
      <c r="AC278" t="s">
        <v>52</v>
      </c>
      <c r="AE278" t="s">
        <v>41</v>
      </c>
      <c r="AF278">
        <v>2.4E-2</v>
      </c>
      <c r="AH278" t="s">
        <v>209</v>
      </c>
      <c r="AJ278">
        <v>1.4480787587483478E-3</v>
      </c>
      <c r="AK278">
        <v>1.4480787587483478E-3</v>
      </c>
      <c r="AL278">
        <v>0</v>
      </c>
      <c r="AQ278">
        <v>3.475389020996035E-5</v>
      </c>
    </row>
    <row r="279" spans="1:43" x14ac:dyDescent="0.2">
      <c r="A279">
        <v>277</v>
      </c>
      <c r="B279">
        <v>147</v>
      </c>
      <c r="C279">
        <v>2</v>
      </c>
      <c r="D279">
        <v>1</v>
      </c>
      <c r="E279" t="s">
        <v>206</v>
      </c>
      <c r="F279" t="s">
        <v>60</v>
      </c>
      <c r="G279" t="s">
        <v>207</v>
      </c>
      <c r="H279">
        <v>1.1577609579383497E-4</v>
      </c>
      <c r="I279">
        <v>3.6589776218043138E-6</v>
      </c>
      <c r="J279">
        <v>0.04</v>
      </c>
      <c r="L279" s="1">
        <v>43038</v>
      </c>
      <c r="M279" s="1">
        <v>43024</v>
      </c>
      <c r="N279" s="1"/>
      <c r="R279">
        <v>1.2641565071670529E-3</v>
      </c>
      <c r="T279" t="s">
        <v>39</v>
      </c>
      <c r="V279">
        <v>199785563</v>
      </c>
      <c r="W279" t="s">
        <v>206</v>
      </c>
      <c r="X279" t="s">
        <v>208</v>
      </c>
      <c r="Y279">
        <v>200000000</v>
      </c>
      <c r="Z279" t="s">
        <v>31</v>
      </c>
      <c r="AA279">
        <v>2.1473244979332085E-3</v>
      </c>
      <c r="AB279">
        <v>99.892780999999999</v>
      </c>
      <c r="AC279" t="s">
        <v>52</v>
      </c>
      <c r="AE279" t="s">
        <v>41</v>
      </c>
      <c r="AF279">
        <v>2.76E-2</v>
      </c>
      <c r="AH279" t="s">
        <v>209</v>
      </c>
      <c r="AJ279">
        <v>2.8944023948458742E-3</v>
      </c>
      <c r="AK279">
        <v>2.8944023948458742E-3</v>
      </c>
      <c r="AL279">
        <v>0</v>
      </c>
      <c r="AQ279">
        <v>7.9885506097746121E-5</v>
      </c>
    </row>
    <row r="280" spans="1:43" x14ac:dyDescent="0.2">
      <c r="A280">
        <v>278</v>
      </c>
      <c r="B280">
        <v>147</v>
      </c>
      <c r="C280">
        <v>2</v>
      </c>
      <c r="D280">
        <v>1</v>
      </c>
      <c r="E280" t="s">
        <v>206</v>
      </c>
      <c r="F280" t="s">
        <v>60</v>
      </c>
      <c r="G280" t="s">
        <v>207</v>
      </c>
      <c r="H280">
        <v>2.8942289354659615E-4</v>
      </c>
      <c r="I280">
        <v>7.3175166840009349E-6</v>
      </c>
      <c r="J280">
        <v>0.05</v>
      </c>
      <c r="L280" s="1">
        <v>43041</v>
      </c>
      <c r="M280" s="1">
        <v>43024</v>
      </c>
      <c r="N280" s="1"/>
      <c r="R280">
        <v>1.2641565071670529E-3</v>
      </c>
      <c r="T280" t="s">
        <v>39</v>
      </c>
      <c r="V280">
        <v>399547180</v>
      </c>
      <c r="W280" t="s">
        <v>206</v>
      </c>
      <c r="X280" t="s">
        <v>208</v>
      </c>
      <c r="Y280">
        <v>400000000</v>
      </c>
      <c r="Z280" t="s">
        <v>31</v>
      </c>
      <c r="AA280">
        <v>4.2943916207505402E-3</v>
      </c>
      <c r="AB280">
        <v>99.886795000000006</v>
      </c>
      <c r="AC280" t="s">
        <v>52</v>
      </c>
      <c r="AE280" t="s">
        <v>41</v>
      </c>
      <c r="AF280">
        <v>2.4E-2</v>
      </c>
      <c r="AH280" t="s">
        <v>209</v>
      </c>
      <c r="AJ280">
        <v>5.7884578709319224E-3</v>
      </c>
      <c r="AK280">
        <v>5.7884578709319224E-3</v>
      </c>
      <c r="AL280">
        <v>0</v>
      </c>
      <c r="AQ280">
        <v>1.3892298890236615E-4</v>
      </c>
    </row>
    <row r="281" spans="1:43" x14ac:dyDescent="0.2">
      <c r="A281">
        <v>279</v>
      </c>
      <c r="B281">
        <v>147</v>
      </c>
      <c r="C281">
        <v>2</v>
      </c>
      <c r="D281">
        <v>2</v>
      </c>
      <c r="E281" t="s">
        <v>206</v>
      </c>
      <c r="F281" t="s">
        <v>60</v>
      </c>
      <c r="G281" t="s">
        <v>207</v>
      </c>
      <c r="H281">
        <v>5.848403494196191E-4</v>
      </c>
      <c r="I281">
        <v>1.4786594667453287E-5</v>
      </c>
      <c r="J281">
        <v>0.05</v>
      </c>
      <c r="L281" s="1">
        <v>43042</v>
      </c>
      <c r="M281" s="1">
        <v>43024</v>
      </c>
      <c r="N281" s="1"/>
      <c r="R281">
        <v>1.2641565071670529E-3</v>
      </c>
      <c r="T281" t="s">
        <v>39</v>
      </c>
      <c r="V281">
        <v>807369830</v>
      </c>
      <c r="W281" t="s">
        <v>206</v>
      </c>
      <c r="X281" t="s">
        <v>208</v>
      </c>
      <c r="Y281">
        <v>808484000</v>
      </c>
      <c r="Z281" t="s">
        <v>31</v>
      </c>
      <c r="AA281">
        <v>8.6777292053438794E-3</v>
      </c>
      <c r="AB281">
        <v>99.862189999999998</v>
      </c>
      <c r="AC281" t="s">
        <v>52</v>
      </c>
      <c r="AE281" t="s">
        <v>41</v>
      </c>
      <c r="AF281">
        <v>2.76E-2</v>
      </c>
      <c r="AH281" t="s">
        <v>209</v>
      </c>
      <c r="AJ281">
        <v>1.1696806988392381E-2</v>
      </c>
      <c r="AK281">
        <v>1.1696806988392381E-2</v>
      </c>
      <c r="AL281">
        <v>0</v>
      </c>
      <c r="AQ281">
        <v>3.2283187287962973E-4</v>
      </c>
    </row>
    <row r="282" spans="1:43" x14ac:dyDescent="0.2">
      <c r="A282">
        <v>280</v>
      </c>
      <c r="B282">
        <v>147</v>
      </c>
      <c r="C282">
        <v>2</v>
      </c>
      <c r="D282">
        <v>1</v>
      </c>
      <c r="E282" t="s">
        <v>206</v>
      </c>
      <c r="F282" t="s">
        <v>60</v>
      </c>
      <c r="G282" t="s">
        <v>207</v>
      </c>
      <c r="H282">
        <v>2.3127496023875918E-4</v>
      </c>
      <c r="I282">
        <v>3.6545968241328601E-6</v>
      </c>
      <c r="J282">
        <v>0.08</v>
      </c>
      <c r="L282" s="1">
        <v>43055</v>
      </c>
      <c r="M282" s="1">
        <v>43024</v>
      </c>
      <c r="N282" s="1"/>
      <c r="R282">
        <v>1.2641565071670529E-3</v>
      </c>
      <c r="T282" t="s">
        <v>39</v>
      </c>
      <c r="V282">
        <v>199546365</v>
      </c>
      <c r="W282" t="s">
        <v>206</v>
      </c>
      <c r="X282" t="s">
        <v>208</v>
      </c>
      <c r="Y282">
        <v>200000000</v>
      </c>
      <c r="Z282" t="s">
        <v>31</v>
      </c>
      <c r="AA282">
        <v>2.1447535627888269E-3</v>
      </c>
      <c r="AB282">
        <v>99.773182000000006</v>
      </c>
      <c r="AC282" t="s">
        <v>52</v>
      </c>
      <c r="AE282" t="s">
        <v>41</v>
      </c>
      <c r="AF282">
        <v>2.64E-2</v>
      </c>
      <c r="AH282" t="s">
        <v>209</v>
      </c>
      <c r="AJ282">
        <v>2.8909370029844895E-3</v>
      </c>
      <c r="AK282">
        <v>2.8909370029844895E-3</v>
      </c>
      <c r="AL282">
        <v>0</v>
      </c>
      <c r="AQ282">
        <v>7.6320736878790517E-5</v>
      </c>
    </row>
    <row r="283" spans="1:43" x14ac:dyDescent="0.2">
      <c r="A283">
        <v>281</v>
      </c>
      <c r="B283">
        <v>147</v>
      </c>
      <c r="C283">
        <v>2</v>
      </c>
      <c r="D283">
        <v>2</v>
      </c>
      <c r="E283" t="s">
        <v>250</v>
      </c>
      <c r="F283" t="s">
        <v>60</v>
      </c>
      <c r="G283" t="s">
        <v>207</v>
      </c>
      <c r="H283">
        <v>1.4469506715457853E-4</v>
      </c>
      <c r="I283">
        <v>3.6583442139686829E-6</v>
      </c>
      <c r="J283">
        <v>0.05</v>
      </c>
      <c r="L283" s="1">
        <v>43041</v>
      </c>
      <c r="M283" s="1">
        <v>43024</v>
      </c>
      <c r="N283" s="1"/>
      <c r="R283">
        <v>1.2641565071670529E-3</v>
      </c>
      <c r="T283" t="s">
        <v>39</v>
      </c>
      <c r="V283">
        <v>199750978</v>
      </c>
      <c r="W283" t="s">
        <v>250</v>
      </c>
      <c r="X283" t="s">
        <v>258</v>
      </c>
      <c r="Y283">
        <v>200000000</v>
      </c>
      <c r="Z283" t="s">
        <v>31</v>
      </c>
      <c r="AA283">
        <v>2.1469527732868132E-3</v>
      </c>
      <c r="AB283">
        <v>99.875489000000002</v>
      </c>
      <c r="AC283" t="s">
        <v>52</v>
      </c>
      <c r="AE283" t="s">
        <v>41</v>
      </c>
      <c r="AF283">
        <v>2.64E-2</v>
      </c>
      <c r="AH283" t="s">
        <v>209</v>
      </c>
      <c r="AJ283">
        <v>2.8939013430915703E-3</v>
      </c>
      <c r="AK283">
        <v>2.8939013430915703E-3</v>
      </c>
      <c r="AL283">
        <v>0</v>
      </c>
      <c r="AQ283">
        <v>7.6398995457617455E-5</v>
      </c>
    </row>
    <row r="284" spans="1:43" x14ac:dyDescent="0.2">
      <c r="A284">
        <v>282</v>
      </c>
      <c r="B284">
        <v>147</v>
      </c>
      <c r="C284">
        <v>2</v>
      </c>
      <c r="D284">
        <v>80</v>
      </c>
      <c r="E284" t="s">
        <v>1672</v>
      </c>
      <c r="F284" t="s">
        <v>60</v>
      </c>
      <c r="G284" t="s">
        <v>1673</v>
      </c>
      <c r="H284">
        <v>2.8947204833905464E-4</v>
      </c>
      <c r="I284">
        <v>7.3187594710158321E-6</v>
      </c>
      <c r="J284">
        <v>0.05</v>
      </c>
      <c r="L284" s="1">
        <v>43041</v>
      </c>
      <c r="M284" s="1">
        <v>43024</v>
      </c>
      <c r="N284" s="1"/>
      <c r="R284">
        <v>1.2641565071670529E-3</v>
      </c>
      <c r="T284" t="s">
        <v>39</v>
      </c>
      <c r="V284">
        <v>399615038</v>
      </c>
      <c r="W284" t="s">
        <v>283</v>
      </c>
      <c r="X284" t="s">
        <v>1674</v>
      </c>
      <c r="Y284">
        <v>400000000</v>
      </c>
      <c r="Z284" t="s">
        <v>31</v>
      </c>
      <c r="AA284">
        <v>4.2951209684751338E-3</v>
      </c>
      <c r="AB284">
        <v>99.903758999999994</v>
      </c>
      <c r="AC284" t="s">
        <v>47</v>
      </c>
      <c r="AE284" t="s">
        <v>182</v>
      </c>
      <c r="AF284">
        <v>1.6999999999999999E-3</v>
      </c>
      <c r="AH284" t="s">
        <v>209</v>
      </c>
      <c r="AJ284">
        <v>5.7894409667810925E-3</v>
      </c>
      <c r="AK284">
        <v>5.7894409667810925E-3</v>
      </c>
      <c r="AL284">
        <v>0</v>
      </c>
      <c r="AQ284">
        <v>9.8420496435278563E-6</v>
      </c>
    </row>
    <row r="285" spans="1:43" x14ac:dyDescent="0.2">
      <c r="A285">
        <v>283</v>
      </c>
      <c r="B285">
        <v>147</v>
      </c>
      <c r="C285">
        <v>2</v>
      </c>
      <c r="D285">
        <v>140</v>
      </c>
      <c r="E285" t="s">
        <v>1672</v>
      </c>
      <c r="F285" t="s">
        <v>60</v>
      </c>
      <c r="G285" t="s">
        <v>1673</v>
      </c>
      <c r="H285">
        <v>7.0886894812165397E-4</v>
      </c>
      <c r="I285">
        <v>1.2801732764237898E-5</v>
      </c>
      <c r="J285">
        <v>7.0000000000000007E-2</v>
      </c>
      <c r="L285" s="1">
        <v>43048</v>
      </c>
      <c r="M285" s="1">
        <v>43024</v>
      </c>
      <c r="N285" s="1"/>
      <c r="R285">
        <v>1.2641565071670529E-3</v>
      </c>
      <c r="T285" t="s">
        <v>39</v>
      </c>
      <c r="V285">
        <v>698993449</v>
      </c>
      <c r="W285" t="s">
        <v>283</v>
      </c>
      <c r="X285" t="s">
        <v>1674</v>
      </c>
      <c r="Y285">
        <v>700000000</v>
      </c>
      <c r="Z285" t="s">
        <v>31</v>
      </c>
      <c r="AA285">
        <v>7.5128839861793549E-3</v>
      </c>
      <c r="AB285">
        <v>99.856206999999998</v>
      </c>
      <c r="AC285" t="s">
        <v>47</v>
      </c>
      <c r="AE285" t="s">
        <v>182</v>
      </c>
      <c r="AF285">
        <v>1.8E-3</v>
      </c>
      <c r="AH285" t="s">
        <v>209</v>
      </c>
      <c r="AJ285">
        <v>1.012669925888077E-2</v>
      </c>
      <c r="AK285">
        <v>1.012669925888077E-2</v>
      </c>
      <c r="AL285">
        <v>0</v>
      </c>
      <c r="AQ285">
        <v>1.8228058665985385E-5</v>
      </c>
    </row>
    <row r="286" spans="1:43" x14ac:dyDescent="0.2">
      <c r="A286">
        <v>284</v>
      </c>
      <c r="B286">
        <v>147</v>
      </c>
      <c r="C286">
        <v>2</v>
      </c>
      <c r="D286">
        <v>1</v>
      </c>
      <c r="E286" t="s">
        <v>228</v>
      </c>
      <c r="F286" t="s">
        <v>60</v>
      </c>
      <c r="G286" t="s">
        <v>207</v>
      </c>
      <c r="H286">
        <v>2.6171232051630056E-4</v>
      </c>
      <c r="I286">
        <v>1.6542266649323537E-5</v>
      </c>
      <c r="J286">
        <v>0.02</v>
      </c>
      <c r="L286" s="1">
        <v>43032</v>
      </c>
      <c r="M286" s="1">
        <v>43024</v>
      </c>
      <c r="N286" s="1"/>
      <c r="R286">
        <v>1.2641565071670529E-3</v>
      </c>
      <c r="T286" t="s">
        <v>39</v>
      </c>
      <c r="V286">
        <v>903232104</v>
      </c>
      <c r="W286" t="s">
        <v>229</v>
      </c>
      <c r="X286" t="s">
        <v>230</v>
      </c>
      <c r="Y286">
        <v>903762000</v>
      </c>
      <c r="Z286" t="s">
        <v>31</v>
      </c>
      <c r="AA286">
        <v>9.7080709692669593E-3</v>
      </c>
      <c r="AB286">
        <v>99.941367</v>
      </c>
      <c r="AC286" t="s">
        <v>52</v>
      </c>
      <c r="AE286" t="s">
        <v>41</v>
      </c>
      <c r="AF286">
        <v>2.64E-2</v>
      </c>
      <c r="AH286" t="s">
        <v>209</v>
      </c>
      <c r="AJ286">
        <v>1.3085616025815027E-2</v>
      </c>
      <c r="AK286">
        <v>1.3085616025815027E-2</v>
      </c>
      <c r="AL286">
        <v>0</v>
      </c>
      <c r="AQ286">
        <v>3.4546026308151671E-4</v>
      </c>
    </row>
    <row r="287" spans="1:43" x14ac:dyDescent="0.2">
      <c r="A287">
        <v>285</v>
      </c>
      <c r="B287">
        <v>147</v>
      </c>
      <c r="C287">
        <v>2</v>
      </c>
      <c r="D287">
        <v>3</v>
      </c>
      <c r="E287" t="s">
        <v>228</v>
      </c>
      <c r="F287" t="s">
        <v>60</v>
      </c>
      <c r="G287" t="s">
        <v>207</v>
      </c>
      <c r="H287">
        <v>6.3730456778080837E-4</v>
      </c>
      <c r="I287">
        <v>2.6855090546913168E-5</v>
      </c>
      <c r="J287">
        <v>0.03</v>
      </c>
      <c r="L287" s="1">
        <v>43034</v>
      </c>
      <c r="M287" s="1">
        <v>43024</v>
      </c>
      <c r="N287" s="1"/>
      <c r="R287">
        <v>1.2641565071670529E-3</v>
      </c>
      <c r="T287" t="s">
        <v>39</v>
      </c>
      <c r="V287">
        <v>1466327466</v>
      </c>
      <c r="W287" t="s">
        <v>229</v>
      </c>
      <c r="X287" t="s">
        <v>230</v>
      </c>
      <c r="Y287">
        <v>1467312000</v>
      </c>
      <c r="Z287" t="s">
        <v>31</v>
      </c>
      <c r="AA287">
        <v>1.5760302408508481E-2</v>
      </c>
      <c r="AB287">
        <v>99.932901999999999</v>
      </c>
      <c r="AC287" t="s">
        <v>52</v>
      </c>
      <c r="AE287" t="s">
        <v>41</v>
      </c>
      <c r="AF287">
        <v>2.4799999999999999E-2</v>
      </c>
      <c r="AH287" t="s">
        <v>209</v>
      </c>
      <c r="AJ287">
        <v>2.1243485592693612E-2</v>
      </c>
      <c r="AK287">
        <v>2.1243485592693612E-2</v>
      </c>
      <c r="AL287">
        <v>0</v>
      </c>
      <c r="AQ287">
        <v>5.2683844269880162E-4</v>
      </c>
    </row>
    <row r="288" spans="1:43" x14ac:dyDescent="0.2">
      <c r="A288">
        <v>286</v>
      </c>
      <c r="B288">
        <v>147</v>
      </c>
      <c r="C288">
        <v>2</v>
      </c>
      <c r="D288">
        <v>1</v>
      </c>
      <c r="E288" t="s">
        <v>228</v>
      </c>
      <c r="F288" t="s">
        <v>60</v>
      </c>
      <c r="G288" t="s">
        <v>207</v>
      </c>
      <c r="H288">
        <v>4.3500260860937024E-4</v>
      </c>
      <c r="I288">
        <v>1.0998227566163561E-5</v>
      </c>
      <c r="J288">
        <v>0.05</v>
      </c>
      <c r="L288" s="1">
        <v>43041</v>
      </c>
      <c r="M288" s="1">
        <v>43024</v>
      </c>
      <c r="N288" s="1"/>
      <c r="R288">
        <v>1.2641565071670529E-3</v>
      </c>
      <c r="T288" t="s">
        <v>39</v>
      </c>
      <c r="V288">
        <v>600519411</v>
      </c>
      <c r="W288" t="s">
        <v>229</v>
      </c>
      <c r="X288" t="s">
        <v>230</v>
      </c>
      <c r="Y288">
        <v>601200000</v>
      </c>
      <c r="Z288" t="s">
        <v>31</v>
      </c>
      <c r="AA288">
        <v>6.4544706001840617E-3</v>
      </c>
      <c r="AB288">
        <v>99.886793999999995</v>
      </c>
      <c r="AC288" t="s">
        <v>52</v>
      </c>
      <c r="AE288" t="s">
        <v>41</v>
      </c>
      <c r="AF288">
        <v>2.4E-2</v>
      </c>
      <c r="AH288" t="s">
        <v>209</v>
      </c>
      <c r="AJ288">
        <v>8.7000521721874047E-3</v>
      </c>
      <c r="AK288">
        <v>8.7000521721874047E-3</v>
      </c>
      <c r="AL288">
        <v>0</v>
      </c>
      <c r="AQ288">
        <v>2.0880125213249771E-4</v>
      </c>
    </row>
    <row r="289" spans="1:43" x14ac:dyDescent="0.2">
      <c r="A289">
        <v>287</v>
      </c>
      <c r="B289">
        <v>147</v>
      </c>
      <c r="C289">
        <v>2</v>
      </c>
      <c r="D289">
        <v>1</v>
      </c>
      <c r="E289" t="s">
        <v>228</v>
      </c>
      <c r="F289" t="s">
        <v>60</v>
      </c>
      <c r="G289" t="s">
        <v>207</v>
      </c>
      <c r="H289">
        <v>6.9428206592190927E-4</v>
      </c>
      <c r="I289">
        <v>1.4628019857409441E-5</v>
      </c>
      <c r="J289">
        <v>0.06</v>
      </c>
      <c r="L289" s="1">
        <v>43046</v>
      </c>
      <c r="M289" s="1">
        <v>43024</v>
      </c>
      <c r="N289" s="1"/>
      <c r="R289">
        <v>1.2641565071670529E-3</v>
      </c>
      <c r="T289" t="s">
        <v>39</v>
      </c>
      <c r="V289">
        <v>798711412</v>
      </c>
      <c r="W289" t="s">
        <v>229</v>
      </c>
      <c r="X289" t="s">
        <v>230</v>
      </c>
      <c r="Y289">
        <v>800000000</v>
      </c>
      <c r="Z289" t="s">
        <v>31</v>
      </c>
      <c r="AA289">
        <v>8.5846672602986011E-3</v>
      </c>
      <c r="AB289">
        <v>99.838926000000001</v>
      </c>
      <c r="AC289" t="s">
        <v>52</v>
      </c>
      <c r="AE289" t="s">
        <v>41</v>
      </c>
      <c r="AF289">
        <v>2.64E-2</v>
      </c>
      <c r="AH289" t="s">
        <v>209</v>
      </c>
      <c r="AJ289">
        <v>1.1571367765365156E-2</v>
      </c>
      <c r="AK289">
        <v>1.1571367765365156E-2</v>
      </c>
      <c r="AL289">
        <v>0</v>
      </c>
      <c r="AQ289">
        <v>3.0548410900564009E-4</v>
      </c>
    </row>
    <row r="290" spans="1:43" x14ac:dyDescent="0.2">
      <c r="A290">
        <v>288</v>
      </c>
      <c r="B290">
        <v>147</v>
      </c>
      <c r="C290">
        <v>2</v>
      </c>
      <c r="D290">
        <v>1</v>
      </c>
      <c r="E290" t="s">
        <v>228</v>
      </c>
      <c r="F290" t="s">
        <v>60</v>
      </c>
      <c r="G290" t="s">
        <v>207</v>
      </c>
      <c r="H290">
        <v>9.1104510425882724E-4</v>
      </c>
      <c r="I290">
        <v>1.6452908526735463E-5</v>
      </c>
      <c r="J290">
        <v>7.0000000000000007E-2</v>
      </c>
      <c r="L290" s="1">
        <v>43049</v>
      </c>
      <c r="M290" s="1">
        <v>43024</v>
      </c>
      <c r="N290" s="1"/>
      <c r="R290">
        <v>1.2641565071670529E-3</v>
      </c>
      <c r="T290" t="s">
        <v>39</v>
      </c>
      <c r="V290">
        <v>898353019</v>
      </c>
      <c r="W290" t="s">
        <v>229</v>
      </c>
      <c r="X290" t="s">
        <v>230</v>
      </c>
      <c r="Y290">
        <v>900000000</v>
      </c>
      <c r="Z290" t="s">
        <v>31</v>
      </c>
      <c r="AA290">
        <v>9.6556298489443738E-3</v>
      </c>
      <c r="AB290">
        <v>99.817002000000002</v>
      </c>
      <c r="AC290" t="s">
        <v>52</v>
      </c>
      <c r="AE290" t="s">
        <v>41</v>
      </c>
      <c r="AF290">
        <v>2.64E-2</v>
      </c>
      <c r="AH290" t="s">
        <v>209</v>
      </c>
      <c r="AJ290">
        <v>1.3014930060840387E-2</v>
      </c>
      <c r="AK290">
        <v>1.3014930060840387E-2</v>
      </c>
      <c r="AL290">
        <v>0</v>
      </c>
      <c r="AQ290">
        <v>3.4359415360618622E-4</v>
      </c>
    </row>
    <row r="291" spans="1:43" x14ac:dyDescent="0.2">
      <c r="A291">
        <v>289</v>
      </c>
      <c r="B291">
        <v>147</v>
      </c>
      <c r="C291">
        <v>2</v>
      </c>
      <c r="D291">
        <v>2</v>
      </c>
      <c r="E291" t="s">
        <v>254</v>
      </c>
      <c r="F291" t="s">
        <v>60</v>
      </c>
      <c r="G291" t="s">
        <v>207</v>
      </c>
      <c r="H291">
        <v>3.2879810512994245E-4</v>
      </c>
      <c r="I291">
        <v>1.3855075471473784E-5</v>
      </c>
      <c r="J291">
        <v>0.03</v>
      </c>
      <c r="L291" s="1">
        <v>43034</v>
      </c>
      <c r="M291" s="1">
        <v>43024</v>
      </c>
      <c r="N291" s="1"/>
      <c r="R291">
        <v>1.2641565071670529E-3</v>
      </c>
      <c r="T291" t="s">
        <v>39</v>
      </c>
      <c r="V291">
        <v>756507511</v>
      </c>
      <c r="W291" t="s">
        <v>249</v>
      </c>
      <c r="X291" t="s">
        <v>255</v>
      </c>
      <c r="Y291">
        <v>757087500</v>
      </c>
      <c r="Z291" t="s">
        <v>31</v>
      </c>
      <c r="AA291">
        <v>8.1310535498542291E-3</v>
      </c>
      <c r="AB291">
        <v>99.923392000000007</v>
      </c>
      <c r="AC291" t="s">
        <v>52</v>
      </c>
      <c r="AE291" t="s">
        <v>41</v>
      </c>
      <c r="AF291">
        <v>2.76E-2</v>
      </c>
      <c r="AH291" t="s">
        <v>209</v>
      </c>
      <c r="AJ291">
        <v>1.0959936837664748E-2</v>
      </c>
      <c r="AK291">
        <v>1.0959936837664748E-2</v>
      </c>
      <c r="AL291">
        <v>0</v>
      </c>
      <c r="AQ291">
        <v>3.0249425671954704E-4</v>
      </c>
    </row>
    <row r="292" spans="1:43" x14ac:dyDescent="0.2">
      <c r="A292">
        <v>290</v>
      </c>
      <c r="B292">
        <v>147</v>
      </c>
      <c r="C292">
        <v>2</v>
      </c>
      <c r="D292">
        <v>1</v>
      </c>
      <c r="E292" t="s">
        <v>251</v>
      </c>
      <c r="F292" t="s">
        <v>60</v>
      </c>
      <c r="G292" t="s">
        <v>207</v>
      </c>
      <c r="H292">
        <v>9.7663642497773542E-4</v>
      </c>
      <c r="I292">
        <v>2.469242583543943E-5</v>
      </c>
      <c r="J292">
        <v>0.05</v>
      </c>
      <c r="L292" s="1">
        <v>43041</v>
      </c>
      <c r="M292" s="1">
        <v>43024</v>
      </c>
      <c r="N292" s="1"/>
      <c r="R292">
        <v>1.2641565071670529E-3</v>
      </c>
      <c r="T292" t="s">
        <v>39</v>
      </c>
      <c r="V292">
        <v>1348242790</v>
      </c>
      <c r="W292" t="s">
        <v>251</v>
      </c>
      <c r="X292" t="s">
        <v>1668</v>
      </c>
      <c r="Y292">
        <v>1350000000</v>
      </c>
      <c r="Z292" t="s">
        <v>31</v>
      </c>
      <c r="AA292">
        <v>1.4491111012505031E-2</v>
      </c>
      <c r="AB292">
        <v>99.869836000000006</v>
      </c>
      <c r="AC292" t="s">
        <v>34</v>
      </c>
      <c r="AE292" t="s">
        <v>41</v>
      </c>
      <c r="AF292">
        <v>2.76E-2</v>
      </c>
      <c r="AH292" t="s">
        <v>209</v>
      </c>
      <c r="AJ292">
        <v>1.9532728499554709E-2</v>
      </c>
      <c r="AK292">
        <v>1.9532728499554709E-2</v>
      </c>
      <c r="AL292">
        <v>0</v>
      </c>
      <c r="AN292" t="s">
        <v>54</v>
      </c>
      <c r="AQ292">
        <v>5.3910330658770995E-4</v>
      </c>
    </row>
    <row r="293" spans="1:43" x14ac:dyDescent="0.2">
      <c r="A293">
        <v>291</v>
      </c>
      <c r="B293">
        <v>147</v>
      </c>
      <c r="C293">
        <v>2</v>
      </c>
      <c r="D293">
        <v>1</v>
      </c>
      <c r="E293" t="s">
        <v>251</v>
      </c>
      <c r="F293" t="s">
        <v>60</v>
      </c>
      <c r="G293" t="s">
        <v>207</v>
      </c>
      <c r="H293">
        <v>2.0248545914462303E-4</v>
      </c>
      <c r="I293">
        <v>3.6567615826340521E-6</v>
      </c>
      <c r="J293">
        <v>7.0000000000000007E-2</v>
      </c>
      <c r="L293" s="1">
        <v>43048</v>
      </c>
      <c r="M293" s="1">
        <v>43024</v>
      </c>
      <c r="N293" s="1"/>
      <c r="R293">
        <v>1.2641565071670529E-3</v>
      </c>
      <c r="T293" t="s">
        <v>39</v>
      </c>
      <c r="V293">
        <v>199664564</v>
      </c>
      <c r="W293" t="s">
        <v>251</v>
      </c>
      <c r="X293" t="s">
        <v>1668</v>
      </c>
      <c r="Y293">
        <v>200000000</v>
      </c>
      <c r="Z293" t="s">
        <v>31</v>
      </c>
      <c r="AA293">
        <v>2.1460239829559301E-3</v>
      </c>
      <c r="AB293">
        <v>99.832282000000006</v>
      </c>
      <c r="AC293" t="s">
        <v>34</v>
      </c>
      <c r="AE293" t="s">
        <v>41</v>
      </c>
      <c r="AF293">
        <v>2.52E-2</v>
      </c>
      <c r="AH293" t="s">
        <v>209</v>
      </c>
      <c r="AJ293">
        <v>2.8926494163517575E-3</v>
      </c>
      <c r="AK293">
        <v>2.8926494163517575E-3</v>
      </c>
      <c r="AL293">
        <v>0</v>
      </c>
      <c r="AN293" t="s">
        <v>54</v>
      </c>
      <c r="AQ293">
        <v>7.2894765292064295E-5</v>
      </c>
    </row>
    <row r="294" spans="1:43" x14ac:dyDescent="0.2">
      <c r="A294">
        <v>292</v>
      </c>
      <c r="B294">
        <v>147</v>
      </c>
      <c r="C294">
        <v>2</v>
      </c>
      <c r="D294">
        <v>1</v>
      </c>
      <c r="E294" t="s">
        <v>210</v>
      </c>
      <c r="F294" t="s">
        <v>60</v>
      </c>
      <c r="G294" t="s">
        <v>207</v>
      </c>
      <c r="H294">
        <v>5.7919290867865193E-5</v>
      </c>
      <c r="I294">
        <v>3.6609524220556524E-6</v>
      </c>
      <c r="J294">
        <v>0.02</v>
      </c>
      <c r="L294" s="1">
        <v>43032</v>
      </c>
      <c r="M294" s="1">
        <v>43024</v>
      </c>
      <c r="N294" s="1"/>
      <c r="R294">
        <v>1.2641565071670529E-3</v>
      </c>
      <c r="T294" t="s">
        <v>39</v>
      </c>
      <c r="V294">
        <v>199893390</v>
      </c>
      <c r="W294" t="s">
        <v>211</v>
      </c>
      <c r="X294" t="s">
        <v>212</v>
      </c>
      <c r="Y294">
        <v>200000000</v>
      </c>
      <c r="Z294" t="s">
        <v>31</v>
      </c>
      <c r="AA294">
        <v>2.1484834383249051E-3</v>
      </c>
      <c r="AB294">
        <v>99.946695000000005</v>
      </c>
      <c r="AC294" t="s">
        <v>52</v>
      </c>
      <c r="AE294" t="s">
        <v>41</v>
      </c>
      <c r="AF294">
        <v>2.4E-2</v>
      </c>
      <c r="AH294" t="s">
        <v>209</v>
      </c>
      <c r="AJ294">
        <v>2.8959645433932596E-3</v>
      </c>
      <c r="AK294">
        <v>2.8959645433932596E-3</v>
      </c>
      <c r="AL294">
        <v>0</v>
      </c>
      <c r="AQ294">
        <v>6.9503149041438237E-5</v>
      </c>
    </row>
    <row r="295" spans="1:43" x14ac:dyDescent="0.2">
      <c r="A295">
        <v>293</v>
      </c>
      <c r="B295">
        <v>147</v>
      </c>
      <c r="C295">
        <v>2</v>
      </c>
      <c r="D295">
        <v>1</v>
      </c>
      <c r="E295" t="s">
        <v>210</v>
      </c>
      <c r="F295" t="s">
        <v>60</v>
      </c>
      <c r="G295" t="s">
        <v>207</v>
      </c>
      <c r="H295">
        <v>2.8956847888934589E-5</v>
      </c>
      <c r="I295">
        <v>1.8302993842921598E-6</v>
      </c>
      <c r="J295">
        <v>0.02</v>
      </c>
      <c r="L295" s="1">
        <v>43033</v>
      </c>
      <c r="M295" s="1">
        <v>43024</v>
      </c>
      <c r="N295" s="1"/>
      <c r="R295">
        <v>1.2641565071670529E-3</v>
      </c>
      <c r="T295" t="s">
        <v>39</v>
      </c>
      <c r="V295">
        <v>99937040</v>
      </c>
      <c r="W295" t="s">
        <v>211</v>
      </c>
      <c r="X295" t="s">
        <v>212</v>
      </c>
      <c r="Y295">
        <v>100000000</v>
      </c>
      <c r="Z295" t="s">
        <v>31</v>
      </c>
      <c r="AA295">
        <v>1.0741379458080809E-3</v>
      </c>
      <c r="AB295">
        <v>99.937039999999996</v>
      </c>
      <c r="AC295" t="s">
        <v>52</v>
      </c>
      <c r="AE295" t="s">
        <v>41</v>
      </c>
      <c r="AF295">
        <v>2.52E-2</v>
      </c>
      <c r="AH295" t="s">
        <v>209</v>
      </c>
      <c r="AJ295">
        <v>1.4478423944467294E-3</v>
      </c>
      <c r="AK295">
        <v>1.4478423944467294E-3</v>
      </c>
      <c r="AL295">
        <v>0</v>
      </c>
      <c r="AQ295">
        <v>3.6485628340057577E-5</v>
      </c>
    </row>
    <row r="296" spans="1:43" x14ac:dyDescent="0.2">
      <c r="A296">
        <v>294</v>
      </c>
      <c r="B296">
        <v>147</v>
      </c>
      <c r="C296">
        <v>2</v>
      </c>
      <c r="D296">
        <v>1</v>
      </c>
      <c r="E296" t="s">
        <v>210</v>
      </c>
      <c r="F296" t="s">
        <v>60</v>
      </c>
      <c r="G296" t="s">
        <v>207</v>
      </c>
      <c r="H296">
        <v>6.4414972011443065E-4</v>
      </c>
      <c r="I296">
        <v>1.1632943718178476E-5</v>
      </c>
      <c r="J296">
        <v>7.0000000000000007E-2</v>
      </c>
      <c r="L296" s="1">
        <v>43049</v>
      </c>
      <c r="M296" s="1">
        <v>43024</v>
      </c>
      <c r="N296" s="1"/>
      <c r="R296">
        <v>1.2641565071670529E-3</v>
      </c>
      <c r="T296" t="s">
        <v>39</v>
      </c>
      <c r="V296">
        <v>635175847</v>
      </c>
      <c r="W296" t="s">
        <v>211</v>
      </c>
      <c r="X296" t="s">
        <v>212</v>
      </c>
      <c r="Y296">
        <v>636393267</v>
      </c>
      <c r="Z296" t="s">
        <v>31</v>
      </c>
      <c r="AA296">
        <v>6.8269630511718958E-3</v>
      </c>
      <c r="AB296">
        <v>99.808700000000002</v>
      </c>
      <c r="AC296" t="s">
        <v>52</v>
      </c>
      <c r="AE296" t="s">
        <v>41</v>
      </c>
      <c r="AF296">
        <v>2.76E-2</v>
      </c>
      <c r="AH296" t="s">
        <v>209</v>
      </c>
      <c r="AJ296">
        <v>9.2021388587775806E-3</v>
      </c>
      <c r="AK296">
        <v>9.2021388587775806E-3</v>
      </c>
      <c r="AL296">
        <v>0</v>
      </c>
      <c r="AQ296">
        <v>2.5397903250226123E-4</v>
      </c>
    </row>
    <row r="297" spans="1:43" x14ac:dyDescent="0.2">
      <c r="A297">
        <v>295</v>
      </c>
      <c r="B297">
        <v>147</v>
      </c>
      <c r="C297">
        <v>2</v>
      </c>
      <c r="D297">
        <v>2</v>
      </c>
      <c r="E297" t="s">
        <v>219</v>
      </c>
      <c r="F297" t="s">
        <v>60</v>
      </c>
      <c r="G297" t="s">
        <v>207</v>
      </c>
      <c r="H297">
        <v>1.5273931362730426E-4</v>
      </c>
      <c r="I297">
        <v>3.8617279444437194E-6</v>
      </c>
      <c r="J297">
        <v>0.05</v>
      </c>
      <c r="L297" s="1">
        <v>43041</v>
      </c>
      <c r="M297" s="1">
        <v>43024</v>
      </c>
      <c r="N297" s="1"/>
      <c r="R297">
        <v>1.2641565071670529E-3</v>
      </c>
      <c r="T297" t="s">
        <v>39</v>
      </c>
      <c r="V297">
        <v>210856029</v>
      </c>
      <c r="W297" t="s">
        <v>220</v>
      </c>
      <c r="X297" t="s">
        <v>221</v>
      </c>
      <c r="Y297">
        <v>211151593</v>
      </c>
      <c r="Z297" t="s">
        <v>31</v>
      </c>
      <c r="AA297">
        <v>2.2663114882260781E-3</v>
      </c>
      <c r="AB297">
        <v>99.860022000000001</v>
      </c>
      <c r="AC297" t="s">
        <v>52</v>
      </c>
      <c r="AE297" t="s">
        <v>41</v>
      </c>
      <c r="AF297">
        <v>2.9399999999999999E-2</v>
      </c>
      <c r="AH297" t="s">
        <v>209</v>
      </c>
      <c r="AJ297">
        <v>3.054786272546085E-3</v>
      </c>
      <c r="AK297">
        <v>3.054786272546085E-3</v>
      </c>
      <c r="AL297">
        <v>0</v>
      </c>
      <c r="AQ297">
        <v>8.9810716412854898E-5</v>
      </c>
    </row>
    <row r="298" spans="1:43" x14ac:dyDescent="0.2">
      <c r="A298">
        <v>296</v>
      </c>
      <c r="B298">
        <v>147</v>
      </c>
      <c r="C298">
        <v>2</v>
      </c>
      <c r="D298">
        <v>1</v>
      </c>
      <c r="E298" t="s">
        <v>225</v>
      </c>
      <c r="F298" t="s">
        <v>60</v>
      </c>
      <c r="G298" t="s">
        <v>207</v>
      </c>
      <c r="H298">
        <v>1.1554218162587832E-4</v>
      </c>
      <c r="I298">
        <v>1.8257925094328948E-6</v>
      </c>
      <c r="J298">
        <v>0.08</v>
      </c>
      <c r="L298" s="1">
        <v>43054</v>
      </c>
      <c r="M298" s="1">
        <v>43024</v>
      </c>
      <c r="N298" s="1"/>
      <c r="R298">
        <v>1.2641565071670529E-3</v>
      </c>
      <c r="T298" t="s">
        <v>39</v>
      </c>
      <c r="V298">
        <v>99690958</v>
      </c>
      <c r="W298" t="s">
        <v>226</v>
      </c>
      <c r="X298" t="s">
        <v>227</v>
      </c>
      <c r="Y298">
        <v>100000000</v>
      </c>
      <c r="Z298" t="s">
        <v>31</v>
      </c>
      <c r="AA298">
        <v>1.0714930204232553E-3</v>
      </c>
      <c r="AB298">
        <v>99.690957999999995</v>
      </c>
      <c r="AC298" t="s">
        <v>52</v>
      </c>
      <c r="AE298" t="s">
        <v>41</v>
      </c>
      <c r="AF298">
        <v>3.7199999999999997E-2</v>
      </c>
      <c r="AH298" t="s">
        <v>209</v>
      </c>
      <c r="AJ298">
        <v>1.444277270323479E-3</v>
      </c>
      <c r="AK298">
        <v>1.444277270323479E-3</v>
      </c>
      <c r="AL298">
        <v>0</v>
      </c>
      <c r="AQ298">
        <v>5.3727114456033412E-5</v>
      </c>
    </row>
    <row r="299" spans="1:43" x14ac:dyDescent="0.2">
      <c r="A299">
        <v>297</v>
      </c>
      <c r="B299">
        <v>147</v>
      </c>
      <c r="C299">
        <v>2</v>
      </c>
      <c r="D299">
        <v>1</v>
      </c>
      <c r="E299" t="s">
        <v>225</v>
      </c>
      <c r="F299" t="s">
        <v>60</v>
      </c>
      <c r="G299" t="s">
        <v>207</v>
      </c>
      <c r="H299">
        <v>2.3106056079432564E-4</v>
      </c>
      <c r="I299">
        <v>3.65120889347269E-6</v>
      </c>
      <c r="J299">
        <v>0.08</v>
      </c>
      <c r="L299" s="1">
        <v>43055</v>
      </c>
      <c r="M299" s="1">
        <v>43024</v>
      </c>
      <c r="N299" s="1"/>
      <c r="R299">
        <v>1.2641565071670529E-3</v>
      </c>
      <c r="T299" t="s">
        <v>39</v>
      </c>
      <c r="V299">
        <v>199361379</v>
      </c>
      <c r="W299" t="s">
        <v>226</v>
      </c>
      <c r="X299" t="s">
        <v>227</v>
      </c>
      <c r="Y299">
        <v>200000000</v>
      </c>
      <c r="Z299" t="s">
        <v>31</v>
      </c>
      <c r="AA299">
        <v>2.1427653061620224E-3</v>
      </c>
      <c r="AB299">
        <v>99.680689000000001</v>
      </c>
      <c r="AC299" t="s">
        <v>52</v>
      </c>
      <c r="AE299" t="s">
        <v>41</v>
      </c>
      <c r="AF299">
        <v>3.7199999999999997E-2</v>
      </c>
      <c r="AH299" t="s">
        <v>209</v>
      </c>
      <c r="AJ299">
        <v>2.8882570099290706E-3</v>
      </c>
      <c r="AK299">
        <v>2.8882570099290706E-3</v>
      </c>
      <c r="AL299">
        <v>0</v>
      </c>
      <c r="AQ299">
        <v>1.0744316076936141E-4</v>
      </c>
    </row>
    <row r="300" spans="1:43" x14ac:dyDescent="0.2">
      <c r="A300">
        <v>298</v>
      </c>
      <c r="B300">
        <v>147</v>
      </c>
      <c r="C300">
        <v>2</v>
      </c>
      <c r="D300">
        <v>1</v>
      </c>
      <c r="E300" t="s">
        <v>204</v>
      </c>
      <c r="F300" t="s">
        <v>60</v>
      </c>
      <c r="G300" t="s">
        <v>207</v>
      </c>
      <c r="H300">
        <v>5.7916396546064566E-5</v>
      </c>
      <c r="I300">
        <v>3.6607694782687472E-6</v>
      </c>
      <c r="J300">
        <v>0.02</v>
      </c>
      <c r="L300" s="1">
        <v>43031</v>
      </c>
      <c r="M300" s="1">
        <v>43024</v>
      </c>
      <c r="N300" s="1"/>
      <c r="R300">
        <v>1.2641565071670529E-3</v>
      </c>
      <c r="T300" t="s">
        <v>39</v>
      </c>
      <c r="V300">
        <v>199883401</v>
      </c>
      <c r="W300" t="s">
        <v>200</v>
      </c>
      <c r="X300" t="s">
        <v>214</v>
      </c>
      <c r="Y300">
        <v>200000000</v>
      </c>
      <c r="Z300" t="s">
        <v>31</v>
      </c>
      <c r="AA300">
        <v>2.1483760750896056E-3</v>
      </c>
      <c r="AB300">
        <v>99.941699999999997</v>
      </c>
      <c r="AC300" t="s">
        <v>52</v>
      </c>
      <c r="AE300" t="s">
        <v>41</v>
      </c>
      <c r="AF300">
        <v>0.03</v>
      </c>
      <c r="AH300" t="s">
        <v>209</v>
      </c>
      <c r="AJ300">
        <v>2.8958198273032281E-3</v>
      </c>
      <c r="AK300">
        <v>2.8958198273032281E-3</v>
      </c>
      <c r="AL300">
        <v>0</v>
      </c>
      <c r="AQ300">
        <v>8.6874594819096845E-5</v>
      </c>
    </row>
    <row r="301" spans="1:43" x14ac:dyDescent="0.2">
      <c r="A301">
        <v>299</v>
      </c>
      <c r="B301">
        <v>147</v>
      </c>
      <c r="C301">
        <v>2</v>
      </c>
      <c r="D301">
        <v>2</v>
      </c>
      <c r="E301" t="s">
        <v>204</v>
      </c>
      <c r="F301" t="s">
        <v>60</v>
      </c>
      <c r="G301" t="s">
        <v>207</v>
      </c>
      <c r="H301">
        <v>1.735451064850195E-4</v>
      </c>
      <c r="I301">
        <v>3.6564695941672755E-6</v>
      </c>
      <c r="J301">
        <v>0.06</v>
      </c>
      <c r="L301" s="1">
        <v>43046</v>
      </c>
      <c r="M301" s="1">
        <v>43024</v>
      </c>
      <c r="N301" s="1"/>
      <c r="R301">
        <v>1.2641565071670529E-3</v>
      </c>
      <c r="T301" t="s">
        <v>39</v>
      </c>
      <c r="V301">
        <v>199648621</v>
      </c>
      <c r="W301" t="s">
        <v>200</v>
      </c>
      <c r="X301" t="s">
        <v>214</v>
      </c>
      <c r="Y301">
        <v>200000000</v>
      </c>
      <c r="Z301" t="s">
        <v>31</v>
      </c>
      <c r="AA301">
        <v>2.1458526252564223E-3</v>
      </c>
      <c r="AB301">
        <v>99.824309999999997</v>
      </c>
      <c r="AC301" t="s">
        <v>52</v>
      </c>
      <c r="AE301" t="s">
        <v>41</v>
      </c>
      <c r="AF301">
        <v>2.76E-2</v>
      </c>
      <c r="AH301" t="s">
        <v>209</v>
      </c>
      <c r="AJ301">
        <v>2.8924184414169918E-3</v>
      </c>
      <c r="AK301">
        <v>2.8924184414169918E-3</v>
      </c>
      <c r="AL301">
        <v>0</v>
      </c>
      <c r="AQ301">
        <v>7.9830748983108972E-5</v>
      </c>
    </row>
    <row r="302" spans="1:43" x14ac:dyDescent="0.2">
      <c r="A302">
        <v>300</v>
      </c>
      <c r="B302">
        <v>147</v>
      </c>
      <c r="C302">
        <v>2</v>
      </c>
      <c r="D302">
        <v>3</v>
      </c>
      <c r="E302" t="s">
        <v>204</v>
      </c>
      <c r="F302" t="s">
        <v>60</v>
      </c>
      <c r="G302" t="s">
        <v>207</v>
      </c>
      <c r="H302">
        <v>6.0735532057573638E-4</v>
      </c>
      <c r="I302">
        <v>1.096845972383355E-5</v>
      </c>
      <c r="J302">
        <v>7.0000000000000007E-2</v>
      </c>
      <c r="L302" s="1">
        <v>43048</v>
      </c>
      <c r="M302" s="1">
        <v>43024</v>
      </c>
      <c r="N302" s="1"/>
      <c r="R302">
        <v>1.2641565071670529E-3</v>
      </c>
      <c r="T302" t="s">
        <v>39</v>
      </c>
      <c r="V302">
        <v>598894043</v>
      </c>
      <c r="W302" t="s">
        <v>200</v>
      </c>
      <c r="X302" t="s">
        <v>214</v>
      </c>
      <c r="Y302">
        <v>600000000</v>
      </c>
      <c r="Z302" t="s">
        <v>31</v>
      </c>
      <c r="AA302">
        <v>6.4370009068180972E-3</v>
      </c>
      <c r="AB302">
        <v>99.815673000000004</v>
      </c>
      <c r="AC302" t="s">
        <v>52</v>
      </c>
      <c r="AE302" t="s">
        <v>41</v>
      </c>
      <c r="AF302">
        <v>2.8000000000000001E-2</v>
      </c>
      <c r="AH302" t="s">
        <v>209</v>
      </c>
      <c r="AJ302">
        <v>8.6765045796533755E-3</v>
      </c>
      <c r="AK302">
        <v>8.6765045796533755E-3</v>
      </c>
      <c r="AL302">
        <v>0</v>
      </c>
      <c r="AQ302">
        <v>2.4294212823029453E-4</v>
      </c>
    </row>
    <row r="303" spans="1:43" x14ac:dyDescent="0.2">
      <c r="A303">
        <v>301</v>
      </c>
      <c r="B303">
        <v>147</v>
      </c>
      <c r="C303">
        <v>2</v>
      </c>
      <c r="D303">
        <v>1</v>
      </c>
      <c r="E303" t="s">
        <v>204</v>
      </c>
      <c r="F303" t="s">
        <v>60</v>
      </c>
      <c r="G303" t="s">
        <v>207</v>
      </c>
      <c r="H303">
        <v>1.3390826185816381E-4</v>
      </c>
      <c r="I303">
        <v>2.1160125073928432E-6</v>
      </c>
      <c r="J303">
        <v>0.08</v>
      </c>
      <c r="L303" s="1">
        <v>43055</v>
      </c>
      <c r="M303" s="1">
        <v>43024</v>
      </c>
      <c r="N303" s="1"/>
      <c r="R303">
        <v>1.2641565071670529E-3</v>
      </c>
      <c r="T303" t="s">
        <v>39</v>
      </c>
      <c r="V303">
        <v>115537397</v>
      </c>
      <c r="W303" t="s">
        <v>200</v>
      </c>
      <c r="X303" t="s">
        <v>214</v>
      </c>
      <c r="Y303">
        <v>115811991</v>
      </c>
      <c r="Z303" t="s">
        <v>31</v>
      </c>
      <c r="AA303">
        <v>1.2418128681577194E-3</v>
      </c>
      <c r="AB303">
        <v>99.762895999999998</v>
      </c>
      <c r="AC303" t="s">
        <v>52</v>
      </c>
      <c r="AE303" t="s">
        <v>41</v>
      </c>
      <c r="AF303">
        <v>2.76E-2</v>
      </c>
      <c r="AH303" t="s">
        <v>209</v>
      </c>
      <c r="AJ303">
        <v>1.6738532732270474E-3</v>
      </c>
      <c r="AK303">
        <v>1.6738532732270474E-3</v>
      </c>
      <c r="AL303">
        <v>0</v>
      </c>
      <c r="AQ303">
        <v>4.6198350341066508E-5</v>
      </c>
    </row>
    <row r="304" spans="1:43" x14ac:dyDescent="0.2">
      <c r="A304">
        <v>302</v>
      </c>
      <c r="B304">
        <v>147</v>
      </c>
      <c r="C304">
        <v>2</v>
      </c>
      <c r="D304">
        <v>2</v>
      </c>
      <c r="E304" t="s">
        <v>215</v>
      </c>
      <c r="F304" t="s">
        <v>60</v>
      </c>
      <c r="G304" t="s">
        <v>207</v>
      </c>
      <c r="H304">
        <v>5.7919773303123785E-5</v>
      </c>
      <c r="I304">
        <v>3.660982915739224E-6</v>
      </c>
      <c r="J304">
        <v>0.02</v>
      </c>
      <c r="L304" s="1">
        <v>43031</v>
      </c>
      <c r="M304" s="1">
        <v>43024</v>
      </c>
      <c r="N304" s="1"/>
      <c r="R304">
        <v>1.2641565071670529E-3</v>
      </c>
      <c r="T304" t="s">
        <v>39</v>
      </c>
      <c r="V304">
        <v>199895055</v>
      </c>
      <c r="W304" t="s">
        <v>216</v>
      </c>
      <c r="X304" t="s">
        <v>217</v>
      </c>
      <c r="Y304">
        <v>200000000</v>
      </c>
      <c r="Z304" t="s">
        <v>31</v>
      </c>
      <c r="AA304">
        <v>2.1485013339888129E-3</v>
      </c>
      <c r="AB304">
        <v>99.947526999999994</v>
      </c>
      <c r="AC304" t="s">
        <v>52</v>
      </c>
      <c r="AE304" t="s">
        <v>41</v>
      </c>
      <c r="AF304">
        <v>2.7E-2</v>
      </c>
      <c r="AH304" t="s">
        <v>209</v>
      </c>
      <c r="AJ304">
        <v>2.8959886651561892E-3</v>
      </c>
      <c r="AK304">
        <v>2.8959886651561892E-3</v>
      </c>
      <c r="AL304">
        <v>0</v>
      </c>
      <c r="AQ304">
        <v>7.8191693959217101E-5</v>
      </c>
    </row>
    <row r="305" spans="1:43" x14ac:dyDescent="0.2">
      <c r="A305">
        <v>303</v>
      </c>
      <c r="B305">
        <v>147</v>
      </c>
      <c r="C305">
        <v>2</v>
      </c>
      <c r="D305">
        <v>1</v>
      </c>
      <c r="E305" t="s">
        <v>215</v>
      </c>
      <c r="F305" t="s">
        <v>60</v>
      </c>
      <c r="G305" t="s">
        <v>207</v>
      </c>
      <c r="H305">
        <v>1.4469506643020126E-4</v>
      </c>
      <c r="I305">
        <v>3.6583441956541581E-6</v>
      </c>
      <c r="J305">
        <v>0.05</v>
      </c>
      <c r="L305" s="1">
        <v>43041</v>
      </c>
      <c r="M305" s="1">
        <v>43024</v>
      </c>
      <c r="N305" s="1"/>
      <c r="R305">
        <v>1.2641565071670529E-3</v>
      </c>
      <c r="T305" t="s">
        <v>39</v>
      </c>
      <c r="V305">
        <v>199750977</v>
      </c>
      <c r="W305" t="s">
        <v>216</v>
      </c>
      <c r="X305" t="s">
        <v>217</v>
      </c>
      <c r="Y305">
        <v>200000000</v>
      </c>
      <c r="Z305" t="s">
        <v>31</v>
      </c>
      <c r="AA305">
        <v>2.1469527625386665E-3</v>
      </c>
      <c r="AB305">
        <v>99.875488000000004</v>
      </c>
      <c r="AC305" t="s">
        <v>52</v>
      </c>
      <c r="AE305" t="s">
        <v>41</v>
      </c>
      <c r="AF305">
        <v>2.64E-2</v>
      </c>
      <c r="AH305" t="s">
        <v>209</v>
      </c>
      <c r="AJ305">
        <v>2.893901328604025E-3</v>
      </c>
      <c r="AK305">
        <v>2.893901328604025E-3</v>
      </c>
      <c r="AL305">
        <v>0</v>
      </c>
      <c r="AQ305">
        <v>7.639899507514626E-5</v>
      </c>
    </row>
    <row r="306" spans="1:43" x14ac:dyDescent="0.2">
      <c r="A306">
        <v>304</v>
      </c>
      <c r="B306">
        <v>147</v>
      </c>
      <c r="C306">
        <v>2</v>
      </c>
      <c r="D306">
        <v>1</v>
      </c>
      <c r="E306" t="s">
        <v>215</v>
      </c>
      <c r="F306" t="s">
        <v>60</v>
      </c>
      <c r="G306" t="s">
        <v>207</v>
      </c>
      <c r="H306">
        <v>8.6791612738384364E-4</v>
      </c>
      <c r="I306">
        <v>1.8286363668458582E-5</v>
      </c>
      <c r="J306">
        <v>0.06</v>
      </c>
      <c r="L306" s="1">
        <v>43045</v>
      </c>
      <c r="M306" s="1">
        <v>43024</v>
      </c>
      <c r="N306" s="1"/>
      <c r="R306">
        <v>1.2641565071670529E-3</v>
      </c>
      <c r="T306" t="s">
        <v>39</v>
      </c>
      <c r="V306">
        <v>998462368</v>
      </c>
      <c r="W306" t="s">
        <v>216</v>
      </c>
      <c r="X306" t="s">
        <v>217</v>
      </c>
      <c r="Y306">
        <v>1000000000</v>
      </c>
      <c r="Z306" t="s">
        <v>31</v>
      </c>
      <c r="AA306">
        <v>1.0731619797126191E-2</v>
      </c>
      <c r="AB306">
        <v>99.846236000000005</v>
      </c>
      <c r="AC306" t="s">
        <v>52</v>
      </c>
      <c r="AE306" t="s">
        <v>41</v>
      </c>
      <c r="AF306">
        <v>2.64E-2</v>
      </c>
      <c r="AH306" t="s">
        <v>209</v>
      </c>
      <c r="AJ306">
        <v>1.4465268789730729E-2</v>
      </c>
      <c r="AK306">
        <v>1.4465268789730729E-2</v>
      </c>
      <c r="AL306">
        <v>0</v>
      </c>
      <c r="AQ306">
        <v>3.8188309604889124E-4</v>
      </c>
    </row>
    <row r="307" spans="1:43" x14ac:dyDescent="0.2">
      <c r="A307">
        <v>305</v>
      </c>
      <c r="B307">
        <v>147</v>
      </c>
      <c r="C307">
        <v>2</v>
      </c>
      <c r="D307">
        <v>2</v>
      </c>
      <c r="E307" t="s">
        <v>215</v>
      </c>
      <c r="F307" t="s">
        <v>60</v>
      </c>
      <c r="G307" t="s">
        <v>207</v>
      </c>
      <c r="H307">
        <v>8.5090881461221508E-4</v>
      </c>
      <c r="I307">
        <v>1.7928031916630585E-5</v>
      </c>
      <c r="J307">
        <v>0.06</v>
      </c>
      <c r="L307" s="1">
        <v>43046</v>
      </c>
      <c r="M307" s="1">
        <v>43024</v>
      </c>
      <c r="N307" s="1"/>
      <c r="R307">
        <v>1.2641565071670529E-3</v>
      </c>
      <c r="T307" t="s">
        <v>39</v>
      </c>
      <c r="V307">
        <v>978896927</v>
      </c>
      <c r="W307" t="s">
        <v>216</v>
      </c>
      <c r="X307" t="s">
        <v>217</v>
      </c>
      <c r="Y307">
        <v>980548000</v>
      </c>
      <c r="Z307" t="s">
        <v>31</v>
      </c>
      <c r="AA307">
        <v>1.0521327571094991E-2</v>
      </c>
      <c r="AB307">
        <v>99.831616999999994</v>
      </c>
      <c r="AC307" t="s">
        <v>52</v>
      </c>
      <c r="AE307" t="s">
        <v>41</v>
      </c>
      <c r="AF307">
        <v>2.76E-2</v>
      </c>
      <c r="AH307" t="s">
        <v>209</v>
      </c>
      <c r="AJ307">
        <v>1.4181813576870251E-2</v>
      </c>
      <c r="AK307">
        <v>1.4181813576870251E-2</v>
      </c>
      <c r="AL307">
        <v>0</v>
      </c>
      <c r="AQ307">
        <v>3.9141805472161893E-4</v>
      </c>
    </row>
    <row r="308" spans="1:43" x14ac:dyDescent="0.2">
      <c r="A308">
        <v>306</v>
      </c>
      <c r="B308">
        <v>147</v>
      </c>
      <c r="C308">
        <v>2</v>
      </c>
      <c r="D308">
        <v>1</v>
      </c>
      <c r="E308" t="s">
        <v>215</v>
      </c>
      <c r="F308" t="s">
        <v>60</v>
      </c>
      <c r="G308" t="s">
        <v>207</v>
      </c>
      <c r="H308">
        <v>1.821938659232005E-4</v>
      </c>
      <c r="I308">
        <v>3.2903080167533642E-6</v>
      </c>
      <c r="J308">
        <v>7.0000000000000007E-2</v>
      </c>
      <c r="L308" s="1">
        <v>43049</v>
      </c>
      <c r="M308" s="1">
        <v>43024</v>
      </c>
      <c r="N308" s="1"/>
      <c r="R308">
        <v>1.2641565071670529E-3</v>
      </c>
      <c r="T308" t="s">
        <v>39</v>
      </c>
      <c r="V308">
        <v>179655660</v>
      </c>
      <c r="W308" t="s">
        <v>216</v>
      </c>
      <c r="X308" t="s">
        <v>217</v>
      </c>
      <c r="Y308">
        <v>180000000</v>
      </c>
      <c r="Z308" t="s">
        <v>31</v>
      </c>
      <c r="AA308">
        <v>1.930965351637341E-3</v>
      </c>
      <c r="AB308">
        <v>99.808700000000002</v>
      </c>
      <c r="AC308" t="s">
        <v>52</v>
      </c>
      <c r="AE308" t="s">
        <v>41</v>
      </c>
      <c r="AF308">
        <v>2.76E-2</v>
      </c>
      <c r="AH308" t="s">
        <v>209</v>
      </c>
      <c r="AJ308">
        <v>2.6027695131885784E-3</v>
      </c>
      <c r="AK308">
        <v>2.6027695131885784E-3</v>
      </c>
      <c r="AL308">
        <v>0</v>
      </c>
      <c r="AQ308">
        <v>7.1836438564004768E-5</v>
      </c>
    </row>
    <row r="309" spans="1:43" x14ac:dyDescent="0.2">
      <c r="A309">
        <v>307</v>
      </c>
      <c r="B309">
        <v>147</v>
      </c>
      <c r="C309">
        <v>2</v>
      </c>
      <c r="D309">
        <v>4</v>
      </c>
      <c r="E309" t="s">
        <v>215</v>
      </c>
      <c r="F309" t="s">
        <v>60</v>
      </c>
      <c r="G309" t="s">
        <v>207</v>
      </c>
      <c r="H309">
        <v>1.0409658111054114E-3</v>
      </c>
      <c r="I309">
        <v>1.6449296298091688E-5</v>
      </c>
      <c r="J309">
        <v>0.08</v>
      </c>
      <c r="L309" s="1">
        <v>43052</v>
      </c>
      <c r="M309" s="1">
        <v>43024</v>
      </c>
      <c r="N309" s="1"/>
      <c r="R309">
        <v>1.2641565071670529E-3</v>
      </c>
      <c r="T309" t="s">
        <v>39</v>
      </c>
      <c r="V309">
        <v>898155786</v>
      </c>
      <c r="W309" t="s">
        <v>216</v>
      </c>
      <c r="X309" t="s">
        <v>217</v>
      </c>
      <c r="Y309">
        <v>900000000</v>
      </c>
      <c r="Z309" t="s">
        <v>31</v>
      </c>
      <c r="AA309">
        <v>9.6535099597674923E-3</v>
      </c>
      <c r="AB309">
        <v>99.795086999999995</v>
      </c>
      <c r="AC309" t="s">
        <v>52</v>
      </c>
      <c r="AE309" t="s">
        <v>41</v>
      </c>
      <c r="AF309">
        <v>2.64E-2</v>
      </c>
      <c r="AH309" t="s">
        <v>209</v>
      </c>
      <c r="AJ309">
        <v>1.3012072638817642E-2</v>
      </c>
      <c r="AK309">
        <v>1.3012072638817642E-2</v>
      </c>
      <c r="AL309">
        <v>0</v>
      </c>
      <c r="AQ309">
        <v>3.4351871766478574E-4</v>
      </c>
    </row>
    <row r="310" spans="1:43" x14ac:dyDescent="0.2">
      <c r="A310">
        <v>308</v>
      </c>
      <c r="B310">
        <v>147</v>
      </c>
      <c r="C310">
        <v>2</v>
      </c>
      <c r="D310">
        <v>1</v>
      </c>
      <c r="E310" t="s">
        <v>215</v>
      </c>
      <c r="F310" t="s">
        <v>60</v>
      </c>
      <c r="G310" t="s">
        <v>207</v>
      </c>
      <c r="H310">
        <v>1.1561364115333442E-4</v>
      </c>
      <c r="I310">
        <v>1.8269217097658037E-6</v>
      </c>
      <c r="J310">
        <v>0.08</v>
      </c>
      <c r="L310" s="1">
        <v>43055</v>
      </c>
      <c r="M310" s="1">
        <v>43024</v>
      </c>
      <c r="N310" s="1"/>
      <c r="R310">
        <v>1.2641565071670529E-3</v>
      </c>
      <c r="T310" t="s">
        <v>39</v>
      </c>
      <c r="V310">
        <v>99752614</v>
      </c>
      <c r="W310" t="s">
        <v>216</v>
      </c>
      <c r="X310" t="s">
        <v>217</v>
      </c>
      <c r="Y310">
        <v>100000000</v>
      </c>
      <c r="Z310" t="s">
        <v>31</v>
      </c>
      <c r="AA310">
        <v>1.0721557081433113E-3</v>
      </c>
      <c r="AB310">
        <v>99.752613999999994</v>
      </c>
      <c r="AC310" t="s">
        <v>52</v>
      </c>
      <c r="AE310" t="s">
        <v>41</v>
      </c>
      <c r="AF310">
        <v>2.8799999999999999E-2</v>
      </c>
      <c r="AH310" t="s">
        <v>209</v>
      </c>
      <c r="AJ310">
        <v>1.4451705144166802E-3</v>
      </c>
      <c r="AK310">
        <v>1.4451705144166802E-3</v>
      </c>
      <c r="AL310">
        <v>0</v>
      </c>
      <c r="AQ310">
        <v>4.1620910815200393E-5</v>
      </c>
    </row>
    <row r="311" spans="1:43" x14ac:dyDescent="0.2">
      <c r="A311">
        <v>309</v>
      </c>
      <c r="B311">
        <v>147</v>
      </c>
      <c r="C311">
        <v>2</v>
      </c>
      <c r="D311">
        <v>1</v>
      </c>
      <c r="E311" t="s">
        <v>256</v>
      </c>
      <c r="F311" t="s">
        <v>60</v>
      </c>
      <c r="G311" t="s">
        <v>207</v>
      </c>
      <c r="H311">
        <v>1.7366414687801241E-5</v>
      </c>
      <c r="I311">
        <v>5.4884665334363553E-7</v>
      </c>
      <c r="J311">
        <v>0.04</v>
      </c>
      <c r="L311" s="1">
        <v>43038</v>
      </c>
      <c r="M311" s="1">
        <v>43024</v>
      </c>
      <c r="N311" s="1"/>
      <c r="R311">
        <v>1.2641565071670529E-3</v>
      </c>
      <c r="T311" t="s">
        <v>39</v>
      </c>
      <c r="V311">
        <v>29967835</v>
      </c>
      <c r="W311" t="s">
        <v>248</v>
      </c>
      <c r="X311" t="s">
        <v>257</v>
      </c>
      <c r="Y311">
        <v>30000000</v>
      </c>
      <c r="Z311" t="s">
        <v>31</v>
      </c>
      <c r="AA311">
        <v>3.2209868060146174E-4</v>
      </c>
      <c r="AB311">
        <v>99.892782999999994</v>
      </c>
      <c r="AC311" t="s">
        <v>52</v>
      </c>
      <c r="AE311" t="s">
        <v>41</v>
      </c>
      <c r="AF311">
        <v>2.76E-2</v>
      </c>
      <c r="AH311" t="s">
        <v>209</v>
      </c>
      <c r="AJ311">
        <v>4.34160367195031E-4</v>
      </c>
      <c r="AK311">
        <v>4.34160367195031E-4</v>
      </c>
      <c r="AL311">
        <v>0</v>
      </c>
      <c r="AQ311">
        <v>1.1982826134582855E-5</v>
      </c>
    </row>
    <row r="312" spans="1:43" x14ac:dyDescent="0.2">
      <c r="A312">
        <v>310</v>
      </c>
      <c r="B312">
        <v>147</v>
      </c>
      <c r="C312">
        <v>2</v>
      </c>
      <c r="D312">
        <v>1</v>
      </c>
      <c r="E312" t="s">
        <v>256</v>
      </c>
      <c r="F312" t="s">
        <v>60</v>
      </c>
      <c r="G312" t="s">
        <v>207</v>
      </c>
      <c r="H312">
        <v>1.6191293379661556E-4</v>
      </c>
      <c r="I312">
        <v>2.5585411106687473E-6</v>
      </c>
      <c r="J312">
        <v>0.08</v>
      </c>
      <c r="L312" s="1">
        <v>43052</v>
      </c>
      <c r="M312" s="1">
        <v>43024</v>
      </c>
      <c r="N312" s="1"/>
      <c r="R312">
        <v>1.2641565071670529E-3</v>
      </c>
      <c r="T312" t="s">
        <v>39</v>
      </c>
      <c r="V312">
        <v>139700110</v>
      </c>
      <c r="W312" t="s">
        <v>248</v>
      </c>
      <c r="X312" t="s">
        <v>257</v>
      </c>
      <c r="Y312">
        <v>140000000</v>
      </c>
      <c r="Z312" t="s">
        <v>31</v>
      </c>
      <c r="AA312">
        <v>1.5015172471044063E-3</v>
      </c>
      <c r="AB312">
        <v>99.785792000000001</v>
      </c>
      <c r="AC312" t="s">
        <v>52</v>
      </c>
      <c r="AE312" t="s">
        <v>41</v>
      </c>
      <c r="AF312">
        <v>2.76E-2</v>
      </c>
      <c r="AH312" t="s">
        <v>209</v>
      </c>
      <c r="AJ312">
        <v>2.0239116724576943E-3</v>
      </c>
      <c r="AK312">
        <v>2.0239116724576943E-3</v>
      </c>
      <c r="AL312">
        <v>0</v>
      </c>
      <c r="AQ312">
        <v>5.5859962159832366E-5</v>
      </c>
    </row>
    <row r="313" spans="1:43" x14ac:dyDescent="0.2">
      <c r="A313">
        <v>311</v>
      </c>
      <c r="B313">
        <v>147</v>
      </c>
      <c r="C313">
        <v>2</v>
      </c>
      <c r="D313">
        <v>1</v>
      </c>
      <c r="E313" t="s">
        <v>256</v>
      </c>
      <c r="F313" t="s">
        <v>60</v>
      </c>
      <c r="G313" t="s">
        <v>207</v>
      </c>
      <c r="H313">
        <v>5.7821624529959615E-5</v>
      </c>
      <c r="I313">
        <v>9.1369478630648169E-7</v>
      </c>
      <c r="J313">
        <v>0.08</v>
      </c>
      <c r="L313" s="1">
        <v>43053</v>
      </c>
      <c r="M313" s="1">
        <v>43024</v>
      </c>
      <c r="N313" s="1"/>
      <c r="R313">
        <v>1.2641565071670529E-3</v>
      </c>
      <c r="T313" t="s">
        <v>39</v>
      </c>
      <c r="V313">
        <v>49889080</v>
      </c>
      <c r="W313" t="s">
        <v>248</v>
      </c>
      <c r="X313" t="s">
        <v>257</v>
      </c>
      <c r="Y313">
        <v>50000000</v>
      </c>
      <c r="Z313" t="s">
        <v>31</v>
      </c>
      <c r="AA313">
        <v>5.3621514014678658E-4</v>
      </c>
      <c r="AB313">
        <v>99.77816</v>
      </c>
      <c r="AC313" t="s">
        <v>52</v>
      </c>
      <c r="AE313" t="s">
        <v>41</v>
      </c>
      <c r="AF313">
        <v>2.76E-2</v>
      </c>
      <c r="AH313" t="s">
        <v>209</v>
      </c>
      <c r="AJ313">
        <v>7.2277030662449518E-4</v>
      </c>
      <c r="AK313">
        <v>7.2277030662449518E-4</v>
      </c>
      <c r="AL313">
        <v>0</v>
      </c>
      <c r="AQ313">
        <v>1.9948460462836066E-5</v>
      </c>
    </row>
    <row r="314" spans="1:43" x14ac:dyDescent="0.2">
      <c r="A314">
        <v>312</v>
      </c>
      <c r="B314">
        <v>147</v>
      </c>
      <c r="C314">
        <v>2</v>
      </c>
      <c r="D314">
        <v>1</v>
      </c>
      <c r="E314" t="s">
        <v>246</v>
      </c>
      <c r="F314" t="s">
        <v>60</v>
      </c>
      <c r="G314" t="s">
        <v>207</v>
      </c>
      <c r="H314">
        <v>5.7910030139156619E-5</v>
      </c>
      <c r="I314">
        <v>3.6603670715327496E-6</v>
      </c>
      <c r="J314">
        <v>0.02</v>
      </c>
      <c r="L314" s="1">
        <v>43032</v>
      </c>
      <c r="M314" s="1">
        <v>43024</v>
      </c>
      <c r="N314" s="1"/>
      <c r="R314">
        <v>1.2641565071670529E-3</v>
      </c>
      <c r="T314" t="s">
        <v>39</v>
      </c>
      <c r="V314">
        <v>199861429</v>
      </c>
      <c r="W314" t="s">
        <v>247</v>
      </c>
      <c r="X314" t="s">
        <v>261</v>
      </c>
      <c r="Y314">
        <v>200000000</v>
      </c>
      <c r="Z314" t="s">
        <v>31</v>
      </c>
      <c r="AA314">
        <v>2.1481399168149029E-3</v>
      </c>
      <c r="AB314">
        <v>99.930713999999995</v>
      </c>
      <c r="AC314" t="s">
        <v>142</v>
      </c>
      <c r="AE314" t="s">
        <v>41</v>
      </c>
      <c r="AF314">
        <v>3.1199999999999999E-2</v>
      </c>
      <c r="AH314" t="s">
        <v>209</v>
      </c>
      <c r="AJ314">
        <v>2.8955015069578307E-3</v>
      </c>
      <c r="AK314">
        <v>2.8955015069578307E-3</v>
      </c>
      <c r="AL314">
        <v>0</v>
      </c>
      <c r="AN314" t="s">
        <v>146</v>
      </c>
      <c r="AQ314">
        <v>9.0339647017084309E-5</v>
      </c>
    </row>
    <row r="315" spans="1:43" x14ac:dyDescent="0.2">
      <c r="A315">
        <v>313</v>
      </c>
      <c r="B315">
        <v>148</v>
      </c>
      <c r="C315">
        <v>2</v>
      </c>
      <c r="D315">
        <v>1</v>
      </c>
      <c r="E315" t="s">
        <v>206</v>
      </c>
      <c r="F315" t="s">
        <v>60</v>
      </c>
      <c r="G315" t="s">
        <v>207</v>
      </c>
      <c r="H315">
        <v>7.9297893885400049E-5</v>
      </c>
      <c r="I315">
        <v>4.4414980968663435E-7</v>
      </c>
      <c r="J315">
        <v>0.36</v>
      </c>
      <c r="L315" s="1">
        <v>43157</v>
      </c>
      <c r="M315" s="1">
        <v>43024</v>
      </c>
      <c r="N315" s="1"/>
      <c r="R315">
        <v>2.0163704690349571E-3</v>
      </c>
      <c r="T315" t="s">
        <v>39</v>
      </c>
      <c r="V315">
        <v>15204227</v>
      </c>
      <c r="W315" t="s">
        <v>206</v>
      </c>
      <c r="X315" t="s">
        <v>208</v>
      </c>
      <c r="Y315">
        <v>15366000</v>
      </c>
      <c r="Z315" t="s">
        <v>31</v>
      </c>
      <c r="AA315">
        <v>2.6065580762480237E-4</v>
      </c>
      <c r="AB315">
        <v>98.947201000000007</v>
      </c>
      <c r="AC315" t="s">
        <v>52</v>
      </c>
      <c r="AE315" t="s">
        <v>41</v>
      </c>
      <c r="AF315">
        <v>2.8799999999999999E-2</v>
      </c>
      <c r="AH315" t="s">
        <v>209</v>
      </c>
      <c r="AJ315">
        <v>2.202719274594446E-4</v>
      </c>
      <c r="AK315">
        <v>2.202719274594446E-4</v>
      </c>
      <c r="AL315">
        <v>0</v>
      </c>
      <c r="AQ315">
        <v>6.3438315108320044E-6</v>
      </c>
    </row>
    <row r="316" spans="1:43" x14ac:dyDescent="0.2">
      <c r="A316">
        <v>314</v>
      </c>
      <c r="B316">
        <v>148</v>
      </c>
      <c r="C316">
        <v>2</v>
      </c>
      <c r="D316">
        <v>1</v>
      </c>
      <c r="E316" t="s">
        <v>206</v>
      </c>
      <c r="F316" t="s">
        <v>60</v>
      </c>
      <c r="G316" t="s">
        <v>207</v>
      </c>
      <c r="H316">
        <v>3.2688267521156045E-3</v>
      </c>
      <c r="I316">
        <v>1.73451729772562E-5</v>
      </c>
      <c r="J316">
        <v>0.38</v>
      </c>
      <c r="L316" s="1">
        <v>43161</v>
      </c>
      <c r="M316" s="1">
        <v>43024</v>
      </c>
      <c r="N316" s="1"/>
      <c r="R316">
        <v>2.0163704690349571E-3</v>
      </c>
      <c r="T316" t="s">
        <v>39</v>
      </c>
      <c r="V316">
        <v>593763504</v>
      </c>
      <c r="W316" t="s">
        <v>206</v>
      </c>
      <c r="X316" t="s">
        <v>208</v>
      </c>
      <c r="Y316">
        <v>600000000</v>
      </c>
      <c r="Z316" t="s">
        <v>31</v>
      </c>
      <c r="AA316">
        <v>1.0179268283303884E-2</v>
      </c>
      <c r="AB316">
        <v>98.960583999999997</v>
      </c>
      <c r="AC316" t="s">
        <v>52</v>
      </c>
      <c r="AE316" t="s">
        <v>41</v>
      </c>
      <c r="AF316">
        <v>2.76E-2</v>
      </c>
      <c r="AH316" t="s">
        <v>209</v>
      </c>
      <c r="AJ316">
        <v>8.6021756634621169E-3</v>
      </c>
      <c r="AK316">
        <v>8.6021756634621169E-3</v>
      </c>
      <c r="AL316">
        <v>0</v>
      </c>
      <c r="AQ316">
        <v>2.3742004831155442E-4</v>
      </c>
    </row>
    <row r="317" spans="1:43" x14ac:dyDescent="0.2">
      <c r="A317">
        <v>315</v>
      </c>
      <c r="B317">
        <v>148</v>
      </c>
      <c r="C317">
        <v>2</v>
      </c>
      <c r="D317">
        <v>1</v>
      </c>
      <c r="E317" t="s">
        <v>206</v>
      </c>
      <c r="F317" t="s">
        <v>60</v>
      </c>
      <c r="G317" t="s">
        <v>207</v>
      </c>
      <c r="H317">
        <v>2.5138062740266031E-4</v>
      </c>
      <c r="I317">
        <v>1.2996832655953947E-6</v>
      </c>
      <c r="J317">
        <v>0.39</v>
      </c>
      <c r="L317" s="1">
        <v>43167</v>
      </c>
      <c r="M317" s="1">
        <v>43024</v>
      </c>
      <c r="N317" s="1"/>
      <c r="R317">
        <v>2.0163704690349571E-3</v>
      </c>
      <c r="T317" t="s">
        <v>39</v>
      </c>
      <c r="V317">
        <v>44491023</v>
      </c>
      <c r="W317" t="s">
        <v>206</v>
      </c>
      <c r="X317" t="s">
        <v>208</v>
      </c>
      <c r="Y317">
        <v>45000000</v>
      </c>
      <c r="Z317" t="s">
        <v>31</v>
      </c>
      <c r="AA317">
        <v>7.6273812092641461E-4</v>
      </c>
      <c r="AB317">
        <v>98.868939999999995</v>
      </c>
      <c r="AC317" t="s">
        <v>52</v>
      </c>
      <c r="AE317" t="s">
        <v>41</v>
      </c>
      <c r="AF317">
        <v>2.8799999999999999E-2</v>
      </c>
      <c r="AH317" t="s">
        <v>209</v>
      </c>
      <c r="AJ317">
        <v>6.4456571128887257E-4</v>
      </c>
      <c r="AK317">
        <v>6.4456571128887257E-4</v>
      </c>
      <c r="AL317">
        <v>0</v>
      </c>
      <c r="AQ317">
        <v>1.8563492485119531E-5</v>
      </c>
    </row>
    <row r="318" spans="1:43" x14ac:dyDescent="0.2">
      <c r="A318">
        <v>316</v>
      </c>
      <c r="B318">
        <v>148</v>
      </c>
      <c r="C318">
        <v>2</v>
      </c>
      <c r="D318">
        <v>1</v>
      </c>
      <c r="E318" t="s">
        <v>206</v>
      </c>
      <c r="F318" t="s">
        <v>60</v>
      </c>
      <c r="G318" t="s">
        <v>207</v>
      </c>
      <c r="H318">
        <v>2.2353784871232863E-3</v>
      </c>
      <c r="I318">
        <v>1.1557310688593418E-5</v>
      </c>
      <c r="J318">
        <v>0.39</v>
      </c>
      <c r="L318" s="1">
        <v>43168</v>
      </c>
      <c r="M318" s="1">
        <v>43024</v>
      </c>
      <c r="N318" s="1"/>
      <c r="R318">
        <v>2.0163704690349571E-3</v>
      </c>
      <c r="T318" t="s">
        <v>39</v>
      </c>
      <c r="V318">
        <v>395632220</v>
      </c>
      <c r="W318" t="s">
        <v>206</v>
      </c>
      <c r="X318" t="s">
        <v>208</v>
      </c>
      <c r="Y318">
        <v>400000000</v>
      </c>
      <c r="Z318" t="s">
        <v>31</v>
      </c>
      <c r="AA318">
        <v>6.7825767022876918E-3</v>
      </c>
      <c r="AB318">
        <v>98.908055000000004</v>
      </c>
      <c r="AC318" t="s">
        <v>52</v>
      </c>
      <c r="AE318" t="s">
        <v>41</v>
      </c>
      <c r="AF318">
        <v>2.76E-2</v>
      </c>
      <c r="AH318" t="s">
        <v>209</v>
      </c>
      <c r="AJ318">
        <v>5.7317397105725284E-3</v>
      </c>
      <c r="AK318">
        <v>5.7317397105725284E-3</v>
      </c>
      <c r="AL318">
        <v>0</v>
      </c>
      <c r="AQ318">
        <v>1.5819601601180179E-4</v>
      </c>
    </row>
    <row r="319" spans="1:43" x14ac:dyDescent="0.2">
      <c r="A319">
        <v>317</v>
      </c>
      <c r="B319">
        <v>148</v>
      </c>
      <c r="C319">
        <v>2</v>
      </c>
      <c r="D319">
        <v>1</v>
      </c>
      <c r="E319" t="s">
        <v>228</v>
      </c>
      <c r="F319" t="s">
        <v>60</v>
      </c>
      <c r="G319" t="s">
        <v>207</v>
      </c>
      <c r="H319">
        <v>1.4201834871902444E-4</v>
      </c>
      <c r="I319">
        <v>8.6776243763075567E-7</v>
      </c>
      <c r="J319">
        <v>0.33</v>
      </c>
      <c r="L319" s="1">
        <v>43143</v>
      </c>
      <c r="M319" s="1">
        <v>43024</v>
      </c>
      <c r="N319" s="1"/>
      <c r="R319">
        <v>2.0163704690349571E-3</v>
      </c>
      <c r="T319" t="s">
        <v>39</v>
      </c>
      <c r="V319">
        <v>29705421</v>
      </c>
      <c r="W319" t="s">
        <v>229</v>
      </c>
      <c r="X319" t="s">
        <v>230</v>
      </c>
      <c r="Y319">
        <v>30000000</v>
      </c>
      <c r="Z319" t="s">
        <v>31</v>
      </c>
      <c r="AA319">
        <v>5.0925906996717189E-4</v>
      </c>
      <c r="AB319">
        <v>99.018069999999994</v>
      </c>
      <c r="AC319" t="s">
        <v>52</v>
      </c>
      <c r="AE319" t="s">
        <v>41</v>
      </c>
      <c r="AF319">
        <v>0.03</v>
      </c>
      <c r="AH319" t="s">
        <v>209</v>
      </c>
      <c r="AJ319">
        <v>4.3035863248189221E-4</v>
      </c>
      <c r="AK319">
        <v>4.3035863248189221E-4</v>
      </c>
      <c r="AL319">
        <v>0</v>
      </c>
      <c r="AQ319">
        <v>1.2910758974456766E-5</v>
      </c>
    </row>
    <row r="320" spans="1:43" x14ac:dyDescent="0.2">
      <c r="A320">
        <v>318</v>
      </c>
      <c r="B320">
        <v>148</v>
      </c>
      <c r="C320">
        <v>2</v>
      </c>
      <c r="D320">
        <v>1</v>
      </c>
      <c r="E320" t="s">
        <v>210</v>
      </c>
      <c r="F320" t="s">
        <v>60</v>
      </c>
      <c r="G320" t="s">
        <v>207</v>
      </c>
      <c r="H320">
        <v>1.0891167244617662E-3</v>
      </c>
      <c r="I320">
        <v>5.7791126329915465E-6</v>
      </c>
      <c r="J320">
        <v>0.38</v>
      </c>
      <c r="L320" s="1">
        <v>43161</v>
      </c>
      <c r="M320" s="1">
        <v>43024</v>
      </c>
      <c r="N320" s="1"/>
      <c r="R320">
        <v>2.0163704690349571E-3</v>
      </c>
      <c r="T320" t="s">
        <v>39</v>
      </c>
      <c r="V320">
        <v>197831764</v>
      </c>
      <c r="W320" t="s">
        <v>211</v>
      </c>
      <c r="X320" t="s">
        <v>212</v>
      </c>
      <c r="Y320">
        <v>200000000</v>
      </c>
      <c r="Z320" t="s">
        <v>31</v>
      </c>
      <c r="AA320">
        <v>3.3915567176982628E-3</v>
      </c>
      <c r="AB320">
        <v>98.915881999999996</v>
      </c>
      <c r="AC320" t="s">
        <v>52</v>
      </c>
      <c r="AE320" t="s">
        <v>41</v>
      </c>
      <c r="AF320">
        <v>2.8799999999999999E-2</v>
      </c>
      <c r="AH320" t="s">
        <v>209</v>
      </c>
      <c r="AJ320">
        <v>2.8660966433204376E-3</v>
      </c>
      <c r="AK320">
        <v>2.8660966433204376E-3</v>
      </c>
      <c r="AL320">
        <v>0</v>
      </c>
      <c r="AQ320">
        <v>8.2543583327628604E-5</v>
      </c>
    </row>
    <row r="321" spans="1:43" x14ac:dyDescent="0.2">
      <c r="A321">
        <v>319</v>
      </c>
      <c r="B321">
        <v>148</v>
      </c>
      <c r="C321">
        <v>2</v>
      </c>
      <c r="D321">
        <v>1</v>
      </c>
      <c r="E321" t="s">
        <v>210</v>
      </c>
      <c r="F321" t="s">
        <v>60</v>
      </c>
      <c r="G321" t="s">
        <v>207</v>
      </c>
      <c r="H321">
        <v>2.7933390028301062E-4</v>
      </c>
      <c r="I321">
        <v>1.4442067372590208E-6</v>
      </c>
      <c r="J321">
        <v>0.39</v>
      </c>
      <c r="L321" s="1">
        <v>43166</v>
      </c>
      <c r="M321" s="1">
        <v>43024</v>
      </c>
      <c r="N321" s="1"/>
      <c r="R321">
        <v>2.0163704690349571E-3</v>
      </c>
      <c r="T321" t="s">
        <v>39</v>
      </c>
      <c r="V321">
        <v>49438380</v>
      </c>
      <c r="W321" t="s">
        <v>211</v>
      </c>
      <c r="X321" t="s">
        <v>212</v>
      </c>
      <c r="Y321">
        <v>50000000</v>
      </c>
      <c r="Z321" t="s">
        <v>31</v>
      </c>
      <c r="AA321">
        <v>8.4755383266521067E-4</v>
      </c>
      <c r="AB321">
        <v>98.876760000000004</v>
      </c>
      <c r="AC321" t="s">
        <v>52</v>
      </c>
      <c r="AE321" t="s">
        <v>41</v>
      </c>
      <c r="AF321">
        <v>2.8799999999999999E-2</v>
      </c>
      <c r="AH321" t="s">
        <v>209</v>
      </c>
      <c r="AJ321">
        <v>7.1624076995643752E-4</v>
      </c>
      <c r="AK321">
        <v>7.1624076995643752E-4</v>
      </c>
      <c r="AL321">
        <v>0</v>
      </c>
      <c r="AQ321">
        <v>2.06277341747454E-5</v>
      </c>
    </row>
    <row r="322" spans="1:43" x14ac:dyDescent="0.2">
      <c r="A322">
        <v>320</v>
      </c>
      <c r="B322">
        <v>148</v>
      </c>
      <c r="C322">
        <v>2</v>
      </c>
      <c r="D322">
        <v>1</v>
      </c>
      <c r="E322" t="s">
        <v>219</v>
      </c>
      <c r="F322" t="s">
        <v>60</v>
      </c>
      <c r="G322" t="s">
        <v>207</v>
      </c>
      <c r="H322">
        <v>1.4210840634301233E-3</v>
      </c>
      <c r="I322">
        <v>8.6831270894445469E-6</v>
      </c>
      <c r="J322">
        <v>0.33</v>
      </c>
      <c r="L322" s="1">
        <v>43145</v>
      </c>
      <c r="M322" s="1">
        <v>43024</v>
      </c>
      <c r="N322" s="1"/>
      <c r="R322">
        <v>2.0163704690349571E-3</v>
      </c>
      <c r="T322" t="s">
        <v>39</v>
      </c>
      <c r="V322">
        <v>297242580</v>
      </c>
      <c r="W322" t="s">
        <v>220</v>
      </c>
      <c r="X322" t="s">
        <v>221</v>
      </c>
      <c r="Y322">
        <v>300000000</v>
      </c>
      <c r="Z322" t="s">
        <v>31</v>
      </c>
      <c r="AA322">
        <v>5.0958200473052613E-3</v>
      </c>
      <c r="AB322">
        <v>99.080860000000001</v>
      </c>
      <c r="AC322" t="s">
        <v>52</v>
      </c>
      <c r="AE322" t="s">
        <v>41</v>
      </c>
      <c r="AF322">
        <v>2.76E-2</v>
      </c>
      <c r="AH322" t="s">
        <v>209</v>
      </c>
      <c r="AJ322">
        <v>4.306315343727646E-3</v>
      </c>
      <c r="AK322">
        <v>4.306315343727646E-3</v>
      </c>
      <c r="AL322">
        <v>0</v>
      </c>
      <c r="AQ322">
        <v>1.1885430348688303E-4</v>
      </c>
    </row>
    <row r="323" spans="1:43" x14ac:dyDescent="0.2">
      <c r="A323">
        <v>321</v>
      </c>
      <c r="B323">
        <v>148</v>
      </c>
      <c r="C323">
        <v>2</v>
      </c>
      <c r="D323">
        <v>1</v>
      </c>
      <c r="E323" t="s">
        <v>219</v>
      </c>
      <c r="F323" t="s">
        <v>60</v>
      </c>
      <c r="G323" t="s">
        <v>207</v>
      </c>
      <c r="H323">
        <v>1.8946348273291098E-3</v>
      </c>
      <c r="I323">
        <v>1.1576623380095642E-5</v>
      </c>
      <c r="J323">
        <v>0.33</v>
      </c>
      <c r="L323" s="1">
        <v>43146</v>
      </c>
      <c r="M323" s="1">
        <v>43024</v>
      </c>
      <c r="N323" s="1"/>
      <c r="R323">
        <v>2.0163704690349571E-3</v>
      </c>
      <c r="T323" t="s">
        <v>39</v>
      </c>
      <c r="V323">
        <v>396293336</v>
      </c>
      <c r="W323" t="s">
        <v>220</v>
      </c>
      <c r="X323" t="s">
        <v>221</v>
      </c>
      <c r="Y323">
        <v>400000000</v>
      </c>
      <c r="Z323" t="s">
        <v>31</v>
      </c>
      <c r="AA323">
        <v>6.7939106375751396E-3</v>
      </c>
      <c r="AB323">
        <v>99.073334000000003</v>
      </c>
      <c r="AC323" t="s">
        <v>52</v>
      </c>
      <c r="AE323" t="s">
        <v>41</v>
      </c>
      <c r="AF323">
        <v>2.76E-2</v>
      </c>
      <c r="AH323" t="s">
        <v>209</v>
      </c>
      <c r="AJ323">
        <v>5.7413176585730599E-3</v>
      </c>
      <c r="AK323">
        <v>5.7413176585730599E-3</v>
      </c>
      <c r="AL323">
        <v>0</v>
      </c>
      <c r="AQ323">
        <v>1.5846036737661646E-4</v>
      </c>
    </row>
    <row r="324" spans="1:43" x14ac:dyDescent="0.2">
      <c r="A324">
        <v>322</v>
      </c>
      <c r="B324">
        <v>148</v>
      </c>
      <c r="C324">
        <v>2</v>
      </c>
      <c r="D324">
        <v>1</v>
      </c>
      <c r="E324" t="s">
        <v>219</v>
      </c>
      <c r="F324" t="s">
        <v>60</v>
      </c>
      <c r="G324" t="s">
        <v>207</v>
      </c>
      <c r="H324">
        <v>1.1171588646693824E-3</v>
      </c>
      <c r="I324">
        <v>5.7759131895896479E-6</v>
      </c>
      <c r="J324">
        <v>0.39</v>
      </c>
      <c r="L324" s="1">
        <v>43168</v>
      </c>
      <c r="M324" s="1">
        <v>43024</v>
      </c>
      <c r="N324" s="1"/>
      <c r="R324">
        <v>2.0163704690349571E-3</v>
      </c>
      <c r="T324" t="s">
        <v>39</v>
      </c>
      <c r="V324">
        <v>197722240</v>
      </c>
      <c r="W324" t="s">
        <v>220</v>
      </c>
      <c r="X324" t="s">
        <v>221</v>
      </c>
      <c r="Y324">
        <v>200000000</v>
      </c>
      <c r="Z324" t="s">
        <v>31</v>
      </c>
      <c r="AA324">
        <v>3.3896790775739542E-3</v>
      </c>
      <c r="AB324">
        <v>98.86112</v>
      </c>
      <c r="AC324" t="s">
        <v>52</v>
      </c>
      <c r="AE324" t="s">
        <v>41</v>
      </c>
      <c r="AF324">
        <v>2.8799999999999999E-2</v>
      </c>
      <c r="AH324" t="s">
        <v>209</v>
      </c>
      <c r="AJ324">
        <v>2.8645099094086728E-3</v>
      </c>
      <c r="AK324">
        <v>2.8645099094086728E-3</v>
      </c>
      <c r="AL324">
        <v>0</v>
      </c>
      <c r="AQ324">
        <v>8.2497885390969775E-5</v>
      </c>
    </row>
    <row r="325" spans="1:43" x14ac:dyDescent="0.2">
      <c r="A325">
        <v>323</v>
      </c>
      <c r="B325">
        <v>148</v>
      </c>
      <c r="C325">
        <v>2</v>
      </c>
      <c r="D325">
        <v>1</v>
      </c>
      <c r="E325" t="s">
        <v>219</v>
      </c>
      <c r="F325" t="s">
        <v>60</v>
      </c>
      <c r="G325" t="s">
        <v>207</v>
      </c>
      <c r="H325">
        <v>7.6309013238405339E-4</v>
      </c>
      <c r="I325">
        <v>3.7528595320760524E-6</v>
      </c>
      <c r="J325">
        <v>0.41</v>
      </c>
      <c r="L325" s="1">
        <v>43173</v>
      </c>
      <c r="M325" s="1">
        <v>43024</v>
      </c>
      <c r="N325" s="1"/>
      <c r="R325">
        <v>2.0163704690349571E-3</v>
      </c>
      <c r="T325" t="s">
        <v>39</v>
      </c>
      <c r="V325">
        <v>128468654</v>
      </c>
      <c r="W325" t="s">
        <v>220</v>
      </c>
      <c r="X325" t="s">
        <v>221</v>
      </c>
      <c r="Y325">
        <v>130000000</v>
      </c>
      <c r="Z325" t="s">
        <v>31</v>
      </c>
      <c r="AA325">
        <v>2.2024204691788213E-3</v>
      </c>
      <c r="AB325">
        <v>98.822040999999999</v>
      </c>
      <c r="AC325" t="s">
        <v>52</v>
      </c>
      <c r="AE325" t="s">
        <v>41</v>
      </c>
      <c r="AF325">
        <v>2.8799999999999999E-2</v>
      </c>
      <c r="AH325" t="s">
        <v>209</v>
      </c>
      <c r="AJ325">
        <v>1.8611954448391548E-3</v>
      </c>
      <c r="AK325">
        <v>1.8611954448391548E-3</v>
      </c>
      <c r="AL325">
        <v>0</v>
      </c>
      <c r="AQ325">
        <v>5.360242881136766E-5</v>
      </c>
    </row>
    <row r="326" spans="1:43" x14ac:dyDescent="0.2">
      <c r="A326">
        <v>324</v>
      </c>
      <c r="B326">
        <v>148</v>
      </c>
      <c r="C326">
        <v>2</v>
      </c>
      <c r="D326">
        <v>1</v>
      </c>
      <c r="E326" t="s">
        <v>219</v>
      </c>
      <c r="F326" t="s">
        <v>60</v>
      </c>
      <c r="G326" t="s">
        <v>207</v>
      </c>
      <c r="H326">
        <v>2.9330393771873802E-4</v>
      </c>
      <c r="I326">
        <v>1.4424619474822723E-6</v>
      </c>
      <c r="J326">
        <v>0.41</v>
      </c>
      <c r="L326" s="1">
        <v>43175</v>
      </c>
      <c r="M326" s="1">
        <v>43024</v>
      </c>
      <c r="N326" s="1"/>
      <c r="R326">
        <v>2.0163704690349571E-3</v>
      </c>
      <c r="T326" t="s">
        <v>39</v>
      </c>
      <c r="V326">
        <v>49378652</v>
      </c>
      <c r="W326" t="s">
        <v>220</v>
      </c>
      <c r="X326" t="s">
        <v>221</v>
      </c>
      <c r="Y326">
        <v>50000000</v>
      </c>
      <c r="Z326" t="s">
        <v>31</v>
      </c>
      <c r="AA326">
        <v>8.4652987728242037E-4</v>
      </c>
      <c r="AB326">
        <v>98.757304000000005</v>
      </c>
      <c r="AC326" t="s">
        <v>52</v>
      </c>
      <c r="AE326" t="s">
        <v>41</v>
      </c>
      <c r="AF326">
        <v>0.03</v>
      </c>
      <c r="AH326" t="s">
        <v>209</v>
      </c>
      <c r="AJ326">
        <v>7.1537545785058056E-4</v>
      </c>
      <c r="AK326">
        <v>7.1537545785058056E-4</v>
      </c>
      <c r="AL326">
        <v>0</v>
      </c>
      <c r="AQ326">
        <v>2.1461263735517417E-5</v>
      </c>
    </row>
    <row r="327" spans="1:43" x14ac:dyDescent="0.2">
      <c r="A327">
        <v>325</v>
      </c>
      <c r="B327">
        <v>148</v>
      </c>
      <c r="C327">
        <v>2</v>
      </c>
      <c r="D327">
        <v>1</v>
      </c>
      <c r="E327" t="s">
        <v>225</v>
      </c>
      <c r="F327" t="s">
        <v>60</v>
      </c>
      <c r="G327" t="s">
        <v>207</v>
      </c>
      <c r="H327">
        <v>1.2536444708333542E-3</v>
      </c>
      <c r="I327">
        <v>7.2223191133066603E-6</v>
      </c>
      <c r="J327">
        <v>0.35</v>
      </c>
      <c r="L327" s="1">
        <v>43153</v>
      </c>
      <c r="M327" s="1">
        <v>43024</v>
      </c>
      <c r="N327" s="1"/>
      <c r="R327">
        <v>2.0163704690349571E-3</v>
      </c>
      <c r="T327" t="s">
        <v>39</v>
      </c>
      <c r="V327">
        <v>247235903</v>
      </c>
      <c r="W327" t="s">
        <v>226</v>
      </c>
      <c r="X327" t="s">
        <v>227</v>
      </c>
      <c r="Y327">
        <v>250000000</v>
      </c>
      <c r="Z327" t="s">
        <v>31</v>
      </c>
      <c r="AA327">
        <v>4.2385235349559234E-3</v>
      </c>
      <c r="AB327">
        <v>98.894361000000004</v>
      </c>
      <c r="AC327" t="s">
        <v>52</v>
      </c>
      <c r="AE327" t="s">
        <v>41</v>
      </c>
      <c r="AF327">
        <v>3.1199999999999999E-2</v>
      </c>
      <c r="AH327" t="s">
        <v>209</v>
      </c>
      <c r="AJ327">
        <v>3.581841345238155E-3</v>
      </c>
      <c r="AK327">
        <v>3.581841345238155E-3</v>
      </c>
      <c r="AL327">
        <v>0</v>
      </c>
      <c r="AQ327">
        <v>1.1175344997143044E-4</v>
      </c>
    </row>
    <row r="328" spans="1:43" x14ac:dyDescent="0.2">
      <c r="A328">
        <v>326</v>
      </c>
      <c r="B328">
        <v>148</v>
      </c>
      <c r="C328">
        <v>2</v>
      </c>
      <c r="D328">
        <v>1</v>
      </c>
      <c r="E328" t="s">
        <v>225</v>
      </c>
      <c r="F328" t="s">
        <v>60</v>
      </c>
      <c r="G328" t="s">
        <v>207</v>
      </c>
      <c r="H328">
        <v>1.4855665465479131E-3</v>
      </c>
      <c r="I328">
        <v>7.6806474724242483E-6</v>
      </c>
      <c r="J328">
        <v>0.39</v>
      </c>
      <c r="L328" s="1">
        <v>43167</v>
      </c>
      <c r="M328" s="1">
        <v>43024</v>
      </c>
      <c r="N328" s="1"/>
      <c r="R328">
        <v>2.0163704690349571E-3</v>
      </c>
      <c r="T328" t="s">
        <v>39</v>
      </c>
      <c r="V328">
        <v>262925493</v>
      </c>
      <c r="W328" t="s">
        <v>226</v>
      </c>
      <c r="X328" t="s">
        <v>227</v>
      </c>
      <c r="Y328">
        <v>266560000</v>
      </c>
      <c r="Z328" t="s">
        <v>31</v>
      </c>
      <c r="AA328">
        <v>4.5075002315516817E-3</v>
      </c>
      <c r="AB328">
        <v>98.636514000000005</v>
      </c>
      <c r="AC328" t="s">
        <v>52</v>
      </c>
      <c r="AE328" t="s">
        <v>41</v>
      </c>
      <c r="AF328">
        <v>3.4799999999999998E-2</v>
      </c>
      <c r="AH328" t="s">
        <v>209</v>
      </c>
      <c r="AJ328">
        <v>3.8091449911484949E-3</v>
      </c>
      <c r="AK328">
        <v>3.8091449911484949E-3</v>
      </c>
      <c r="AL328">
        <v>0</v>
      </c>
      <c r="AQ328">
        <v>1.325582456919676E-4</v>
      </c>
    </row>
    <row r="329" spans="1:43" x14ac:dyDescent="0.2">
      <c r="A329">
        <v>327</v>
      </c>
      <c r="B329">
        <v>148</v>
      </c>
      <c r="C329">
        <v>2</v>
      </c>
      <c r="D329">
        <v>1</v>
      </c>
      <c r="E329" t="s">
        <v>204</v>
      </c>
      <c r="F329" t="s">
        <v>60</v>
      </c>
      <c r="G329" t="s">
        <v>207</v>
      </c>
      <c r="H329">
        <v>1.0607075677919785E-3</v>
      </c>
      <c r="I329">
        <v>5.7804849080476768E-6</v>
      </c>
      <c r="J329">
        <v>0.37</v>
      </c>
      <c r="L329" s="1">
        <v>43158</v>
      </c>
      <c r="M329" s="1">
        <v>43024</v>
      </c>
      <c r="N329" s="1"/>
      <c r="R329">
        <v>2.0163704690349571E-3</v>
      </c>
      <c r="T329" t="s">
        <v>39</v>
      </c>
      <c r="V329">
        <v>197878740</v>
      </c>
      <c r="W329" t="s">
        <v>200</v>
      </c>
      <c r="X329" t="s">
        <v>214</v>
      </c>
      <c r="Y329">
        <v>200000000</v>
      </c>
      <c r="Z329" t="s">
        <v>31</v>
      </c>
      <c r="AA329">
        <v>3.3923620573724851E-3</v>
      </c>
      <c r="AB329">
        <v>98.939369999999997</v>
      </c>
      <c r="AC329" t="s">
        <v>52</v>
      </c>
      <c r="AE329" t="s">
        <v>41</v>
      </c>
      <c r="AF329">
        <v>2.8799999999999999E-2</v>
      </c>
      <c r="AH329" t="s">
        <v>209</v>
      </c>
      <c r="AJ329">
        <v>2.8667772102485907E-3</v>
      </c>
      <c r="AK329">
        <v>2.8667772102485907E-3</v>
      </c>
      <c r="AL329">
        <v>0</v>
      </c>
      <c r="AQ329">
        <v>8.2563183655159415E-5</v>
      </c>
    </row>
    <row r="330" spans="1:43" x14ac:dyDescent="0.2">
      <c r="A330">
        <v>328</v>
      </c>
      <c r="B330">
        <v>148</v>
      </c>
      <c r="C330">
        <v>2</v>
      </c>
      <c r="D330">
        <v>1</v>
      </c>
      <c r="E330" t="s">
        <v>204</v>
      </c>
      <c r="F330" t="s">
        <v>60</v>
      </c>
      <c r="G330" t="s">
        <v>207</v>
      </c>
      <c r="H330">
        <v>1.1737992206808548E-3</v>
      </c>
      <c r="I330">
        <v>5.77271728087103E-6</v>
      </c>
      <c r="J330">
        <v>0.41</v>
      </c>
      <c r="L330" s="1">
        <v>43175</v>
      </c>
      <c r="M330" s="1">
        <v>43024</v>
      </c>
      <c r="N330" s="1"/>
      <c r="R330">
        <v>2.0163704690349571E-3</v>
      </c>
      <c r="T330" t="s">
        <v>39</v>
      </c>
      <c r="V330">
        <v>197612837</v>
      </c>
      <c r="W330" t="s">
        <v>200</v>
      </c>
      <c r="X330" t="s">
        <v>214</v>
      </c>
      <c r="Y330">
        <v>200000000</v>
      </c>
      <c r="Z330" t="s">
        <v>31</v>
      </c>
      <c r="AA330">
        <v>3.3878035118301924E-3</v>
      </c>
      <c r="AB330">
        <v>98.806417999999994</v>
      </c>
      <c r="AC330" t="s">
        <v>52</v>
      </c>
      <c r="AE330" t="s">
        <v>41</v>
      </c>
      <c r="AF330">
        <v>2.8799999999999999E-2</v>
      </c>
      <c r="AH330" t="s">
        <v>209</v>
      </c>
      <c r="AJ330">
        <v>2.8629249284898898E-3</v>
      </c>
      <c r="AK330">
        <v>2.8629249284898898E-3</v>
      </c>
      <c r="AL330">
        <v>0</v>
      </c>
      <c r="AQ330">
        <v>8.2452237940508824E-5</v>
      </c>
    </row>
    <row r="331" spans="1:43" x14ac:dyDescent="0.2">
      <c r="A331">
        <v>329</v>
      </c>
      <c r="B331">
        <v>148</v>
      </c>
      <c r="C331">
        <v>2</v>
      </c>
      <c r="D331">
        <v>1</v>
      </c>
      <c r="E331" t="s">
        <v>215</v>
      </c>
      <c r="F331" t="s">
        <v>60</v>
      </c>
      <c r="G331" t="s">
        <v>207</v>
      </c>
      <c r="H331">
        <v>4.7358051059625546E-4</v>
      </c>
      <c r="I331">
        <v>2.8936780493235944E-6</v>
      </c>
      <c r="J331">
        <v>0.33</v>
      </c>
      <c r="L331" s="1">
        <v>43143</v>
      </c>
      <c r="M331" s="1">
        <v>43024</v>
      </c>
      <c r="N331" s="1"/>
      <c r="R331">
        <v>2.0163704690349571E-3</v>
      </c>
      <c r="T331" t="s">
        <v>39</v>
      </c>
      <c r="V331">
        <v>99056978</v>
      </c>
      <c r="W331" t="s">
        <v>216</v>
      </c>
      <c r="X331" t="s">
        <v>217</v>
      </c>
      <c r="Y331">
        <v>100000000</v>
      </c>
      <c r="Z331" t="s">
        <v>31</v>
      </c>
      <c r="AA331">
        <v>1.6981972580034671E-3</v>
      </c>
      <c r="AB331">
        <v>99.056978000000001</v>
      </c>
      <c r="AC331" t="s">
        <v>52</v>
      </c>
      <c r="AE331" t="s">
        <v>41</v>
      </c>
      <c r="AF331">
        <v>2.8799999999999999E-2</v>
      </c>
      <c r="AH331" t="s">
        <v>209</v>
      </c>
      <c r="AJ331">
        <v>1.4350924563522893E-3</v>
      </c>
      <c r="AK331">
        <v>1.4350924563522893E-3</v>
      </c>
      <c r="AL331">
        <v>0</v>
      </c>
      <c r="AQ331">
        <v>4.133066274294593E-5</v>
      </c>
    </row>
    <row r="332" spans="1:43" x14ac:dyDescent="0.2">
      <c r="A332">
        <v>330</v>
      </c>
      <c r="B332">
        <v>148</v>
      </c>
      <c r="C332">
        <v>2</v>
      </c>
      <c r="D332">
        <v>1</v>
      </c>
      <c r="E332" t="s">
        <v>215</v>
      </c>
      <c r="F332" t="s">
        <v>60</v>
      </c>
      <c r="G332" t="s">
        <v>207</v>
      </c>
      <c r="H332">
        <v>1.0039282576769924E-3</v>
      </c>
      <c r="I332">
        <v>5.7836894051702991E-6</v>
      </c>
      <c r="J332">
        <v>0.35</v>
      </c>
      <c r="L332" s="1">
        <v>43151</v>
      </c>
      <c r="M332" s="1">
        <v>43024</v>
      </c>
      <c r="N332" s="1"/>
      <c r="R332">
        <v>2.0163704690349571E-3</v>
      </c>
      <c r="T332" t="s">
        <v>39</v>
      </c>
      <c r="V332">
        <v>197988437</v>
      </c>
      <c r="W332" t="s">
        <v>216</v>
      </c>
      <c r="X332" t="s">
        <v>217</v>
      </c>
      <c r="Y332">
        <v>200000000</v>
      </c>
      <c r="Z332" t="s">
        <v>31</v>
      </c>
      <c r="AA332">
        <v>3.3942426633466675E-3</v>
      </c>
      <c r="AB332">
        <v>98.994218000000004</v>
      </c>
      <c r="AC332" t="s">
        <v>52</v>
      </c>
      <c r="AE332" t="s">
        <v>41</v>
      </c>
      <c r="AF332">
        <v>2.8799999999999999E-2</v>
      </c>
      <c r="AH332" t="s">
        <v>209</v>
      </c>
      <c r="AJ332">
        <v>2.8683664505056929E-3</v>
      </c>
      <c r="AK332">
        <v>2.8683664505056929E-3</v>
      </c>
      <c r="AL332">
        <v>0</v>
      </c>
      <c r="AQ332">
        <v>8.2608953774563959E-5</v>
      </c>
    </row>
    <row r="333" spans="1:43" x14ac:dyDescent="0.2">
      <c r="A333">
        <v>331</v>
      </c>
      <c r="B333">
        <v>148</v>
      </c>
      <c r="C333">
        <v>2</v>
      </c>
      <c r="D333">
        <v>1</v>
      </c>
      <c r="E333" t="s">
        <v>215</v>
      </c>
      <c r="F333" t="s">
        <v>60</v>
      </c>
      <c r="G333" t="s">
        <v>207</v>
      </c>
      <c r="H333">
        <v>5.2908349433738056E-4</v>
      </c>
      <c r="I333">
        <v>2.8833198206370762E-6</v>
      </c>
      <c r="J333">
        <v>0.37</v>
      </c>
      <c r="L333" s="1">
        <v>43160</v>
      </c>
      <c r="M333" s="1">
        <v>43024</v>
      </c>
      <c r="N333" s="1"/>
      <c r="R333">
        <v>2.0163704690349571E-3</v>
      </c>
      <c r="T333" t="s">
        <v>39</v>
      </c>
      <c r="V333">
        <v>98702393</v>
      </c>
      <c r="W333" t="s">
        <v>216</v>
      </c>
      <c r="X333" t="s">
        <v>217</v>
      </c>
      <c r="Y333">
        <v>100000000</v>
      </c>
      <c r="Z333" t="s">
        <v>31</v>
      </c>
      <c r="AA333">
        <v>1.6921183801001946E-3</v>
      </c>
      <c r="AB333">
        <v>98.702393000000001</v>
      </c>
      <c r="AC333" t="s">
        <v>52</v>
      </c>
      <c r="AE333" t="s">
        <v>41</v>
      </c>
      <c r="AF333">
        <v>3.4799999999999998E-2</v>
      </c>
      <c r="AH333" t="s">
        <v>209</v>
      </c>
      <c r="AJ333">
        <v>1.4299553901010286E-3</v>
      </c>
      <c r="AK333">
        <v>1.4299553901010286E-3</v>
      </c>
      <c r="AL333">
        <v>0</v>
      </c>
      <c r="AQ333">
        <v>4.9762447575515796E-5</v>
      </c>
    </row>
    <row r="334" spans="1:43" x14ac:dyDescent="0.2">
      <c r="A334">
        <v>332</v>
      </c>
      <c r="B334">
        <v>148</v>
      </c>
      <c r="C334">
        <v>2</v>
      </c>
      <c r="D334">
        <v>1</v>
      </c>
      <c r="E334" t="s">
        <v>256</v>
      </c>
      <c r="F334" t="s">
        <v>60</v>
      </c>
      <c r="G334" t="s">
        <v>207</v>
      </c>
      <c r="H334">
        <v>2.6456698657330215E-4</v>
      </c>
      <c r="I334">
        <v>1.4417974562377689E-6</v>
      </c>
      <c r="J334">
        <v>0.37</v>
      </c>
      <c r="L334" s="1">
        <v>43159</v>
      </c>
      <c r="M334" s="1">
        <v>43024</v>
      </c>
      <c r="N334" s="1"/>
      <c r="R334">
        <v>2.0163704690349571E-3</v>
      </c>
      <c r="T334" t="s">
        <v>39</v>
      </c>
      <c r="V334">
        <v>49355905</v>
      </c>
      <c r="W334" t="s">
        <v>248</v>
      </c>
      <c r="X334" t="s">
        <v>257</v>
      </c>
      <c r="Y334">
        <v>50000000</v>
      </c>
      <c r="Z334" t="s">
        <v>31</v>
      </c>
      <c r="AA334">
        <v>8.4613991088320511E-4</v>
      </c>
      <c r="AB334">
        <v>98.71181</v>
      </c>
      <c r="AC334" t="s">
        <v>52</v>
      </c>
      <c r="AE334" t="s">
        <v>41</v>
      </c>
      <c r="AF334">
        <v>3.4799999999999998E-2</v>
      </c>
      <c r="AH334" t="s">
        <v>209</v>
      </c>
      <c r="AJ334">
        <v>7.1504590965757342E-4</v>
      </c>
      <c r="AK334">
        <v>7.1504590965757342E-4</v>
      </c>
      <c r="AL334">
        <v>0</v>
      </c>
      <c r="AQ334">
        <v>2.4883597656083554E-5</v>
      </c>
    </row>
    <row r="335" spans="1:43" x14ac:dyDescent="0.2">
      <c r="A335">
        <v>333</v>
      </c>
      <c r="B335">
        <v>149</v>
      </c>
      <c r="C335">
        <v>2</v>
      </c>
      <c r="D335">
        <v>1</v>
      </c>
      <c r="E335" t="s">
        <v>203</v>
      </c>
      <c r="F335" t="s">
        <v>60</v>
      </c>
      <c r="G335" t="s">
        <v>207</v>
      </c>
      <c r="H335">
        <v>8.083386277199598E-4</v>
      </c>
      <c r="I335">
        <v>8.2453396426180631E-6</v>
      </c>
      <c r="J335">
        <v>0.14000000000000001</v>
      </c>
      <c r="L335" s="1">
        <v>43074</v>
      </c>
      <c r="M335" s="1">
        <v>43024</v>
      </c>
      <c r="N335" s="1"/>
      <c r="R335">
        <v>1.4280494713243374E-3</v>
      </c>
      <c r="T335" t="s">
        <v>39</v>
      </c>
      <c r="V335">
        <v>398538691</v>
      </c>
      <c r="W335" t="s">
        <v>181</v>
      </c>
      <c r="X335" t="s">
        <v>236</v>
      </c>
      <c r="Y335">
        <v>400000000</v>
      </c>
      <c r="Z335" t="s">
        <v>31</v>
      </c>
      <c r="AA335">
        <v>4.8388980853189042E-3</v>
      </c>
      <c r="AB335">
        <v>99.634671999999995</v>
      </c>
      <c r="AC335" t="s">
        <v>52</v>
      </c>
      <c r="AE335" t="s">
        <v>41</v>
      </c>
      <c r="AF335">
        <v>2.64E-2</v>
      </c>
      <c r="AH335" t="s">
        <v>209</v>
      </c>
      <c r="AJ335">
        <v>5.7738473408568552E-3</v>
      </c>
      <c r="AK335">
        <v>5.7738473408568552E-3</v>
      </c>
      <c r="AL335">
        <v>0</v>
      </c>
      <c r="AQ335">
        <v>1.5242956979862098E-4</v>
      </c>
    </row>
    <row r="336" spans="1:43" x14ac:dyDescent="0.2">
      <c r="A336">
        <v>334</v>
      </c>
      <c r="B336">
        <v>149</v>
      </c>
      <c r="C336">
        <v>2</v>
      </c>
      <c r="D336">
        <v>1</v>
      </c>
      <c r="E336" t="s">
        <v>250</v>
      </c>
      <c r="F336" t="s">
        <v>60</v>
      </c>
      <c r="G336" t="s">
        <v>207</v>
      </c>
      <c r="H336">
        <v>1.0049431457199529E-3</v>
      </c>
      <c r="I336">
        <v>1.1959237732969961E-5</v>
      </c>
      <c r="J336">
        <v>0.12</v>
      </c>
      <c r="L336" s="1">
        <v>43068</v>
      </c>
      <c r="M336" s="1">
        <v>43024</v>
      </c>
      <c r="N336" s="1"/>
      <c r="R336">
        <v>1.4280494713243374E-3</v>
      </c>
      <c r="T336" t="s">
        <v>39</v>
      </c>
      <c r="V336">
        <v>578050045</v>
      </c>
      <c r="W336" t="s">
        <v>250</v>
      </c>
      <c r="X336" t="s">
        <v>258</v>
      </c>
      <c r="Y336">
        <v>580000000</v>
      </c>
      <c r="Z336" t="s">
        <v>31</v>
      </c>
      <c r="AA336">
        <v>7.0184534629512459E-3</v>
      </c>
      <c r="AB336">
        <v>99.663799999999995</v>
      </c>
      <c r="AC336" t="s">
        <v>52</v>
      </c>
      <c r="AE336" t="s">
        <v>41</v>
      </c>
      <c r="AF336">
        <v>2.76E-2</v>
      </c>
      <c r="AH336" t="s">
        <v>209</v>
      </c>
      <c r="AJ336">
        <v>8.3745262143329405E-3</v>
      </c>
      <c r="AK336">
        <v>8.3745262143329405E-3</v>
      </c>
      <c r="AL336">
        <v>0</v>
      </c>
      <c r="AQ336">
        <v>2.3113692351558915E-4</v>
      </c>
    </row>
    <row r="337" spans="1:43" x14ac:dyDescent="0.2">
      <c r="A337">
        <v>335</v>
      </c>
      <c r="B337">
        <v>149</v>
      </c>
      <c r="C337">
        <v>2</v>
      </c>
      <c r="D337">
        <v>4</v>
      </c>
      <c r="E337" t="s">
        <v>228</v>
      </c>
      <c r="F337" t="s">
        <v>60</v>
      </c>
      <c r="G337" t="s">
        <v>207</v>
      </c>
      <c r="H337">
        <v>1.0096689766232684E-3</v>
      </c>
      <c r="I337">
        <v>1.0298980344853165E-5</v>
      </c>
      <c r="J337">
        <v>0.14000000000000001</v>
      </c>
      <c r="L337" s="1">
        <v>43074</v>
      </c>
      <c r="M337" s="1">
        <v>43024</v>
      </c>
      <c r="N337" s="1"/>
      <c r="R337">
        <v>1.4280494713243374E-3</v>
      </c>
      <c r="T337" t="s">
        <v>39</v>
      </c>
      <c r="V337">
        <v>497801464</v>
      </c>
      <c r="W337" t="s">
        <v>229</v>
      </c>
      <c r="X337" t="s">
        <v>230</v>
      </c>
      <c r="Y337">
        <v>500000000</v>
      </c>
      <c r="Z337" t="s">
        <v>31</v>
      </c>
      <c r="AA337">
        <v>6.0441071479771279E-3</v>
      </c>
      <c r="AB337">
        <v>99.560292000000004</v>
      </c>
      <c r="AC337" t="s">
        <v>52</v>
      </c>
      <c r="AE337" t="s">
        <v>41</v>
      </c>
      <c r="AF337">
        <v>3.3300000000000003E-2</v>
      </c>
      <c r="AH337" t="s">
        <v>209</v>
      </c>
      <c r="AJ337">
        <v>7.2119212615947741E-3</v>
      </c>
      <c r="AK337">
        <v>7.2119212615947741E-3</v>
      </c>
      <c r="AL337">
        <v>0</v>
      </c>
      <c r="AQ337">
        <v>2.4015697801110599E-4</v>
      </c>
    </row>
    <row r="338" spans="1:43" x14ac:dyDescent="0.2">
      <c r="A338">
        <v>336</v>
      </c>
      <c r="B338">
        <v>149</v>
      </c>
      <c r="C338">
        <v>2</v>
      </c>
      <c r="D338">
        <v>2</v>
      </c>
      <c r="E338" t="s">
        <v>210</v>
      </c>
      <c r="F338" t="s">
        <v>60</v>
      </c>
      <c r="G338" t="s">
        <v>207</v>
      </c>
      <c r="H338">
        <v>3.6118574094367913E-3</v>
      </c>
      <c r="I338">
        <v>5.1579110640451006E-5</v>
      </c>
      <c r="J338">
        <v>0.1</v>
      </c>
      <c r="L338" s="1">
        <v>43059</v>
      </c>
      <c r="M338" s="1">
        <v>43024</v>
      </c>
      <c r="N338" s="1"/>
      <c r="R338">
        <v>1.4280494713243374E-3</v>
      </c>
      <c r="T338" t="s">
        <v>39</v>
      </c>
      <c r="V338">
        <v>2493077560</v>
      </c>
      <c r="W338" t="s">
        <v>211</v>
      </c>
      <c r="X338" t="s">
        <v>212</v>
      </c>
      <c r="Y338">
        <v>2500000000</v>
      </c>
      <c r="Z338" t="s">
        <v>31</v>
      </c>
      <c r="AA338">
        <v>3.0269954973168534E-2</v>
      </c>
      <c r="AB338">
        <v>99.723101999999997</v>
      </c>
      <c r="AC338" t="s">
        <v>52</v>
      </c>
      <c r="AE338" t="s">
        <v>41</v>
      </c>
      <c r="AF338">
        <v>2.8199999999999999E-2</v>
      </c>
      <c r="AH338" t="s">
        <v>209</v>
      </c>
      <c r="AJ338">
        <v>3.611857409436791E-2</v>
      </c>
      <c r="AK338">
        <v>3.611857409436791E-2</v>
      </c>
      <c r="AL338">
        <v>0</v>
      </c>
      <c r="AQ338">
        <v>1.018543789461175E-3</v>
      </c>
    </row>
    <row r="339" spans="1:43" x14ac:dyDescent="0.2">
      <c r="A339">
        <v>337</v>
      </c>
      <c r="B339">
        <v>149</v>
      </c>
      <c r="C339">
        <v>2</v>
      </c>
      <c r="D339">
        <v>1</v>
      </c>
      <c r="E339" t="s">
        <v>210</v>
      </c>
      <c r="F339" t="s">
        <v>60</v>
      </c>
      <c r="G339" t="s">
        <v>207</v>
      </c>
      <c r="H339">
        <v>6.3555170113054161E-5</v>
      </c>
      <c r="I339">
        <v>8.2509024618068476E-7</v>
      </c>
      <c r="J339">
        <v>0.11</v>
      </c>
      <c r="L339" s="1">
        <v>43063</v>
      </c>
      <c r="M339" s="1">
        <v>43024</v>
      </c>
      <c r="N339" s="1"/>
      <c r="R339">
        <v>1.4280494713243374E-3</v>
      </c>
      <c r="T339" t="s">
        <v>39</v>
      </c>
      <c r="V339">
        <v>39880757</v>
      </c>
      <c r="W339" t="s">
        <v>211</v>
      </c>
      <c r="X339" t="s">
        <v>212</v>
      </c>
      <c r="Y339">
        <v>40000000</v>
      </c>
      <c r="Z339" t="s">
        <v>31</v>
      </c>
      <c r="AA339">
        <v>4.8421627070674677E-4</v>
      </c>
      <c r="AB339">
        <v>99.701892000000001</v>
      </c>
      <c r="AC339" t="s">
        <v>52</v>
      </c>
      <c r="AE339" t="s">
        <v>41</v>
      </c>
      <c r="AF339">
        <v>2.76E-2</v>
      </c>
      <c r="AH339" t="s">
        <v>209</v>
      </c>
      <c r="AJ339">
        <v>5.7777427375503782E-4</v>
      </c>
      <c r="AK339">
        <v>5.7777427375503782E-4</v>
      </c>
      <c r="AL339">
        <v>0</v>
      </c>
      <c r="AQ339">
        <v>1.5946569955639043E-5</v>
      </c>
    </row>
    <row r="340" spans="1:43" x14ac:dyDescent="0.2">
      <c r="A340">
        <v>338</v>
      </c>
      <c r="B340">
        <v>149</v>
      </c>
      <c r="C340">
        <v>2</v>
      </c>
      <c r="D340">
        <v>1</v>
      </c>
      <c r="E340" t="s">
        <v>210</v>
      </c>
      <c r="F340" t="s">
        <v>60</v>
      </c>
      <c r="G340" t="s">
        <v>207</v>
      </c>
      <c r="H340">
        <v>1.0103494647391751E-3</v>
      </c>
      <c r="I340">
        <v>1.0305921564097188E-5</v>
      </c>
      <c r="J340">
        <v>0.14000000000000001</v>
      </c>
      <c r="L340" s="1">
        <v>43075</v>
      </c>
      <c r="M340" s="1">
        <v>43024</v>
      </c>
      <c r="N340" s="1"/>
      <c r="R340">
        <v>1.4280494713243374E-3</v>
      </c>
      <c r="T340" t="s">
        <v>39</v>
      </c>
      <c r="V340">
        <v>498136968</v>
      </c>
      <c r="W340" t="s">
        <v>211</v>
      </c>
      <c r="X340" t="s">
        <v>212</v>
      </c>
      <c r="Y340">
        <v>500000000</v>
      </c>
      <c r="Z340" t="s">
        <v>31</v>
      </c>
      <c r="AA340">
        <v>6.0481807039451645E-3</v>
      </c>
      <c r="AB340">
        <v>99.627392999999998</v>
      </c>
      <c r="AC340" t="s">
        <v>52</v>
      </c>
      <c r="AE340" t="s">
        <v>41</v>
      </c>
      <c r="AF340">
        <v>2.64E-2</v>
      </c>
      <c r="AH340" t="s">
        <v>209</v>
      </c>
      <c r="AJ340">
        <v>7.2167818909941077E-3</v>
      </c>
      <c r="AK340">
        <v>7.2167818909941077E-3</v>
      </c>
      <c r="AL340">
        <v>0</v>
      </c>
      <c r="AQ340">
        <v>1.9052304192224444E-4</v>
      </c>
    </row>
    <row r="341" spans="1:43" x14ac:dyDescent="0.2">
      <c r="A341">
        <v>339</v>
      </c>
      <c r="B341">
        <v>149</v>
      </c>
      <c r="C341">
        <v>2</v>
      </c>
      <c r="D341">
        <v>1</v>
      </c>
      <c r="E341" t="s">
        <v>219</v>
      </c>
      <c r="F341" t="s">
        <v>60</v>
      </c>
      <c r="G341" t="s">
        <v>207</v>
      </c>
      <c r="H341">
        <v>7.5053285357868987E-4</v>
      </c>
      <c r="I341">
        <v>8.2446003443430341E-6</v>
      </c>
      <c r="J341">
        <v>0.13</v>
      </c>
      <c r="L341" s="1">
        <v>43073</v>
      </c>
      <c r="M341" s="1">
        <v>43024</v>
      </c>
      <c r="N341" s="1"/>
      <c r="R341">
        <v>1.4280494713243374E-3</v>
      </c>
      <c r="T341" t="s">
        <v>39</v>
      </c>
      <c r="V341">
        <v>398502957</v>
      </c>
      <c r="W341" t="s">
        <v>220</v>
      </c>
      <c r="X341" t="s">
        <v>221</v>
      </c>
      <c r="Y341">
        <v>400000000</v>
      </c>
      <c r="Z341" t="s">
        <v>31</v>
      </c>
      <c r="AA341">
        <v>4.8384642173204262E-3</v>
      </c>
      <c r="AB341">
        <v>99.625738999999996</v>
      </c>
      <c r="AC341" t="s">
        <v>52</v>
      </c>
      <c r="AE341" t="s">
        <v>41</v>
      </c>
      <c r="AF341">
        <v>2.76E-2</v>
      </c>
      <c r="AH341" t="s">
        <v>209</v>
      </c>
      <c r="AJ341">
        <v>5.7733296429129987E-3</v>
      </c>
      <c r="AK341">
        <v>5.7733296429129987E-3</v>
      </c>
      <c r="AL341">
        <v>0</v>
      </c>
      <c r="AQ341">
        <v>1.5934389814439877E-4</v>
      </c>
    </row>
    <row r="342" spans="1:43" x14ac:dyDescent="0.2">
      <c r="A342">
        <v>340</v>
      </c>
      <c r="B342">
        <v>149</v>
      </c>
      <c r="C342">
        <v>2</v>
      </c>
      <c r="D342">
        <v>1</v>
      </c>
      <c r="E342" t="s">
        <v>219</v>
      </c>
      <c r="F342" t="s">
        <v>60</v>
      </c>
      <c r="G342" t="s">
        <v>207</v>
      </c>
      <c r="H342">
        <v>8.0808098642980782E-4</v>
      </c>
      <c r="I342">
        <v>8.2427116104166854E-6</v>
      </c>
      <c r="J342">
        <v>0.14000000000000001</v>
      </c>
      <c r="L342" s="1">
        <v>43076</v>
      </c>
      <c r="M342" s="1">
        <v>43024</v>
      </c>
      <c r="N342" s="1"/>
      <c r="R342">
        <v>1.4280494713243374E-3</v>
      </c>
      <c r="T342" t="s">
        <v>39</v>
      </c>
      <c r="V342">
        <v>398411665</v>
      </c>
      <c r="W342" t="s">
        <v>220</v>
      </c>
      <c r="X342" t="s">
        <v>221</v>
      </c>
      <c r="Y342">
        <v>400000000</v>
      </c>
      <c r="Z342" t="s">
        <v>31</v>
      </c>
      <c r="AA342">
        <v>4.8373557862095174E-3</v>
      </c>
      <c r="AB342">
        <v>99.602915999999993</v>
      </c>
      <c r="AC342" t="s">
        <v>52</v>
      </c>
      <c r="AE342" t="s">
        <v>41</v>
      </c>
      <c r="AF342">
        <v>2.76E-2</v>
      </c>
      <c r="AH342" t="s">
        <v>209</v>
      </c>
      <c r="AJ342">
        <v>5.7720070459271978E-3</v>
      </c>
      <c r="AK342">
        <v>5.7720070459271978E-3</v>
      </c>
      <c r="AL342">
        <v>0</v>
      </c>
      <c r="AQ342">
        <v>1.5930739446759067E-4</v>
      </c>
    </row>
    <row r="343" spans="1:43" x14ac:dyDescent="0.2">
      <c r="A343">
        <v>341</v>
      </c>
      <c r="B343">
        <v>149</v>
      </c>
      <c r="C343">
        <v>2</v>
      </c>
      <c r="D343">
        <v>1</v>
      </c>
      <c r="E343" t="s">
        <v>204</v>
      </c>
      <c r="F343" t="s">
        <v>60</v>
      </c>
      <c r="G343" t="s">
        <v>207</v>
      </c>
      <c r="H343">
        <v>5.2920168213833245E-4</v>
      </c>
      <c r="I343">
        <v>5.3980441600113976E-6</v>
      </c>
      <c r="J343">
        <v>0.14000000000000001</v>
      </c>
      <c r="L343" s="1">
        <v>43076</v>
      </c>
      <c r="M343" s="1">
        <v>43024</v>
      </c>
      <c r="N343" s="1"/>
      <c r="R343">
        <v>1.4280494713243374E-3</v>
      </c>
      <c r="T343" t="s">
        <v>39</v>
      </c>
      <c r="V343">
        <v>260914595</v>
      </c>
      <c r="W343" t="s">
        <v>200</v>
      </c>
      <c r="X343" t="s">
        <v>214</v>
      </c>
      <c r="Y343">
        <v>262000000</v>
      </c>
      <c r="Z343" t="s">
        <v>31</v>
      </c>
      <c r="AA343">
        <v>3.1679211145330365E-3</v>
      </c>
      <c r="AB343">
        <v>99.585723000000002</v>
      </c>
      <c r="AC343" t="s">
        <v>52</v>
      </c>
      <c r="AE343" t="s">
        <v>41</v>
      </c>
      <c r="AF343">
        <v>2.8799999999999999E-2</v>
      </c>
      <c r="AH343" t="s">
        <v>209</v>
      </c>
      <c r="AJ343">
        <v>3.7800120152738028E-3</v>
      </c>
      <c r="AK343">
        <v>3.7800120152738028E-3</v>
      </c>
      <c r="AL343">
        <v>0</v>
      </c>
      <c r="AQ343">
        <v>1.0886434603988551E-4</v>
      </c>
    </row>
    <row r="344" spans="1:43" x14ac:dyDescent="0.2">
      <c r="A344">
        <v>342</v>
      </c>
      <c r="B344">
        <v>149</v>
      </c>
      <c r="C344">
        <v>2</v>
      </c>
      <c r="D344">
        <v>2</v>
      </c>
      <c r="E344" t="s">
        <v>215</v>
      </c>
      <c r="F344" t="s">
        <v>60</v>
      </c>
      <c r="G344" t="s">
        <v>207</v>
      </c>
      <c r="H344">
        <v>2.2869277900517578E-3</v>
      </c>
      <c r="I344">
        <v>2.3327471582431053E-5</v>
      </c>
      <c r="J344">
        <v>0.14000000000000001</v>
      </c>
      <c r="L344" s="1">
        <v>43076</v>
      </c>
      <c r="M344" s="1">
        <v>43024</v>
      </c>
      <c r="R344">
        <v>1.4280494713243374E-3</v>
      </c>
      <c r="T344" t="s">
        <v>39</v>
      </c>
      <c r="V344">
        <v>1127533903</v>
      </c>
      <c r="W344" t="s">
        <v>216</v>
      </c>
      <c r="X344" t="s">
        <v>217</v>
      </c>
      <c r="Y344">
        <v>1132500000</v>
      </c>
      <c r="Z344" t="s">
        <v>31</v>
      </c>
      <c r="AA344">
        <v>1.3690067658597422E-2</v>
      </c>
      <c r="AB344">
        <v>99.561492000000001</v>
      </c>
      <c r="AC344" t="s">
        <v>52</v>
      </c>
      <c r="AE344" t="s">
        <v>41</v>
      </c>
      <c r="AF344">
        <v>0.03</v>
      </c>
      <c r="AH344" t="s">
        <v>209</v>
      </c>
      <c r="AJ344">
        <v>1.6335198500369696E-2</v>
      </c>
      <c r="AK344">
        <v>1.6335198500369696E-2</v>
      </c>
      <c r="AL344">
        <v>0</v>
      </c>
      <c r="AQ344">
        <v>4.9005595501109081E-4</v>
      </c>
    </row>
    <row r="345" spans="1:43" x14ac:dyDescent="0.2">
      <c r="A345">
        <v>343</v>
      </c>
      <c r="B345">
        <v>149</v>
      </c>
      <c r="C345">
        <v>2</v>
      </c>
      <c r="D345">
        <v>1</v>
      </c>
      <c r="E345" t="s">
        <v>246</v>
      </c>
      <c r="F345" t="s">
        <v>60</v>
      </c>
      <c r="G345" t="s">
        <v>207</v>
      </c>
      <c r="H345">
        <v>7.2195150823158808E-4</v>
      </c>
      <c r="I345">
        <v>1.0309824696519273E-5</v>
      </c>
      <c r="J345">
        <v>0.1</v>
      </c>
      <c r="L345" s="1">
        <v>43060</v>
      </c>
      <c r="M345" s="1">
        <v>43024</v>
      </c>
      <c r="R345">
        <v>1.4280494713243374E-3</v>
      </c>
      <c r="T345" t="s">
        <v>39</v>
      </c>
      <c r="V345">
        <v>498325626</v>
      </c>
      <c r="W345" t="s">
        <v>247</v>
      </c>
      <c r="X345" t="s">
        <v>261</v>
      </c>
      <c r="Y345">
        <v>500000000</v>
      </c>
      <c r="Z345" t="s">
        <v>31</v>
      </c>
      <c r="AA345">
        <v>6.0504713142562738E-3</v>
      </c>
      <c r="AB345">
        <v>99.665125000000003</v>
      </c>
      <c r="AC345" t="s">
        <v>142</v>
      </c>
      <c r="AE345" t="s">
        <v>41</v>
      </c>
      <c r="AF345">
        <v>3.3599999999999998E-2</v>
      </c>
      <c r="AH345" t="s">
        <v>209</v>
      </c>
      <c r="AJ345">
        <v>7.2195150823158799E-3</v>
      </c>
      <c r="AK345">
        <v>7.2195150823158799E-3</v>
      </c>
      <c r="AL345">
        <v>0</v>
      </c>
      <c r="AN345" t="s">
        <v>146</v>
      </c>
      <c r="AQ345">
        <v>2.4257570676581355E-4</v>
      </c>
    </row>
    <row r="346" spans="1:43" x14ac:dyDescent="0.2">
      <c r="A346">
        <v>344</v>
      </c>
      <c r="B346">
        <v>150</v>
      </c>
      <c r="C346">
        <v>2</v>
      </c>
      <c r="D346">
        <v>1</v>
      </c>
      <c r="E346" t="s">
        <v>254</v>
      </c>
      <c r="F346" t="s">
        <v>60</v>
      </c>
      <c r="G346" t="s">
        <v>207</v>
      </c>
      <c r="H346">
        <v>3.4270333059042584E-3</v>
      </c>
      <c r="I346">
        <v>1.6840913762847856E-5</v>
      </c>
      <c r="J346">
        <v>0.48</v>
      </c>
      <c r="L346" s="1">
        <v>43199</v>
      </c>
      <c r="M346" s="1">
        <v>43024</v>
      </c>
      <c r="R346">
        <v>2.3587861233329969E-3</v>
      </c>
      <c r="T346" t="s">
        <v>39</v>
      </c>
      <c r="V346">
        <v>492813142</v>
      </c>
      <c r="W346" t="s">
        <v>249</v>
      </c>
      <c r="X346" t="s">
        <v>255</v>
      </c>
      <c r="Y346">
        <v>500000000</v>
      </c>
      <c r="Z346" t="s">
        <v>31</v>
      </c>
      <c r="AA346">
        <v>9.8833363929433076E-3</v>
      </c>
      <c r="AB346">
        <v>98.562628000000004</v>
      </c>
      <c r="AC346" t="s">
        <v>52</v>
      </c>
      <c r="AE346" t="s">
        <v>41</v>
      </c>
      <c r="AF346">
        <v>0.03</v>
      </c>
      <c r="AH346" t="s">
        <v>209</v>
      </c>
      <c r="AJ346">
        <v>7.1396527206338718E-3</v>
      </c>
      <c r="AK346">
        <v>7.1396527206338718E-3</v>
      </c>
      <c r="AL346">
        <v>0</v>
      </c>
      <c r="AQ346">
        <v>2.1418958161901615E-4</v>
      </c>
    </row>
    <row r="347" spans="1:43" x14ac:dyDescent="0.2">
      <c r="A347">
        <v>345</v>
      </c>
      <c r="B347">
        <v>150</v>
      </c>
      <c r="C347">
        <v>2</v>
      </c>
      <c r="D347">
        <v>1</v>
      </c>
      <c r="E347" t="s">
        <v>254</v>
      </c>
      <c r="F347" t="s">
        <v>60</v>
      </c>
      <c r="G347" t="s">
        <v>207</v>
      </c>
      <c r="H347">
        <v>2.0523024687715683E-4</v>
      </c>
      <c r="I347">
        <v>1.0085297050459221E-6</v>
      </c>
      <c r="J347">
        <v>0.48</v>
      </c>
      <c r="L347" s="1">
        <v>43201</v>
      </c>
      <c r="M347" s="1">
        <v>43024</v>
      </c>
      <c r="R347">
        <v>2.3587861233329969E-3</v>
      </c>
      <c r="T347" t="s">
        <v>39</v>
      </c>
      <c r="V347">
        <v>29512454</v>
      </c>
      <c r="W347" t="s">
        <v>249</v>
      </c>
      <c r="X347" t="s">
        <v>255</v>
      </c>
      <c r="Y347">
        <v>30000000</v>
      </c>
      <c r="Z347" t="s">
        <v>31</v>
      </c>
      <c r="AA347">
        <v>5.9187039834109219E-4</v>
      </c>
      <c r="AB347">
        <v>98.374846000000005</v>
      </c>
      <c r="AC347" t="s">
        <v>52</v>
      </c>
      <c r="AE347" t="s">
        <v>41</v>
      </c>
      <c r="AF347">
        <v>3.3599999999999998E-2</v>
      </c>
      <c r="AH347" t="s">
        <v>209</v>
      </c>
      <c r="AJ347">
        <v>4.2756301432741008E-4</v>
      </c>
      <c r="AK347">
        <v>4.2756301432741008E-4</v>
      </c>
      <c r="AL347">
        <v>0</v>
      </c>
      <c r="AQ347">
        <v>1.4366117281400978E-5</v>
      </c>
    </row>
    <row r="348" spans="1:43" x14ac:dyDescent="0.2">
      <c r="A348">
        <v>346</v>
      </c>
      <c r="B348">
        <v>150</v>
      </c>
      <c r="C348">
        <v>2</v>
      </c>
      <c r="D348">
        <v>1</v>
      </c>
      <c r="E348" t="s">
        <v>210</v>
      </c>
      <c r="F348" t="s">
        <v>60</v>
      </c>
      <c r="G348" t="s">
        <v>207</v>
      </c>
      <c r="H348">
        <v>6.0102420460377112E-4</v>
      </c>
      <c r="I348">
        <v>3.3754465562062553E-6</v>
      </c>
      <c r="J348">
        <v>0.42</v>
      </c>
      <c r="L348" s="1">
        <v>43179</v>
      </c>
      <c r="M348" s="1">
        <v>43024</v>
      </c>
      <c r="R348">
        <v>2.3587861233329969E-3</v>
      </c>
      <c r="T348" t="s">
        <v>39</v>
      </c>
      <c r="V348">
        <v>98775188</v>
      </c>
      <c r="W348" t="s">
        <v>211</v>
      </c>
      <c r="X348" t="s">
        <v>212</v>
      </c>
      <c r="Y348">
        <v>100000000</v>
      </c>
      <c r="Z348" t="s">
        <v>31</v>
      </c>
      <c r="AA348">
        <v>1.9809301479225103E-3</v>
      </c>
      <c r="AB348">
        <v>98.775188</v>
      </c>
      <c r="AC348" t="s">
        <v>52</v>
      </c>
      <c r="AE348" t="s">
        <v>41</v>
      </c>
      <c r="AF348">
        <v>2.8799999999999999E-2</v>
      </c>
      <c r="AH348" t="s">
        <v>209</v>
      </c>
      <c r="AJ348">
        <v>1.4310100109613598E-3</v>
      </c>
      <c r="AK348">
        <v>1.4310100109613598E-3</v>
      </c>
      <c r="AL348">
        <v>0</v>
      </c>
      <c r="AQ348">
        <v>4.1213088315687161E-5</v>
      </c>
    </row>
    <row r="349" spans="1:43" x14ac:dyDescent="0.2">
      <c r="A349">
        <v>347</v>
      </c>
      <c r="B349">
        <v>150</v>
      </c>
      <c r="C349">
        <v>2</v>
      </c>
      <c r="D349">
        <v>1</v>
      </c>
      <c r="E349" t="s">
        <v>259</v>
      </c>
      <c r="F349" t="s">
        <v>60</v>
      </c>
      <c r="G349" t="s">
        <v>207</v>
      </c>
      <c r="H349">
        <v>1.3137263110692015E-3</v>
      </c>
      <c r="I349">
        <v>6.7365204182771313E-6</v>
      </c>
      <c r="J349">
        <v>0.46</v>
      </c>
      <c r="L349" s="1">
        <v>43192</v>
      </c>
      <c r="M349" s="1">
        <v>43024</v>
      </c>
      <c r="R349">
        <v>2.3587861233329969E-3</v>
      </c>
      <c r="T349" t="s">
        <v>39</v>
      </c>
      <c r="V349">
        <v>197129790</v>
      </c>
      <c r="W349" t="s">
        <v>259</v>
      </c>
      <c r="X349" t="s">
        <v>260</v>
      </c>
      <c r="Y349">
        <v>200000000</v>
      </c>
      <c r="Z349" t="s">
        <v>31</v>
      </c>
      <c r="AA349">
        <v>3.9534254702166035E-3</v>
      </c>
      <c r="AB349">
        <v>98.564895000000007</v>
      </c>
      <c r="AC349" t="s">
        <v>52</v>
      </c>
      <c r="AE349" t="s">
        <v>41</v>
      </c>
      <c r="AF349">
        <v>3.1199999999999999E-2</v>
      </c>
      <c r="AH349" t="s">
        <v>209</v>
      </c>
      <c r="AJ349">
        <v>2.855926763193916E-3</v>
      </c>
      <c r="AK349">
        <v>2.855926763193916E-3</v>
      </c>
      <c r="AL349">
        <v>0</v>
      </c>
      <c r="AQ349">
        <v>8.9104915011650182E-5</v>
      </c>
    </row>
    <row r="350" spans="1:43" x14ac:dyDescent="0.2">
      <c r="A350">
        <v>348</v>
      </c>
      <c r="B350">
        <v>150</v>
      </c>
      <c r="C350">
        <v>2</v>
      </c>
      <c r="D350">
        <v>1</v>
      </c>
      <c r="E350" t="s">
        <v>222</v>
      </c>
      <c r="F350" t="s">
        <v>60</v>
      </c>
      <c r="G350" t="s">
        <v>207</v>
      </c>
      <c r="H350">
        <v>3.2142904824317984E-3</v>
      </c>
      <c r="I350">
        <v>1.6848497302936554E-5</v>
      </c>
      <c r="J350">
        <v>0.45</v>
      </c>
      <c r="L350" s="1">
        <v>43187</v>
      </c>
      <c r="M350" s="1">
        <v>43024</v>
      </c>
      <c r="R350">
        <v>2.3587861233329969E-3</v>
      </c>
      <c r="T350" t="s">
        <v>39</v>
      </c>
      <c r="V350">
        <v>493035058</v>
      </c>
      <c r="W350" t="s">
        <v>223</v>
      </c>
      <c r="X350" t="s">
        <v>224</v>
      </c>
      <c r="Y350">
        <v>500000000</v>
      </c>
      <c r="Z350" t="s">
        <v>31</v>
      </c>
      <c r="AA350">
        <v>9.8877869042873733E-3</v>
      </c>
      <c r="AB350">
        <v>98.607011</v>
      </c>
      <c r="AC350" t="s">
        <v>218</v>
      </c>
      <c r="AE350" t="s">
        <v>41</v>
      </c>
      <c r="AF350">
        <v>3.1199999999999999E-2</v>
      </c>
      <c r="AH350" t="s">
        <v>209</v>
      </c>
      <c r="AJ350">
        <v>7.1428677387373298E-3</v>
      </c>
      <c r="AK350">
        <v>7.1428677387373298E-3</v>
      </c>
      <c r="AL350">
        <v>0</v>
      </c>
      <c r="AQ350">
        <v>2.2285747344860467E-4</v>
      </c>
    </row>
    <row r="351" spans="1:43" x14ac:dyDescent="0.2">
      <c r="A351">
        <v>349</v>
      </c>
      <c r="B351">
        <v>150</v>
      </c>
      <c r="C351">
        <v>2</v>
      </c>
      <c r="D351">
        <v>1</v>
      </c>
      <c r="E351" t="s">
        <v>1250</v>
      </c>
      <c r="F351" t="s">
        <v>60</v>
      </c>
      <c r="G351" t="s">
        <v>207</v>
      </c>
      <c r="H351">
        <v>9.8430154499404635E-4</v>
      </c>
      <c r="I351">
        <v>5.3994344779236885E-6</v>
      </c>
      <c r="J351">
        <v>0.43</v>
      </c>
      <c r="L351" s="1">
        <v>43182</v>
      </c>
      <c r="M351" s="1">
        <v>43024</v>
      </c>
      <c r="R351">
        <v>2.3587861233329969E-3</v>
      </c>
      <c r="T351" t="s">
        <v>39</v>
      </c>
      <c r="V351">
        <v>158002844</v>
      </c>
      <c r="W351" t="s">
        <v>220</v>
      </c>
      <c r="X351" t="s">
        <v>1251</v>
      </c>
      <c r="Y351">
        <v>160000000</v>
      </c>
      <c r="Z351" t="s">
        <v>31</v>
      </c>
      <c r="AA351">
        <v>3.1687370429211159E-3</v>
      </c>
      <c r="AB351">
        <v>98.751777000000004</v>
      </c>
      <c r="AC351" t="s">
        <v>52</v>
      </c>
      <c r="AE351" t="s">
        <v>41</v>
      </c>
      <c r="AF351">
        <v>2.8799999999999999E-2</v>
      </c>
      <c r="AH351" t="s">
        <v>209</v>
      </c>
      <c r="AJ351">
        <v>2.2890733604512708E-3</v>
      </c>
      <c r="AK351">
        <v>2.2890733604512708E-3</v>
      </c>
      <c r="AL351">
        <v>0</v>
      </c>
      <c r="AQ351">
        <v>6.5925312780996595E-5</v>
      </c>
    </row>
    <row r="352" spans="1:43" x14ac:dyDescent="0.2">
      <c r="A352">
        <v>350</v>
      </c>
      <c r="B352">
        <v>150</v>
      </c>
      <c r="C352">
        <v>2</v>
      </c>
      <c r="D352">
        <v>1</v>
      </c>
      <c r="E352" t="s">
        <v>219</v>
      </c>
      <c r="F352" t="s">
        <v>60</v>
      </c>
      <c r="G352" t="s">
        <v>207</v>
      </c>
      <c r="H352">
        <v>4.6115150712476262E-4</v>
      </c>
      <c r="I352">
        <v>2.5296692459534599E-6</v>
      </c>
      <c r="J352">
        <v>0.43</v>
      </c>
      <c r="L352" s="1">
        <v>43182</v>
      </c>
      <c r="M352" s="1">
        <v>43024</v>
      </c>
      <c r="R352">
        <v>2.3587861233329969E-3</v>
      </c>
      <c r="T352" t="s">
        <v>39</v>
      </c>
      <c r="V352">
        <v>74025333</v>
      </c>
      <c r="W352" t="s">
        <v>220</v>
      </c>
      <c r="X352" t="s">
        <v>221</v>
      </c>
      <c r="Y352">
        <v>75000000</v>
      </c>
      <c r="Z352" t="s">
        <v>31</v>
      </c>
      <c r="AA352">
        <v>1.4845733712974868E-3</v>
      </c>
      <c r="AB352">
        <v>98.700444000000005</v>
      </c>
      <c r="AC352" t="s">
        <v>52</v>
      </c>
      <c r="AE352" t="s">
        <v>41</v>
      </c>
      <c r="AF352">
        <v>0.03</v>
      </c>
      <c r="AH352" t="s">
        <v>209</v>
      </c>
      <c r="AJ352">
        <v>1.0724453654064247E-3</v>
      </c>
      <c r="AK352">
        <v>1.0724453654064247E-3</v>
      </c>
      <c r="AL352">
        <v>0</v>
      </c>
      <c r="AQ352">
        <v>3.2173360962192738E-5</v>
      </c>
    </row>
    <row r="353" spans="1:43" x14ac:dyDescent="0.2">
      <c r="A353">
        <v>351</v>
      </c>
      <c r="B353">
        <v>150</v>
      </c>
      <c r="C353">
        <v>2</v>
      </c>
      <c r="D353">
        <v>2</v>
      </c>
      <c r="E353" t="s">
        <v>225</v>
      </c>
      <c r="F353" t="s">
        <v>60</v>
      </c>
      <c r="G353" t="s">
        <v>207</v>
      </c>
      <c r="H353">
        <v>1.201230403283363E-3</v>
      </c>
      <c r="I353">
        <v>6.7462990623583249E-6</v>
      </c>
      <c r="J353">
        <v>0.42</v>
      </c>
      <c r="L353" s="1">
        <v>43178</v>
      </c>
      <c r="M353" s="1">
        <v>43024</v>
      </c>
      <c r="R353">
        <v>2.3587861233329969E-3</v>
      </c>
      <c r="T353" t="s">
        <v>39</v>
      </c>
      <c r="V353">
        <v>197415941</v>
      </c>
      <c r="W353" t="s">
        <v>226</v>
      </c>
      <c r="X353" t="s">
        <v>227</v>
      </c>
      <c r="Y353">
        <v>200000000</v>
      </c>
      <c r="Z353" t="s">
        <v>31</v>
      </c>
      <c r="AA353">
        <v>3.9591642104228799E-3</v>
      </c>
      <c r="AB353">
        <v>98.707970000000003</v>
      </c>
      <c r="AC353" t="s">
        <v>52</v>
      </c>
      <c r="AE353" t="s">
        <v>41</v>
      </c>
      <c r="AF353">
        <v>3.0599999999999999E-2</v>
      </c>
      <c r="AH353" t="s">
        <v>209</v>
      </c>
      <c r="AJ353">
        <v>2.8600723887699121E-3</v>
      </c>
      <c r="AK353">
        <v>2.8600723887699121E-3</v>
      </c>
      <c r="AL353">
        <v>0</v>
      </c>
      <c r="AQ353">
        <v>8.7518215096359301E-5</v>
      </c>
    </row>
    <row r="354" spans="1:43" x14ac:dyDescent="0.2">
      <c r="A354">
        <v>352</v>
      </c>
      <c r="B354">
        <v>150</v>
      </c>
      <c r="C354">
        <v>2</v>
      </c>
      <c r="D354">
        <v>1</v>
      </c>
      <c r="E354" t="s">
        <v>225</v>
      </c>
      <c r="F354" t="s">
        <v>60</v>
      </c>
      <c r="G354" t="s">
        <v>207</v>
      </c>
      <c r="H354">
        <v>1.0485677975865517E-3</v>
      </c>
      <c r="I354">
        <v>5.0476472863693906E-6</v>
      </c>
      <c r="J354">
        <v>0.49</v>
      </c>
      <c r="L354" s="1">
        <v>43203</v>
      </c>
      <c r="M354" s="1">
        <v>43024</v>
      </c>
      <c r="R354">
        <v>2.3587861233329969E-3</v>
      </c>
      <c r="T354" t="s">
        <v>39</v>
      </c>
      <c r="V354">
        <v>147708548</v>
      </c>
      <c r="W354" t="s">
        <v>226</v>
      </c>
      <c r="X354" t="s">
        <v>227</v>
      </c>
      <c r="Y354">
        <v>150000000</v>
      </c>
      <c r="Z354" t="s">
        <v>31</v>
      </c>
      <c r="AA354">
        <v>2.9622855877435459E-3</v>
      </c>
      <c r="AB354">
        <v>98.472364999999996</v>
      </c>
      <c r="AC354" t="s">
        <v>52</v>
      </c>
      <c r="AE354" t="s">
        <v>41</v>
      </c>
      <c r="AF354">
        <v>3.1199999999999999E-2</v>
      </c>
      <c r="AH354" t="s">
        <v>209</v>
      </c>
      <c r="AJ354">
        <v>2.1399342807888813E-3</v>
      </c>
      <c r="AK354">
        <v>2.1399342807888813E-3</v>
      </c>
      <c r="AL354">
        <v>0</v>
      </c>
      <c r="AQ354">
        <v>6.6765949560613098E-5</v>
      </c>
    </row>
    <row r="355" spans="1:43" x14ac:dyDescent="0.2">
      <c r="A355">
        <v>353</v>
      </c>
      <c r="B355">
        <v>150</v>
      </c>
      <c r="C355">
        <v>2</v>
      </c>
      <c r="D355">
        <v>2</v>
      </c>
      <c r="E355" t="s">
        <v>215</v>
      </c>
      <c r="F355" t="s">
        <v>60</v>
      </c>
      <c r="G355" t="s">
        <v>207</v>
      </c>
      <c r="H355">
        <v>2.4006366658295831E-3</v>
      </c>
      <c r="I355">
        <v>1.3482353463150509E-5</v>
      </c>
      <c r="J355">
        <v>0.42</v>
      </c>
      <c r="L355" s="1">
        <v>43178</v>
      </c>
      <c r="M355" s="1">
        <v>43024</v>
      </c>
      <c r="R355">
        <v>2.3587861233329969E-3</v>
      </c>
      <c r="T355" t="s">
        <v>39</v>
      </c>
      <c r="V355">
        <v>394532094</v>
      </c>
      <c r="W355" t="s">
        <v>216</v>
      </c>
      <c r="X355" t="s">
        <v>217</v>
      </c>
      <c r="Y355">
        <v>400000000</v>
      </c>
      <c r="Z355" t="s">
        <v>31</v>
      </c>
      <c r="AA355">
        <v>7.912316191467008E-3</v>
      </c>
      <c r="AB355">
        <v>98.633022999999994</v>
      </c>
      <c r="AC355" t="s">
        <v>52</v>
      </c>
      <c r="AE355" t="s">
        <v>41</v>
      </c>
      <c r="AF355">
        <v>3.1199999999999999E-2</v>
      </c>
      <c r="AH355" t="s">
        <v>209</v>
      </c>
      <c r="AJ355">
        <v>5.7158015853085312E-3</v>
      </c>
      <c r="AK355">
        <v>5.7158015853085312E-3</v>
      </c>
      <c r="AL355">
        <v>0</v>
      </c>
      <c r="AQ355">
        <v>1.7833300946162617E-4</v>
      </c>
    </row>
    <row r="356" spans="1:43" x14ac:dyDescent="0.2">
      <c r="A356">
        <v>354</v>
      </c>
      <c r="B356">
        <v>150</v>
      </c>
      <c r="C356">
        <v>2</v>
      </c>
      <c r="D356">
        <v>2</v>
      </c>
      <c r="E356" t="s">
        <v>215</v>
      </c>
      <c r="F356" t="s">
        <v>60</v>
      </c>
      <c r="G356" t="s">
        <v>207</v>
      </c>
      <c r="H356">
        <v>8.6101473773149053E-3</v>
      </c>
      <c r="I356">
        <v>4.7231386403400923E-5</v>
      </c>
      <c r="J356">
        <v>0.43</v>
      </c>
      <c r="L356" s="1">
        <v>43181</v>
      </c>
      <c r="M356" s="1">
        <v>43024</v>
      </c>
      <c r="R356">
        <v>2.3587861233329969E-3</v>
      </c>
      <c r="T356" t="s">
        <v>39</v>
      </c>
      <c r="V356">
        <v>1382125000</v>
      </c>
      <c r="W356" t="s">
        <v>216</v>
      </c>
      <c r="X356" t="s">
        <v>217</v>
      </c>
      <c r="Y356">
        <v>1400000000</v>
      </c>
      <c r="Z356" t="s">
        <v>31</v>
      </c>
      <c r="AA356">
        <v>2.7718429457177032E-2</v>
      </c>
      <c r="AB356">
        <v>98.723213999999999</v>
      </c>
      <c r="AC356" t="s">
        <v>52</v>
      </c>
      <c r="AE356" t="s">
        <v>41</v>
      </c>
      <c r="AF356">
        <v>3.1800000000000002E-2</v>
      </c>
      <c r="AH356" t="s">
        <v>209</v>
      </c>
      <c r="AJ356">
        <v>2.002359855189513E-2</v>
      </c>
      <c r="AK356">
        <v>2.002359855189513E-2</v>
      </c>
      <c r="AL356">
        <v>0</v>
      </c>
      <c r="AQ356">
        <v>6.3675043395026521E-4</v>
      </c>
    </row>
    <row r="357" spans="1:43" x14ac:dyDescent="0.2">
      <c r="A357">
        <v>355</v>
      </c>
      <c r="B357">
        <v>150</v>
      </c>
      <c r="C357">
        <v>2</v>
      </c>
      <c r="D357">
        <v>2</v>
      </c>
      <c r="E357" t="s">
        <v>215</v>
      </c>
      <c r="F357" t="s">
        <v>60</v>
      </c>
      <c r="G357" t="s">
        <v>207</v>
      </c>
      <c r="H357">
        <v>1.988685137237634E-3</v>
      </c>
      <c r="I357">
        <v>1.042418423421046E-5</v>
      </c>
      <c r="J357">
        <v>0.45</v>
      </c>
      <c r="L357" s="1">
        <v>43188</v>
      </c>
      <c r="M357" s="1">
        <v>43024</v>
      </c>
      <c r="R357">
        <v>2.3587861233329969E-3</v>
      </c>
      <c r="T357" t="s">
        <v>39</v>
      </c>
      <c r="V357">
        <v>305041345</v>
      </c>
      <c r="W357" t="s">
        <v>216</v>
      </c>
      <c r="X357" t="s">
        <v>217</v>
      </c>
      <c r="Y357">
        <v>309045625</v>
      </c>
      <c r="Z357" t="s">
        <v>31</v>
      </c>
      <c r="AA357">
        <v>6.1175848804593666E-3</v>
      </c>
      <c r="AB357">
        <v>98.704307</v>
      </c>
      <c r="AC357" t="s">
        <v>52</v>
      </c>
      <c r="AE357" t="s">
        <v>41</v>
      </c>
      <c r="AF357">
        <v>2.9399999999999999E-2</v>
      </c>
      <c r="AH357" t="s">
        <v>209</v>
      </c>
      <c r="AJ357">
        <v>4.4193003049725196E-3</v>
      </c>
      <c r="AK357">
        <v>4.4193003049725196E-3</v>
      </c>
      <c r="AL357">
        <v>0</v>
      </c>
      <c r="AQ357">
        <v>1.2992742896619208E-4</v>
      </c>
    </row>
    <row r="358" spans="1:43" x14ac:dyDescent="0.2">
      <c r="A358">
        <v>356</v>
      </c>
      <c r="B358">
        <v>151</v>
      </c>
      <c r="C358">
        <v>2</v>
      </c>
      <c r="D358">
        <v>1</v>
      </c>
      <c r="E358" t="s">
        <v>203</v>
      </c>
      <c r="F358" t="s">
        <v>60</v>
      </c>
      <c r="G358" t="s">
        <v>207</v>
      </c>
      <c r="H358">
        <v>9.0728976025937827E-4</v>
      </c>
      <c r="I358">
        <v>7.4285604595961402E-6</v>
      </c>
      <c r="J358">
        <v>0.21</v>
      </c>
      <c r="L358" s="1">
        <v>43102</v>
      </c>
      <c r="M358" s="1">
        <v>43024</v>
      </c>
      <c r="R358">
        <v>1.7194040590397639E-3</v>
      </c>
      <c r="T358" t="s">
        <v>39</v>
      </c>
      <c r="V358">
        <v>298216664</v>
      </c>
      <c r="W358" t="s">
        <v>181</v>
      </c>
      <c r="X358" t="s">
        <v>236</v>
      </c>
      <c r="Y358">
        <v>300000000</v>
      </c>
      <c r="Z358" t="s">
        <v>31</v>
      </c>
      <c r="AA358">
        <v>4.3595592835035573E-3</v>
      </c>
      <c r="AB358">
        <v>99.405553999999995</v>
      </c>
      <c r="AC358" t="s">
        <v>52</v>
      </c>
      <c r="AE358" t="s">
        <v>41</v>
      </c>
      <c r="AF358">
        <v>2.76E-2</v>
      </c>
      <c r="AH358" t="s">
        <v>209</v>
      </c>
      <c r="AJ358">
        <v>4.3204274298065636E-3</v>
      </c>
      <c r="AK358">
        <v>4.3204274298065636E-3</v>
      </c>
      <c r="AL358">
        <v>0</v>
      </c>
      <c r="AQ358">
        <v>1.1924379706266115E-4</v>
      </c>
    </row>
    <row r="359" spans="1:43" x14ac:dyDescent="0.2">
      <c r="A359">
        <v>357</v>
      </c>
      <c r="B359">
        <v>151</v>
      </c>
      <c r="C359">
        <v>2</v>
      </c>
      <c r="D359">
        <v>2</v>
      </c>
      <c r="E359" t="s">
        <v>203</v>
      </c>
      <c r="F359" t="s">
        <v>60</v>
      </c>
      <c r="G359" t="s">
        <v>207</v>
      </c>
      <c r="H359">
        <v>1.3407774460971647E-3</v>
      </c>
      <c r="I359">
        <v>1.002320949168884E-5</v>
      </c>
      <c r="J359">
        <v>0.23</v>
      </c>
      <c r="L359" s="1">
        <v>43109</v>
      </c>
      <c r="M359" s="1">
        <v>43024</v>
      </c>
      <c r="R359">
        <v>1.7194040590397639E-3</v>
      </c>
      <c r="T359" t="s">
        <v>39</v>
      </c>
      <c r="V359">
        <v>402377838</v>
      </c>
      <c r="W359" t="s">
        <v>181</v>
      </c>
      <c r="X359" t="s">
        <v>236</v>
      </c>
      <c r="Y359">
        <v>405000000</v>
      </c>
      <c r="Z359" t="s">
        <v>31</v>
      </c>
      <c r="AA359">
        <v>5.8822669920584681E-3</v>
      </c>
      <c r="AB359">
        <v>99.352552000000003</v>
      </c>
      <c r="AC359" t="s">
        <v>52</v>
      </c>
      <c r="AE359" t="s">
        <v>41</v>
      </c>
      <c r="AF359">
        <v>2.76E-2</v>
      </c>
      <c r="AH359" t="s">
        <v>209</v>
      </c>
      <c r="AJ359">
        <v>5.8294671569441943E-3</v>
      </c>
      <c r="AK359">
        <v>5.8294671569441943E-3</v>
      </c>
      <c r="AL359">
        <v>0</v>
      </c>
      <c r="AQ359">
        <v>1.6089329353165976E-4</v>
      </c>
    </row>
    <row r="360" spans="1:43" x14ac:dyDescent="0.2">
      <c r="A360">
        <v>358</v>
      </c>
      <c r="B360">
        <v>151</v>
      </c>
      <c r="C360">
        <v>2</v>
      </c>
      <c r="D360">
        <v>1</v>
      </c>
      <c r="E360" t="s">
        <v>206</v>
      </c>
      <c r="F360" t="s">
        <v>60</v>
      </c>
      <c r="G360" t="s">
        <v>207</v>
      </c>
      <c r="H360">
        <v>1.3341563230793386E-3</v>
      </c>
      <c r="I360">
        <v>9.9737121621573107E-6</v>
      </c>
      <c r="J360">
        <v>0.23</v>
      </c>
      <c r="L360" s="1">
        <v>43109</v>
      </c>
      <c r="M360" s="1">
        <v>43024</v>
      </c>
      <c r="R360">
        <v>1.7194040590397639E-3</v>
      </c>
      <c r="T360" t="s">
        <v>39</v>
      </c>
      <c r="V360">
        <v>400390787</v>
      </c>
      <c r="W360" t="s">
        <v>206</v>
      </c>
      <c r="X360" t="s">
        <v>208</v>
      </c>
      <c r="Y360">
        <v>403000000</v>
      </c>
      <c r="Z360" t="s">
        <v>31</v>
      </c>
      <c r="AA360">
        <v>5.8532187607569291E-3</v>
      </c>
      <c r="AB360">
        <v>99.352552000000003</v>
      </c>
      <c r="AC360" t="s">
        <v>52</v>
      </c>
      <c r="AE360" t="s">
        <v>41</v>
      </c>
      <c r="AF360">
        <v>2.76E-2</v>
      </c>
      <c r="AH360" t="s">
        <v>209</v>
      </c>
      <c r="AJ360">
        <v>5.8006796655623418E-3</v>
      </c>
      <c r="AK360">
        <v>5.8006796655623418E-3</v>
      </c>
      <c r="AL360">
        <v>0</v>
      </c>
      <c r="AQ360">
        <v>1.6009875876952064E-4</v>
      </c>
    </row>
    <row r="361" spans="1:43" x14ac:dyDescent="0.2">
      <c r="A361">
        <v>359</v>
      </c>
      <c r="B361">
        <v>151</v>
      </c>
      <c r="C361">
        <v>2</v>
      </c>
      <c r="D361">
        <v>2</v>
      </c>
      <c r="E361" t="s">
        <v>250</v>
      </c>
      <c r="F361" t="s">
        <v>60</v>
      </c>
      <c r="G361" t="s">
        <v>207</v>
      </c>
      <c r="H361">
        <v>9.9316847933096685E-4</v>
      </c>
      <c r="I361">
        <v>7.4245996290087577E-6</v>
      </c>
      <c r="J361">
        <v>0.23</v>
      </c>
      <c r="L361" s="1">
        <v>43109</v>
      </c>
      <c r="M361" s="1">
        <v>43024</v>
      </c>
      <c r="R361">
        <v>1.7194040590397639E-3</v>
      </c>
      <c r="T361" t="s">
        <v>39</v>
      </c>
      <c r="V361">
        <v>298057658</v>
      </c>
      <c r="W361" t="s">
        <v>250</v>
      </c>
      <c r="X361" t="s">
        <v>258</v>
      </c>
      <c r="Y361">
        <v>300000000</v>
      </c>
      <c r="Z361" t="s">
        <v>31</v>
      </c>
      <c r="AA361">
        <v>4.3572348121808128E-3</v>
      </c>
      <c r="AB361">
        <v>99.352552000000003</v>
      </c>
      <c r="AC361" t="s">
        <v>52</v>
      </c>
      <c r="AE361" t="s">
        <v>41</v>
      </c>
      <c r="AF361">
        <v>2.76E-2</v>
      </c>
      <c r="AH361" t="s">
        <v>209</v>
      </c>
      <c r="AJ361">
        <v>4.3181238231781169E-3</v>
      </c>
      <c r="AK361">
        <v>4.3181238231781169E-3</v>
      </c>
      <c r="AL361">
        <v>0</v>
      </c>
      <c r="AQ361">
        <v>1.1918021751971602E-4</v>
      </c>
    </row>
    <row r="362" spans="1:43" x14ac:dyDescent="0.2">
      <c r="A362">
        <v>360</v>
      </c>
      <c r="B362">
        <v>151</v>
      </c>
      <c r="C362">
        <v>2</v>
      </c>
      <c r="D362">
        <v>1</v>
      </c>
      <c r="E362" t="s">
        <v>250</v>
      </c>
      <c r="F362" t="s">
        <v>60</v>
      </c>
      <c r="G362" t="s">
        <v>207</v>
      </c>
      <c r="H362">
        <v>1.1744402196599028E-3</v>
      </c>
      <c r="I362">
        <v>8.4139053365949533E-6</v>
      </c>
      <c r="J362">
        <v>0.24</v>
      </c>
      <c r="L362" s="1">
        <v>43110</v>
      </c>
      <c r="M362" s="1">
        <v>43024</v>
      </c>
      <c r="R362">
        <v>1.7194040590397639E-3</v>
      </c>
      <c r="T362" t="s">
        <v>39</v>
      </c>
      <c r="V362">
        <v>337772950</v>
      </c>
      <c r="W362" t="s">
        <v>250</v>
      </c>
      <c r="X362" t="s">
        <v>258</v>
      </c>
      <c r="Y362">
        <v>340000000</v>
      </c>
      <c r="Z362" t="s">
        <v>31</v>
      </c>
      <c r="AA362">
        <v>4.9378233266296713E-3</v>
      </c>
      <c r="AB362">
        <v>99.344984999999994</v>
      </c>
      <c r="AC362" t="s">
        <v>52</v>
      </c>
      <c r="AE362" t="s">
        <v>41</v>
      </c>
      <c r="AF362">
        <v>2.76E-2</v>
      </c>
      <c r="AH362" t="s">
        <v>209</v>
      </c>
      <c r="AJ362">
        <v>4.8935009152495951E-3</v>
      </c>
      <c r="AK362">
        <v>4.8935009152495951E-3</v>
      </c>
      <c r="AL362">
        <v>0</v>
      </c>
      <c r="AQ362">
        <v>1.3506062526088883E-4</v>
      </c>
    </row>
    <row r="363" spans="1:43" x14ac:dyDescent="0.2">
      <c r="A363">
        <v>361</v>
      </c>
      <c r="B363">
        <v>151</v>
      </c>
      <c r="C363">
        <v>2</v>
      </c>
      <c r="D363">
        <v>1</v>
      </c>
      <c r="E363" t="s">
        <v>262</v>
      </c>
      <c r="F363" t="s">
        <v>60</v>
      </c>
      <c r="G363" t="s">
        <v>207</v>
      </c>
      <c r="H363">
        <v>6.3361440197277378E-3</v>
      </c>
      <c r="I363">
        <v>4.9519962482638177E-5</v>
      </c>
      <c r="J363">
        <v>0.22</v>
      </c>
      <c r="L363" s="1">
        <v>43103</v>
      </c>
      <c r="M363" s="1">
        <v>43024</v>
      </c>
      <c r="R363">
        <v>1.7194040590397639E-3</v>
      </c>
      <c r="T363" t="s">
        <v>39</v>
      </c>
      <c r="V363">
        <v>1987959591</v>
      </c>
      <c r="W363" t="s">
        <v>263</v>
      </c>
      <c r="X363" t="s">
        <v>1675</v>
      </c>
      <c r="Y363">
        <v>2000000000</v>
      </c>
      <c r="Z363" t="s">
        <v>143</v>
      </c>
      <c r="AA363">
        <v>2.9061513779706106E-2</v>
      </c>
      <c r="AB363">
        <v>99.397979000000007</v>
      </c>
      <c r="AC363" t="s">
        <v>52</v>
      </c>
      <c r="AE363" t="s">
        <v>182</v>
      </c>
      <c r="AF363">
        <v>2.76E-2</v>
      </c>
      <c r="AH363" t="s">
        <v>209</v>
      </c>
      <c r="AJ363">
        <v>2.8800654635126082E-2</v>
      </c>
      <c r="AK363">
        <v>2.8800654635126082E-2</v>
      </c>
      <c r="AL363">
        <v>0</v>
      </c>
      <c r="AQ363">
        <v>7.948980679294799E-4</v>
      </c>
    </row>
    <row r="364" spans="1:43" x14ac:dyDescent="0.2">
      <c r="A364">
        <v>362</v>
      </c>
      <c r="B364">
        <v>151</v>
      </c>
      <c r="C364">
        <v>2</v>
      </c>
      <c r="D364">
        <v>1</v>
      </c>
      <c r="E364" t="s">
        <v>228</v>
      </c>
      <c r="F364" t="s">
        <v>60</v>
      </c>
      <c r="G364" t="s">
        <v>207</v>
      </c>
      <c r="H364">
        <v>1.1848506909742599E-3</v>
      </c>
      <c r="I364">
        <v>9.2601685791691427E-6</v>
      </c>
      <c r="J364">
        <v>0.22</v>
      </c>
      <c r="L364" s="1">
        <v>43105</v>
      </c>
      <c r="M364" s="1">
        <v>43024</v>
      </c>
      <c r="R364">
        <v>1.7194040590397639E-3</v>
      </c>
      <c r="T364" t="s">
        <v>39</v>
      </c>
      <c r="V364">
        <v>371745858</v>
      </c>
      <c r="W364" t="s">
        <v>229</v>
      </c>
      <c r="X364" t="s">
        <v>230</v>
      </c>
      <c r="Y364">
        <v>374054400</v>
      </c>
      <c r="Z364" t="s">
        <v>31</v>
      </c>
      <c r="AA364">
        <v>5.4344652797400188E-3</v>
      </c>
      <c r="AB364">
        <v>99.382831999999993</v>
      </c>
      <c r="AC364" t="s">
        <v>52</v>
      </c>
      <c r="AE364" t="s">
        <v>41</v>
      </c>
      <c r="AF364">
        <v>2.76E-2</v>
      </c>
      <c r="AH364" t="s">
        <v>209</v>
      </c>
      <c r="AJ364">
        <v>5.3856849589739089E-3</v>
      </c>
      <c r="AK364">
        <v>5.3856849589739089E-3</v>
      </c>
      <c r="AL364">
        <v>0</v>
      </c>
      <c r="AQ364">
        <v>1.4864490486767988E-4</v>
      </c>
    </row>
    <row r="365" spans="1:43" x14ac:dyDescent="0.2">
      <c r="A365">
        <v>363</v>
      </c>
      <c r="B365">
        <v>151</v>
      </c>
      <c r="C365">
        <v>2</v>
      </c>
      <c r="D365">
        <v>2</v>
      </c>
      <c r="E365" t="s">
        <v>228</v>
      </c>
      <c r="F365" t="s">
        <v>60</v>
      </c>
      <c r="G365" t="s">
        <v>207</v>
      </c>
      <c r="H365">
        <v>1.6550945180757307E-3</v>
      </c>
      <c r="I365">
        <v>1.2372940141190752E-5</v>
      </c>
      <c r="J365">
        <v>0.23</v>
      </c>
      <c r="L365" s="1">
        <v>43109</v>
      </c>
      <c r="M365" s="1">
        <v>43024</v>
      </c>
      <c r="R365">
        <v>1.7194040590397639E-3</v>
      </c>
      <c r="T365" t="s">
        <v>39</v>
      </c>
      <c r="V365">
        <v>496706859</v>
      </c>
      <c r="W365" t="s">
        <v>229</v>
      </c>
      <c r="X365" t="s">
        <v>230</v>
      </c>
      <c r="Y365">
        <v>500000000</v>
      </c>
      <c r="Z365" t="s">
        <v>31</v>
      </c>
      <c r="AA365">
        <v>7.261240767998607E-3</v>
      </c>
      <c r="AB365">
        <v>99.341370999999995</v>
      </c>
      <c r="AC365" t="s">
        <v>52</v>
      </c>
      <c r="AE365" t="s">
        <v>41</v>
      </c>
      <c r="AF365">
        <v>2.8799999999999999E-2</v>
      </c>
      <c r="AH365" t="s">
        <v>209</v>
      </c>
      <c r="AJ365">
        <v>7.1960631220683944E-3</v>
      </c>
      <c r="AK365">
        <v>7.1960631220683944E-3</v>
      </c>
      <c r="AL365">
        <v>0</v>
      </c>
      <c r="AQ365">
        <v>2.0724661791556975E-4</v>
      </c>
    </row>
    <row r="366" spans="1:43" x14ac:dyDescent="0.2">
      <c r="A366">
        <v>364</v>
      </c>
      <c r="B366">
        <v>151</v>
      </c>
      <c r="C366">
        <v>2</v>
      </c>
      <c r="D366">
        <v>3</v>
      </c>
      <c r="E366" t="s">
        <v>210</v>
      </c>
      <c r="F366" t="s">
        <v>60</v>
      </c>
      <c r="G366" t="s">
        <v>207</v>
      </c>
      <c r="H366">
        <v>3.6413893318888763E-3</v>
      </c>
      <c r="I366">
        <v>2.7221824338234035E-5</v>
      </c>
      <c r="J366">
        <v>0.23</v>
      </c>
      <c r="L366" s="1">
        <v>43108</v>
      </c>
      <c r="M366" s="1">
        <v>43024</v>
      </c>
      <c r="R366">
        <v>1.7194040590397639E-3</v>
      </c>
      <c r="T366" t="s">
        <v>39</v>
      </c>
      <c r="V366">
        <v>1092809527</v>
      </c>
      <c r="W366" t="s">
        <v>211</v>
      </c>
      <c r="X366" t="s">
        <v>212</v>
      </c>
      <c r="Y366">
        <v>1100000000</v>
      </c>
      <c r="Z366" t="s">
        <v>31</v>
      </c>
      <c r="AA366">
        <v>1.597552549422249E-2</v>
      </c>
      <c r="AB366">
        <v>99.346320000000006</v>
      </c>
      <c r="AC366" t="s">
        <v>52</v>
      </c>
      <c r="AE366" t="s">
        <v>41</v>
      </c>
      <c r="AF366">
        <v>3.2000000000000001E-2</v>
      </c>
      <c r="AH366" t="s">
        <v>209</v>
      </c>
      <c r="AJ366">
        <v>1.5832127529951636E-2</v>
      </c>
      <c r="AK366">
        <v>1.5832127529951636E-2</v>
      </c>
      <c r="AL366">
        <v>0</v>
      </c>
      <c r="AQ366">
        <v>5.0662808095845236E-4</v>
      </c>
    </row>
    <row r="367" spans="1:43" x14ac:dyDescent="0.2">
      <c r="A367">
        <v>365</v>
      </c>
      <c r="B367">
        <v>151</v>
      </c>
      <c r="C367">
        <v>2</v>
      </c>
      <c r="D367">
        <v>2</v>
      </c>
      <c r="E367" t="s">
        <v>210</v>
      </c>
      <c r="F367" t="s">
        <v>60</v>
      </c>
      <c r="G367" t="s">
        <v>207</v>
      </c>
      <c r="H367">
        <v>1.6018487248961584E-3</v>
      </c>
      <c r="I367">
        <v>1.1475938331475521E-5</v>
      </c>
      <c r="J367">
        <v>0.24</v>
      </c>
      <c r="L367" s="1">
        <v>43111</v>
      </c>
      <c r="M367" s="1">
        <v>43024</v>
      </c>
      <c r="R367">
        <v>1.7194040590397639E-3</v>
      </c>
      <c r="T367" t="s">
        <v>39</v>
      </c>
      <c r="V367">
        <v>460697071</v>
      </c>
      <c r="W367" t="s">
        <v>211</v>
      </c>
      <c r="X367" t="s">
        <v>212</v>
      </c>
      <c r="Y367">
        <v>463769921</v>
      </c>
      <c r="Z367" t="s">
        <v>31</v>
      </c>
      <c r="AA367">
        <v>6.7348221451533231E-3</v>
      </c>
      <c r="AB367">
        <v>99.337418999999997</v>
      </c>
      <c r="AC367" t="s">
        <v>52</v>
      </c>
      <c r="AE367" t="s">
        <v>41</v>
      </c>
      <c r="AF367">
        <v>2.76E-2</v>
      </c>
      <c r="AH367" t="s">
        <v>209</v>
      </c>
      <c r="AJ367">
        <v>6.674369687067327E-3</v>
      </c>
      <c r="AK367">
        <v>6.674369687067327E-3</v>
      </c>
      <c r="AL367">
        <v>0</v>
      </c>
      <c r="AQ367">
        <v>1.8421260336305822E-4</v>
      </c>
    </row>
    <row r="368" spans="1:43" x14ac:dyDescent="0.2">
      <c r="A368">
        <v>366</v>
      </c>
      <c r="B368">
        <v>151</v>
      </c>
      <c r="C368">
        <v>2</v>
      </c>
      <c r="D368">
        <v>1</v>
      </c>
      <c r="E368" t="s">
        <v>259</v>
      </c>
      <c r="F368" t="s">
        <v>60</v>
      </c>
      <c r="G368" t="s">
        <v>207</v>
      </c>
      <c r="H368">
        <v>2.5769836493784067E-3</v>
      </c>
      <c r="I368">
        <v>1.8461983945084733E-5</v>
      </c>
      <c r="J368">
        <v>0.24</v>
      </c>
      <c r="L368" s="1">
        <v>43110</v>
      </c>
      <c r="M368" s="1">
        <v>43024</v>
      </c>
      <c r="R368">
        <v>1.7194040590397639E-3</v>
      </c>
      <c r="T368" t="s">
        <v>39</v>
      </c>
      <c r="V368">
        <v>741149149</v>
      </c>
      <c r="W368" t="s">
        <v>259</v>
      </c>
      <c r="X368" t="s">
        <v>260</v>
      </c>
      <c r="Y368">
        <v>747098106</v>
      </c>
      <c r="Z368" t="s">
        <v>31</v>
      </c>
      <c r="AA368">
        <v>1.0834685123376309E-2</v>
      </c>
      <c r="AB368">
        <v>99.203723999999994</v>
      </c>
      <c r="AC368" t="s">
        <v>52</v>
      </c>
      <c r="AE368" t="s">
        <v>41</v>
      </c>
      <c r="AF368">
        <v>3.3599999999999998E-2</v>
      </c>
      <c r="AH368" t="s">
        <v>209</v>
      </c>
      <c r="AJ368">
        <v>1.0737431872410028E-2</v>
      </c>
      <c r="AK368">
        <v>1.0737431872410028E-2</v>
      </c>
      <c r="AL368">
        <v>0</v>
      </c>
      <c r="AQ368">
        <v>3.6077771091297693E-4</v>
      </c>
    </row>
    <row r="369" spans="1:43" x14ac:dyDescent="0.2">
      <c r="A369">
        <v>367</v>
      </c>
      <c r="B369">
        <v>151</v>
      </c>
      <c r="C369">
        <v>2</v>
      </c>
      <c r="D369">
        <v>1</v>
      </c>
      <c r="E369" t="s">
        <v>222</v>
      </c>
      <c r="F369" t="s">
        <v>60</v>
      </c>
      <c r="G369" t="s">
        <v>207</v>
      </c>
      <c r="H369">
        <v>2.8767961301530545E-4</v>
      </c>
      <c r="I369">
        <v>2.4731874716075237E-6</v>
      </c>
      <c r="J369">
        <v>0.2</v>
      </c>
      <c r="L369" s="1">
        <v>43096</v>
      </c>
      <c r="M369" s="1">
        <v>43024</v>
      </c>
      <c r="R369">
        <v>1.7194040590397639E-3</v>
      </c>
      <c r="T369" t="s">
        <v>39</v>
      </c>
      <c r="V369">
        <v>99285147</v>
      </c>
      <c r="W369" t="s">
        <v>223</v>
      </c>
      <c r="X369" t="s">
        <v>224</v>
      </c>
      <c r="Y369">
        <v>100000000</v>
      </c>
      <c r="Z369" t="s">
        <v>31</v>
      </c>
      <c r="AA369">
        <v>1.4514262164701348E-3</v>
      </c>
      <c r="AB369">
        <v>99.285146999999995</v>
      </c>
      <c r="AC369" t="s">
        <v>218</v>
      </c>
      <c r="AE369" t="s">
        <v>41</v>
      </c>
      <c r="AF369">
        <v>3.5999999999999997E-2</v>
      </c>
      <c r="AH369" t="s">
        <v>209</v>
      </c>
      <c r="AJ369">
        <v>1.4383980650765273E-3</v>
      </c>
      <c r="AK369">
        <v>1.4383980650765273E-3</v>
      </c>
      <c r="AL369">
        <v>0</v>
      </c>
      <c r="AQ369">
        <v>5.1782330342754982E-5</v>
      </c>
    </row>
    <row r="370" spans="1:43" x14ac:dyDescent="0.2">
      <c r="A370">
        <v>368</v>
      </c>
      <c r="B370">
        <v>151</v>
      </c>
      <c r="C370">
        <v>2</v>
      </c>
      <c r="D370">
        <v>1</v>
      </c>
      <c r="E370" t="s">
        <v>222</v>
      </c>
      <c r="F370" t="s">
        <v>60</v>
      </c>
      <c r="G370" t="s">
        <v>207</v>
      </c>
      <c r="H370">
        <v>1.3231072785805191E-3</v>
      </c>
      <c r="I370">
        <v>9.891113153636523E-6</v>
      </c>
      <c r="J370">
        <v>0.23</v>
      </c>
      <c r="L370" s="1">
        <v>43109</v>
      </c>
      <c r="M370" s="1">
        <v>43024</v>
      </c>
      <c r="R370">
        <v>1.7194040590397639E-3</v>
      </c>
      <c r="T370" t="s">
        <v>39</v>
      </c>
      <c r="V370">
        <v>397074882</v>
      </c>
      <c r="W370" t="s">
        <v>223</v>
      </c>
      <c r="X370" t="s">
        <v>224</v>
      </c>
      <c r="Y370">
        <v>400000000</v>
      </c>
      <c r="Z370" t="s">
        <v>31</v>
      </c>
      <c r="AA370">
        <v>5.8047443253177152E-3</v>
      </c>
      <c r="AB370">
        <v>99.268720000000002</v>
      </c>
      <c r="AC370" t="s">
        <v>218</v>
      </c>
      <c r="AE370" t="s">
        <v>41</v>
      </c>
      <c r="AF370">
        <v>3.1199999999999999E-2</v>
      </c>
      <c r="AH370" t="s">
        <v>209</v>
      </c>
      <c r="AJ370">
        <v>5.7526403416544311E-3</v>
      </c>
      <c r="AK370">
        <v>5.7526403416544311E-3</v>
      </c>
      <c r="AL370">
        <v>0</v>
      </c>
      <c r="AQ370">
        <v>1.7948237865961824E-4</v>
      </c>
    </row>
    <row r="371" spans="1:43" x14ac:dyDescent="0.2">
      <c r="A371">
        <v>369</v>
      </c>
      <c r="B371">
        <v>151</v>
      </c>
      <c r="C371">
        <v>2</v>
      </c>
      <c r="D371">
        <v>1</v>
      </c>
      <c r="E371" t="s">
        <v>222</v>
      </c>
      <c r="F371" t="s">
        <v>60</v>
      </c>
      <c r="G371" t="s">
        <v>207</v>
      </c>
      <c r="H371">
        <v>6.9039679834056078E-4</v>
      </c>
      <c r="I371">
        <v>4.9461294058950731E-6</v>
      </c>
      <c r="J371">
        <v>0.24</v>
      </c>
      <c r="L371" s="1">
        <v>43111</v>
      </c>
      <c r="M371" s="1">
        <v>43024</v>
      </c>
      <c r="R371">
        <v>1.7194040590397639E-3</v>
      </c>
      <c r="T371" t="s">
        <v>39</v>
      </c>
      <c r="V371">
        <v>198560437</v>
      </c>
      <c r="W371" t="s">
        <v>223</v>
      </c>
      <c r="X371" t="s">
        <v>224</v>
      </c>
      <c r="Y371">
        <v>200000000</v>
      </c>
      <c r="Z371" t="s">
        <v>31</v>
      </c>
      <c r="AA371">
        <v>2.9027083357752045E-3</v>
      </c>
      <c r="AB371">
        <v>99.280218000000005</v>
      </c>
      <c r="AC371" t="s">
        <v>218</v>
      </c>
      <c r="AE371" t="s">
        <v>41</v>
      </c>
      <c r="AF371">
        <v>0.03</v>
      </c>
      <c r="AH371" t="s">
        <v>209</v>
      </c>
      <c r="AJ371">
        <v>2.8766533264190032E-3</v>
      </c>
      <c r="AK371">
        <v>2.8766533264190032E-3</v>
      </c>
      <c r="AL371">
        <v>0</v>
      </c>
      <c r="AQ371">
        <v>8.6299599792570098E-5</v>
      </c>
    </row>
    <row r="372" spans="1:43" x14ac:dyDescent="0.2">
      <c r="A372">
        <v>370</v>
      </c>
      <c r="B372">
        <v>151</v>
      </c>
      <c r="C372">
        <v>2</v>
      </c>
      <c r="D372">
        <v>1</v>
      </c>
      <c r="E372" t="s">
        <v>204</v>
      </c>
      <c r="F372" t="s">
        <v>60</v>
      </c>
      <c r="G372" t="s">
        <v>207</v>
      </c>
      <c r="H372">
        <v>3.0250810490629575E-3</v>
      </c>
      <c r="I372">
        <v>2.4768269688967221E-5</v>
      </c>
      <c r="J372">
        <v>0.21</v>
      </c>
      <c r="L372" s="1">
        <v>43102</v>
      </c>
      <c r="M372" s="1">
        <v>43024</v>
      </c>
      <c r="R372">
        <v>1.7194040590397639E-3</v>
      </c>
      <c r="T372" t="s">
        <v>39</v>
      </c>
      <c r="V372">
        <v>994312532</v>
      </c>
      <c r="W372" t="s">
        <v>200</v>
      </c>
      <c r="X372" t="s">
        <v>214</v>
      </c>
      <c r="Y372">
        <v>1000000000</v>
      </c>
      <c r="Z372" t="s">
        <v>31</v>
      </c>
      <c r="AA372">
        <v>1.4535621086501485E-2</v>
      </c>
      <c r="AB372">
        <v>99.431252999999998</v>
      </c>
      <c r="AC372" t="s">
        <v>52</v>
      </c>
      <c r="AE372" t="s">
        <v>41</v>
      </c>
      <c r="AF372">
        <v>2.64E-2</v>
      </c>
      <c r="AH372" t="s">
        <v>209</v>
      </c>
      <c r="AJ372">
        <v>1.4405147852680751E-2</v>
      </c>
      <c r="AK372">
        <v>1.4405147852680751E-2</v>
      </c>
      <c r="AL372">
        <v>0</v>
      </c>
      <c r="AQ372">
        <v>3.8029590331077184E-4</v>
      </c>
    </row>
    <row r="373" spans="1:43" x14ac:dyDescent="0.2">
      <c r="A373">
        <v>371</v>
      </c>
      <c r="B373">
        <v>151</v>
      </c>
      <c r="C373">
        <v>2</v>
      </c>
      <c r="D373">
        <v>1</v>
      </c>
      <c r="E373" t="s">
        <v>204</v>
      </c>
      <c r="F373" t="s">
        <v>60</v>
      </c>
      <c r="G373" t="s">
        <v>207</v>
      </c>
      <c r="H373">
        <v>9.5067043983481866E-4</v>
      </c>
      <c r="I373">
        <v>7.4299391502777494E-6</v>
      </c>
      <c r="J373">
        <v>0.22</v>
      </c>
      <c r="L373" s="1">
        <v>43103</v>
      </c>
      <c r="M373" s="1">
        <v>43024</v>
      </c>
      <c r="R373">
        <v>1.7194040590397639E-3</v>
      </c>
      <c r="T373" t="s">
        <v>39</v>
      </c>
      <c r="V373">
        <v>298272011</v>
      </c>
      <c r="W373" t="s">
        <v>200</v>
      </c>
      <c r="X373" t="s">
        <v>214</v>
      </c>
      <c r="Y373">
        <v>300000000</v>
      </c>
      <c r="Z373" t="s">
        <v>31</v>
      </c>
      <c r="AA373">
        <v>4.3603683882813644E-3</v>
      </c>
      <c r="AB373">
        <v>99.424002999999999</v>
      </c>
      <c r="AC373" t="s">
        <v>52</v>
      </c>
      <c r="AE373" t="s">
        <v>41</v>
      </c>
      <c r="AF373">
        <v>2.64E-2</v>
      </c>
      <c r="AH373" t="s">
        <v>209</v>
      </c>
      <c r="AJ373">
        <v>4.3212292719764485E-3</v>
      </c>
      <c r="AK373">
        <v>4.3212292719764485E-3</v>
      </c>
      <c r="AL373">
        <v>0</v>
      </c>
      <c r="AQ373">
        <v>1.1408045278017824E-4</v>
      </c>
    </row>
    <row r="374" spans="1:43" x14ac:dyDescent="0.2">
      <c r="A374">
        <v>372</v>
      </c>
      <c r="B374">
        <v>151</v>
      </c>
      <c r="C374">
        <v>2</v>
      </c>
      <c r="D374">
        <v>1</v>
      </c>
      <c r="E374" t="s">
        <v>204</v>
      </c>
      <c r="F374" t="s">
        <v>60</v>
      </c>
      <c r="G374" t="s">
        <v>207</v>
      </c>
      <c r="H374">
        <v>1.2837202027116978E-4</v>
      </c>
      <c r="I374">
        <v>1.0032880578244735E-6</v>
      </c>
      <c r="J374">
        <v>0.22</v>
      </c>
      <c r="L374" s="1">
        <v>43105</v>
      </c>
      <c r="M374" s="1">
        <v>43024</v>
      </c>
      <c r="R374">
        <v>1.7194040590397639E-3</v>
      </c>
      <c r="T374" t="s">
        <v>39</v>
      </c>
      <c r="V374">
        <v>40276608</v>
      </c>
      <c r="W374" t="s">
        <v>200</v>
      </c>
      <c r="X374" t="s">
        <v>214</v>
      </c>
      <c r="Y374">
        <v>40537600</v>
      </c>
      <c r="Z374" t="s">
        <v>31</v>
      </c>
      <c r="AA374">
        <v>5.8879426105589339E-4</v>
      </c>
      <c r="AB374">
        <v>99.356172999999998</v>
      </c>
      <c r="AC374" t="s">
        <v>52</v>
      </c>
      <c r="AE374" t="s">
        <v>41</v>
      </c>
      <c r="AF374">
        <v>2.8799999999999999E-2</v>
      </c>
      <c r="AH374" t="s">
        <v>209</v>
      </c>
      <c r="AJ374">
        <v>5.8350918305077177E-4</v>
      </c>
      <c r="AK374">
        <v>5.8350918305077177E-4</v>
      </c>
      <c r="AL374">
        <v>0</v>
      </c>
      <c r="AQ374">
        <v>1.6805064471862225E-5</v>
      </c>
    </row>
    <row r="375" spans="1:43" x14ac:dyDescent="0.2">
      <c r="A375">
        <v>373</v>
      </c>
      <c r="B375">
        <v>151</v>
      </c>
      <c r="C375">
        <v>2</v>
      </c>
      <c r="D375">
        <v>2</v>
      </c>
      <c r="E375" t="s">
        <v>204</v>
      </c>
      <c r="F375" t="s">
        <v>60</v>
      </c>
      <c r="G375" t="s">
        <v>207</v>
      </c>
      <c r="H375">
        <v>7.5995715811889863E-4</v>
      </c>
      <c r="I375">
        <v>5.4444725931914914E-6</v>
      </c>
      <c r="J375">
        <v>0.24</v>
      </c>
      <c r="L375" s="1">
        <v>43112</v>
      </c>
      <c r="M375" s="1">
        <v>43024</v>
      </c>
      <c r="R375">
        <v>1.7194040590397639E-3</v>
      </c>
      <c r="T375" t="s">
        <v>39</v>
      </c>
      <c r="V375">
        <v>218566230</v>
      </c>
      <c r="W375" t="s">
        <v>200</v>
      </c>
      <c r="X375" t="s">
        <v>214</v>
      </c>
      <c r="Y375">
        <v>220000000</v>
      </c>
      <c r="Z375" t="s">
        <v>31</v>
      </c>
      <c r="AA375">
        <v>3.1951683191549407E-3</v>
      </c>
      <c r="AB375">
        <v>99.348286000000002</v>
      </c>
      <c r="AC375" t="s">
        <v>52</v>
      </c>
      <c r="AE375" t="s">
        <v>41</v>
      </c>
      <c r="AF375">
        <v>2.8799999999999999E-2</v>
      </c>
      <c r="AH375" t="s">
        <v>209</v>
      </c>
      <c r="AJ375">
        <v>3.1664881588287443E-3</v>
      </c>
      <c r="AK375">
        <v>3.1664881588287443E-3</v>
      </c>
      <c r="AL375">
        <v>0</v>
      </c>
      <c r="AQ375">
        <v>9.1194858974267835E-5</v>
      </c>
    </row>
    <row r="376" spans="1:43" x14ac:dyDescent="0.2">
      <c r="A376">
        <v>374</v>
      </c>
      <c r="B376">
        <v>151</v>
      </c>
      <c r="C376">
        <v>2</v>
      </c>
      <c r="D376">
        <v>1</v>
      </c>
      <c r="E376" t="s">
        <v>215</v>
      </c>
      <c r="F376" t="s">
        <v>60</v>
      </c>
      <c r="G376" t="s">
        <v>207</v>
      </c>
      <c r="H376">
        <v>3.4587486786161834E-3</v>
      </c>
      <c r="I376">
        <v>2.9734932586055425E-5</v>
      </c>
      <c r="J376">
        <v>0.2</v>
      </c>
      <c r="L376" s="1">
        <v>43096</v>
      </c>
      <c r="M376" s="1">
        <v>43024</v>
      </c>
      <c r="R376">
        <v>1.7194040590397639E-3</v>
      </c>
      <c r="T376" t="s">
        <v>39</v>
      </c>
      <c r="V376">
        <v>1193697278</v>
      </c>
      <c r="W376" t="s">
        <v>216</v>
      </c>
      <c r="X376" t="s">
        <v>217</v>
      </c>
      <c r="Y376">
        <v>1200000000</v>
      </c>
      <c r="Z376" t="s">
        <v>31</v>
      </c>
      <c r="AA376">
        <v>1.7450379801706276E-2</v>
      </c>
      <c r="AB376">
        <v>99.474772999999999</v>
      </c>
      <c r="AC376" t="s">
        <v>52</v>
      </c>
      <c r="AE376" t="s">
        <v>41</v>
      </c>
      <c r="AF376">
        <v>2.64E-2</v>
      </c>
      <c r="AH376" t="s">
        <v>209</v>
      </c>
      <c r="AJ376">
        <v>1.7293743393080915E-2</v>
      </c>
      <c r="AK376">
        <v>1.7293743393080915E-2</v>
      </c>
      <c r="AL376">
        <v>0</v>
      </c>
      <c r="AQ376">
        <v>4.5655482557733617E-4</v>
      </c>
    </row>
    <row r="377" spans="1:43" x14ac:dyDescent="0.2">
      <c r="A377">
        <v>375</v>
      </c>
      <c r="B377">
        <v>151</v>
      </c>
      <c r="C377">
        <v>2</v>
      </c>
      <c r="D377">
        <v>2</v>
      </c>
      <c r="E377" t="s">
        <v>215</v>
      </c>
      <c r="F377" t="s">
        <v>60</v>
      </c>
      <c r="G377" t="s">
        <v>207</v>
      </c>
      <c r="H377">
        <v>6.7083906766994843E-4</v>
      </c>
      <c r="I377">
        <v>5.4925876948293344E-6</v>
      </c>
      <c r="J377">
        <v>0.21</v>
      </c>
      <c r="L377" s="1">
        <v>43102</v>
      </c>
      <c r="M377" s="1">
        <v>43024</v>
      </c>
      <c r="R377">
        <v>1.7194040590397639E-3</v>
      </c>
      <c r="T377" t="s">
        <v>39</v>
      </c>
      <c r="V377">
        <v>220497792</v>
      </c>
      <c r="W377" t="s">
        <v>216</v>
      </c>
      <c r="X377" t="s">
        <v>217</v>
      </c>
      <c r="Y377">
        <v>221816369</v>
      </c>
      <c r="Z377" t="s">
        <v>31</v>
      </c>
      <c r="AA377">
        <v>3.2234053698140639E-3</v>
      </c>
      <c r="AB377">
        <v>99.405553999999995</v>
      </c>
      <c r="AC377" t="s">
        <v>52</v>
      </c>
      <c r="AE377" t="s">
        <v>41</v>
      </c>
      <c r="AF377">
        <v>2.76E-2</v>
      </c>
      <c r="AH377" t="s">
        <v>209</v>
      </c>
      <c r="AJ377">
        <v>3.1944717508092784E-3</v>
      </c>
      <c r="AK377">
        <v>3.1944717508092784E-3</v>
      </c>
      <c r="AL377">
        <v>0</v>
      </c>
      <c r="AQ377">
        <v>8.8167420322336084E-5</v>
      </c>
    </row>
    <row r="378" spans="1:43" x14ac:dyDescent="0.2">
      <c r="A378">
        <v>376</v>
      </c>
      <c r="B378">
        <v>151</v>
      </c>
      <c r="C378">
        <v>2</v>
      </c>
      <c r="D378">
        <v>1</v>
      </c>
      <c r="E378" t="s">
        <v>215</v>
      </c>
      <c r="F378" t="s">
        <v>60</v>
      </c>
      <c r="G378" t="s">
        <v>207</v>
      </c>
      <c r="H378">
        <v>1.7276099759213741E-3</v>
      </c>
      <c r="I378">
        <v>1.2376915020986665E-5</v>
      </c>
      <c r="J378">
        <v>0.24</v>
      </c>
      <c r="L378" s="1">
        <v>43110</v>
      </c>
      <c r="M378" s="1">
        <v>43024</v>
      </c>
      <c r="R378">
        <v>1.7194040590397639E-3</v>
      </c>
      <c r="T378" t="s">
        <v>39</v>
      </c>
      <c r="V378">
        <v>496866429</v>
      </c>
      <c r="W378" t="s">
        <v>216</v>
      </c>
      <c r="X378" t="s">
        <v>217</v>
      </c>
      <c r="Y378">
        <v>500000000</v>
      </c>
      <c r="Z378" t="s">
        <v>31</v>
      </c>
      <c r="AA378">
        <v>7.2635734843047245E-3</v>
      </c>
      <c r="AB378">
        <v>99.373284999999996</v>
      </c>
      <c r="AC378" t="s">
        <v>52</v>
      </c>
      <c r="AE378" t="s">
        <v>41</v>
      </c>
      <c r="AF378">
        <v>2.64E-2</v>
      </c>
      <c r="AH378" t="s">
        <v>209</v>
      </c>
      <c r="AJ378">
        <v>7.1983748996723926E-3</v>
      </c>
      <c r="AK378">
        <v>7.1983748996723926E-3</v>
      </c>
      <c r="AL378">
        <v>0</v>
      </c>
      <c r="AQ378">
        <v>1.9003709735135115E-4</v>
      </c>
    </row>
    <row r="379" spans="1:43" x14ac:dyDescent="0.2">
      <c r="A379">
        <v>377</v>
      </c>
      <c r="B379">
        <v>151</v>
      </c>
      <c r="C379">
        <v>2</v>
      </c>
      <c r="D379">
        <v>1</v>
      </c>
      <c r="E379" t="s">
        <v>256</v>
      </c>
      <c r="F379" t="s">
        <v>60</v>
      </c>
      <c r="G379" t="s">
        <v>207</v>
      </c>
      <c r="H379">
        <v>3.3108137848855695E-4</v>
      </c>
      <c r="I379">
        <v>2.4750550697639354E-6</v>
      </c>
      <c r="J379">
        <v>0.23</v>
      </c>
      <c r="L379" s="1">
        <v>43108</v>
      </c>
      <c r="M379" s="1">
        <v>43024</v>
      </c>
      <c r="R379">
        <v>1.7194040590397639E-3</v>
      </c>
      <c r="T379" t="s">
        <v>39</v>
      </c>
      <c r="V379">
        <v>99360121</v>
      </c>
      <c r="W379" t="s">
        <v>248</v>
      </c>
      <c r="X379" t="s">
        <v>257</v>
      </c>
      <c r="Y379">
        <v>100000000</v>
      </c>
      <c r="Z379" t="s">
        <v>31</v>
      </c>
      <c r="AA379">
        <v>1.4525222437455298E-3</v>
      </c>
      <c r="AB379">
        <v>99.360121000000007</v>
      </c>
      <c r="AC379" t="s">
        <v>52</v>
      </c>
      <c r="AE379" t="s">
        <v>41</v>
      </c>
      <c r="AF379">
        <v>2.76E-2</v>
      </c>
      <c r="AH379" t="s">
        <v>209</v>
      </c>
      <c r="AJ379">
        <v>1.4394842542980737E-3</v>
      </c>
      <c r="AK379">
        <v>1.4394842542980737E-3</v>
      </c>
      <c r="AL379">
        <v>0</v>
      </c>
      <c r="AQ379">
        <v>3.9729765418626835E-5</v>
      </c>
    </row>
    <row r="380" spans="1:43" x14ac:dyDescent="0.2">
      <c r="A380">
        <v>378</v>
      </c>
      <c r="B380">
        <v>152</v>
      </c>
      <c r="C380">
        <v>2</v>
      </c>
      <c r="D380">
        <v>1</v>
      </c>
      <c r="E380" t="s">
        <v>206</v>
      </c>
      <c r="F380" t="s">
        <v>60</v>
      </c>
      <c r="G380" t="s">
        <v>207</v>
      </c>
      <c r="H380">
        <v>1.7631035746964255E-3</v>
      </c>
      <c r="I380">
        <v>7.294557571120631E-6</v>
      </c>
      <c r="J380">
        <v>0.62</v>
      </c>
      <c r="L380" s="1">
        <v>43251</v>
      </c>
      <c r="M380" s="1">
        <v>43024</v>
      </c>
      <c r="R380">
        <v>2.5651503173167267E-3</v>
      </c>
      <c r="T380" t="s">
        <v>39</v>
      </c>
      <c r="V380">
        <v>196286906</v>
      </c>
      <c r="W380" t="s">
        <v>206</v>
      </c>
      <c r="X380" t="s">
        <v>208</v>
      </c>
      <c r="Y380">
        <v>200000000</v>
      </c>
      <c r="Z380" t="s">
        <v>31</v>
      </c>
      <c r="AA380">
        <v>4.280917729780313E-3</v>
      </c>
      <c r="AB380">
        <v>98.143452999999994</v>
      </c>
      <c r="AC380" t="s">
        <v>52</v>
      </c>
      <c r="AE380" t="s">
        <v>41</v>
      </c>
      <c r="AF380">
        <v>0.03</v>
      </c>
      <c r="AH380" t="s">
        <v>209</v>
      </c>
      <c r="AJ380">
        <v>2.8437154430587508E-3</v>
      </c>
      <c r="AK380">
        <v>2.8437154430587508E-3</v>
      </c>
      <c r="AL380">
        <v>0</v>
      </c>
      <c r="AQ380">
        <v>8.5311463291762522E-5</v>
      </c>
    </row>
    <row r="381" spans="1:43" x14ac:dyDescent="0.2">
      <c r="A381">
        <v>379</v>
      </c>
      <c r="B381">
        <v>152</v>
      </c>
      <c r="C381">
        <v>2</v>
      </c>
      <c r="D381">
        <v>1</v>
      </c>
      <c r="E381" t="s">
        <v>228</v>
      </c>
      <c r="F381" t="s">
        <v>60</v>
      </c>
      <c r="G381" t="s">
        <v>207</v>
      </c>
      <c r="H381">
        <v>3.0750656255302323E-3</v>
      </c>
      <c r="I381">
        <v>1.4607417713145617E-5</v>
      </c>
      <c r="J381">
        <v>0.54</v>
      </c>
      <c r="L381" s="1">
        <v>43220</v>
      </c>
      <c r="M381" s="1">
        <v>43024</v>
      </c>
      <c r="R381">
        <v>2.5651503173167267E-3</v>
      </c>
      <c r="T381" t="s">
        <v>39</v>
      </c>
      <c r="V381">
        <v>393066310</v>
      </c>
      <c r="W381" t="s">
        <v>229</v>
      </c>
      <c r="X381" t="s">
        <v>230</v>
      </c>
      <c r="Y381">
        <v>400000000</v>
      </c>
      <c r="Z381" t="s">
        <v>31</v>
      </c>
      <c r="AA381">
        <v>8.572576590811027E-3</v>
      </c>
      <c r="AB381">
        <v>98.266576999999998</v>
      </c>
      <c r="AC381" t="s">
        <v>52</v>
      </c>
      <c r="AE381" t="s">
        <v>41</v>
      </c>
      <c r="AF381">
        <v>3.2399999999999998E-2</v>
      </c>
      <c r="AH381" t="s">
        <v>209</v>
      </c>
      <c r="AJ381">
        <v>5.6945659732041331E-3</v>
      </c>
      <c r="AK381">
        <v>5.6945659732041331E-3</v>
      </c>
      <c r="AL381">
        <v>0</v>
      </c>
      <c r="AQ381">
        <v>1.8450393753181391E-4</v>
      </c>
    </row>
    <row r="382" spans="1:43" x14ac:dyDescent="0.2">
      <c r="A382">
        <v>380</v>
      </c>
      <c r="B382">
        <v>152</v>
      </c>
      <c r="C382">
        <v>2</v>
      </c>
      <c r="D382">
        <v>1</v>
      </c>
      <c r="E382" t="s">
        <v>254</v>
      </c>
      <c r="F382" t="s">
        <v>60</v>
      </c>
      <c r="G382" t="s">
        <v>207</v>
      </c>
      <c r="H382">
        <v>3.8016117825501751E-3</v>
      </c>
      <c r="I382">
        <v>1.455478458257252E-5</v>
      </c>
      <c r="J382">
        <v>0.67</v>
      </c>
      <c r="L382" s="1">
        <v>43270</v>
      </c>
      <c r="M382" s="1">
        <v>43024</v>
      </c>
      <c r="R382">
        <v>2.5651503173167267E-3</v>
      </c>
      <c r="T382" t="s">
        <v>39</v>
      </c>
      <c r="V382">
        <v>391650022</v>
      </c>
      <c r="W382" t="s">
        <v>249</v>
      </c>
      <c r="X382" t="s">
        <v>255</v>
      </c>
      <c r="Y382">
        <v>400000000</v>
      </c>
      <c r="Z382" t="s">
        <v>31</v>
      </c>
      <c r="AA382">
        <v>8.541688068834553E-3</v>
      </c>
      <c r="AB382">
        <v>97.912504999999996</v>
      </c>
      <c r="AC382" t="s">
        <v>52</v>
      </c>
      <c r="AE382" t="s">
        <v>41</v>
      </c>
      <c r="AF382">
        <v>3.1199999999999999E-2</v>
      </c>
      <c r="AH382" t="s">
        <v>209</v>
      </c>
      <c r="AJ382">
        <v>5.6740474366420521E-3</v>
      </c>
      <c r="AK382">
        <v>5.6740474366420521E-3</v>
      </c>
      <c r="AL382">
        <v>0</v>
      </c>
      <c r="AQ382">
        <v>1.7703028002323201E-4</v>
      </c>
    </row>
    <row r="383" spans="1:43" x14ac:dyDescent="0.2">
      <c r="A383">
        <v>381</v>
      </c>
      <c r="B383">
        <v>152</v>
      </c>
      <c r="C383">
        <v>2</v>
      </c>
      <c r="D383">
        <v>1</v>
      </c>
      <c r="E383" t="s">
        <v>210</v>
      </c>
      <c r="F383" t="s">
        <v>60</v>
      </c>
      <c r="G383" t="s">
        <v>207</v>
      </c>
      <c r="H383">
        <v>1.2750711903209758E-3</v>
      </c>
      <c r="I383">
        <v>5.9468168517332135E-6</v>
      </c>
      <c r="J383">
        <v>0.55000000000000004</v>
      </c>
      <c r="L383" s="1">
        <v>43224</v>
      </c>
      <c r="M383" s="1">
        <v>43024</v>
      </c>
      <c r="R383">
        <v>2.5651503173167267E-3</v>
      </c>
      <c r="T383" t="s">
        <v>39</v>
      </c>
      <c r="V383">
        <v>160020984</v>
      </c>
      <c r="W383" t="s">
        <v>211</v>
      </c>
      <c r="X383" t="s">
        <v>212</v>
      </c>
      <c r="Y383">
        <v>162688000</v>
      </c>
      <c r="Z383" t="s">
        <v>31</v>
      </c>
      <c r="AA383">
        <v>3.4899763896756911E-3</v>
      </c>
      <c r="AB383">
        <v>98.360654999999994</v>
      </c>
      <c r="AC383" t="s">
        <v>52</v>
      </c>
      <c r="AE383" t="s">
        <v>41</v>
      </c>
      <c r="AF383">
        <v>0.03</v>
      </c>
      <c r="AH383" t="s">
        <v>209</v>
      </c>
      <c r="AJ383">
        <v>2.3183112551290468E-3</v>
      </c>
      <c r="AK383">
        <v>2.3183112551290468E-3</v>
      </c>
      <c r="AL383">
        <v>0</v>
      </c>
      <c r="AQ383">
        <v>6.9549337653871396E-5</v>
      </c>
    </row>
    <row r="384" spans="1:43" x14ac:dyDescent="0.2">
      <c r="A384">
        <v>382</v>
      </c>
      <c r="B384">
        <v>152</v>
      </c>
      <c r="C384">
        <v>2</v>
      </c>
      <c r="D384">
        <v>1</v>
      </c>
      <c r="E384" t="s">
        <v>259</v>
      </c>
      <c r="F384" t="s">
        <v>60</v>
      </c>
      <c r="G384" t="s">
        <v>207</v>
      </c>
      <c r="H384">
        <v>1.1483744654567551E-3</v>
      </c>
      <c r="I384">
        <v>4.0352782526915368E-6</v>
      </c>
      <c r="J384">
        <v>0.73</v>
      </c>
      <c r="L384" s="1">
        <v>43291</v>
      </c>
      <c r="M384" s="1">
        <v>43024</v>
      </c>
      <c r="N384" s="1"/>
      <c r="R384">
        <v>2.5651503173167267E-3</v>
      </c>
      <c r="T384" t="s">
        <v>39</v>
      </c>
      <c r="V384">
        <v>108584006</v>
      </c>
      <c r="W384" t="s">
        <v>259</v>
      </c>
      <c r="X384" t="s">
        <v>260</v>
      </c>
      <c r="Y384">
        <v>111000000</v>
      </c>
      <c r="Z384" t="s">
        <v>31</v>
      </c>
      <c r="AA384">
        <v>2.3681620232781694E-3</v>
      </c>
      <c r="AB384">
        <v>97.823428000000007</v>
      </c>
      <c r="AC384" t="s">
        <v>52</v>
      </c>
      <c r="AE384" t="s">
        <v>41</v>
      </c>
      <c r="AF384">
        <v>0.03</v>
      </c>
      <c r="AH384" t="s">
        <v>209</v>
      </c>
      <c r="AJ384">
        <v>1.5731157061051441E-3</v>
      </c>
      <c r="AK384">
        <v>1.5731157061051441E-3</v>
      </c>
      <c r="AL384">
        <v>0</v>
      </c>
      <c r="AQ384">
        <v>4.7193471183154323E-5</v>
      </c>
    </row>
    <row r="385" spans="1:43" x14ac:dyDescent="0.2">
      <c r="A385">
        <v>383</v>
      </c>
      <c r="B385">
        <v>152</v>
      </c>
      <c r="C385">
        <v>2</v>
      </c>
      <c r="D385">
        <v>1</v>
      </c>
      <c r="E385" t="s">
        <v>222</v>
      </c>
      <c r="F385" t="s">
        <v>60</v>
      </c>
      <c r="G385" t="s">
        <v>207</v>
      </c>
      <c r="H385">
        <v>1.4252801650627093E-3</v>
      </c>
      <c r="I385">
        <v>7.3121157353516905E-6</v>
      </c>
      <c r="J385">
        <v>0.5</v>
      </c>
      <c r="L385" s="1">
        <v>43207</v>
      </c>
      <c r="M385" s="1">
        <v>43024</v>
      </c>
      <c r="N385" s="1"/>
      <c r="R385">
        <v>2.5651503173167267E-3</v>
      </c>
      <c r="T385" t="s">
        <v>39</v>
      </c>
      <c r="V385">
        <v>196759373</v>
      </c>
      <c r="W385" t="s">
        <v>223</v>
      </c>
      <c r="X385" t="s">
        <v>224</v>
      </c>
      <c r="Y385">
        <v>200000000</v>
      </c>
      <c r="Z385" t="s">
        <v>31</v>
      </c>
      <c r="AA385">
        <v>4.2912219950940475E-3</v>
      </c>
      <c r="AB385">
        <v>98.379686000000007</v>
      </c>
      <c r="AC385" t="s">
        <v>218</v>
      </c>
      <c r="AE385" t="s">
        <v>41</v>
      </c>
      <c r="AF385">
        <v>3.2399999999999998E-2</v>
      </c>
      <c r="AH385" t="s">
        <v>209</v>
      </c>
      <c r="AJ385">
        <v>2.8505603301254186E-3</v>
      </c>
      <c r="AK385">
        <v>2.8505603301254186E-3</v>
      </c>
      <c r="AL385">
        <v>0</v>
      </c>
      <c r="AQ385">
        <v>9.2358154696063562E-5</v>
      </c>
    </row>
    <row r="386" spans="1:43" x14ac:dyDescent="0.2">
      <c r="A386">
        <v>384</v>
      </c>
      <c r="B386">
        <v>152</v>
      </c>
      <c r="C386">
        <v>2</v>
      </c>
      <c r="D386">
        <v>1</v>
      </c>
      <c r="E386" t="s">
        <v>222</v>
      </c>
      <c r="F386" t="s">
        <v>60</v>
      </c>
      <c r="G386" t="s">
        <v>207</v>
      </c>
      <c r="H386">
        <v>2.9324147072655182E-3</v>
      </c>
      <c r="I386">
        <v>1.090157176354548E-5</v>
      </c>
      <c r="J386">
        <v>0.69</v>
      </c>
      <c r="L386" s="1">
        <v>43276</v>
      </c>
      <c r="M386" s="1">
        <v>43024</v>
      </c>
      <c r="N386" s="1"/>
      <c r="R386">
        <v>2.5651503173167267E-3</v>
      </c>
      <c r="T386" t="s">
        <v>39</v>
      </c>
      <c r="V386">
        <v>293346892</v>
      </c>
      <c r="W386" t="s">
        <v>223</v>
      </c>
      <c r="X386" t="s">
        <v>224</v>
      </c>
      <c r="Y386">
        <v>300000000</v>
      </c>
      <c r="Z386" t="s">
        <v>31</v>
      </c>
      <c r="AA386">
        <v>6.397746729671059E-3</v>
      </c>
      <c r="AB386">
        <v>97.782297</v>
      </c>
      <c r="AC386" t="s">
        <v>218</v>
      </c>
      <c r="AE386" t="s">
        <v>41</v>
      </c>
      <c r="AF386">
        <v>3.2399999999999998E-2</v>
      </c>
      <c r="AH386" t="s">
        <v>209</v>
      </c>
      <c r="AJ386">
        <v>4.2498763873413314E-3</v>
      </c>
      <c r="AK386">
        <v>4.2498763873413314E-3</v>
      </c>
      <c r="AL386">
        <v>0</v>
      </c>
      <c r="AQ386">
        <v>1.3769599494985914E-4</v>
      </c>
    </row>
    <row r="387" spans="1:43" x14ac:dyDescent="0.2">
      <c r="A387">
        <v>385</v>
      </c>
      <c r="B387">
        <v>152</v>
      </c>
      <c r="C387">
        <v>2</v>
      </c>
      <c r="D387">
        <v>1</v>
      </c>
      <c r="E387" t="s">
        <v>222</v>
      </c>
      <c r="F387" t="s">
        <v>60</v>
      </c>
      <c r="G387" t="s">
        <v>207</v>
      </c>
      <c r="H387">
        <v>5.0953675029674888E-4</v>
      </c>
      <c r="I387">
        <v>1.8153310509836653E-6</v>
      </c>
      <c r="J387">
        <v>0.72</v>
      </c>
      <c r="L387" s="1">
        <v>43286</v>
      </c>
      <c r="M387" s="1">
        <v>43024</v>
      </c>
      <c r="N387" s="1"/>
      <c r="R387">
        <v>2.5651503173167267E-3</v>
      </c>
      <c r="T387" t="s">
        <v>39</v>
      </c>
      <c r="V387">
        <v>48848160</v>
      </c>
      <c r="W387" t="s">
        <v>223</v>
      </c>
      <c r="X387" t="s">
        <v>224</v>
      </c>
      <c r="Y387">
        <v>50000000</v>
      </c>
      <c r="Z387" t="s">
        <v>31</v>
      </c>
      <c r="AA387">
        <v>1.0653535606249022E-3</v>
      </c>
      <c r="AB387">
        <v>97.69632</v>
      </c>
      <c r="AC387" t="s">
        <v>218</v>
      </c>
      <c r="AE387" t="s">
        <v>41</v>
      </c>
      <c r="AF387">
        <v>3.2399999999999998E-2</v>
      </c>
      <c r="AH387" t="s">
        <v>209</v>
      </c>
      <c r="AJ387">
        <v>7.0768993096770674E-4</v>
      </c>
      <c r="AK387">
        <v>7.0768993096770674E-4</v>
      </c>
      <c r="AL387">
        <v>0</v>
      </c>
      <c r="AQ387">
        <v>2.2929153763353697E-5</v>
      </c>
    </row>
    <row r="388" spans="1:43" x14ac:dyDescent="0.2">
      <c r="A388">
        <v>386</v>
      </c>
      <c r="B388">
        <v>152</v>
      </c>
      <c r="C388">
        <v>2</v>
      </c>
      <c r="D388">
        <v>1</v>
      </c>
      <c r="E388" t="s">
        <v>219</v>
      </c>
      <c r="F388" t="s">
        <v>60</v>
      </c>
      <c r="G388" t="s">
        <v>207</v>
      </c>
      <c r="H388">
        <v>6.4248220089742287E-3</v>
      </c>
      <c r="I388">
        <v>3.2961268430047462E-5</v>
      </c>
      <c r="J388">
        <v>0.5</v>
      </c>
      <c r="L388" s="1">
        <v>43208</v>
      </c>
      <c r="M388" s="1">
        <v>43024</v>
      </c>
      <c r="R388">
        <v>2.5651503173167267E-3</v>
      </c>
      <c r="T388" t="s">
        <v>39</v>
      </c>
      <c r="V388">
        <v>886944182</v>
      </c>
      <c r="W388" t="s">
        <v>220</v>
      </c>
      <c r="X388" t="s">
        <v>221</v>
      </c>
      <c r="Y388">
        <v>900000000</v>
      </c>
      <c r="Z388" t="s">
        <v>31</v>
      </c>
      <c r="AA388">
        <v>1.9343802148724564E-2</v>
      </c>
      <c r="AB388">
        <v>98.549352999999996</v>
      </c>
      <c r="AC388" t="s">
        <v>52</v>
      </c>
      <c r="AE388" t="s">
        <v>41</v>
      </c>
      <c r="AF388">
        <v>2.8799999999999999E-2</v>
      </c>
      <c r="AH388" t="s">
        <v>209</v>
      </c>
      <c r="AJ388">
        <v>1.2849644017948457E-2</v>
      </c>
      <c r="AK388">
        <v>1.2849644017948457E-2</v>
      </c>
      <c r="AL388">
        <v>0</v>
      </c>
      <c r="AQ388">
        <v>3.7006974771691556E-4</v>
      </c>
    </row>
    <row r="389" spans="1:43" x14ac:dyDescent="0.2">
      <c r="A389">
        <v>387</v>
      </c>
      <c r="B389">
        <v>152</v>
      </c>
      <c r="C389">
        <v>2</v>
      </c>
      <c r="D389">
        <v>2</v>
      </c>
      <c r="E389" t="s">
        <v>219</v>
      </c>
      <c r="F389" t="s">
        <v>60</v>
      </c>
      <c r="G389" t="s">
        <v>207</v>
      </c>
      <c r="H389">
        <v>3.1893647381014962E-3</v>
      </c>
      <c r="I389">
        <v>1.460928566067827E-5</v>
      </c>
      <c r="J389">
        <v>0.56000000000000005</v>
      </c>
      <c r="L389" s="1">
        <v>43230</v>
      </c>
      <c r="M389" s="1">
        <v>43024</v>
      </c>
      <c r="R389">
        <v>2.5651503173167267E-3</v>
      </c>
      <c r="T389" t="s">
        <v>39</v>
      </c>
      <c r="V389">
        <v>393116574</v>
      </c>
      <c r="W389" t="s">
        <v>220</v>
      </c>
      <c r="X389" t="s">
        <v>221</v>
      </c>
      <c r="Y389">
        <v>400000000</v>
      </c>
      <c r="Z389" t="s">
        <v>31</v>
      </c>
      <c r="AA389">
        <v>8.573672823122977E-3</v>
      </c>
      <c r="AB389">
        <v>98.279143000000005</v>
      </c>
      <c r="AC389" t="s">
        <v>52</v>
      </c>
      <c r="AE389" t="s">
        <v>41</v>
      </c>
      <c r="AF389">
        <v>3.0599999999999999E-2</v>
      </c>
      <c r="AH389" t="s">
        <v>209</v>
      </c>
      <c r="AJ389">
        <v>5.6952941751812428E-3</v>
      </c>
      <c r="AK389">
        <v>5.6952941751812428E-3</v>
      </c>
      <c r="AL389">
        <v>0</v>
      </c>
      <c r="AQ389">
        <v>1.7427600176054601E-4</v>
      </c>
    </row>
    <row r="390" spans="1:43" x14ac:dyDescent="0.2">
      <c r="A390">
        <v>388</v>
      </c>
      <c r="B390">
        <v>152</v>
      </c>
      <c r="C390">
        <v>2</v>
      </c>
      <c r="D390">
        <v>1</v>
      </c>
      <c r="E390" t="s">
        <v>219</v>
      </c>
      <c r="F390" t="s">
        <v>60</v>
      </c>
      <c r="G390" t="s">
        <v>207</v>
      </c>
      <c r="H390">
        <v>4.4048624664374636E-4</v>
      </c>
      <c r="I390">
        <v>1.8224410247610643E-6</v>
      </c>
      <c r="J390">
        <v>0.62</v>
      </c>
      <c r="L390" s="1">
        <v>43250</v>
      </c>
      <c r="M390" s="1">
        <v>43024</v>
      </c>
      <c r="R390">
        <v>2.5651503173167267E-3</v>
      </c>
      <c r="T390" t="s">
        <v>39</v>
      </c>
      <c r="V390">
        <v>49039480</v>
      </c>
      <c r="W390" t="s">
        <v>220</v>
      </c>
      <c r="X390" t="s">
        <v>221</v>
      </c>
      <c r="Y390">
        <v>50000000</v>
      </c>
      <c r="Z390" t="s">
        <v>31</v>
      </c>
      <c r="AA390">
        <v>1.0695261526574118E-3</v>
      </c>
      <c r="AB390">
        <v>98.078959999999995</v>
      </c>
      <c r="AC390" t="s">
        <v>52</v>
      </c>
      <c r="AE390" t="s">
        <v>41</v>
      </c>
      <c r="AF390">
        <v>3.1199999999999999E-2</v>
      </c>
      <c r="AH390" t="s">
        <v>209</v>
      </c>
      <c r="AJ390">
        <v>7.1046168813507476E-4</v>
      </c>
      <c r="AK390">
        <v>7.1046168813507476E-4</v>
      </c>
      <c r="AL390">
        <v>0</v>
      </c>
      <c r="AQ390">
        <v>2.2166404669814332E-5</v>
      </c>
    </row>
    <row r="391" spans="1:43" x14ac:dyDescent="0.2">
      <c r="A391">
        <v>389</v>
      </c>
      <c r="B391">
        <v>152</v>
      </c>
      <c r="C391">
        <v>2</v>
      </c>
      <c r="D391">
        <v>1</v>
      </c>
      <c r="E391" t="s">
        <v>219</v>
      </c>
      <c r="F391" t="s">
        <v>60</v>
      </c>
      <c r="G391" t="s">
        <v>207</v>
      </c>
      <c r="H391">
        <v>2.6844042869579726E-3</v>
      </c>
      <c r="I391">
        <v>1.0930000807137499E-5</v>
      </c>
      <c r="J391">
        <v>0.63</v>
      </c>
      <c r="L391" s="1">
        <v>43255</v>
      </c>
      <c r="M391" s="1">
        <v>43024</v>
      </c>
      <c r="R391">
        <v>2.5651503173167267E-3</v>
      </c>
      <c r="T391" t="s">
        <v>39</v>
      </c>
      <c r="V391">
        <v>294111880</v>
      </c>
      <c r="W391" t="s">
        <v>220</v>
      </c>
      <c r="X391" t="s">
        <v>221</v>
      </c>
      <c r="Y391">
        <v>300000000</v>
      </c>
      <c r="Z391" t="s">
        <v>31</v>
      </c>
      <c r="AA391">
        <v>6.4144307294293993E-3</v>
      </c>
      <c r="AB391">
        <v>98.037293000000005</v>
      </c>
      <c r="AC391" t="s">
        <v>52</v>
      </c>
      <c r="AE391" t="s">
        <v>41</v>
      </c>
      <c r="AF391">
        <v>3.1199999999999999E-2</v>
      </c>
      <c r="AH391" t="s">
        <v>209</v>
      </c>
      <c r="AJ391">
        <v>4.2609591856475754E-3</v>
      </c>
      <c r="AK391">
        <v>4.2609591856475754E-3</v>
      </c>
      <c r="AL391">
        <v>0</v>
      </c>
      <c r="AQ391">
        <v>1.3294192659220436E-4</v>
      </c>
    </row>
    <row r="392" spans="1:43" x14ac:dyDescent="0.2">
      <c r="A392">
        <v>390</v>
      </c>
      <c r="B392">
        <v>152</v>
      </c>
      <c r="C392">
        <v>2</v>
      </c>
      <c r="D392">
        <v>1</v>
      </c>
      <c r="E392" t="s">
        <v>219</v>
      </c>
      <c r="F392" t="s">
        <v>60</v>
      </c>
      <c r="G392" t="s">
        <v>207</v>
      </c>
      <c r="H392">
        <v>3.7464608775978859E-3</v>
      </c>
      <c r="I392">
        <v>1.4560962589371089E-5</v>
      </c>
      <c r="J392">
        <v>0.66</v>
      </c>
      <c r="L392" s="1">
        <v>43265</v>
      </c>
      <c r="M392" s="1">
        <v>43024</v>
      </c>
      <c r="N392" s="1"/>
      <c r="R392">
        <v>2.5651503173167267E-3</v>
      </c>
      <c r="T392" t="s">
        <v>39</v>
      </c>
      <c r="V392">
        <v>391816264</v>
      </c>
      <c r="W392" t="s">
        <v>220</v>
      </c>
      <c r="X392" t="s">
        <v>221</v>
      </c>
      <c r="Y392">
        <v>400000000</v>
      </c>
      <c r="Z392" t="s">
        <v>31</v>
      </c>
      <c r="AA392">
        <v>8.5453137224236631E-3</v>
      </c>
      <c r="AB392">
        <v>97.954065999999997</v>
      </c>
      <c r="AC392" t="s">
        <v>52</v>
      </c>
      <c r="AE392" t="s">
        <v>41</v>
      </c>
      <c r="AF392">
        <v>3.1199999999999999E-2</v>
      </c>
      <c r="AH392" t="s">
        <v>209</v>
      </c>
      <c r="AJ392">
        <v>5.6764558751483118E-3</v>
      </c>
      <c r="AK392">
        <v>5.6764558751483118E-3</v>
      </c>
      <c r="AL392">
        <v>0</v>
      </c>
      <c r="AQ392">
        <v>1.7710542330462732E-4</v>
      </c>
    </row>
    <row r="393" spans="1:43" x14ac:dyDescent="0.2">
      <c r="A393">
        <v>391</v>
      </c>
      <c r="B393">
        <v>152</v>
      </c>
      <c r="C393">
        <v>2</v>
      </c>
      <c r="D393">
        <v>2</v>
      </c>
      <c r="E393" t="s">
        <v>219</v>
      </c>
      <c r="F393" t="s">
        <v>60</v>
      </c>
      <c r="G393" t="s">
        <v>207</v>
      </c>
      <c r="H393">
        <v>7.2363144804132281E-3</v>
      </c>
      <c r="I393">
        <v>2.5427718336487148E-5</v>
      </c>
      <c r="J393">
        <v>0.73</v>
      </c>
      <c r="L393" s="1">
        <v>43290</v>
      </c>
      <c r="M393" s="1">
        <v>43024</v>
      </c>
      <c r="N393" s="1"/>
      <c r="R393">
        <v>2.5651503173167267E-3</v>
      </c>
      <c r="T393" t="s">
        <v>39</v>
      </c>
      <c r="V393">
        <v>684226303</v>
      </c>
      <c r="W393" t="s">
        <v>220</v>
      </c>
      <c r="X393" t="s">
        <v>221</v>
      </c>
      <c r="Y393">
        <v>700000000</v>
      </c>
      <c r="Z393" t="s">
        <v>31</v>
      </c>
      <c r="AA393">
        <v>1.4922628163973082E-2</v>
      </c>
      <c r="AB393">
        <v>97.746613999999994</v>
      </c>
      <c r="AC393" t="s">
        <v>52</v>
      </c>
      <c r="AE393" t="s">
        <v>41</v>
      </c>
      <c r="AF393">
        <v>3.1199999999999999E-2</v>
      </c>
      <c r="AH393" t="s">
        <v>209</v>
      </c>
      <c r="AJ393">
        <v>9.9127595622099021E-3</v>
      </c>
      <c r="AK393">
        <v>9.9127595622099021E-3</v>
      </c>
      <c r="AL393">
        <v>0</v>
      </c>
      <c r="AQ393">
        <v>3.0927809834094895E-4</v>
      </c>
    </row>
    <row r="394" spans="1:43" x14ac:dyDescent="0.2">
      <c r="A394">
        <v>392</v>
      </c>
      <c r="B394">
        <v>152</v>
      </c>
      <c r="C394">
        <v>2</v>
      </c>
      <c r="D394">
        <v>1</v>
      </c>
      <c r="E394" t="s">
        <v>225</v>
      </c>
      <c r="F394" t="s">
        <v>60</v>
      </c>
      <c r="G394" t="s">
        <v>207</v>
      </c>
      <c r="H394">
        <v>2.2658165142625379E-3</v>
      </c>
      <c r="I394">
        <v>1.0966339529324582E-5</v>
      </c>
      <c r="J394">
        <v>0.53</v>
      </c>
      <c r="L394" s="1">
        <v>43216</v>
      </c>
      <c r="M394" s="1">
        <v>43024</v>
      </c>
      <c r="R394">
        <v>2.5651503173167267E-3</v>
      </c>
      <c r="T394" t="s">
        <v>39</v>
      </c>
      <c r="V394">
        <v>295089707</v>
      </c>
      <c r="W394" t="s">
        <v>226</v>
      </c>
      <c r="X394" t="s">
        <v>227</v>
      </c>
      <c r="Y394">
        <v>300000000</v>
      </c>
      <c r="Z394" t="s">
        <v>31</v>
      </c>
      <c r="AA394">
        <v>6.4357566396811908E-3</v>
      </c>
      <c r="AB394">
        <v>98.363235000000003</v>
      </c>
      <c r="AC394" t="s">
        <v>52</v>
      </c>
      <c r="AE394" t="s">
        <v>41</v>
      </c>
      <c r="AF394">
        <v>3.1199999999999999E-2</v>
      </c>
      <c r="AH394" t="s">
        <v>209</v>
      </c>
      <c r="AJ394">
        <v>4.2751254986085618E-3</v>
      </c>
      <c r="AK394">
        <v>4.2751254986085618E-3</v>
      </c>
      <c r="AL394">
        <v>0</v>
      </c>
      <c r="AQ394">
        <v>1.3338391555658713E-4</v>
      </c>
    </row>
    <row r="395" spans="1:43" x14ac:dyDescent="0.2">
      <c r="A395">
        <v>393</v>
      </c>
      <c r="B395">
        <v>152</v>
      </c>
      <c r="C395">
        <v>2</v>
      </c>
      <c r="D395">
        <v>1</v>
      </c>
      <c r="E395" t="s">
        <v>225</v>
      </c>
      <c r="F395" t="s">
        <v>60</v>
      </c>
      <c r="G395" t="s">
        <v>207</v>
      </c>
      <c r="H395">
        <v>3.916527915619381E-4</v>
      </c>
      <c r="I395">
        <v>1.8266332410056133E-6</v>
      </c>
      <c r="J395">
        <v>0.55000000000000004</v>
      </c>
      <c r="L395" s="1">
        <v>43223</v>
      </c>
      <c r="M395" s="1">
        <v>43024</v>
      </c>
      <c r="R395">
        <v>2.5651503173167267E-3</v>
      </c>
      <c r="T395" t="s">
        <v>39</v>
      </c>
      <c r="V395">
        <v>49152287</v>
      </c>
      <c r="W395" t="s">
        <v>226</v>
      </c>
      <c r="X395" t="s">
        <v>227</v>
      </c>
      <c r="Y395">
        <v>50000000</v>
      </c>
      <c r="Z395" t="s">
        <v>31</v>
      </c>
      <c r="AA395">
        <v>1.0719864160350584E-3</v>
      </c>
      <c r="AB395">
        <v>98.304574000000002</v>
      </c>
      <c r="AC395" t="s">
        <v>52</v>
      </c>
      <c r="AE395" t="s">
        <v>41</v>
      </c>
      <c r="AF395">
        <v>3.1199999999999999E-2</v>
      </c>
      <c r="AH395" t="s">
        <v>209</v>
      </c>
      <c r="AJ395">
        <v>7.1209598465806921E-4</v>
      </c>
      <c r="AK395">
        <v>7.1209598465806921E-4</v>
      </c>
      <c r="AL395">
        <v>0</v>
      </c>
      <c r="AQ395">
        <v>2.2217394721331759E-5</v>
      </c>
    </row>
    <row r="396" spans="1:43" x14ac:dyDescent="0.2">
      <c r="A396">
        <v>394</v>
      </c>
      <c r="B396">
        <v>152</v>
      </c>
      <c r="C396">
        <v>2</v>
      </c>
      <c r="D396">
        <v>1</v>
      </c>
      <c r="E396" t="s">
        <v>225</v>
      </c>
      <c r="F396" t="s">
        <v>60</v>
      </c>
      <c r="G396" t="s">
        <v>207</v>
      </c>
      <c r="H396">
        <v>1.5654518482437799E-3</v>
      </c>
      <c r="I396">
        <v>7.3011260095756149E-6</v>
      </c>
      <c r="J396">
        <v>0.55000000000000004</v>
      </c>
      <c r="L396" s="1">
        <v>43224</v>
      </c>
      <c r="M396" s="1">
        <v>43024</v>
      </c>
      <c r="R396">
        <v>2.5651503173167267E-3</v>
      </c>
      <c r="T396" t="s">
        <v>39</v>
      </c>
      <c r="V396">
        <v>196463654</v>
      </c>
      <c r="W396" t="s">
        <v>226</v>
      </c>
      <c r="X396" t="s">
        <v>227</v>
      </c>
      <c r="Y396">
        <v>200000000</v>
      </c>
      <c r="Z396" t="s">
        <v>31</v>
      </c>
      <c r="AA396">
        <v>4.2847725138936412E-3</v>
      </c>
      <c r="AB396">
        <v>98.231826999999996</v>
      </c>
      <c r="AC396" t="s">
        <v>52</v>
      </c>
      <c r="AE396" t="s">
        <v>41</v>
      </c>
      <c r="AF396">
        <v>3.2399999999999998E-2</v>
      </c>
      <c r="AH396" t="s">
        <v>209</v>
      </c>
      <c r="AJ396">
        <v>2.8462760877159634E-3</v>
      </c>
      <c r="AK396">
        <v>2.8462760877159634E-3</v>
      </c>
      <c r="AL396">
        <v>0</v>
      </c>
      <c r="AQ396">
        <v>9.2219345241997214E-5</v>
      </c>
    </row>
    <row r="397" spans="1:43" x14ac:dyDescent="0.2">
      <c r="A397">
        <v>395</v>
      </c>
      <c r="B397">
        <v>152</v>
      </c>
      <c r="C397">
        <v>2</v>
      </c>
      <c r="D397">
        <v>2</v>
      </c>
      <c r="E397" t="s">
        <v>225</v>
      </c>
      <c r="F397" t="s">
        <v>60</v>
      </c>
      <c r="G397" t="s">
        <v>207</v>
      </c>
      <c r="H397">
        <v>3.1882885615122599E-3</v>
      </c>
      <c r="I397">
        <v>1.4604356098679398E-5</v>
      </c>
      <c r="J397">
        <v>0.56000000000000005</v>
      </c>
      <c r="L397" s="1">
        <v>43230</v>
      </c>
      <c r="M397" s="1">
        <v>43024</v>
      </c>
      <c r="R397">
        <v>2.5651503173167267E-3</v>
      </c>
      <c r="T397" t="s">
        <v>39</v>
      </c>
      <c r="V397">
        <v>392983926</v>
      </c>
      <c r="W397" t="s">
        <v>226</v>
      </c>
      <c r="X397" t="s">
        <v>227</v>
      </c>
      <c r="Y397">
        <v>400000000</v>
      </c>
      <c r="Z397" t="s">
        <v>31</v>
      </c>
      <c r="AA397">
        <v>8.570779837612166E-3</v>
      </c>
      <c r="AB397">
        <v>98.245981</v>
      </c>
      <c r="AC397" t="s">
        <v>52</v>
      </c>
      <c r="AE397" t="s">
        <v>41</v>
      </c>
      <c r="AF397">
        <v>3.1199999999999999E-2</v>
      </c>
      <c r="AH397" t="s">
        <v>209</v>
      </c>
      <c r="AJ397">
        <v>5.6933724312718918E-3</v>
      </c>
      <c r="AK397">
        <v>5.6933724312718918E-3</v>
      </c>
      <c r="AL397">
        <v>0</v>
      </c>
      <c r="AQ397">
        <v>1.7763321985568301E-4</v>
      </c>
    </row>
    <row r="398" spans="1:43" x14ac:dyDescent="0.2">
      <c r="A398">
        <v>396</v>
      </c>
      <c r="B398">
        <v>152</v>
      </c>
      <c r="C398">
        <v>2</v>
      </c>
      <c r="D398">
        <v>4</v>
      </c>
      <c r="E398" t="s">
        <v>204</v>
      </c>
      <c r="F398" t="s">
        <v>60</v>
      </c>
      <c r="G398" t="s">
        <v>207</v>
      </c>
      <c r="H398">
        <v>4.6867641137518972E-3</v>
      </c>
      <c r="I398">
        <v>1.8215537050877766E-5</v>
      </c>
      <c r="J398">
        <v>0.66</v>
      </c>
      <c r="L398" s="1">
        <v>43265</v>
      </c>
      <c r="M398" s="1">
        <v>43024</v>
      </c>
      <c r="R398">
        <v>2.5651503173167267E-3</v>
      </c>
      <c r="T398" t="s">
        <v>39</v>
      </c>
      <c r="V398">
        <v>490156034</v>
      </c>
      <c r="W398" t="s">
        <v>200</v>
      </c>
      <c r="X398" t="s">
        <v>214</v>
      </c>
      <c r="Y398">
        <v>500000000</v>
      </c>
      <c r="Z398" t="s">
        <v>31</v>
      </c>
      <c r="AA398">
        <v>1.0690054161378457E-2</v>
      </c>
      <c r="AB398">
        <v>98.031205999999997</v>
      </c>
      <c r="AC398" t="s">
        <v>52</v>
      </c>
      <c r="AE398" t="s">
        <v>41</v>
      </c>
      <c r="AF398">
        <v>0.03</v>
      </c>
      <c r="AH398" t="s">
        <v>209</v>
      </c>
      <c r="AJ398">
        <v>7.1011577481089345E-3</v>
      </c>
      <c r="AK398">
        <v>7.1011577481089345E-3</v>
      </c>
      <c r="AL398">
        <v>0</v>
      </c>
      <c r="AQ398">
        <v>2.1303473244326803E-4</v>
      </c>
    </row>
    <row r="399" spans="1:43" x14ac:dyDescent="0.2">
      <c r="A399">
        <v>397</v>
      </c>
      <c r="B399">
        <v>152</v>
      </c>
      <c r="C399">
        <v>2</v>
      </c>
      <c r="D399">
        <v>1</v>
      </c>
      <c r="E399" t="s">
        <v>215</v>
      </c>
      <c r="F399" t="s">
        <v>60</v>
      </c>
      <c r="G399" t="s">
        <v>207</v>
      </c>
      <c r="H399">
        <v>2.267057857995382E-3</v>
      </c>
      <c r="I399">
        <v>1.0972347516626855E-5</v>
      </c>
      <c r="J399">
        <v>0.53</v>
      </c>
      <c r="L399" s="1">
        <v>43217</v>
      </c>
      <c r="M399" s="1">
        <v>43024</v>
      </c>
      <c r="R399">
        <v>2.5651503173167267E-3</v>
      </c>
      <c r="T399" t="s">
        <v>39</v>
      </c>
      <c r="V399">
        <v>295251374</v>
      </c>
      <c r="W399" t="s">
        <v>216</v>
      </c>
      <c r="X399" t="s">
        <v>217</v>
      </c>
      <c r="Y399">
        <v>300000000</v>
      </c>
      <c r="Z399" t="s">
        <v>31</v>
      </c>
      <c r="AA399">
        <v>6.4392825148438491E-3</v>
      </c>
      <c r="AB399">
        <v>98.417124000000001</v>
      </c>
      <c r="AC399" t="s">
        <v>52</v>
      </c>
      <c r="AE399" t="s">
        <v>41</v>
      </c>
      <c r="AF399">
        <v>0.03</v>
      </c>
      <c r="AH399" t="s">
        <v>209</v>
      </c>
      <c r="AJ399">
        <v>4.2774676565950605E-3</v>
      </c>
      <c r="AK399">
        <v>4.2774676565950605E-3</v>
      </c>
      <c r="AL399">
        <v>0</v>
      </c>
      <c r="AQ399">
        <v>1.2832402969785182E-4</v>
      </c>
    </row>
    <row r="400" spans="1:43" x14ac:dyDescent="0.2">
      <c r="A400">
        <v>398</v>
      </c>
      <c r="B400">
        <v>152</v>
      </c>
      <c r="C400">
        <v>2</v>
      </c>
      <c r="D400">
        <v>1</v>
      </c>
      <c r="E400" t="s">
        <v>215</v>
      </c>
      <c r="F400" t="s">
        <v>60</v>
      </c>
      <c r="G400" t="s">
        <v>207</v>
      </c>
      <c r="H400">
        <v>7.8375245290750151E-4</v>
      </c>
      <c r="I400">
        <v>3.6553506423153458E-6</v>
      </c>
      <c r="J400">
        <v>0.55000000000000004</v>
      </c>
      <c r="L400" s="1">
        <v>43224</v>
      </c>
      <c r="M400" s="1">
        <v>43024</v>
      </c>
      <c r="R400">
        <v>2.5651503173167267E-3</v>
      </c>
      <c r="T400" t="s">
        <v>39</v>
      </c>
      <c r="V400">
        <v>98360656</v>
      </c>
      <c r="W400" t="s">
        <v>216</v>
      </c>
      <c r="X400" t="s">
        <v>217</v>
      </c>
      <c r="Y400">
        <v>100000000</v>
      </c>
      <c r="Z400" t="s">
        <v>31</v>
      </c>
      <c r="AA400">
        <v>2.1451959520072234E-3</v>
      </c>
      <c r="AB400">
        <v>98.360656000000006</v>
      </c>
      <c r="AC400" t="s">
        <v>52</v>
      </c>
      <c r="AE400" t="s">
        <v>41</v>
      </c>
      <c r="AF400">
        <v>0.03</v>
      </c>
      <c r="AH400" t="s">
        <v>209</v>
      </c>
      <c r="AJ400">
        <v>1.4250044598318207E-3</v>
      </c>
      <c r="AK400">
        <v>1.4250044598318207E-3</v>
      </c>
      <c r="AL400">
        <v>0</v>
      </c>
      <c r="AQ400">
        <v>4.2750133794954624E-5</v>
      </c>
    </row>
    <row r="401" spans="1:43" x14ac:dyDescent="0.2">
      <c r="A401">
        <v>399</v>
      </c>
      <c r="B401">
        <v>152</v>
      </c>
      <c r="C401">
        <v>2</v>
      </c>
      <c r="D401">
        <v>1</v>
      </c>
      <c r="E401" t="s">
        <v>256</v>
      </c>
      <c r="F401" t="s">
        <v>60</v>
      </c>
      <c r="G401" t="s">
        <v>207</v>
      </c>
      <c r="H401">
        <v>4.1291283876589528E-3</v>
      </c>
      <c r="I401">
        <v>1.8261784472146324E-5</v>
      </c>
      <c r="J401">
        <v>0.57999999999999996</v>
      </c>
      <c r="L401" s="1">
        <v>43234</v>
      </c>
      <c r="M401" s="1">
        <v>43024</v>
      </c>
      <c r="N401" s="1"/>
      <c r="R401">
        <v>2.5651503173167267E-3</v>
      </c>
      <c r="T401" t="s">
        <v>39</v>
      </c>
      <c r="V401">
        <v>491400491</v>
      </c>
      <c r="W401" t="s">
        <v>248</v>
      </c>
      <c r="X401" t="s">
        <v>257</v>
      </c>
      <c r="Y401">
        <v>500000000</v>
      </c>
      <c r="Z401" t="s">
        <v>31</v>
      </c>
      <c r="AA401">
        <v>1.0717195136514358E-2</v>
      </c>
      <c r="AB401">
        <v>98.280097999999995</v>
      </c>
      <c r="AC401" t="s">
        <v>52</v>
      </c>
      <c r="AE401" t="s">
        <v>41</v>
      </c>
      <c r="AF401">
        <v>0.03</v>
      </c>
      <c r="AH401" t="s">
        <v>209</v>
      </c>
      <c r="AJ401">
        <v>7.1191868752740577E-3</v>
      </c>
      <c r="AK401">
        <v>7.1191868752740577E-3</v>
      </c>
      <c r="AL401">
        <v>0</v>
      </c>
      <c r="AQ401">
        <v>2.1357560625822171E-4</v>
      </c>
    </row>
    <row r="402" spans="1:43" x14ac:dyDescent="0.2">
      <c r="A402">
        <v>400</v>
      </c>
      <c r="B402">
        <v>153</v>
      </c>
      <c r="C402">
        <v>2</v>
      </c>
      <c r="D402">
        <v>1</v>
      </c>
      <c r="E402" t="s">
        <v>215</v>
      </c>
      <c r="F402" t="s">
        <v>60</v>
      </c>
      <c r="G402" t="s">
        <v>207</v>
      </c>
      <c r="H402">
        <v>2.1449737531399628E-3</v>
      </c>
      <c r="I402">
        <v>4.0427144370174082E-6</v>
      </c>
      <c r="J402">
        <v>1.02</v>
      </c>
      <c r="L402" s="1">
        <v>43395</v>
      </c>
      <c r="M402" s="1">
        <v>43024</v>
      </c>
      <c r="N402" s="1"/>
      <c r="R402">
        <v>1.9224331858240166E-3</v>
      </c>
      <c r="T402" t="s">
        <v>39</v>
      </c>
      <c r="V402">
        <v>145153330</v>
      </c>
      <c r="W402" t="s">
        <v>216</v>
      </c>
      <c r="X402" t="s">
        <v>217</v>
      </c>
      <c r="Y402">
        <v>150000000</v>
      </c>
      <c r="Z402" t="s">
        <v>31</v>
      </c>
      <c r="AA402">
        <v>2.3725260567390291E-3</v>
      </c>
      <c r="AB402">
        <v>96.768885999999995</v>
      </c>
      <c r="AC402" t="s">
        <v>52</v>
      </c>
      <c r="AE402" t="s">
        <v>41</v>
      </c>
      <c r="AF402">
        <v>3.2399999999999998E-2</v>
      </c>
      <c r="AH402" t="s">
        <v>209</v>
      </c>
      <c r="AJ402">
        <v>2.1029154442548654E-3</v>
      </c>
      <c r="AK402">
        <v>2.1029154442548654E-3</v>
      </c>
      <c r="AL402">
        <v>0</v>
      </c>
      <c r="AQ402">
        <v>6.8134460393857636E-5</v>
      </c>
    </row>
    <row r="403" spans="1:43" x14ac:dyDescent="0.2">
      <c r="A403">
        <v>401</v>
      </c>
      <c r="B403">
        <v>0</v>
      </c>
      <c r="C403">
        <v>5</v>
      </c>
      <c r="D403">
        <v>0</v>
      </c>
      <c r="E403" t="s">
        <v>203</v>
      </c>
      <c r="F403" t="s">
        <v>116</v>
      </c>
      <c r="G403" t="s">
        <v>1676</v>
      </c>
      <c r="H403">
        <v>0</v>
      </c>
      <c r="I403">
        <v>0</v>
      </c>
      <c r="J403">
        <v>0</v>
      </c>
      <c r="L403" s="1">
        <v>43046</v>
      </c>
      <c r="M403" s="1">
        <v>43024</v>
      </c>
      <c r="R403">
        <v>0</v>
      </c>
      <c r="T403" t="s">
        <v>39</v>
      </c>
      <c r="V403">
        <v>-3214762.1879671453</v>
      </c>
      <c r="W403" t="s">
        <v>181</v>
      </c>
      <c r="X403" t="s">
        <v>271</v>
      </c>
      <c r="Y403">
        <v>0</v>
      </c>
      <c r="Z403" t="s">
        <v>47</v>
      </c>
      <c r="AA403">
        <v>0</v>
      </c>
      <c r="AB403">
        <v>0</v>
      </c>
      <c r="AC403" t="s">
        <v>47</v>
      </c>
      <c r="AE403" t="s">
        <v>108</v>
      </c>
      <c r="AF403">
        <v>0</v>
      </c>
      <c r="AH403" t="s">
        <v>202</v>
      </c>
      <c r="AJ403">
        <v>-8.1864175690425117E-2</v>
      </c>
      <c r="AK403">
        <v>-8.1864175690425117E-2</v>
      </c>
      <c r="AL403">
        <v>0</v>
      </c>
      <c r="AN403" t="s">
        <v>47</v>
      </c>
      <c r="AQ403">
        <v>0</v>
      </c>
    </row>
    <row r="404" spans="1:43" x14ac:dyDescent="0.2">
      <c r="A404">
        <v>402</v>
      </c>
      <c r="B404">
        <v>0</v>
      </c>
      <c r="C404">
        <v>5</v>
      </c>
      <c r="D404">
        <v>0</v>
      </c>
      <c r="E404" t="s">
        <v>203</v>
      </c>
      <c r="F404" t="s">
        <v>116</v>
      </c>
      <c r="G404" t="s">
        <v>1677</v>
      </c>
      <c r="H404">
        <v>0</v>
      </c>
      <c r="I404">
        <v>0</v>
      </c>
      <c r="J404">
        <v>0</v>
      </c>
      <c r="L404" s="1">
        <v>43026</v>
      </c>
      <c r="M404" s="1">
        <v>43024</v>
      </c>
      <c r="R404">
        <v>0</v>
      </c>
      <c r="T404" t="s">
        <v>39</v>
      </c>
      <c r="V404">
        <v>-2812916.9144712519</v>
      </c>
      <c r="W404" t="s">
        <v>181</v>
      </c>
      <c r="X404" t="s">
        <v>271</v>
      </c>
      <c r="Y404">
        <v>0</v>
      </c>
      <c r="Z404" t="s">
        <v>47</v>
      </c>
      <c r="AA404">
        <v>0</v>
      </c>
      <c r="AB404">
        <v>0</v>
      </c>
      <c r="AC404" t="s">
        <v>47</v>
      </c>
      <c r="AE404" t="s">
        <v>108</v>
      </c>
      <c r="AF404">
        <v>0</v>
      </c>
      <c r="AH404" t="s">
        <v>202</v>
      </c>
      <c r="AJ404">
        <v>-7.1631153729121974E-2</v>
      </c>
      <c r="AK404">
        <v>-7.1631153729121974E-2</v>
      </c>
      <c r="AL404">
        <v>0</v>
      </c>
      <c r="AN404" t="s">
        <v>47</v>
      </c>
      <c r="AQ404">
        <v>0</v>
      </c>
    </row>
    <row r="405" spans="1:43" x14ac:dyDescent="0.2">
      <c r="A405">
        <v>403</v>
      </c>
      <c r="B405">
        <v>0</v>
      </c>
      <c r="C405">
        <v>5</v>
      </c>
      <c r="D405">
        <v>0</v>
      </c>
      <c r="E405" t="s">
        <v>203</v>
      </c>
      <c r="F405" t="s">
        <v>116</v>
      </c>
      <c r="G405" t="s">
        <v>1678</v>
      </c>
      <c r="H405">
        <v>0</v>
      </c>
      <c r="I405">
        <v>0</v>
      </c>
      <c r="J405">
        <v>0</v>
      </c>
      <c r="L405" s="1">
        <v>43041</v>
      </c>
      <c r="M405" s="1">
        <v>43024</v>
      </c>
      <c r="R405">
        <v>0</v>
      </c>
      <c r="T405" t="s">
        <v>39</v>
      </c>
      <c r="V405">
        <v>-2571809.750373716</v>
      </c>
      <c r="W405" t="s">
        <v>181</v>
      </c>
      <c r="X405" t="s">
        <v>271</v>
      </c>
      <c r="Y405">
        <v>0</v>
      </c>
      <c r="Z405" t="s">
        <v>47</v>
      </c>
      <c r="AA405">
        <v>0</v>
      </c>
      <c r="AB405">
        <v>0</v>
      </c>
      <c r="AC405" t="s">
        <v>47</v>
      </c>
      <c r="AE405" t="s">
        <v>108</v>
      </c>
      <c r="AF405">
        <v>0</v>
      </c>
      <c r="AH405" t="s">
        <v>202</v>
      </c>
      <c r="AJ405">
        <v>-6.5491340552340085E-2</v>
      </c>
      <c r="AK405">
        <v>-6.5491340552340085E-2</v>
      </c>
      <c r="AL405">
        <v>0</v>
      </c>
      <c r="AN405" t="s">
        <v>47</v>
      </c>
      <c r="AQ405">
        <v>0</v>
      </c>
    </row>
    <row r="406" spans="1:43" x14ac:dyDescent="0.2">
      <c r="A406">
        <v>404</v>
      </c>
      <c r="B406">
        <v>0</v>
      </c>
      <c r="C406">
        <v>5</v>
      </c>
      <c r="D406">
        <v>0</v>
      </c>
      <c r="E406" t="s">
        <v>204</v>
      </c>
      <c r="F406" t="s">
        <v>116</v>
      </c>
      <c r="G406" t="s">
        <v>1679</v>
      </c>
      <c r="H406">
        <v>0</v>
      </c>
      <c r="I406">
        <v>0</v>
      </c>
      <c r="J406">
        <v>0</v>
      </c>
      <c r="L406" s="1">
        <v>43055</v>
      </c>
      <c r="M406" s="1">
        <v>43024</v>
      </c>
      <c r="R406">
        <v>0</v>
      </c>
      <c r="T406" t="s">
        <v>39</v>
      </c>
      <c r="V406">
        <v>-803690.54699178634</v>
      </c>
      <c r="W406" t="s">
        <v>200</v>
      </c>
      <c r="X406" t="s">
        <v>205</v>
      </c>
      <c r="Y406">
        <v>0</v>
      </c>
      <c r="Z406" t="s">
        <v>47</v>
      </c>
      <c r="AA406">
        <v>0</v>
      </c>
      <c r="AB406">
        <v>0</v>
      </c>
      <c r="AC406" t="s">
        <v>47</v>
      </c>
      <c r="AE406" t="s">
        <v>108</v>
      </c>
      <c r="AF406">
        <v>0</v>
      </c>
      <c r="AH406" t="s">
        <v>202</v>
      </c>
      <c r="AJ406">
        <v>-2.0466043922606279E-2</v>
      </c>
      <c r="AK406">
        <v>-2.0466043922606279E-2</v>
      </c>
      <c r="AL406">
        <v>0</v>
      </c>
      <c r="AN406" t="s">
        <v>47</v>
      </c>
      <c r="AQ406">
        <v>0</v>
      </c>
    </row>
    <row r="407" spans="1:43" x14ac:dyDescent="0.2">
      <c r="A407">
        <v>405</v>
      </c>
      <c r="B407">
        <v>0</v>
      </c>
      <c r="C407">
        <v>5</v>
      </c>
      <c r="D407">
        <v>0</v>
      </c>
      <c r="E407" t="s">
        <v>1680</v>
      </c>
      <c r="F407" t="s">
        <v>116</v>
      </c>
      <c r="G407" t="s">
        <v>1677</v>
      </c>
      <c r="H407">
        <v>0</v>
      </c>
      <c r="I407">
        <v>0</v>
      </c>
      <c r="J407">
        <v>0</v>
      </c>
      <c r="L407" s="1">
        <v>43026</v>
      </c>
      <c r="M407" s="1">
        <v>43024</v>
      </c>
      <c r="R407">
        <v>0</v>
      </c>
      <c r="T407" t="s">
        <v>39</v>
      </c>
      <c r="V407">
        <v>-803690.54699178634</v>
      </c>
      <c r="W407" t="s">
        <v>1681</v>
      </c>
      <c r="X407" t="s">
        <v>1682</v>
      </c>
      <c r="Y407">
        <v>0</v>
      </c>
      <c r="Z407" t="s">
        <v>47</v>
      </c>
      <c r="AA407">
        <v>0</v>
      </c>
      <c r="AB407">
        <v>0</v>
      </c>
      <c r="AC407" t="s">
        <v>47</v>
      </c>
      <c r="AE407" t="s">
        <v>108</v>
      </c>
      <c r="AF407">
        <v>0</v>
      </c>
      <c r="AH407" t="s">
        <v>202</v>
      </c>
      <c r="AJ407">
        <v>-2.0466043922606279E-2</v>
      </c>
      <c r="AK407">
        <v>-2.0466043922606279E-2</v>
      </c>
      <c r="AL407">
        <v>0</v>
      </c>
      <c r="AN407" t="s">
        <v>47</v>
      </c>
      <c r="AQ407">
        <v>0</v>
      </c>
    </row>
    <row r="408" spans="1:43" x14ac:dyDescent="0.2">
      <c r="A408">
        <v>406</v>
      </c>
      <c r="B408">
        <v>0</v>
      </c>
      <c r="C408">
        <v>5</v>
      </c>
      <c r="D408">
        <v>0</v>
      </c>
      <c r="E408" t="s">
        <v>204</v>
      </c>
      <c r="F408" t="s">
        <v>116</v>
      </c>
      <c r="G408" t="s">
        <v>1678</v>
      </c>
      <c r="H408">
        <v>0</v>
      </c>
      <c r="I408">
        <v>0</v>
      </c>
      <c r="J408">
        <v>0</v>
      </c>
      <c r="L408" s="1">
        <v>43041</v>
      </c>
      <c r="M408" s="1">
        <v>43024</v>
      </c>
      <c r="N408" s="1"/>
      <c r="R408">
        <v>0</v>
      </c>
      <c r="T408" t="s">
        <v>39</v>
      </c>
      <c r="V408">
        <v>-964428.65639014356</v>
      </c>
      <c r="W408" t="s">
        <v>200</v>
      </c>
      <c r="X408" t="s">
        <v>205</v>
      </c>
      <c r="Y408">
        <v>0</v>
      </c>
      <c r="Z408" t="s">
        <v>47</v>
      </c>
      <c r="AA408">
        <v>0</v>
      </c>
      <c r="AB408">
        <v>0</v>
      </c>
      <c r="AC408" t="s">
        <v>47</v>
      </c>
      <c r="AE408" t="s">
        <v>108</v>
      </c>
      <c r="AF408">
        <v>0</v>
      </c>
      <c r="AH408" t="s">
        <v>202</v>
      </c>
      <c r="AJ408">
        <v>-2.4559252707127534E-2</v>
      </c>
      <c r="AK408">
        <v>-2.4559252707127534E-2</v>
      </c>
      <c r="AL408">
        <v>0</v>
      </c>
      <c r="AN408" t="s">
        <v>47</v>
      </c>
      <c r="AQ408">
        <v>0</v>
      </c>
    </row>
    <row r="409" spans="1:43" x14ac:dyDescent="0.2">
      <c r="A409">
        <v>407</v>
      </c>
      <c r="B409">
        <v>0</v>
      </c>
      <c r="C409">
        <v>5</v>
      </c>
      <c r="D409">
        <v>0</v>
      </c>
      <c r="E409" t="s">
        <v>203</v>
      </c>
      <c r="F409" t="s">
        <v>116</v>
      </c>
      <c r="G409" t="s">
        <v>1252</v>
      </c>
      <c r="H409">
        <v>0</v>
      </c>
      <c r="I409">
        <v>0</v>
      </c>
      <c r="J409">
        <v>0</v>
      </c>
      <c r="L409" s="1">
        <v>43027</v>
      </c>
      <c r="M409" s="1">
        <v>43024</v>
      </c>
      <c r="N409" s="1"/>
      <c r="R409">
        <v>0</v>
      </c>
      <c r="T409" t="s">
        <v>39</v>
      </c>
      <c r="V409">
        <v>-964428.65639014356</v>
      </c>
      <c r="W409" t="s">
        <v>181</v>
      </c>
      <c r="X409" t="s">
        <v>271</v>
      </c>
      <c r="Y409">
        <v>0</v>
      </c>
      <c r="Z409" t="s">
        <v>47</v>
      </c>
      <c r="AA409">
        <v>0</v>
      </c>
      <c r="AB409">
        <v>0</v>
      </c>
      <c r="AC409" t="s">
        <v>47</v>
      </c>
      <c r="AE409" t="s">
        <v>108</v>
      </c>
      <c r="AF409">
        <v>0</v>
      </c>
      <c r="AH409" t="s">
        <v>202</v>
      </c>
      <c r="AJ409">
        <v>-2.4559252707127534E-2</v>
      </c>
      <c r="AK409">
        <v>-2.4559252707127534E-2</v>
      </c>
      <c r="AL409">
        <v>0</v>
      </c>
      <c r="AN409" t="s">
        <v>47</v>
      </c>
      <c r="AQ409">
        <v>0</v>
      </c>
    </row>
    <row r="410" spans="1:43" x14ac:dyDescent="0.2">
      <c r="A410">
        <v>408</v>
      </c>
      <c r="B410">
        <v>0</v>
      </c>
      <c r="C410">
        <v>5</v>
      </c>
      <c r="D410">
        <v>0</v>
      </c>
      <c r="E410" t="s">
        <v>203</v>
      </c>
      <c r="F410" t="s">
        <v>116</v>
      </c>
      <c r="G410" t="s">
        <v>1252</v>
      </c>
      <c r="H410">
        <v>0</v>
      </c>
      <c r="I410">
        <v>0</v>
      </c>
      <c r="J410">
        <v>0</v>
      </c>
      <c r="L410" s="1">
        <v>43027</v>
      </c>
      <c r="M410" s="1">
        <v>43024</v>
      </c>
      <c r="N410" s="1"/>
      <c r="R410">
        <v>0</v>
      </c>
      <c r="T410" t="s">
        <v>39</v>
      </c>
      <c r="V410">
        <v>-964428.65639014356</v>
      </c>
      <c r="W410" t="s">
        <v>181</v>
      </c>
      <c r="X410" t="s">
        <v>271</v>
      </c>
      <c r="Y410">
        <v>0</v>
      </c>
      <c r="Z410" t="s">
        <v>47</v>
      </c>
      <c r="AA410">
        <v>0</v>
      </c>
      <c r="AB410">
        <v>0</v>
      </c>
      <c r="AC410" t="s">
        <v>47</v>
      </c>
      <c r="AE410" t="s">
        <v>108</v>
      </c>
      <c r="AF410">
        <v>0</v>
      </c>
      <c r="AH410" t="s">
        <v>202</v>
      </c>
      <c r="AJ410">
        <v>-2.4559252707127534E-2</v>
      </c>
      <c r="AK410">
        <v>-2.4559252707127534E-2</v>
      </c>
      <c r="AL410">
        <v>0</v>
      </c>
      <c r="AN410" t="s">
        <v>47</v>
      </c>
      <c r="AQ410">
        <v>0</v>
      </c>
    </row>
    <row r="411" spans="1:43" x14ac:dyDescent="0.2">
      <c r="A411">
        <v>409</v>
      </c>
      <c r="B411">
        <v>0</v>
      </c>
      <c r="C411">
        <v>5</v>
      </c>
      <c r="D411">
        <v>0</v>
      </c>
      <c r="E411" t="s">
        <v>1680</v>
      </c>
      <c r="F411" t="s">
        <v>116</v>
      </c>
      <c r="G411" t="s">
        <v>1683</v>
      </c>
      <c r="H411">
        <v>0</v>
      </c>
      <c r="I411">
        <v>0</v>
      </c>
      <c r="J411">
        <v>0</v>
      </c>
      <c r="L411" s="1">
        <v>43042</v>
      </c>
      <c r="M411" s="1">
        <v>43024</v>
      </c>
      <c r="R411">
        <v>0</v>
      </c>
      <c r="T411" t="s">
        <v>39</v>
      </c>
      <c r="V411">
        <v>-1285904.875186858</v>
      </c>
      <c r="W411" t="s">
        <v>1681</v>
      </c>
      <c r="X411" t="s">
        <v>1682</v>
      </c>
      <c r="Y411">
        <v>0</v>
      </c>
      <c r="Z411" t="s">
        <v>47</v>
      </c>
      <c r="AA411">
        <v>0</v>
      </c>
      <c r="AB411">
        <v>0</v>
      </c>
      <c r="AC411" t="s">
        <v>47</v>
      </c>
      <c r="AE411" t="s">
        <v>108</v>
      </c>
      <c r="AF411">
        <v>0</v>
      </c>
      <c r="AH411" t="s">
        <v>202</v>
      </c>
      <c r="AJ411">
        <v>-3.2745670276170043E-2</v>
      </c>
      <c r="AK411">
        <v>-3.2745670276170043E-2</v>
      </c>
      <c r="AL411">
        <v>0</v>
      </c>
      <c r="AN411" t="s">
        <v>47</v>
      </c>
      <c r="AQ411">
        <v>0</v>
      </c>
    </row>
    <row r="412" spans="1:43" x14ac:dyDescent="0.2">
      <c r="A412">
        <v>410</v>
      </c>
      <c r="B412">
        <v>0</v>
      </c>
      <c r="C412">
        <v>5</v>
      </c>
      <c r="D412">
        <v>0</v>
      </c>
      <c r="E412" t="s">
        <v>1680</v>
      </c>
      <c r="F412" t="s">
        <v>116</v>
      </c>
      <c r="G412" t="s">
        <v>1684</v>
      </c>
      <c r="H412">
        <v>0</v>
      </c>
      <c r="I412">
        <v>0</v>
      </c>
      <c r="J412">
        <v>0</v>
      </c>
      <c r="L412" s="1">
        <v>43102</v>
      </c>
      <c r="M412" s="1">
        <v>43024</v>
      </c>
      <c r="R412">
        <v>0</v>
      </c>
      <c r="T412" t="s">
        <v>39</v>
      </c>
      <c r="V412">
        <v>-241107.16409753589</v>
      </c>
      <c r="W412" t="s">
        <v>1681</v>
      </c>
      <c r="X412" t="s">
        <v>1682</v>
      </c>
      <c r="Y412">
        <v>0</v>
      </c>
      <c r="Z412" t="s">
        <v>47</v>
      </c>
      <c r="AA412">
        <v>0</v>
      </c>
      <c r="AB412">
        <v>0</v>
      </c>
      <c r="AC412" t="s">
        <v>47</v>
      </c>
      <c r="AE412" t="s">
        <v>108</v>
      </c>
      <c r="AF412">
        <v>0</v>
      </c>
      <c r="AH412" t="s">
        <v>202</v>
      </c>
      <c r="AJ412">
        <v>-6.1398131767818834E-3</v>
      </c>
      <c r="AK412">
        <v>-6.1398131767818834E-3</v>
      </c>
      <c r="AL412">
        <v>0</v>
      </c>
      <c r="AN412" t="s">
        <v>47</v>
      </c>
      <c r="AQ412">
        <v>0</v>
      </c>
    </row>
    <row r="413" spans="1:43" x14ac:dyDescent="0.2">
      <c r="A413">
        <v>411</v>
      </c>
      <c r="B413">
        <v>0</v>
      </c>
      <c r="C413">
        <v>5</v>
      </c>
      <c r="D413">
        <v>0</v>
      </c>
      <c r="E413" t="s">
        <v>1680</v>
      </c>
      <c r="F413" t="s">
        <v>116</v>
      </c>
      <c r="G413" t="s">
        <v>1685</v>
      </c>
      <c r="H413">
        <v>0</v>
      </c>
      <c r="I413">
        <v>0</v>
      </c>
      <c r="J413">
        <v>0</v>
      </c>
      <c r="L413" s="1">
        <v>43025</v>
      </c>
      <c r="M413" s="1">
        <v>43024</v>
      </c>
      <c r="R413">
        <v>0</v>
      </c>
      <c r="T413" t="s">
        <v>39</v>
      </c>
      <c r="V413">
        <v>-1607381.0939835727</v>
      </c>
      <c r="W413" t="s">
        <v>1681</v>
      </c>
      <c r="X413" t="s">
        <v>1682</v>
      </c>
      <c r="Y413">
        <v>0</v>
      </c>
      <c r="Z413" t="s">
        <v>47</v>
      </c>
      <c r="AA413">
        <v>0</v>
      </c>
      <c r="AB413">
        <v>0</v>
      </c>
      <c r="AC413" t="s">
        <v>47</v>
      </c>
      <c r="AE413" t="s">
        <v>108</v>
      </c>
      <c r="AF413">
        <v>0</v>
      </c>
      <c r="AH413" t="s">
        <v>202</v>
      </c>
      <c r="AJ413">
        <v>-4.0932087845212559E-2</v>
      </c>
      <c r="AK413">
        <v>-4.0932087845212559E-2</v>
      </c>
      <c r="AL413">
        <v>0</v>
      </c>
      <c r="AN413" t="s">
        <v>47</v>
      </c>
      <c r="AQ413">
        <v>0</v>
      </c>
    </row>
    <row r="414" spans="1:43" x14ac:dyDescent="0.2">
      <c r="A414">
        <v>412</v>
      </c>
      <c r="B414">
        <v>0</v>
      </c>
      <c r="C414">
        <v>5</v>
      </c>
      <c r="D414">
        <v>0</v>
      </c>
      <c r="E414" t="s">
        <v>203</v>
      </c>
      <c r="F414" t="s">
        <v>116</v>
      </c>
      <c r="G414" t="s">
        <v>1223</v>
      </c>
      <c r="H414">
        <v>0</v>
      </c>
      <c r="I414">
        <v>0</v>
      </c>
      <c r="J414">
        <v>0</v>
      </c>
      <c r="L414" s="1">
        <v>43032</v>
      </c>
      <c r="M414" s="1">
        <v>43024</v>
      </c>
      <c r="N414" s="1"/>
      <c r="R414">
        <v>0</v>
      </c>
      <c r="T414" t="s">
        <v>39</v>
      </c>
      <c r="V414">
        <v>-4358069.8825004417</v>
      </c>
      <c r="W414" t="s">
        <v>181</v>
      </c>
      <c r="X414" t="s">
        <v>271</v>
      </c>
      <c r="Y414">
        <v>0</v>
      </c>
      <c r="Z414" t="s">
        <v>47</v>
      </c>
      <c r="AA414">
        <v>0</v>
      </c>
      <c r="AB414">
        <v>0</v>
      </c>
      <c r="AC414" t="s">
        <v>47</v>
      </c>
      <c r="AE414" t="s">
        <v>108</v>
      </c>
      <c r="AF414">
        <v>0</v>
      </c>
      <c r="AH414" t="s">
        <v>202</v>
      </c>
      <c r="AJ414">
        <v>-0.11097859738040837</v>
      </c>
      <c r="AK414">
        <v>-0.11097859738040837</v>
      </c>
      <c r="AL414">
        <v>0</v>
      </c>
      <c r="AN414" t="s">
        <v>47</v>
      </c>
      <c r="AQ414">
        <v>0</v>
      </c>
    </row>
    <row r="415" spans="1:43" x14ac:dyDescent="0.2">
      <c r="A415">
        <v>413</v>
      </c>
      <c r="B415">
        <v>66</v>
      </c>
      <c r="C415">
        <v>5</v>
      </c>
      <c r="D415">
        <v>0</v>
      </c>
      <c r="E415" t="s">
        <v>203</v>
      </c>
      <c r="F415" t="s">
        <v>116</v>
      </c>
      <c r="G415" t="s">
        <v>1676</v>
      </c>
      <c r="H415">
        <v>0</v>
      </c>
      <c r="I415">
        <v>6.4065124935052667E-3</v>
      </c>
      <c r="J415">
        <v>0</v>
      </c>
      <c r="L415" s="1">
        <v>43046</v>
      </c>
      <c r="M415" s="1">
        <v>43024</v>
      </c>
      <c r="N415" s="1"/>
      <c r="R415">
        <v>7.8530792020980456E-2</v>
      </c>
      <c r="T415" t="s">
        <v>30</v>
      </c>
      <c r="V415">
        <v>3203588</v>
      </c>
      <c r="W415" t="s">
        <v>181</v>
      </c>
      <c r="X415" t="s">
        <v>267</v>
      </c>
      <c r="Y415">
        <v>0</v>
      </c>
      <c r="Z415" t="s">
        <v>47</v>
      </c>
      <c r="AA415">
        <v>0.14167489559133209</v>
      </c>
      <c r="AB415">
        <v>0</v>
      </c>
      <c r="AC415" t="s">
        <v>47</v>
      </c>
      <c r="AE415" t="s">
        <v>108</v>
      </c>
      <c r="AF415">
        <v>0</v>
      </c>
      <c r="AH415" t="s">
        <v>202</v>
      </c>
      <c r="AJ415">
        <v>8.1579624102017065E-2</v>
      </c>
      <c r="AK415">
        <v>8.1579624102017065E-2</v>
      </c>
      <c r="AL415">
        <v>0</v>
      </c>
      <c r="AN415" t="s">
        <v>47</v>
      </c>
      <c r="AQ415">
        <v>0</v>
      </c>
    </row>
    <row r="416" spans="1:43" x14ac:dyDescent="0.2">
      <c r="A416">
        <v>414</v>
      </c>
      <c r="B416">
        <v>66</v>
      </c>
      <c r="C416">
        <v>5</v>
      </c>
      <c r="D416">
        <v>0</v>
      </c>
      <c r="E416" t="s">
        <v>203</v>
      </c>
      <c r="F416" t="s">
        <v>116</v>
      </c>
      <c r="G416" t="s">
        <v>1677</v>
      </c>
      <c r="H416">
        <v>0</v>
      </c>
      <c r="I416">
        <v>5.6265172756614591E-3</v>
      </c>
      <c r="J416">
        <v>0</v>
      </c>
      <c r="L416" s="1">
        <v>43026</v>
      </c>
      <c r="M416" s="1">
        <v>43024</v>
      </c>
      <c r="R416">
        <v>7.8530792020980456E-2</v>
      </c>
      <c r="T416" t="s">
        <v>30</v>
      </c>
      <c r="V416">
        <v>2813550</v>
      </c>
      <c r="W416" t="s">
        <v>181</v>
      </c>
      <c r="X416" t="s">
        <v>267</v>
      </c>
      <c r="Y416">
        <v>0</v>
      </c>
      <c r="Z416" t="s">
        <v>47</v>
      </c>
      <c r="AA416">
        <v>0.12442592570923364</v>
      </c>
      <c r="AB416">
        <v>0</v>
      </c>
      <c r="AC416" t="s">
        <v>47</v>
      </c>
      <c r="AE416" t="s">
        <v>108</v>
      </c>
      <c r="AF416">
        <v>0</v>
      </c>
      <c r="AH416" t="s">
        <v>202</v>
      </c>
      <c r="AJ416">
        <v>7.1647275302638827E-2</v>
      </c>
      <c r="AK416">
        <v>7.1647275302638827E-2</v>
      </c>
      <c r="AL416">
        <v>0</v>
      </c>
      <c r="AN416" t="s">
        <v>47</v>
      </c>
      <c r="AQ416">
        <v>0</v>
      </c>
    </row>
    <row r="417" spans="1:43" x14ac:dyDescent="0.2">
      <c r="A417">
        <v>415</v>
      </c>
      <c r="B417">
        <v>66</v>
      </c>
      <c r="C417">
        <v>5</v>
      </c>
      <c r="D417">
        <v>0</v>
      </c>
      <c r="E417" t="s">
        <v>203</v>
      </c>
      <c r="F417" t="s">
        <v>116</v>
      </c>
      <c r="G417" t="s">
        <v>1678</v>
      </c>
      <c r="H417">
        <v>0</v>
      </c>
      <c r="I417">
        <v>5.1006177417624267E-3</v>
      </c>
      <c r="J417">
        <v>0</v>
      </c>
      <c r="L417" s="1">
        <v>43041</v>
      </c>
      <c r="M417" s="1">
        <v>43024</v>
      </c>
      <c r="R417">
        <v>7.8530792020980456E-2</v>
      </c>
      <c r="T417" t="s">
        <v>30</v>
      </c>
      <c r="V417">
        <v>2550573</v>
      </c>
      <c r="W417" t="s">
        <v>181</v>
      </c>
      <c r="X417" t="s">
        <v>267</v>
      </c>
      <c r="Y417">
        <v>0</v>
      </c>
      <c r="Z417" t="s">
        <v>47</v>
      </c>
      <c r="AA417">
        <v>0.11279607848233626</v>
      </c>
      <c r="AB417">
        <v>0</v>
      </c>
      <c r="AC417" t="s">
        <v>47</v>
      </c>
      <c r="AE417" t="s">
        <v>108</v>
      </c>
      <c r="AF417">
        <v>0</v>
      </c>
      <c r="AH417" t="s">
        <v>202</v>
      </c>
      <c r="AJ417">
        <v>6.4950545009144114E-2</v>
      </c>
      <c r="AK417">
        <v>6.4950545009144114E-2</v>
      </c>
      <c r="AL417">
        <v>0</v>
      </c>
      <c r="AN417" t="s">
        <v>47</v>
      </c>
      <c r="AQ417">
        <v>0</v>
      </c>
    </row>
    <row r="418" spans="1:43" x14ac:dyDescent="0.2">
      <c r="A418">
        <v>416</v>
      </c>
      <c r="B418">
        <v>66</v>
      </c>
      <c r="C418">
        <v>5</v>
      </c>
      <c r="D418">
        <v>0</v>
      </c>
      <c r="E418" t="s">
        <v>204</v>
      </c>
      <c r="F418" t="s">
        <v>116</v>
      </c>
      <c r="G418" t="s">
        <v>1679</v>
      </c>
      <c r="H418">
        <v>0</v>
      </c>
      <c r="I418">
        <v>1.6047899209168438E-3</v>
      </c>
      <c r="J418">
        <v>0</v>
      </c>
      <c r="L418" s="1">
        <v>43055</v>
      </c>
      <c r="M418" s="1">
        <v>43024</v>
      </c>
      <c r="R418">
        <v>7.8530792020980456E-2</v>
      </c>
      <c r="T418" t="s">
        <v>30</v>
      </c>
      <c r="V418">
        <v>802478.0625</v>
      </c>
      <c r="W418" t="s">
        <v>200</v>
      </c>
      <c r="X418" t="s">
        <v>201</v>
      </c>
      <c r="Y418">
        <v>0</v>
      </c>
      <c r="Z418" t="s">
        <v>47</v>
      </c>
      <c r="AA418">
        <v>3.5488644519526838E-2</v>
      </c>
      <c r="AB418">
        <v>0</v>
      </c>
      <c r="AC418" t="s">
        <v>47</v>
      </c>
      <c r="AE418" t="s">
        <v>108</v>
      </c>
      <c r="AF418">
        <v>0</v>
      </c>
      <c r="AH418" t="s">
        <v>202</v>
      </c>
      <c r="AJ418">
        <v>2.0435167908253168E-2</v>
      </c>
      <c r="AK418">
        <v>2.0435167908253168E-2</v>
      </c>
      <c r="AL418">
        <v>0</v>
      </c>
      <c r="AN418" t="s">
        <v>47</v>
      </c>
      <c r="AQ418">
        <v>0</v>
      </c>
    </row>
    <row r="419" spans="1:43" x14ac:dyDescent="0.2">
      <c r="A419">
        <v>417</v>
      </c>
      <c r="B419">
        <v>66</v>
      </c>
      <c r="C419">
        <v>5</v>
      </c>
      <c r="D419">
        <v>0</v>
      </c>
      <c r="E419" t="s">
        <v>1680</v>
      </c>
      <c r="F419" t="s">
        <v>116</v>
      </c>
      <c r="G419" t="s">
        <v>1677</v>
      </c>
      <c r="H419">
        <v>0</v>
      </c>
      <c r="I419">
        <v>1.5704111064447765E-3</v>
      </c>
      <c r="J419">
        <v>0</v>
      </c>
      <c r="L419" s="1">
        <v>43026</v>
      </c>
      <c r="M419" s="1">
        <v>43024</v>
      </c>
      <c r="R419">
        <v>7.8530792020980456E-2</v>
      </c>
      <c r="T419" t="s">
        <v>30</v>
      </c>
      <c r="V419">
        <v>785286.875</v>
      </c>
      <c r="W419" t="s">
        <v>1681</v>
      </c>
      <c r="X419" t="s">
        <v>1686</v>
      </c>
      <c r="Y419">
        <v>0</v>
      </c>
      <c r="Z419" t="s">
        <v>47</v>
      </c>
      <c r="AA419">
        <v>3.4728384556587319E-2</v>
      </c>
      <c r="AB419">
        <v>0</v>
      </c>
      <c r="AC419" t="s">
        <v>47</v>
      </c>
      <c r="AE419" t="s">
        <v>108</v>
      </c>
      <c r="AF419">
        <v>0</v>
      </c>
      <c r="AH419" t="s">
        <v>202</v>
      </c>
      <c r="AJ419">
        <v>1.999739294651736E-2</v>
      </c>
      <c r="AK419">
        <v>1.999739294651736E-2</v>
      </c>
      <c r="AL419">
        <v>0</v>
      </c>
      <c r="AN419" t="s">
        <v>47</v>
      </c>
      <c r="AQ419">
        <v>0</v>
      </c>
    </row>
    <row r="420" spans="1:43" x14ac:dyDescent="0.2">
      <c r="A420">
        <v>418</v>
      </c>
      <c r="B420">
        <v>66</v>
      </c>
      <c r="C420">
        <v>5</v>
      </c>
      <c r="D420">
        <v>0</v>
      </c>
      <c r="E420" t="s">
        <v>204</v>
      </c>
      <c r="F420" t="s">
        <v>116</v>
      </c>
      <c r="G420" t="s">
        <v>1678</v>
      </c>
      <c r="H420">
        <v>0</v>
      </c>
      <c r="I420">
        <v>1.937846427086514E-3</v>
      </c>
      <c r="J420">
        <v>0</v>
      </c>
      <c r="L420" s="1">
        <v>43041</v>
      </c>
      <c r="M420" s="1">
        <v>43024</v>
      </c>
      <c r="R420">
        <v>7.8530792020980456E-2</v>
      </c>
      <c r="T420" t="s">
        <v>30</v>
      </c>
      <c r="V420">
        <v>969023.5625</v>
      </c>
      <c r="W420" t="s">
        <v>200</v>
      </c>
      <c r="X420" t="s">
        <v>201</v>
      </c>
      <c r="Y420">
        <v>0</v>
      </c>
      <c r="Z420" t="s">
        <v>47</v>
      </c>
      <c r="AA420">
        <v>4.2853922552690341E-2</v>
      </c>
      <c r="AB420">
        <v>0</v>
      </c>
      <c r="AC420" t="s">
        <v>47</v>
      </c>
      <c r="AE420" t="s">
        <v>108</v>
      </c>
      <c r="AF420">
        <v>0</v>
      </c>
      <c r="AH420" t="s">
        <v>202</v>
      </c>
      <c r="AJ420">
        <v>2.4676262357939734E-2</v>
      </c>
      <c r="AK420">
        <v>2.4676262357939734E-2</v>
      </c>
      <c r="AL420">
        <v>0</v>
      </c>
      <c r="AN420" t="s">
        <v>47</v>
      </c>
      <c r="AQ420">
        <v>0</v>
      </c>
    </row>
    <row r="421" spans="1:43" x14ac:dyDescent="0.2">
      <c r="A421">
        <v>419</v>
      </c>
      <c r="B421">
        <v>66</v>
      </c>
      <c r="C421">
        <v>5</v>
      </c>
      <c r="D421">
        <v>0</v>
      </c>
      <c r="E421" t="s">
        <v>203</v>
      </c>
      <c r="F421" t="s">
        <v>116</v>
      </c>
      <c r="G421" t="s">
        <v>1252</v>
      </c>
      <c r="H421">
        <v>0</v>
      </c>
      <c r="I421">
        <v>1.9486410591134412E-3</v>
      </c>
      <c r="J421">
        <v>0</v>
      </c>
      <c r="L421" s="1">
        <v>43027</v>
      </c>
      <c r="M421" s="1">
        <v>43024</v>
      </c>
      <c r="R421">
        <v>7.8530792020980456E-2</v>
      </c>
      <c r="T421" t="s">
        <v>30</v>
      </c>
      <c r="V421">
        <v>974421.4375</v>
      </c>
      <c r="W421" t="s">
        <v>181</v>
      </c>
      <c r="X421" t="s">
        <v>267</v>
      </c>
      <c r="Y421">
        <v>0</v>
      </c>
      <c r="Z421" t="s">
        <v>47</v>
      </c>
      <c r="AA421">
        <v>4.3092637199217944E-2</v>
      </c>
      <c r="AB421">
        <v>0</v>
      </c>
      <c r="AC421" t="s">
        <v>47</v>
      </c>
      <c r="AE421" t="s">
        <v>108</v>
      </c>
      <c r="AF421">
        <v>0</v>
      </c>
      <c r="AH421" t="s">
        <v>202</v>
      </c>
      <c r="AJ421">
        <v>2.4813719675625304E-2</v>
      </c>
      <c r="AK421">
        <v>2.4813719675625304E-2</v>
      </c>
      <c r="AL421">
        <v>0</v>
      </c>
      <c r="AN421" t="s">
        <v>47</v>
      </c>
      <c r="AQ421">
        <v>0</v>
      </c>
    </row>
    <row r="422" spans="1:43" x14ac:dyDescent="0.2">
      <c r="A422">
        <v>420</v>
      </c>
      <c r="B422">
        <v>66</v>
      </c>
      <c r="C422">
        <v>5</v>
      </c>
      <c r="D422">
        <v>0</v>
      </c>
      <c r="E422" t="s">
        <v>203</v>
      </c>
      <c r="F422" t="s">
        <v>116</v>
      </c>
      <c r="G422" t="s">
        <v>1252</v>
      </c>
      <c r="H422">
        <v>0</v>
      </c>
      <c r="I422">
        <v>1.9486410591134412E-3</v>
      </c>
      <c r="J422">
        <v>0</v>
      </c>
      <c r="L422" s="1">
        <v>43027</v>
      </c>
      <c r="M422" s="1">
        <v>43024</v>
      </c>
      <c r="N422" s="1"/>
      <c r="R422">
        <v>7.8530792020980456E-2</v>
      </c>
      <c r="T422" t="s">
        <v>30</v>
      </c>
      <c r="V422">
        <v>974421.4375</v>
      </c>
      <c r="W422" t="s">
        <v>181</v>
      </c>
      <c r="X422" t="s">
        <v>267</v>
      </c>
      <c r="Y422">
        <v>0</v>
      </c>
      <c r="Z422" t="s">
        <v>47</v>
      </c>
      <c r="AA422">
        <v>4.3092637199217944E-2</v>
      </c>
      <c r="AB422">
        <v>0</v>
      </c>
      <c r="AC422" t="s">
        <v>47</v>
      </c>
      <c r="AE422" t="s">
        <v>108</v>
      </c>
      <c r="AF422">
        <v>0</v>
      </c>
      <c r="AH422" t="s">
        <v>202</v>
      </c>
      <c r="AJ422">
        <v>2.4813719675625304E-2</v>
      </c>
      <c r="AK422">
        <v>2.4813719675625304E-2</v>
      </c>
      <c r="AL422">
        <v>0</v>
      </c>
      <c r="AN422" t="s">
        <v>47</v>
      </c>
      <c r="AQ422">
        <v>0</v>
      </c>
    </row>
    <row r="423" spans="1:43" x14ac:dyDescent="0.2">
      <c r="A423">
        <v>421</v>
      </c>
      <c r="B423">
        <v>66</v>
      </c>
      <c r="C423">
        <v>5</v>
      </c>
      <c r="D423">
        <v>0</v>
      </c>
      <c r="E423" t="s">
        <v>1680</v>
      </c>
      <c r="F423" t="s">
        <v>116</v>
      </c>
      <c r="G423" t="s">
        <v>1683</v>
      </c>
      <c r="H423">
        <v>0</v>
      </c>
      <c r="I423">
        <v>2.5238756085081636E-3</v>
      </c>
      <c r="J423">
        <v>0</v>
      </c>
      <c r="L423" s="1">
        <v>43042</v>
      </c>
      <c r="M423" s="1">
        <v>43024</v>
      </c>
      <c r="N423" s="1"/>
      <c r="R423">
        <v>7.8530792020980456E-2</v>
      </c>
      <c r="T423" t="s">
        <v>30</v>
      </c>
      <c r="V423">
        <v>1262068.5</v>
      </c>
      <c r="W423" t="s">
        <v>1681</v>
      </c>
      <c r="X423" t="s">
        <v>1686</v>
      </c>
      <c r="Y423">
        <v>0</v>
      </c>
      <c r="Z423" t="s">
        <v>47</v>
      </c>
      <c r="AA423">
        <v>5.5813488802745261E-2</v>
      </c>
      <c r="AB423">
        <v>0</v>
      </c>
      <c r="AC423" t="s">
        <v>47</v>
      </c>
      <c r="AE423" t="s">
        <v>108</v>
      </c>
      <c r="AF423">
        <v>0</v>
      </c>
      <c r="AH423" t="s">
        <v>202</v>
      </c>
      <c r="AJ423">
        <v>3.2138675079628379E-2</v>
      </c>
      <c r="AK423">
        <v>3.2138675079628379E-2</v>
      </c>
      <c r="AL423">
        <v>0</v>
      </c>
      <c r="AN423" t="s">
        <v>47</v>
      </c>
      <c r="AQ423">
        <v>0</v>
      </c>
    </row>
    <row r="424" spans="1:43" x14ac:dyDescent="0.2">
      <c r="A424">
        <v>422</v>
      </c>
      <c r="B424">
        <v>66</v>
      </c>
      <c r="C424">
        <v>5</v>
      </c>
      <c r="D424">
        <v>0</v>
      </c>
      <c r="E424" t="s">
        <v>1680</v>
      </c>
      <c r="F424" t="s">
        <v>116</v>
      </c>
      <c r="G424" t="s">
        <v>1684</v>
      </c>
      <c r="H424">
        <v>0</v>
      </c>
      <c r="I424">
        <v>4.6767841371500697E-3</v>
      </c>
      <c r="J424">
        <v>0</v>
      </c>
      <c r="L424" s="1">
        <v>43102</v>
      </c>
      <c r="M424" s="1">
        <v>43024</v>
      </c>
      <c r="R424">
        <v>7.8530792020980456E-2</v>
      </c>
      <c r="T424" t="s">
        <v>30</v>
      </c>
      <c r="V424">
        <v>2338634.25</v>
      </c>
      <c r="W424" t="s">
        <v>1681</v>
      </c>
      <c r="X424" t="s">
        <v>1686</v>
      </c>
      <c r="Y424">
        <v>0</v>
      </c>
      <c r="Z424" t="s">
        <v>47</v>
      </c>
      <c r="AA424">
        <v>0.10342333758119433</v>
      </c>
      <c r="AB424">
        <v>0</v>
      </c>
      <c r="AC424" t="s">
        <v>47</v>
      </c>
      <c r="AE424" t="s">
        <v>108</v>
      </c>
      <c r="AF424">
        <v>0</v>
      </c>
      <c r="AH424" t="s">
        <v>202</v>
      </c>
      <c r="AJ424">
        <v>5.9553507825320422E-2</v>
      </c>
      <c r="AK424">
        <v>5.9553507825320422E-2</v>
      </c>
      <c r="AL424">
        <v>0</v>
      </c>
      <c r="AN424" t="s">
        <v>47</v>
      </c>
      <c r="AQ424">
        <v>0</v>
      </c>
    </row>
    <row r="425" spans="1:43" x14ac:dyDescent="0.2">
      <c r="A425">
        <v>423</v>
      </c>
      <c r="B425">
        <v>66</v>
      </c>
      <c r="C425">
        <v>5</v>
      </c>
      <c r="D425">
        <v>0</v>
      </c>
      <c r="E425" t="s">
        <v>1680</v>
      </c>
      <c r="F425" t="s">
        <v>116</v>
      </c>
      <c r="G425" t="s">
        <v>1685</v>
      </c>
      <c r="H425">
        <v>0</v>
      </c>
      <c r="I425">
        <v>3.1872256570007673E-3</v>
      </c>
      <c r="J425">
        <v>0</v>
      </c>
      <c r="L425" s="1">
        <v>43025</v>
      </c>
      <c r="M425" s="1">
        <v>43024</v>
      </c>
      <c r="N425" s="1"/>
      <c r="R425">
        <v>7.8530792020980456E-2</v>
      </c>
      <c r="T425" t="s">
        <v>30</v>
      </c>
      <c r="V425">
        <v>1593777.875</v>
      </c>
      <c r="W425" t="s">
        <v>1681</v>
      </c>
      <c r="X425" t="s">
        <v>1686</v>
      </c>
      <c r="Y425">
        <v>0</v>
      </c>
      <c r="Z425" t="s">
        <v>47</v>
      </c>
      <c r="AA425">
        <v>7.0482944135263362E-2</v>
      </c>
      <c r="AB425">
        <v>0</v>
      </c>
      <c r="AC425" t="s">
        <v>47</v>
      </c>
      <c r="AE425" t="s">
        <v>108</v>
      </c>
      <c r="AF425">
        <v>0</v>
      </c>
      <c r="AH425" t="s">
        <v>202</v>
      </c>
      <c r="AJ425">
        <v>4.0585680788107439E-2</v>
      </c>
      <c r="AK425">
        <v>4.0585680788107439E-2</v>
      </c>
      <c r="AL425">
        <v>0</v>
      </c>
      <c r="AN425" t="s">
        <v>47</v>
      </c>
      <c r="AQ425">
        <v>0</v>
      </c>
    </row>
    <row r="426" spans="1:43" x14ac:dyDescent="0.2">
      <c r="A426">
        <v>424</v>
      </c>
      <c r="B426">
        <v>66</v>
      </c>
      <c r="C426">
        <v>5</v>
      </c>
      <c r="D426">
        <v>0</v>
      </c>
      <c r="E426" t="s">
        <v>203</v>
      </c>
      <c r="F426" t="s">
        <v>116</v>
      </c>
      <c r="G426" t="s">
        <v>1223</v>
      </c>
      <c r="H426">
        <v>0</v>
      </c>
      <c r="I426">
        <v>8.604726829937839E-3</v>
      </c>
      <c r="J426">
        <v>0</v>
      </c>
      <c r="L426" s="1">
        <v>43032</v>
      </c>
      <c r="M426" s="1">
        <v>43024</v>
      </c>
      <c r="N426" s="1"/>
      <c r="R426">
        <v>7.8530792020980456E-2</v>
      </c>
      <c r="T426" t="s">
        <v>30</v>
      </c>
      <c r="V426">
        <v>4302809</v>
      </c>
      <c r="W426" t="s">
        <v>181</v>
      </c>
      <c r="X426" t="s">
        <v>267</v>
      </c>
      <c r="Y426">
        <v>0</v>
      </c>
      <c r="Z426" t="s">
        <v>47</v>
      </c>
      <c r="AA426">
        <v>0.19028664604326273</v>
      </c>
      <c r="AB426">
        <v>0</v>
      </c>
      <c r="AC426" t="s">
        <v>47</v>
      </c>
      <c r="AE426" t="s">
        <v>108</v>
      </c>
      <c r="AF426">
        <v>0</v>
      </c>
      <c r="AH426" t="s">
        <v>202</v>
      </c>
      <c r="AJ426">
        <v>0.10957137459710048</v>
      </c>
      <c r="AK426">
        <v>0.10957137459710048</v>
      </c>
      <c r="AL426">
        <v>0</v>
      </c>
      <c r="AN426" t="s">
        <v>47</v>
      </c>
      <c r="AQ426">
        <v>0</v>
      </c>
    </row>
    <row r="427" spans="1:43" x14ac:dyDescent="0.2">
      <c r="A427">
        <v>425</v>
      </c>
      <c r="B427">
        <v>144</v>
      </c>
      <c r="C427">
        <v>5</v>
      </c>
      <c r="D427">
        <v>1</v>
      </c>
      <c r="E427" t="s">
        <v>206</v>
      </c>
      <c r="F427" t="s">
        <v>116</v>
      </c>
      <c r="G427" t="s">
        <v>207</v>
      </c>
      <c r="H427">
        <v>2.0543946437776383E-4</v>
      </c>
      <c r="I427">
        <v>1.0934799125520376E-6</v>
      </c>
      <c r="J427">
        <v>0.01</v>
      </c>
      <c r="L427" s="1">
        <v>43026</v>
      </c>
      <c r="M427" s="1">
        <v>43024</v>
      </c>
      <c r="N427" s="1"/>
      <c r="R427">
        <v>5.3226380620879034E-5</v>
      </c>
      <c r="T427" t="s">
        <v>39</v>
      </c>
      <c r="V427">
        <v>806749.73690000002</v>
      </c>
      <c r="W427" t="s">
        <v>206</v>
      </c>
      <c r="X427" t="s">
        <v>208</v>
      </c>
      <c r="Y427">
        <v>500000000</v>
      </c>
      <c r="Z427" t="s">
        <v>31</v>
      </c>
      <c r="AA427">
        <v>2.4181432971383546E-5</v>
      </c>
      <c r="AB427">
        <v>0.16134899999999999</v>
      </c>
      <c r="AC427" t="s">
        <v>52</v>
      </c>
      <c r="AE427" t="s">
        <v>41</v>
      </c>
      <c r="AF427">
        <v>2.64E-2</v>
      </c>
      <c r="AH427" t="s">
        <v>209</v>
      </c>
      <c r="AJ427">
        <v>2.0543946437776382E-2</v>
      </c>
      <c r="AK427">
        <v>2.0543946437776382E-2</v>
      </c>
      <c r="AL427">
        <v>0</v>
      </c>
      <c r="AQ427">
        <v>5.4236018595729652E-4</v>
      </c>
    </row>
    <row r="428" spans="1:43" x14ac:dyDescent="0.2">
      <c r="A428">
        <v>426</v>
      </c>
      <c r="B428">
        <v>144</v>
      </c>
      <c r="C428">
        <v>5</v>
      </c>
      <c r="D428">
        <v>1</v>
      </c>
      <c r="E428" t="s">
        <v>228</v>
      </c>
      <c r="F428" t="s">
        <v>116</v>
      </c>
      <c r="G428" t="s">
        <v>207</v>
      </c>
      <c r="H428">
        <v>2.4650928275592155E-4</v>
      </c>
      <c r="I428">
        <v>1.3120796910546574E-6</v>
      </c>
      <c r="J428">
        <v>0.01</v>
      </c>
      <c r="L428" s="1">
        <v>43027</v>
      </c>
      <c r="M428" s="1">
        <v>43024</v>
      </c>
      <c r="R428">
        <v>5.3226380620879034E-5</v>
      </c>
      <c r="T428" t="s">
        <v>39</v>
      </c>
      <c r="V428">
        <v>968028.70669999998</v>
      </c>
      <c r="W428" t="s">
        <v>229</v>
      </c>
      <c r="X428" t="s">
        <v>230</v>
      </c>
      <c r="Y428">
        <v>600000000</v>
      </c>
      <c r="Z428" t="s">
        <v>31</v>
      </c>
      <c r="AA428">
        <v>2.9015592091036172E-5</v>
      </c>
      <c r="AB428">
        <v>0.16133800000000001</v>
      </c>
      <c r="AC428" t="s">
        <v>52</v>
      </c>
      <c r="AE428" t="s">
        <v>41</v>
      </c>
      <c r="AF428">
        <v>2.64E-2</v>
      </c>
      <c r="AH428" t="s">
        <v>209</v>
      </c>
      <c r="AJ428">
        <v>2.4650928275592156E-2</v>
      </c>
      <c r="AK428">
        <v>2.4650928275592156E-2</v>
      </c>
      <c r="AL428">
        <v>0</v>
      </c>
      <c r="AQ428">
        <v>6.5078450647563287E-4</v>
      </c>
    </row>
    <row r="429" spans="1:43" x14ac:dyDescent="0.2">
      <c r="A429">
        <v>427</v>
      </c>
      <c r="B429">
        <v>144</v>
      </c>
      <c r="C429">
        <v>5</v>
      </c>
      <c r="D429">
        <v>1</v>
      </c>
      <c r="E429" t="s">
        <v>219</v>
      </c>
      <c r="F429" t="s">
        <v>116</v>
      </c>
      <c r="G429" t="s">
        <v>207</v>
      </c>
      <c r="H429">
        <v>7.1903812597153287E-4</v>
      </c>
      <c r="I429">
        <v>3.8271796973884374E-6</v>
      </c>
      <c r="J429">
        <v>0.01</v>
      </c>
      <c r="L429" s="1">
        <v>43026</v>
      </c>
      <c r="M429" s="1">
        <v>43024</v>
      </c>
      <c r="R429">
        <v>5.3226380620879034E-5</v>
      </c>
      <c r="T429" t="s">
        <v>39</v>
      </c>
      <c r="V429">
        <v>2823624.0817</v>
      </c>
      <c r="W429" t="s">
        <v>220</v>
      </c>
      <c r="X429" t="s">
        <v>221</v>
      </c>
      <c r="Y429">
        <v>1750000000</v>
      </c>
      <c r="Z429" t="s">
        <v>31</v>
      </c>
      <c r="AA429">
        <v>8.4635015476275838E-5</v>
      </c>
      <c r="AB429">
        <v>0.16134899999999999</v>
      </c>
      <c r="AC429" t="s">
        <v>52</v>
      </c>
      <c r="AE429" t="s">
        <v>41</v>
      </c>
      <c r="AF429">
        <v>2.64E-2</v>
      </c>
      <c r="AH429" t="s">
        <v>209</v>
      </c>
      <c r="AJ429">
        <v>7.1903812597153283E-2</v>
      </c>
      <c r="AK429">
        <v>7.1903812597153283E-2</v>
      </c>
      <c r="AL429">
        <v>0</v>
      </c>
      <c r="AQ429">
        <v>1.8982606525648467E-3</v>
      </c>
    </row>
    <row r="430" spans="1:43" x14ac:dyDescent="0.2">
      <c r="A430">
        <v>428</v>
      </c>
      <c r="B430">
        <v>144</v>
      </c>
      <c r="C430">
        <v>5</v>
      </c>
      <c r="D430">
        <v>1</v>
      </c>
      <c r="E430" t="s">
        <v>204</v>
      </c>
      <c r="F430" t="s">
        <v>116</v>
      </c>
      <c r="G430" t="s">
        <v>231</v>
      </c>
      <c r="H430">
        <v>0</v>
      </c>
      <c r="I430">
        <v>1.6264426201214707E-6</v>
      </c>
      <c r="J430">
        <v>0</v>
      </c>
      <c r="L430" s="1">
        <v>43025</v>
      </c>
      <c r="M430" s="1">
        <v>43024</v>
      </c>
      <c r="R430">
        <v>5.3226380620879034E-5</v>
      </c>
      <c r="T430" t="s">
        <v>30</v>
      </c>
      <c r="V430">
        <v>1199960</v>
      </c>
      <c r="W430" t="s">
        <v>200</v>
      </c>
      <c r="X430" t="s">
        <v>214</v>
      </c>
      <c r="Y430">
        <v>1200000</v>
      </c>
      <c r="Z430" t="s">
        <v>31</v>
      </c>
      <c r="AA430">
        <v>3.5967476630163624E-5</v>
      </c>
      <c r="AB430">
        <v>3.7507128154751568E-3</v>
      </c>
      <c r="AC430" t="s">
        <v>52</v>
      </c>
      <c r="AE430" t="s">
        <v>41</v>
      </c>
      <c r="AF430">
        <v>1.2E-2</v>
      </c>
      <c r="AH430" t="s">
        <v>209</v>
      </c>
      <c r="AJ430">
        <v>3.0557077170178061E-2</v>
      </c>
      <c r="AK430">
        <v>3.0557077170178061E-2</v>
      </c>
      <c r="AL430">
        <v>0</v>
      </c>
      <c r="AQ430">
        <v>3.6668492604213673E-4</v>
      </c>
    </row>
    <row r="431" spans="1:43" x14ac:dyDescent="0.2">
      <c r="A431">
        <v>429</v>
      </c>
      <c r="B431">
        <v>146</v>
      </c>
      <c r="C431">
        <v>5</v>
      </c>
      <c r="D431">
        <v>1</v>
      </c>
      <c r="E431" t="s">
        <v>210</v>
      </c>
      <c r="F431" t="s">
        <v>116</v>
      </c>
      <c r="G431" t="s">
        <v>207</v>
      </c>
      <c r="H431">
        <v>5.1007625152655793E-3</v>
      </c>
      <c r="I431">
        <v>5.9790285462038959E-6</v>
      </c>
      <c r="J431">
        <v>0.25</v>
      </c>
      <c r="L431" s="1">
        <v>43116</v>
      </c>
      <c r="M431" s="1">
        <v>43024</v>
      </c>
      <c r="N431" s="1"/>
      <c r="R431">
        <v>2.9304582051751279E-4</v>
      </c>
      <c r="T431" t="s">
        <v>39</v>
      </c>
      <c r="V431">
        <v>801216.81189999997</v>
      </c>
      <c r="W431" t="s">
        <v>211</v>
      </c>
      <c r="X431" t="s">
        <v>212</v>
      </c>
      <c r="Y431">
        <v>500000000</v>
      </c>
      <c r="Z431" t="s">
        <v>31</v>
      </c>
      <c r="AA431">
        <v>1.3222143028360187E-4</v>
      </c>
      <c r="AB431">
        <v>0.160243</v>
      </c>
      <c r="AC431" t="s">
        <v>52</v>
      </c>
      <c r="AE431" t="s">
        <v>41</v>
      </c>
      <c r="AF431">
        <v>2.76E-2</v>
      </c>
      <c r="AH431" t="s">
        <v>209</v>
      </c>
      <c r="AJ431">
        <v>2.0403050061062317E-2</v>
      </c>
      <c r="AK431">
        <v>2.0403050061062317E-2</v>
      </c>
      <c r="AL431">
        <v>0</v>
      </c>
      <c r="AQ431">
        <v>5.6312418168531992E-4</v>
      </c>
    </row>
    <row r="432" spans="1:43" x14ac:dyDescent="0.2">
      <c r="A432">
        <v>430</v>
      </c>
      <c r="B432">
        <v>147</v>
      </c>
      <c r="C432">
        <v>5</v>
      </c>
      <c r="D432">
        <v>1</v>
      </c>
      <c r="E432" t="s">
        <v>203</v>
      </c>
      <c r="F432" t="s">
        <v>116</v>
      </c>
      <c r="G432" t="s">
        <v>207</v>
      </c>
      <c r="H432">
        <v>1.2314219629457209E-3</v>
      </c>
      <c r="I432">
        <v>2.401154907424383E-6</v>
      </c>
      <c r="J432">
        <v>0.05</v>
      </c>
      <c r="L432" s="1">
        <v>43041</v>
      </c>
      <c r="M432" s="1">
        <v>43024</v>
      </c>
      <c r="N432" s="1"/>
      <c r="R432">
        <v>9.7495212026286638E-5</v>
      </c>
      <c r="T432" t="s">
        <v>39</v>
      </c>
      <c r="V432">
        <v>967145.57510000002</v>
      </c>
      <c r="W432" t="s">
        <v>181</v>
      </c>
      <c r="X432" t="s">
        <v>236</v>
      </c>
      <c r="Y432">
        <v>600000000</v>
      </c>
      <c r="Z432" t="s">
        <v>31</v>
      </c>
      <c r="AA432">
        <v>5.3099618732162308E-5</v>
      </c>
      <c r="AB432">
        <v>0.16119</v>
      </c>
      <c r="AC432" t="s">
        <v>52</v>
      </c>
      <c r="AE432" t="s">
        <v>41</v>
      </c>
      <c r="AF432">
        <v>2.4E-2</v>
      </c>
      <c r="AH432" t="s">
        <v>209</v>
      </c>
      <c r="AJ432">
        <v>2.4628439258914416E-2</v>
      </c>
      <c r="AK432">
        <v>2.4628439258914416E-2</v>
      </c>
      <c r="AL432">
        <v>0</v>
      </c>
      <c r="AQ432">
        <v>5.9108254221394599E-4</v>
      </c>
    </row>
    <row r="433" spans="1:43" x14ac:dyDescent="0.2">
      <c r="A433">
        <v>431</v>
      </c>
      <c r="B433">
        <v>147</v>
      </c>
      <c r="C433">
        <v>5</v>
      </c>
      <c r="D433">
        <v>1</v>
      </c>
      <c r="E433" t="s">
        <v>206</v>
      </c>
      <c r="F433" t="s">
        <v>116</v>
      </c>
      <c r="G433" t="s">
        <v>207</v>
      </c>
      <c r="H433">
        <v>3.2800568683960434E-3</v>
      </c>
      <c r="I433">
        <v>3.9973729980318753E-6</v>
      </c>
      <c r="J433">
        <v>0.08</v>
      </c>
      <c r="L433" s="1">
        <v>43055</v>
      </c>
      <c r="M433" s="1">
        <v>43024</v>
      </c>
      <c r="R433">
        <v>9.7495212026286638E-5</v>
      </c>
      <c r="T433" t="s">
        <v>39</v>
      </c>
      <c r="V433">
        <v>1610075.8827</v>
      </c>
      <c r="W433" t="s">
        <v>206</v>
      </c>
      <c r="X433" t="s">
        <v>208</v>
      </c>
      <c r="Y433">
        <v>1000000000</v>
      </c>
      <c r="Z433" t="s">
        <v>31</v>
      </c>
      <c r="AA433">
        <v>8.839870408586607E-5</v>
      </c>
      <c r="AB433">
        <v>0.16100700000000001</v>
      </c>
      <c r="AC433" t="s">
        <v>52</v>
      </c>
      <c r="AE433" t="s">
        <v>41</v>
      </c>
      <c r="AF433">
        <v>2.64E-2</v>
      </c>
      <c r="AH433" t="s">
        <v>209</v>
      </c>
      <c r="AJ433">
        <v>4.1000710854950544E-2</v>
      </c>
      <c r="AK433">
        <v>4.1000710854950544E-2</v>
      </c>
      <c r="AL433">
        <v>0</v>
      </c>
      <c r="AQ433">
        <v>1.0824187665706944E-3</v>
      </c>
    </row>
    <row r="434" spans="1:43" x14ac:dyDescent="0.2">
      <c r="A434">
        <v>432</v>
      </c>
      <c r="B434">
        <v>147</v>
      </c>
      <c r="C434">
        <v>5</v>
      </c>
      <c r="D434">
        <v>1</v>
      </c>
      <c r="E434" t="s">
        <v>250</v>
      </c>
      <c r="F434" t="s">
        <v>116</v>
      </c>
      <c r="G434" t="s">
        <v>231</v>
      </c>
      <c r="H434">
        <v>6.1393110538544089E-4</v>
      </c>
      <c r="I434">
        <v>2.9927671644543043E-6</v>
      </c>
      <c r="J434">
        <v>0.02</v>
      </c>
      <c r="L434" s="1">
        <v>43033</v>
      </c>
      <c r="M434" s="1">
        <v>43024</v>
      </c>
      <c r="R434">
        <v>9.7495212026286638E-5</v>
      </c>
      <c r="T434" t="s">
        <v>30</v>
      </c>
      <c r="V434">
        <v>1205437.23</v>
      </c>
      <c r="W434" t="s">
        <v>250</v>
      </c>
      <c r="X434" t="s">
        <v>258</v>
      </c>
      <c r="Y434">
        <v>1205829</v>
      </c>
      <c r="Z434" t="s">
        <v>31</v>
      </c>
      <c r="AA434">
        <v>6.6182650230225753E-5</v>
      </c>
      <c r="AB434">
        <v>3.7496192081391405E-3</v>
      </c>
      <c r="AC434" t="s">
        <v>52</v>
      </c>
      <c r="AE434" t="s">
        <v>41</v>
      </c>
      <c r="AF434">
        <v>1.2999999999999999E-2</v>
      </c>
      <c r="AH434" t="s">
        <v>209</v>
      </c>
      <c r="AJ434">
        <v>3.0696555269272043E-2</v>
      </c>
      <c r="AK434">
        <v>3.0696555269272043E-2</v>
      </c>
      <c r="AL434">
        <v>0</v>
      </c>
      <c r="AQ434">
        <v>3.9905521850053656E-4</v>
      </c>
    </row>
    <row r="435" spans="1:43" x14ac:dyDescent="0.2">
      <c r="A435">
        <v>433</v>
      </c>
      <c r="B435">
        <v>147</v>
      </c>
      <c r="C435">
        <v>5</v>
      </c>
      <c r="D435">
        <v>1</v>
      </c>
      <c r="E435" t="s">
        <v>262</v>
      </c>
      <c r="F435" t="s">
        <v>116</v>
      </c>
      <c r="G435" t="s">
        <v>231</v>
      </c>
      <c r="H435">
        <v>2.2958256712265882E-3</v>
      </c>
      <c r="I435">
        <v>3.7305335098604682E-6</v>
      </c>
      <c r="J435">
        <v>0.06</v>
      </c>
      <c r="L435" s="1">
        <v>43047</v>
      </c>
      <c r="M435" s="1">
        <v>43024</v>
      </c>
      <c r="N435" s="1"/>
      <c r="R435">
        <v>9.7495212026286638E-5</v>
      </c>
      <c r="T435" t="s">
        <v>30</v>
      </c>
      <c r="V435">
        <v>1502597.34</v>
      </c>
      <c r="W435" t="s">
        <v>263</v>
      </c>
      <c r="X435" t="s">
        <v>264</v>
      </c>
      <c r="Y435">
        <v>1504133.33</v>
      </c>
      <c r="Z435" t="s">
        <v>143</v>
      </c>
      <c r="AA435">
        <v>8.2497762401189171E-5</v>
      </c>
      <c r="AB435">
        <v>3.7470075649936501E-3</v>
      </c>
      <c r="AC435" t="s">
        <v>42</v>
      </c>
      <c r="AE435" t="s">
        <v>182</v>
      </c>
      <c r="AF435">
        <v>1.6E-2</v>
      </c>
      <c r="AH435" t="s">
        <v>209</v>
      </c>
      <c r="AJ435">
        <v>3.8263761187109807E-2</v>
      </c>
      <c r="AK435">
        <v>3.8263761187109807E-2</v>
      </c>
      <c r="AL435">
        <v>0</v>
      </c>
      <c r="AN435" t="s">
        <v>142</v>
      </c>
      <c r="AQ435">
        <v>6.122201789937569E-4</v>
      </c>
    </row>
    <row r="436" spans="1:43" x14ac:dyDescent="0.2">
      <c r="A436">
        <v>434</v>
      </c>
      <c r="B436">
        <v>147</v>
      </c>
      <c r="C436">
        <v>5</v>
      </c>
      <c r="D436">
        <v>1</v>
      </c>
      <c r="E436" t="s">
        <v>228</v>
      </c>
      <c r="F436" t="s">
        <v>116</v>
      </c>
      <c r="G436" t="s">
        <v>207</v>
      </c>
      <c r="H436">
        <v>2.227040821800785E-3</v>
      </c>
      <c r="I436">
        <v>1.0856290855633158E-5</v>
      </c>
      <c r="J436">
        <v>0.02</v>
      </c>
      <c r="L436" s="1">
        <v>43032</v>
      </c>
      <c r="M436" s="1">
        <v>43024</v>
      </c>
      <c r="N436" s="1"/>
      <c r="R436">
        <v>9.7495212026286638E-5</v>
      </c>
      <c r="T436" t="s">
        <v>39</v>
      </c>
      <c r="V436">
        <v>4372734.8163000001</v>
      </c>
      <c r="W436" t="s">
        <v>229</v>
      </c>
      <c r="X436" t="s">
        <v>230</v>
      </c>
      <c r="Y436">
        <v>2711286000</v>
      </c>
      <c r="Z436" t="s">
        <v>31</v>
      </c>
      <c r="AA436">
        <v>2.4007818216856749E-4</v>
      </c>
      <c r="AB436">
        <v>0.161278</v>
      </c>
      <c r="AC436" t="s">
        <v>52</v>
      </c>
      <c r="AE436" t="s">
        <v>41</v>
      </c>
      <c r="AF436">
        <v>2.64E-2</v>
      </c>
      <c r="AH436" t="s">
        <v>209</v>
      </c>
      <c r="AJ436">
        <v>0.11135204109003924</v>
      </c>
      <c r="AK436">
        <v>0.11135204109003924</v>
      </c>
      <c r="AL436">
        <v>0</v>
      </c>
      <c r="AQ436">
        <v>2.9396938847770361E-3</v>
      </c>
    </row>
    <row r="437" spans="1:43" x14ac:dyDescent="0.2">
      <c r="A437">
        <v>435</v>
      </c>
      <c r="B437">
        <v>147</v>
      </c>
      <c r="C437">
        <v>5</v>
      </c>
      <c r="D437">
        <v>1</v>
      </c>
      <c r="E437" t="s">
        <v>254</v>
      </c>
      <c r="F437" t="s">
        <v>116</v>
      </c>
      <c r="G437" t="s">
        <v>231</v>
      </c>
      <c r="H437">
        <v>3.824172396169204E-3</v>
      </c>
      <c r="I437">
        <v>7.4567699717917826E-6</v>
      </c>
      <c r="J437">
        <v>0.05</v>
      </c>
      <c r="L437" s="1">
        <v>43042</v>
      </c>
      <c r="M437" s="1">
        <v>43024</v>
      </c>
      <c r="N437" s="1"/>
      <c r="R437">
        <v>9.7495212026286638E-5</v>
      </c>
      <c r="T437" t="s">
        <v>30</v>
      </c>
      <c r="V437">
        <v>3003463.9</v>
      </c>
      <c r="W437" t="s">
        <v>249</v>
      </c>
      <c r="X437" t="s">
        <v>255</v>
      </c>
      <c r="Y437">
        <v>3005866.67</v>
      </c>
      <c r="Z437" t="s">
        <v>31</v>
      </c>
      <c r="AA437">
        <v>1.6490049902707064E-4</v>
      </c>
      <c r="AB437">
        <v>3.7478395731423367E-3</v>
      </c>
      <c r="AC437" t="s">
        <v>52</v>
      </c>
      <c r="AE437" t="s">
        <v>41</v>
      </c>
      <c r="AF437">
        <v>1.6E-2</v>
      </c>
      <c r="AH437" t="s">
        <v>209</v>
      </c>
      <c r="AJ437">
        <v>7.6483447923384074E-2</v>
      </c>
      <c r="AK437">
        <v>7.6483447923384074E-2</v>
      </c>
      <c r="AL437">
        <v>0</v>
      </c>
      <c r="AQ437">
        <v>1.2237351667741452E-3</v>
      </c>
    </row>
    <row r="438" spans="1:43" x14ac:dyDescent="0.2">
      <c r="A438">
        <v>436</v>
      </c>
      <c r="B438">
        <v>147</v>
      </c>
      <c r="C438">
        <v>5</v>
      </c>
      <c r="D438">
        <v>1</v>
      </c>
      <c r="E438" t="s">
        <v>254</v>
      </c>
      <c r="F438" t="s">
        <v>116</v>
      </c>
      <c r="G438" t="s">
        <v>231</v>
      </c>
      <c r="H438">
        <v>1.0684204134873618E-3</v>
      </c>
      <c r="I438">
        <v>1.4880839249451881E-6</v>
      </c>
      <c r="J438">
        <v>7.0000000000000007E-2</v>
      </c>
      <c r="L438" s="1">
        <v>43049</v>
      </c>
      <c r="M438" s="1">
        <v>43024</v>
      </c>
      <c r="N438" s="1"/>
      <c r="R438">
        <v>9.7495212026286638E-5</v>
      </c>
      <c r="T438" t="s">
        <v>30</v>
      </c>
      <c r="V438">
        <v>599375.65</v>
      </c>
      <c r="W438" t="s">
        <v>249</v>
      </c>
      <c r="X438" t="s">
        <v>255</v>
      </c>
      <c r="Y438">
        <v>600000</v>
      </c>
      <c r="Z438" t="s">
        <v>31</v>
      </c>
      <c r="AA438">
        <v>3.2907784837924917E-5</v>
      </c>
      <c r="AB438">
        <v>3.7469347840573888E-3</v>
      </c>
      <c r="AC438" t="s">
        <v>52</v>
      </c>
      <c r="AE438" t="s">
        <v>41</v>
      </c>
      <c r="AF438">
        <v>1.4999999999999999E-2</v>
      </c>
      <c r="AH438" t="s">
        <v>209</v>
      </c>
      <c r="AJ438">
        <v>1.5263148764105167E-2</v>
      </c>
      <c r="AK438">
        <v>1.5263148764105167E-2</v>
      </c>
      <c r="AL438">
        <v>0</v>
      </c>
      <c r="AQ438">
        <v>2.2894723146157749E-4</v>
      </c>
    </row>
    <row r="439" spans="1:43" x14ac:dyDescent="0.2">
      <c r="A439">
        <v>437</v>
      </c>
      <c r="B439">
        <v>147</v>
      </c>
      <c r="C439">
        <v>5</v>
      </c>
      <c r="D439">
        <v>1</v>
      </c>
      <c r="E439" t="s">
        <v>265</v>
      </c>
      <c r="F439" t="s">
        <v>116</v>
      </c>
      <c r="G439" t="s">
        <v>231</v>
      </c>
      <c r="H439">
        <v>7.711277408028078E-4</v>
      </c>
      <c r="I439">
        <v>2.5060420862973719E-6</v>
      </c>
      <c r="J439">
        <v>0.03</v>
      </c>
      <c r="L439" s="1">
        <v>43035</v>
      </c>
      <c r="M439" s="1">
        <v>43024</v>
      </c>
      <c r="R439">
        <v>9.7495212026286638E-5</v>
      </c>
      <c r="T439" t="s">
        <v>30</v>
      </c>
      <c r="V439">
        <v>1009392.4</v>
      </c>
      <c r="W439" t="s">
        <v>241</v>
      </c>
      <c r="X439" t="s">
        <v>266</v>
      </c>
      <c r="Y439">
        <v>1010000</v>
      </c>
      <c r="Z439" t="s">
        <v>143</v>
      </c>
      <c r="AA439">
        <v>5.5419114734201577E-5</v>
      </c>
      <c r="AB439">
        <v>3.748581398775892E-3</v>
      </c>
      <c r="AC439" t="s">
        <v>142</v>
      </c>
      <c r="AE439" t="s">
        <v>41</v>
      </c>
      <c r="AF439">
        <v>1.9699999999999999E-2</v>
      </c>
      <c r="AH439" t="s">
        <v>209</v>
      </c>
      <c r="AJ439">
        <v>2.5704258026760261E-2</v>
      </c>
      <c r="AK439">
        <v>2.5704258026760261E-2</v>
      </c>
      <c r="AL439">
        <v>0</v>
      </c>
      <c r="AN439" t="s">
        <v>146</v>
      </c>
      <c r="AQ439">
        <v>5.0637388312717714E-4</v>
      </c>
    </row>
    <row r="440" spans="1:43" x14ac:dyDescent="0.2">
      <c r="A440">
        <v>438</v>
      </c>
      <c r="B440">
        <v>147</v>
      </c>
      <c r="C440">
        <v>5</v>
      </c>
      <c r="D440">
        <v>1</v>
      </c>
      <c r="E440" t="s">
        <v>219</v>
      </c>
      <c r="F440" t="s">
        <v>116</v>
      </c>
      <c r="G440" t="s">
        <v>207</v>
      </c>
      <c r="H440">
        <v>1.6400284324663967E-3</v>
      </c>
      <c r="I440">
        <v>1.9986864969056232E-6</v>
      </c>
      <c r="J440">
        <v>0.08</v>
      </c>
      <c r="L440" s="1">
        <v>43055</v>
      </c>
      <c r="M440" s="1">
        <v>43024</v>
      </c>
      <c r="N440" s="1"/>
      <c r="R440">
        <v>9.7495212026286638E-5</v>
      </c>
      <c r="T440" t="s">
        <v>39</v>
      </c>
      <c r="V440">
        <v>805037.94050000003</v>
      </c>
      <c r="W440" t="s">
        <v>220</v>
      </c>
      <c r="X440" t="s">
        <v>221</v>
      </c>
      <c r="Y440">
        <v>500000000</v>
      </c>
      <c r="Z440" t="s">
        <v>31</v>
      </c>
      <c r="AA440">
        <v>4.4199351996265124E-5</v>
      </c>
      <c r="AB440">
        <v>0.16100700000000001</v>
      </c>
      <c r="AC440" t="s">
        <v>52</v>
      </c>
      <c r="AE440" t="s">
        <v>41</v>
      </c>
      <c r="AF440">
        <v>2.64E-2</v>
      </c>
      <c r="AH440" t="s">
        <v>209</v>
      </c>
      <c r="AJ440">
        <v>2.0500355405829958E-2</v>
      </c>
      <c r="AK440">
        <v>2.0500355405829958E-2</v>
      </c>
      <c r="AL440">
        <v>0</v>
      </c>
      <c r="AQ440">
        <v>5.4120938271391087E-4</v>
      </c>
    </row>
    <row r="441" spans="1:43" x14ac:dyDescent="0.2">
      <c r="A441">
        <v>439</v>
      </c>
      <c r="B441">
        <v>147</v>
      </c>
      <c r="C441">
        <v>5</v>
      </c>
      <c r="D441">
        <v>1</v>
      </c>
      <c r="E441" t="s">
        <v>204</v>
      </c>
      <c r="F441" t="s">
        <v>116</v>
      </c>
      <c r="G441" t="s">
        <v>207</v>
      </c>
      <c r="H441">
        <v>1.6416882373283836E-3</v>
      </c>
      <c r="I441">
        <v>3.2011348555878308E-6</v>
      </c>
      <c r="J441">
        <v>0.05</v>
      </c>
      <c r="L441" s="1">
        <v>43042</v>
      </c>
      <c r="M441" s="1">
        <v>43024</v>
      </c>
      <c r="N441" s="1"/>
      <c r="R441">
        <v>9.7495212026286638E-5</v>
      </c>
      <c r="T441" t="s">
        <v>39</v>
      </c>
      <c r="V441">
        <v>1289364.2977</v>
      </c>
      <c r="W441" t="s">
        <v>200</v>
      </c>
      <c r="X441" t="s">
        <v>214</v>
      </c>
      <c r="Y441">
        <v>800000000</v>
      </c>
      <c r="Z441" t="s">
        <v>31</v>
      </c>
      <c r="AA441">
        <v>7.0790534928160285E-5</v>
      </c>
      <c r="AB441">
        <v>0.16117000000000001</v>
      </c>
      <c r="AC441" t="s">
        <v>52</v>
      </c>
      <c r="AE441" t="s">
        <v>41</v>
      </c>
      <c r="AF441">
        <v>2.52E-2</v>
      </c>
      <c r="AH441" t="s">
        <v>209</v>
      </c>
      <c r="AJ441">
        <v>3.283376474656767E-2</v>
      </c>
      <c r="AK441">
        <v>3.283376474656767E-2</v>
      </c>
      <c r="AL441">
        <v>0</v>
      </c>
      <c r="AQ441">
        <v>8.2741087161350532E-4</v>
      </c>
    </row>
    <row r="442" spans="1:43" x14ac:dyDescent="0.2">
      <c r="A442">
        <v>440</v>
      </c>
      <c r="B442">
        <v>147</v>
      </c>
      <c r="C442">
        <v>5</v>
      </c>
      <c r="D442">
        <v>1</v>
      </c>
      <c r="E442" t="s">
        <v>204</v>
      </c>
      <c r="F442" t="s">
        <v>116</v>
      </c>
      <c r="G442" t="s">
        <v>231</v>
      </c>
      <c r="H442">
        <v>1.272472836501358E-3</v>
      </c>
      <c r="I442">
        <v>2.481200179847805E-6</v>
      </c>
      <c r="J442">
        <v>0.05</v>
      </c>
      <c r="L442" s="1">
        <v>43041</v>
      </c>
      <c r="M442" s="1">
        <v>43024</v>
      </c>
      <c r="N442" s="1"/>
      <c r="R442">
        <v>9.7495212026286638E-5</v>
      </c>
      <c r="T442" t="s">
        <v>30</v>
      </c>
      <c r="V442">
        <v>999386.49</v>
      </c>
      <c r="W442" t="s">
        <v>200</v>
      </c>
      <c r="X442" t="s">
        <v>214</v>
      </c>
      <c r="Y442">
        <v>1000000</v>
      </c>
      <c r="Z442" t="s">
        <v>31</v>
      </c>
      <c r="AA442">
        <v>5.4869755858198452E-5</v>
      </c>
      <c r="AB442">
        <v>3.7485366668779637E-3</v>
      </c>
      <c r="AC442" t="s">
        <v>52</v>
      </c>
      <c r="AE442" t="s">
        <v>41</v>
      </c>
      <c r="AF442">
        <v>1.2999999999999999E-2</v>
      </c>
      <c r="AH442" t="s">
        <v>209</v>
      </c>
      <c r="AJ442">
        <v>2.5449456730027156E-2</v>
      </c>
      <c r="AK442">
        <v>2.5449456730027156E-2</v>
      </c>
      <c r="AL442">
        <v>0</v>
      </c>
      <c r="AQ442">
        <v>3.3084293749035301E-4</v>
      </c>
    </row>
    <row r="443" spans="1:43" x14ac:dyDescent="0.2">
      <c r="A443">
        <v>441</v>
      </c>
      <c r="B443">
        <v>147</v>
      </c>
      <c r="C443">
        <v>5</v>
      </c>
      <c r="D443">
        <v>1</v>
      </c>
      <c r="E443" t="s">
        <v>215</v>
      </c>
      <c r="F443" t="s">
        <v>116</v>
      </c>
      <c r="G443" t="s">
        <v>207</v>
      </c>
      <c r="H443">
        <v>3.2832343820579295E-3</v>
      </c>
      <c r="I443">
        <v>6.4019926442146397E-6</v>
      </c>
      <c r="J443">
        <v>0.05</v>
      </c>
      <c r="L443" s="1">
        <v>43041</v>
      </c>
      <c r="M443" s="1">
        <v>43024</v>
      </c>
      <c r="N443" s="1"/>
      <c r="R443">
        <v>9.7495212026286638E-5</v>
      </c>
      <c r="T443" t="s">
        <v>39</v>
      </c>
      <c r="V443">
        <v>2578616.9974000002</v>
      </c>
      <c r="W443" t="s">
        <v>216</v>
      </c>
      <c r="X443" t="s">
        <v>217</v>
      </c>
      <c r="Y443">
        <v>1600000000</v>
      </c>
      <c r="Z443" t="s">
        <v>31</v>
      </c>
      <c r="AA443">
        <v>1.4157494274226056E-4</v>
      </c>
      <c r="AB443">
        <v>0.161163</v>
      </c>
      <c r="AC443" t="s">
        <v>52</v>
      </c>
      <c r="AE443" t="s">
        <v>41</v>
      </c>
      <c r="AF443">
        <v>2.76E-2</v>
      </c>
      <c r="AH443" t="s">
        <v>209</v>
      </c>
      <c r="AJ443">
        <v>6.5664687641158584E-2</v>
      </c>
      <c r="AK443">
        <v>6.5664687641158584E-2</v>
      </c>
      <c r="AL443">
        <v>0</v>
      </c>
      <c r="AQ443">
        <v>1.8123453788959768E-3</v>
      </c>
    </row>
    <row r="444" spans="1:43" x14ac:dyDescent="0.2">
      <c r="A444">
        <v>442</v>
      </c>
      <c r="B444">
        <v>147</v>
      </c>
      <c r="C444">
        <v>5</v>
      </c>
      <c r="D444">
        <v>1</v>
      </c>
      <c r="E444" t="s">
        <v>215</v>
      </c>
      <c r="F444" t="s">
        <v>116</v>
      </c>
      <c r="G444" t="s">
        <v>207</v>
      </c>
      <c r="H444">
        <v>4.922966892827875E-3</v>
      </c>
      <c r="I444">
        <v>7.9994283502440545E-6</v>
      </c>
      <c r="J444">
        <v>0.06</v>
      </c>
      <c r="L444" s="1">
        <v>43046</v>
      </c>
      <c r="M444" s="1">
        <v>43024</v>
      </c>
      <c r="N444" s="1"/>
      <c r="R444">
        <v>9.7495212026286638E-5</v>
      </c>
      <c r="T444" t="s">
        <v>39</v>
      </c>
      <c r="V444">
        <v>3222037.7404</v>
      </c>
      <c r="W444" t="s">
        <v>216</v>
      </c>
      <c r="X444" t="s">
        <v>217</v>
      </c>
      <c r="Y444">
        <v>2000000000</v>
      </c>
      <c r="Z444" t="s">
        <v>31</v>
      </c>
      <c r="AA444">
        <v>1.7690095468635904E-4</v>
      </c>
      <c r="AB444">
        <v>0.16110099999999999</v>
      </c>
      <c r="AC444" t="s">
        <v>52</v>
      </c>
      <c r="AE444" t="s">
        <v>41</v>
      </c>
      <c r="AF444">
        <v>2.76E-2</v>
      </c>
      <c r="AH444" t="s">
        <v>209</v>
      </c>
      <c r="AJ444">
        <v>8.2049448213797921E-2</v>
      </c>
      <c r="AK444">
        <v>8.2049448213797921E-2</v>
      </c>
      <c r="AL444">
        <v>0</v>
      </c>
      <c r="AQ444">
        <v>2.2645647707008228E-3</v>
      </c>
    </row>
    <row r="445" spans="1:43" x14ac:dyDescent="0.2">
      <c r="A445">
        <v>443</v>
      </c>
      <c r="B445">
        <v>147</v>
      </c>
      <c r="C445">
        <v>5</v>
      </c>
      <c r="D445">
        <v>1</v>
      </c>
      <c r="E445" t="s">
        <v>246</v>
      </c>
      <c r="F445" t="s">
        <v>116</v>
      </c>
      <c r="G445" t="s">
        <v>231</v>
      </c>
      <c r="H445">
        <v>5.3405459855373301E-4</v>
      </c>
      <c r="I445">
        <v>7.4382523313727982E-7</v>
      </c>
      <c r="J445">
        <v>7.0000000000000007E-2</v>
      </c>
      <c r="L445" s="1">
        <v>43048</v>
      </c>
      <c r="M445" s="1">
        <v>43024</v>
      </c>
      <c r="N445" s="1"/>
      <c r="R445">
        <v>9.7495212026286638E-5</v>
      </c>
      <c r="T445" t="s">
        <v>30</v>
      </c>
      <c r="V445">
        <v>299600.53000000003</v>
      </c>
      <c r="W445" t="s">
        <v>247</v>
      </c>
      <c r="X445" t="s">
        <v>1687</v>
      </c>
      <c r="Y445">
        <v>300000</v>
      </c>
      <c r="Z445" t="s">
        <v>31</v>
      </c>
      <c r="AA445">
        <v>1.644909962319669E-5</v>
      </c>
      <c r="AB445">
        <v>3.7458433527589223E-3</v>
      </c>
      <c r="AC445" t="s">
        <v>142</v>
      </c>
      <c r="AE445" t="s">
        <v>41</v>
      </c>
      <c r="AF445">
        <v>0.02</v>
      </c>
      <c r="AH445" t="s">
        <v>209</v>
      </c>
      <c r="AJ445">
        <v>7.6293514079104705E-3</v>
      </c>
      <c r="AK445">
        <v>7.6293514079104705E-3</v>
      </c>
      <c r="AL445">
        <v>0</v>
      </c>
      <c r="AN445" t="s">
        <v>146</v>
      </c>
      <c r="AQ445">
        <v>1.5258702815820941E-4</v>
      </c>
    </row>
    <row r="446" spans="1:43" x14ac:dyDescent="0.2">
      <c r="A446">
        <v>444</v>
      </c>
      <c r="B446">
        <v>149</v>
      </c>
      <c r="C446">
        <v>5</v>
      </c>
      <c r="D446">
        <v>1</v>
      </c>
      <c r="E446" t="s">
        <v>203</v>
      </c>
      <c r="F446" t="s">
        <v>116</v>
      </c>
      <c r="G446" t="s">
        <v>231</v>
      </c>
      <c r="H446">
        <v>2.5424400874048581E-3</v>
      </c>
      <c r="I446">
        <v>3.5766478425278556E-6</v>
      </c>
      <c r="J446">
        <v>0.1</v>
      </c>
      <c r="L446" s="1">
        <v>43060</v>
      </c>
      <c r="M446" s="1">
        <v>43024</v>
      </c>
      <c r="R446">
        <v>1.4067776307675526E-4</v>
      </c>
      <c r="T446" t="s">
        <v>30</v>
      </c>
      <c r="V446">
        <v>998402.56000000006</v>
      </c>
      <c r="W446" t="s">
        <v>181</v>
      </c>
      <c r="X446" t="s">
        <v>236</v>
      </c>
      <c r="Y446">
        <v>1000000</v>
      </c>
      <c r="Z446" t="s">
        <v>31</v>
      </c>
      <c r="AA446">
        <v>7.9094704048543747E-5</v>
      </c>
      <c r="AB446">
        <v>3.7448461049987042E-3</v>
      </c>
      <c r="AC446" t="s">
        <v>52</v>
      </c>
      <c r="AE446" t="s">
        <v>41</v>
      </c>
      <c r="AF446">
        <v>1.6E-2</v>
      </c>
      <c r="AH446" t="s">
        <v>209</v>
      </c>
      <c r="AJ446">
        <v>2.542440087404858E-2</v>
      </c>
      <c r="AK446">
        <v>2.542440087404858E-2</v>
      </c>
      <c r="AL446">
        <v>0</v>
      </c>
      <c r="AQ446">
        <v>4.0679041398477731E-4</v>
      </c>
    </row>
    <row r="447" spans="1:43" x14ac:dyDescent="0.2">
      <c r="A447">
        <v>445</v>
      </c>
      <c r="B447">
        <v>149</v>
      </c>
      <c r="C447">
        <v>5</v>
      </c>
      <c r="D447">
        <v>1</v>
      </c>
      <c r="E447" t="s">
        <v>203</v>
      </c>
      <c r="F447" t="s">
        <v>116</v>
      </c>
      <c r="G447" t="s">
        <v>231</v>
      </c>
      <c r="H447">
        <v>2.7437396690820617E-3</v>
      </c>
      <c r="I447">
        <v>3.21652632592851E-6</v>
      </c>
      <c r="J447">
        <v>0.12</v>
      </c>
      <c r="L447" s="1">
        <v>43067</v>
      </c>
      <c r="M447" s="1">
        <v>43024</v>
      </c>
      <c r="R447">
        <v>1.4067776307675526E-4</v>
      </c>
      <c r="T447" t="s">
        <v>30</v>
      </c>
      <c r="V447">
        <v>897876.52</v>
      </c>
      <c r="W447" t="s">
        <v>181</v>
      </c>
      <c r="X447" t="s">
        <v>236</v>
      </c>
      <c r="Y447">
        <v>900000</v>
      </c>
      <c r="Z447" t="s">
        <v>31</v>
      </c>
      <c r="AA447">
        <v>7.1130904974378643E-5</v>
      </c>
      <c r="AB447">
        <v>3.7419880332435923E-3</v>
      </c>
      <c r="AC447" t="s">
        <v>52</v>
      </c>
      <c r="AE447" t="s">
        <v>41</v>
      </c>
      <c r="AF447">
        <v>1.9800000000000002E-2</v>
      </c>
      <c r="AH447" t="s">
        <v>209</v>
      </c>
      <c r="AJ447">
        <v>2.2864497242350516E-2</v>
      </c>
      <c r="AK447">
        <v>2.2864497242350516E-2</v>
      </c>
      <c r="AL447">
        <v>0</v>
      </c>
      <c r="AQ447">
        <v>4.5271704539854023E-4</v>
      </c>
    </row>
    <row r="448" spans="1:43" x14ac:dyDescent="0.2">
      <c r="A448">
        <v>446</v>
      </c>
      <c r="B448">
        <v>149</v>
      </c>
      <c r="C448">
        <v>5</v>
      </c>
      <c r="D448">
        <v>1</v>
      </c>
      <c r="E448" t="s">
        <v>262</v>
      </c>
      <c r="F448" t="s">
        <v>116</v>
      </c>
      <c r="G448" t="s">
        <v>231</v>
      </c>
      <c r="H448">
        <v>4.0803606790323181E-3</v>
      </c>
      <c r="I448">
        <v>3.5876000804538543E-6</v>
      </c>
      <c r="J448">
        <v>0.16</v>
      </c>
      <c r="L448" s="1">
        <v>43083</v>
      </c>
      <c r="M448" s="1">
        <v>43024</v>
      </c>
      <c r="R448">
        <v>1.4067776307675526E-4</v>
      </c>
      <c r="T448" t="s">
        <v>30</v>
      </c>
      <c r="V448">
        <v>1001459.82</v>
      </c>
      <c r="W448" t="s">
        <v>263</v>
      </c>
      <c r="X448" t="s">
        <v>264</v>
      </c>
      <c r="Y448">
        <v>1004250</v>
      </c>
      <c r="Z448" t="s">
        <v>143</v>
      </c>
      <c r="AA448">
        <v>7.9336904023370974E-5</v>
      </c>
      <c r="AB448">
        <v>3.7404166208651504E-3</v>
      </c>
      <c r="AC448" t="s">
        <v>42</v>
      </c>
      <c r="AE448" t="s">
        <v>182</v>
      </c>
      <c r="AF448">
        <v>1.7000000000000001E-2</v>
      </c>
      <c r="AH448" t="s">
        <v>209</v>
      </c>
      <c r="AJ448">
        <v>2.5502254243951989E-2</v>
      </c>
      <c r="AK448">
        <v>2.5502254243951989E-2</v>
      </c>
      <c r="AL448">
        <v>0</v>
      </c>
      <c r="AN448" t="s">
        <v>142</v>
      </c>
      <c r="AQ448">
        <v>4.3353832214718384E-4</v>
      </c>
    </row>
    <row r="449" spans="1:43" x14ac:dyDescent="0.2">
      <c r="A449">
        <v>447</v>
      </c>
      <c r="B449">
        <v>151</v>
      </c>
      <c r="C449">
        <v>5</v>
      </c>
      <c r="D449">
        <v>1</v>
      </c>
      <c r="E449" t="s">
        <v>203</v>
      </c>
      <c r="F449" t="s">
        <v>116</v>
      </c>
      <c r="G449" t="s">
        <v>231</v>
      </c>
      <c r="H449">
        <v>5.2510549646603817E-3</v>
      </c>
      <c r="I449">
        <v>5.3177707399405115E-6</v>
      </c>
      <c r="J449">
        <v>0.23</v>
      </c>
      <c r="L449" s="1">
        <v>43108</v>
      </c>
      <c r="M449" s="1">
        <v>43024</v>
      </c>
      <c r="R449">
        <v>2.3292219914240077E-4</v>
      </c>
      <c r="T449" t="s">
        <v>30</v>
      </c>
      <c r="V449">
        <v>896548.29</v>
      </c>
      <c r="W449" t="s">
        <v>181</v>
      </c>
      <c r="X449" t="s">
        <v>236</v>
      </c>
      <c r="Y449">
        <v>900000</v>
      </c>
      <c r="Z449" t="s">
        <v>31</v>
      </c>
      <c r="AA449">
        <v>1.1759824321321187E-4</v>
      </c>
      <c r="AB449">
        <v>3.736452505078322E-3</v>
      </c>
      <c r="AC449" t="s">
        <v>52</v>
      </c>
      <c r="AE449" t="s">
        <v>41</v>
      </c>
      <c r="AF449">
        <v>1.6500000000000001E-2</v>
      </c>
      <c r="AH449" t="s">
        <v>209</v>
      </c>
      <c r="AJ449">
        <v>2.2830673759392964E-2</v>
      </c>
      <c r="AK449">
        <v>2.2830673759392964E-2</v>
      </c>
      <c r="AL449">
        <v>0</v>
      </c>
      <c r="AQ449">
        <v>3.7670611702998394E-4</v>
      </c>
    </row>
    <row r="450" spans="1:43" x14ac:dyDescent="0.2">
      <c r="A450">
        <v>448</v>
      </c>
      <c r="B450">
        <v>151</v>
      </c>
      <c r="C450">
        <v>5</v>
      </c>
      <c r="D450">
        <v>1</v>
      </c>
      <c r="E450" t="s">
        <v>210</v>
      </c>
      <c r="F450" t="s">
        <v>116</v>
      </c>
      <c r="G450" t="s">
        <v>207</v>
      </c>
      <c r="H450">
        <v>1.287096261764863E-2</v>
      </c>
      <c r="I450">
        <v>1.4275871038011192E-5</v>
      </c>
      <c r="J450">
        <v>0.21</v>
      </c>
      <c r="L450" s="1">
        <v>43102</v>
      </c>
      <c r="M450" s="1">
        <v>43024</v>
      </c>
      <c r="R450">
        <v>2.3292219914240077E-4</v>
      </c>
      <c r="T450" t="s">
        <v>39</v>
      </c>
      <c r="V450">
        <v>2406837.0739000002</v>
      </c>
      <c r="W450" t="s">
        <v>211</v>
      </c>
      <c r="X450" t="s">
        <v>212</v>
      </c>
      <c r="Y450">
        <v>1500000000</v>
      </c>
      <c r="Z450" t="s">
        <v>31</v>
      </c>
      <c r="AA450">
        <v>3.1569946064039384E-4</v>
      </c>
      <c r="AB450">
        <v>0.16045499999999999</v>
      </c>
      <c r="AC450" t="s">
        <v>52</v>
      </c>
      <c r="AE450" t="s">
        <v>41</v>
      </c>
      <c r="AF450">
        <v>2.64E-2</v>
      </c>
      <c r="AH450" t="s">
        <v>209</v>
      </c>
      <c r="AJ450">
        <v>6.1290298179279196E-2</v>
      </c>
      <c r="AK450">
        <v>6.1290298179279196E-2</v>
      </c>
      <c r="AL450">
        <v>0</v>
      </c>
      <c r="AQ450">
        <v>1.6180638719329708E-3</v>
      </c>
    </row>
    <row r="451" spans="1:43" x14ac:dyDescent="0.2">
      <c r="A451">
        <v>449</v>
      </c>
      <c r="B451">
        <v>284</v>
      </c>
      <c r="C451">
        <v>5</v>
      </c>
      <c r="D451">
        <v>1000000</v>
      </c>
      <c r="E451" t="s">
        <v>242</v>
      </c>
      <c r="F451" t="s">
        <v>116</v>
      </c>
      <c r="G451" t="s">
        <v>245</v>
      </c>
      <c r="H451">
        <v>6.7962372370164708E-3</v>
      </c>
      <c r="I451">
        <v>-1.8842757224501303E-5</v>
      </c>
      <c r="J451">
        <v>0.26</v>
      </c>
      <c r="L451" s="1">
        <v>43119</v>
      </c>
      <c r="M451" s="1">
        <v>43024</v>
      </c>
      <c r="N451" s="1"/>
      <c r="R451">
        <v>-7.2085724902108293E-4</v>
      </c>
      <c r="T451" t="s">
        <v>30</v>
      </c>
      <c r="V451">
        <v>1026479.17</v>
      </c>
      <c r="W451" t="s">
        <v>243</v>
      </c>
      <c r="X451" t="s">
        <v>244</v>
      </c>
      <c r="Y451">
        <v>1000000</v>
      </c>
      <c r="Z451" t="s">
        <v>31</v>
      </c>
      <c r="AA451">
        <v>-4.1669249301243809E-4</v>
      </c>
      <c r="AB451">
        <v>101.5</v>
      </c>
      <c r="AC451" t="s">
        <v>33</v>
      </c>
      <c r="AE451" t="s">
        <v>177</v>
      </c>
      <c r="AF451">
        <v>0</v>
      </c>
      <c r="AH451" t="s">
        <v>237</v>
      </c>
      <c r="AJ451">
        <v>2.6139373988524887E-2</v>
      </c>
      <c r="AK451">
        <v>2.6139373988524887E-2</v>
      </c>
      <c r="AL451">
        <v>0</v>
      </c>
      <c r="AN451" t="s">
        <v>148</v>
      </c>
      <c r="AQ451">
        <v>0</v>
      </c>
    </row>
    <row r="452" spans="1:43" x14ac:dyDescent="0.2">
      <c r="A452">
        <v>450</v>
      </c>
      <c r="B452">
        <v>514</v>
      </c>
      <c r="C452">
        <v>50</v>
      </c>
      <c r="D452">
        <v>2100000</v>
      </c>
      <c r="E452" t="s">
        <v>1253</v>
      </c>
      <c r="F452" t="s">
        <v>151</v>
      </c>
      <c r="G452" t="s">
        <v>1254</v>
      </c>
      <c r="H452">
        <v>0.14082096850827222</v>
      </c>
      <c r="I452">
        <v>9.5759620449766792E-6</v>
      </c>
      <c r="J452">
        <v>8.15</v>
      </c>
      <c r="L452" s="1">
        <v>46650</v>
      </c>
      <c r="M452" s="1">
        <v>43024</v>
      </c>
      <c r="N452" s="1"/>
      <c r="R452">
        <v>5.542078817756136E-4</v>
      </c>
      <c r="T452" t="s">
        <v>30</v>
      </c>
      <c r="V452">
        <v>2112566.0499999998</v>
      </c>
      <c r="W452" t="s">
        <v>1255</v>
      </c>
      <c r="X452" t="s">
        <v>1256</v>
      </c>
      <c r="Y452">
        <v>2100000</v>
      </c>
      <c r="Z452" t="s">
        <v>147</v>
      </c>
      <c r="AA452">
        <v>1.9691770769593438E-3</v>
      </c>
      <c r="AB452">
        <v>100.28660000000001</v>
      </c>
      <c r="AC452" t="s">
        <v>142</v>
      </c>
      <c r="AE452" t="s">
        <v>89</v>
      </c>
      <c r="AF452">
        <v>0</v>
      </c>
      <c r="AH452" t="s">
        <v>237</v>
      </c>
      <c r="AJ452">
        <v>1.7278646442732786E-2</v>
      </c>
      <c r="AK452">
        <v>1.7278646442732786E-2</v>
      </c>
      <c r="AL452">
        <v>0</v>
      </c>
      <c r="AN452" t="s">
        <v>146</v>
      </c>
      <c r="AQ452">
        <v>0</v>
      </c>
    </row>
    <row r="453" spans="1:43" x14ac:dyDescent="0.2">
      <c r="A453">
        <v>451</v>
      </c>
      <c r="B453">
        <v>264</v>
      </c>
      <c r="C453">
        <v>50</v>
      </c>
      <c r="F453" t="s">
        <v>151</v>
      </c>
      <c r="G453" t="s">
        <v>540</v>
      </c>
      <c r="I453">
        <v>2.5629383026074062E-5</v>
      </c>
      <c r="J453">
        <v>5.9014015558526909</v>
      </c>
      <c r="K453">
        <v>5.9014015558526909</v>
      </c>
      <c r="L453" s="1"/>
      <c r="M453" s="1"/>
      <c r="N453" s="1">
        <v>43021</v>
      </c>
      <c r="R453">
        <v>-3.5021939140033051E-3</v>
      </c>
      <c r="S453">
        <v>-3.5021939140033051E-3</v>
      </c>
      <c r="T453" t="s">
        <v>30</v>
      </c>
      <c r="U453" t="s">
        <v>30</v>
      </c>
      <c r="W453" t="s">
        <v>317</v>
      </c>
      <c r="Z453" t="s">
        <v>31</v>
      </c>
      <c r="AA453">
        <v>5.2703627389616339E-3</v>
      </c>
      <c r="AC453" t="s">
        <v>146</v>
      </c>
      <c r="AD453" t="s">
        <v>146</v>
      </c>
      <c r="AE453" t="s">
        <v>41</v>
      </c>
      <c r="AF453">
        <v>4.6491997009586159</v>
      </c>
      <c r="AG453">
        <v>4.6491997009586159</v>
      </c>
      <c r="AH453" t="s">
        <v>237</v>
      </c>
      <c r="AI453" t="s">
        <v>237</v>
      </c>
      <c r="AJ453">
        <v>-7.3180936451281474E-3</v>
      </c>
      <c r="AK453">
        <v>0</v>
      </c>
      <c r="AL453">
        <v>7.3180936451281474E-3</v>
      </c>
      <c r="AM453" t="s">
        <v>41</v>
      </c>
      <c r="AN453" t="s">
        <v>146</v>
      </c>
      <c r="AO453" t="s">
        <v>146</v>
      </c>
      <c r="AP453" t="s">
        <v>31</v>
      </c>
    </row>
    <row r="454" spans="1:43" x14ac:dyDescent="0.2">
      <c r="A454">
        <v>452</v>
      </c>
      <c r="B454">
        <v>265</v>
      </c>
      <c r="C454">
        <v>50</v>
      </c>
      <c r="F454" t="s">
        <v>151</v>
      </c>
      <c r="G454" t="s">
        <v>1257</v>
      </c>
      <c r="I454">
        <v>8.2896152551986794E-6</v>
      </c>
      <c r="J454">
        <v>3.4372046271990482</v>
      </c>
      <c r="K454">
        <v>3.4372046271990482</v>
      </c>
      <c r="L454" s="1"/>
      <c r="M454" s="1"/>
      <c r="N454" s="1">
        <v>43021</v>
      </c>
      <c r="R454">
        <v>-1.6444425744628591E-3</v>
      </c>
      <c r="S454">
        <v>-1.6444425744628591E-3</v>
      </c>
      <c r="T454" t="s">
        <v>30</v>
      </c>
      <c r="U454" t="s">
        <v>30</v>
      </c>
      <c r="W454" t="s">
        <v>317</v>
      </c>
      <c r="Z454" t="s">
        <v>31</v>
      </c>
      <c r="AA454">
        <v>1.7046559145368328E-3</v>
      </c>
      <c r="AC454" t="s">
        <v>146</v>
      </c>
      <c r="AD454" t="s">
        <v>146</v>
      </c>
      <c r="AE454" t="s">
        <v>41</v>
      </c>
      <c r="AF454">
        <v>3.3798812688060842</v>
      </c>
      <c r="AG454">
        <v>3.3798812688060842</v>
      </c>
      <c r="AH454" t="s">
        <v>237</v>
      </c>
      <c r="AI454" t="s">
        <v>237</v>
      </c>
      <c r="AJ454">
        <v>-5.0409879821473247E-3</v>
      </c>
      <c r="AK454">
        <v>0</v>
      </c>
      <c r="AL454">
        <v>5.0409879821473247E-3</v>
      </c>
      <c r="AM454" t="s">
        <v>41</v>
      </c>
      <c r="AN454" t="s">
        <v>146</v>
      </c>
      <c r="AO454" t="s">
        <v>146</v>
      </c>
      <c r="AP454" t="s">
        <v>31</v>
      </c>
    </row>
    <row r="455" spans="1:43" x14ac:dyDescent="0.2">
      <c r="A455">
        <v>453</v>
      </c>
      <c r="B455">
        <v>266</v>
      </c>
      <c r="C455">
        <v>50</v>
      </c>
      <c r="F455" t="s">
        <v>151</v>
      </c>
      <c r="G455" t="s">
        <v>1258</v>
      </c>
      <c r="I455">
        <v>3.167346866099122E-5</v>
      </c>
      <c r="J455">
        <v>6.1312268761555346</v>
      </c>
      <c r="K455">
        <v>6.1312268761555346</v>
      </c>
      <c r="L455" s="1"/>
      <c r="M455" s="1"/>
      <c r="N455" s="1">
        <v>43021</v>
      </c>
      <c r="R455">
        <v>-6.1550673378740961E-3</v>
      </c>
      <c r="S455">
        <v>-6.1550673378740961E-3</v>
      </c>
      <c r="T455" t="s">
        <v>30</v>
      </c>
      <c r="U455" t="s">
        <v>30</v>
      </c>
      <c r="W455" t="s">
        <v>1259</v>
      </c>
      <c r="Z455" t="s">
        <v>31</v>
      </c>
      <c r="AA455">
        <v>6.5132535135445984E-3</v>
      </c>
      <c r="AC455" t="s">
        <v>146</v>
      </c>
      <c r="AD455" t="s">
        <v>146</v>
      </c>
      <c r="AE455" t="s">
        <v>89</v>
      </c>
      <c r="AF455">
        <v>4.6188068181806461</v>
      </c>
      <c r="AG455">
        <v>4.6188068181806461</v>
      </c>
      <c r="AH455" t="s">
        <v>237</v>
      </c>
      <c r="AI455" t="s">
        <v>237</v>
      </c>
      <c r="AJ455">
        <v>-5.1459174891709545E-3</v>
      </c>
      <c r="AK455">
        <v>0</v>
      </c>
      <c r="AL455">
        <v>5.1459174891709545E-3</v>
      </c>
      <c r="AM455" t="s">
        <v>89</v>
      </c>
      <c r="AN455" t="s">
        <v>146</v>
      </c>
      <c r="AO455" t="s">
        <v>146</v>
      </c>
      <c r="AP455" t="s">
        <v>31</v>
      </c>
    </row>
    <row r="456" spans="1:43" x14ac:dyDescent="0.2">
      <c r="A456">
        <v>454</v>
      </c>
      <c r="B456">
        <v>267</v>
      </c>
      <c r="C456">
        <v>50</v>
      </c>
      <c r="F456" t="s">
        <v>151</v>
      </c>
      <c r="G456" t="s">
        <v>1260</v>
      </c>
      <c r="I456">
        <v>7.700242802301789E-6</v>
      </c>
      <c r="J456">
        <v>6.5030474266818663</v>
      </c>
      <c r="K456">
        <v>6.5030474266818663</v>
      </c>
      <c r="L456" s="1"/>
      <c r="M456" s="1"/>
      <c r="N456" s="1">
        <v>43021</v>
      </c>
      <c r="R456">
        <v>-2.4726346404846051E-3</v>
      </c>
      <c r="S456">
        <v>-2.4726346404846051E-3</v>
      </c>
      <c r="T456" t="s">
        <v>30</v>
      </c>
      <c r="U456" t="s">
        <v>30</v>
      </c>
      <c r="W456" t="s">
        <v>1261</v>
      </c>
      <c r="Z456" t="s">
        <v>145</v>
      </c>
      <c r="AA456">
        <v>1.5834588255566535E-3</v>
      </c>
      <c r="AC456" t="s">
        <v>54</v>
      </c>
      <c r="AD456" t="s">
        <v>54</v>
      </c>
      <c r="AE456" t="s">
        <v>41</v>
      </c>
      <c r="AF456">
        <v>4.2207314501637176</v>
      </c>
      <c r="AG456">
        <v>4.2207314501637176</v>
      </c>
      <c r="AH456" t="s">
        <v>237</v>
      </c>
      <c r="AI456" t="s">
        <v>237</v>
      </c>
      <c r="AJ456">
        <v>-3.1141854426146192E-3</v>
      </c>
      <c r="AK456">
        <v>0</v>
      </c>
      <c r="AL456">
        <v>3.1141854426146192E-3</v>
      </c>
      <c r="AM456" t="s">
        <v>41</v>
      </c>
      <c r="AN456" t="s">
        <v>54</v>
      </c>
      <c r="AO456" t="s">
        <v>54</v>
      </c>
      <c r="AP456" t="s">
        <v>145</v>
      </c>
    </row>
    <row r="457" spans="1:43" x14ac:dyDescent="0.2">
      <c r="A457">
        <v>455</v>
      </c>
      <c r="B457">
        <v>268</v>
      </c>
      <c r="C457">
        <v>50</v>
      </c>
      <c r="F457" t="s">
        <v>151</v>
      </c>
      <c r="G457" t="s">
        <v>1262</v>
      </c>
      <c r="I457">
        <v>-1.5012769983672435E-5</v>
      </c>
      <c r="J457">
        <v>5.2666295816573303</v>
      </c>
      <c r="K457">
        <v>5.2666295816573303</v>
      </c>
      <c r="L457" s="1"/>
      <c r="M457" s="1"/>
      <c r="N457" s="1">
        <v>43021</v>
      </c>
      <c r="R457">
        <v>4.8375128645233257E-3</v>
      </c>
      <c r="S457">
        <v>4.8375128645233257E-3</v>
      </c>
      <c r="T457" t="s">
        <v>30</v>
      </c>
      <c r="U457" t="s">
        <v>30</v>
      </c>
      <c r="W457" t="s">
        <v>1263</v>
      </c>
      <c r="Z457" t="s">
        <v>145</v>
      </c>
      <c r="AA457">
        <v>-3.0871887727477992E-3</v>
      </c>
      <c r="AC457" t="s">
        <v>146</v>
      </c>
      <c r="AD457" t="s">
        <v>146</v>
      </c>
      <c r="AE457" t="s">
        <v>44</v>
      </c>
      <c r="AF457">
        <v>4.0659775546877732</v>
      </c>
      <c r="AG457">
        <v>4.0659775546877732</v>
      </c>
      <c r="AH457" t="s">
        <v>237</v>
      </c>
      <c r="AI457" t="s">
        <v>237</v>
      </c>
      <c r="AJ457">
        <v>-3.1034067307130044E-3</v>
      </c>
      <c r="AK457">
        <v>0</v>
      </c>
      <c r="AL457">
        <v>3.1034067307130044E-3</v>
      </c>
      <c r="AM457" t="s">
        <v>44</v>
      </c>
      <c r="AN457" t="s">
        <v>146</v>
      </c>
      <c r="AO457" t="s">
        <v>146</v>
      </c>
      <c r="AP457" t="s">
        <v>145</v>
      </c>
    </row>
    <row r="458" spans="1:43" x14ac:dyDescent="0.2">
      <c r="A458">
        <v>456</v>
      </c>
      <c r="B458">
        <v>269</v>
      </c>
      <c r="C458">
        <v>50</v>
      </c>
      <c r="F458" t="s">
        <v>151</v>
      </c>
      <c r="G458" t="s">
        <v>542</v>
      </c>
      <c r="I458">
        <v>8.902247983748984E-6</v>
      </c>
      <c r="J458">
        <v>4.9266779449060722</v>
      </c>
      <c r="K458">
        <v>4.9266779449060722</v>
      </c>
      <c r="L458" s="1"/>
      <c r="M458" s="1"/>
      <c r="N458" s="1">
        <v>43021</v>
      </c>
      <c r="R458">
        <v>-4.8216218809926095E-3</v>
      </c>
      <c r="S458">
        <v>-4.8216218809926095E-3</v>
      </c>
      <c r="T458" t="s">
        <v>30</v>
      </c>
      <c r="U458" t="s">
        <v>30</v>
      </c>
      <c r="W458" t="s">
        <v>543</v>
      </c>
      <c r="Z458" t="s">
        <v>145</v>
      </c>
      <c r="AA458">
        <v>1.830636188893617E-3</v>
      </c>
      <c r="AC458" t="s">
        <v>146</v>
      </c>
      <c r="AD458" t="s">
        <v>146</v>
      </c>
      <c r="AE458" t="s">
        <v>44</v>
      </c>
      <c r="AF458">
        <v>4.3680639107406476</v>
      </c>
      <c r="AG458">
        <v>4.3680639107406476</v>
      </c>
      <c r="AH458" t="s">
        <v>237</v>
      </c>
      <c r="AI458" t="s">
        <v>237</v>
      </c>
      <c r="AJ458">
        <v>-1.846318148431065E-3</v>
      </c>
      <c r="AK458">
        <v>0</v>
      </c>
      <c r="AL458">
        <v>1.846318148431065E-3</v>
      </c>
      <c r="AM458" t="s">
        <v>44</v>
      </c>
      <c r="AN458" t="s">
        <v>146</v>
      </c>
      <c r="AO458" t="s">
        <v>146</v>
      </c>
      <c r="AP458" t="s">
        <v>145</v>
      </c>
    </row>
    <row r="459" spans="1:43" x14ac:dyDescent="0.2">
      <c r="A459">
        <v>457</v>
      </c>
      <c r="B459">
        <v>316</v>
      </c>
      <c r="C459">
        <v>50</v>
      </c>
      <c r="D459">
        <v>1700000</v>
      </c>
      <c r="E459" t="s">
        <v>544</v>
      </c>
      <c r="F459" t="s">
        <v>151</v>
      </c>
      <c r="G459" t="s">
        <v>545</v>
      </c>
      <c r="H459">
        <v>0.23099182908180277</v>
      </c>
      <c r="I459">
        <v>-1.5675843438492929E-4</v>
      </c>
      <c r="J459">
        <v>13.46</v>
      </c>
      <c r="K459">
        <v>13.163386831039327</v>
      </c>
      <c r="L459" s="1">
        <v>51225</v>
      </c>
      <c r="M459" s="1">
        <v>43024</v>
      </c>
      <c r="N459" s="1">
        <v>43021</v>
      </c>
      <c r="R459">
        <v>-5.1276943698964288E-2</v>
      </c>
      <c r="S459">
        <v>-5.1276943698964288E-2</v>
      </c>
      <c r="T459" t="s">
        <v>30</v>
      </c>
      <c r="U459" t="s">
        <v>30</v>
      </c>
      <c r="V459">
        <v>2098225.38</v>
      </c>
      <c r="X459" t="s">
        <v>546</v>
      </c>
      <c r="Y459">
        <v>1700000</v>
      </c>
      <c r="AA459">
        <v>-3.2235415529113021E-2</v>
      </c>
      <c r="AB459">
        <v>123.1528</v>
      </c>
      <c r="AC459" t="s">
        <v>36</v>
      </c>
      <c r="AD459" t="s">
        <v>150</v>
      </c>
      <c r="AF459">
        <v>0</v>
      </c>
      <c r="AG459">
        <v>4.4762468868150922</v>
      </c>
      <c r="AH459" t="s">
        <v>237</v>
      </c>
      <c r="AI459" t="s">
        <v>237</v>
      </c>
      <c r="AJ459">
        <v>3.0570939505525866E-3</v>
      </c>
      <c r="AK459">
        <v>1.7161354315141365E-2</v>
      </c>
      <c r="AL459">
        <v>1.4104260364588778E-2</v>
      </c>
      <c r="AN459" t="s">
        <v>150</v>
      </c>
      <c r="AO459" t="s">
        <v>150</v>
      </c>
      <c r="AQ459">
        <v>0</v>
      </c>
    </row>
    <row r="460" spans="1:43" x14ac:dyDescent="0.2">
      <c r="A460">
        <v>458</v>
      </c>
      <c r="B460">
        <v>270</v>
      </c>
      <c r="C460">
        <v>50</v>
      </c>
      <c r="D460">
        <v>400000</v>
      </c>
      <c r="E460" t="s">
        <v>547</v>
      </c>
      <c r="F460" t="s">
        <v>151</v>
      </c>
      <c r="G460" t="s">
        <v>548</v>
      </c>
      <c r="H460">
        <v>7.3719735002917303E-3</v>
      </c>
      <c r="I460">
        <v>-3.6447978210451852E-6</v>
      </c>
      <c r="J460">
        <v>3.65</v>
      </c>
      <c r="L460" s="1">
        <v>44727</v>
      </c>
      <c r="M460" s="1">
        <v>43024</v>
      </c>
      <c r="N460" s="1"/>
      <c r="R460">
        <v>-1.804606601785596E-3</v>
      </c>
      <c r="T460" t="s">
        <v>30</v>
      </c>
      <c r="V460">
        <v>246940.02</v>
      </c>
      <c r="W460" t="s">
        <v>549</v>
      </c>
      <c r="X460" t="s">
        <v>550</v>
      </c>
      <c r="Y460">
        <v>400000</v>
      </c>
      <c r="Z460" t="s">
        <v>31</v>
      </c>
      <c r="AA460">
        <v>-7.4950718117335882E-4</v>
      </c>
      <c r="AB460">
        <v>108.3368</v>
      </c>
      <c r="AC460" t="s">
        <v>55</v>
      </c>
      <c r="AE460" t="s">
        <v>551</v>
      </c>
      <c r="AF460">
        <v>0</v>
      </c>
      <c r="AH460" t="s">
        <v>237</v>
      </c>
      <c r="AJ460">
        <v>2.0197187672032139E-3</v>
      </c>
      <c r="AK460">
        <v>2.0197187672032139E-3</v>
      </c>
      <c r="AL460">
        <v>0</v>
      </c>
      <c r="AN460" t="s">
        <v>149</v>
      </c>
      <c r="AQ460">
        <v>0</v>
      </c>
    </row>
    <row r="461" spans="1:43" x14ac:dyDescent="0.2">
      <c r="A461">
        <v>459</v>
      </c>
      <c r="B461">
        <v>507</v>
      </c>
      <c r="C461">
        <v>50</v>
      </c>
      <c r="D461">
        <v>2500000</v>
      </c>
      <c r="E461" t="s">
        <v>552</v>
      </c>
      <c r="F461" t="s">
        <v>151</v>
      </c>
      <c r="G461" t="s">
        <v>553</v>
      </c>
      <c r="H461">
        <v>0.16701245113120536</v>
      </c>
      <c r="I461">
        <v>-6.782461419054497E-6</v>
      </c>
      <c r="J461">
        <v>8.01</v>
      </c>
      <c r="K461">
        <v>7.8418851624732273</v>
      </c>
      <c r="L461" s="1">
        <v>46602</v>
      </c>
      <c r="M461" s="1">
        <v>43024</v>
      </c>
      <c r="N461" s="1">
        <v>43021</v>
      </c>
      <c r="R461">
        <v>-5.0324540780894084E-4</v>
      </c>
      <c r="S461">
        <v>-5.0324540780894084E-4</v>
      </c>
      <c r="T461" t="s">
        <v>30</v>
      </c>
      <c r="U461" t="s">
        <v>30</v>
      </c>
      <c r="V461">
        <v>2549276.3199999998</v>
      </c>
      <c r="W461" t="s">
        <v>554</v>
      </c>
      <c r="X461" t="s">
        <v>555</v>
      </c>
      <c r="Y461">
        <v>2500000</v>
      </c>
      <c r="Z461" t="s">
        <v>143</v>
      </c>
      <c r="AA461">
        <v>-1.3947285389220424E-3</v>
      </c>
      <c r="AB461">
        <v>101.0839</v>
      </c>
      <c r="AC461" t="s">
        <v>142</v>
      </c>
      <c r="AD461" t="s">
        <v>146</v>
      </c>
      <c r="AE461" t="s">
        <v>41</v>
      </c>
      <c r="AF461">
        <v>0</v>
      </c>
      <c r="AG461">
        <v>4.2220469995377234</v>
      </c>
      <c r="AH461" t="s">
        <v>237</v>
      </c>
      <c r="AI461" t="s">
        <v>237</v>
      </c>
      <c r="AJ461">
        <v>1.3477443239043894E-2</v>
      </c>
      <c r="AK461">
        <v>2.0850493274807161E-2</v>
      </c>
      <c r="AL461">
        <v>7.3730500357632655E-3</v>
      </c>
      <c r="AM461" t="s">
        <v>41</v>
      </c>
      <c r="AN461" t="s">
        <v>146</v>
      </c>
      <c r="AO461" t="s">
        <v>146</v>
      </c>
      <c r="AP461" t="s">
        <v>143</v>
      </c>
      <c r="AQ461">
        <v>0</v>
      </c>
    </row>
    <row r="462" spans="1:43" x14ac:dyDescent="0.2">
      <c r="A462">
        <v>460</v>
      </c>
      <c r="B462">
        <v>271</v>
      </c>
      <c r="C462">
        <v>50</v>
      </c>
      <c r="D462">
        <v>2575000</v>
      </c>
      <c r="E462" t="s">
        <v>556</v>
      </c>
      <c r="F462" t="s">
        <v>151</v>
      </c>
      <c r="G462" t="s">
        <v>557</v>
      </c>
      <c r="H462">
        <v>0.14278914268754883</v>
      </c>
      <c r="I462">
        <v>3.0582444190190936E-5</v>
      </c>
      <c r="J462">
        <v>6.27</v>
      </c>
      <c r="K462">
        <v>6.1495174154920766</v>
      </c>
      <c r="L462" s="1">
        <v>45768</v>
      </c>
      <c r="M462" s="1">
        <v>43024</v>
      </c>
      <c r="N462" s="1">
        <v>43021</v>
      </c>
      <c r="R462">
        <v>1.7407719727720976E-3</v>
      </c>
      <c r="S462">
        <v>1.7407719727720976E-3</v>
      </c>
      <c r="T462" t="s">
        <v>30</v>
      </c>
      <c r="U462" t="s">
        <v>30</v>
      </c>
      <c r="V462">
        <v>2784378.19</v>
      </c>
      <c r="W462" t="s">
        <v>558</v>
      </c>
      <c r="X462" t="s">
        <v>559</v>
      </c>
      <c r="Y462">
        <v>2575000</v>
      </c>
      <c r="Z462" t="s">
        <v>143</v>
      </c>
      <c r="AA462">
        <v>6.2888979482018312E-3</v>
      </c>
      <c r="AB462">
        <v>105.76139999999999</v>
      </c>
      <c r="AC462" t="s">
        <v>33</v>
      </c>
      <c r="AD462" t="s">
        <v>146</v>
      </c>
      <c r="AE462" t="s">
        <v>41</v>
      </c>
      <c r="AF462">
        <v>0</v>
      </c>
      <c r="AG462">
        <v>3.9490915988687334</v>
      </c>
      <c r="AH462" t="s">
        <v>237</v>
      </c>
      <c r="AI462" t="s">
        <v>237</v>
      </c>
      <c r="AJ462">
        <v>1.7568322944383021E-2</v>
      </c>
      <c r="AK462">
        <v>2.277338798844479E-2</v>
      </c>
      <c r="AL462">
        <v>5.2050650440617708E-3</v>
      </c>
      <c r="AM462" t="s">
        <v>41</v>
      </c>
      <c r="AN462" t="s">
        <v>148</v>
      </c>
      <c r="AO462" t="s">
        <v>146</v>
      </c>
      <c r="AP462" t="s">
        <v>143</v>
      </c>
      <c r="AQ462">
        <v>0</v>
      </c>
    </row>
    <row r="463" spans="1:43" x14ac:dyDescent="0.2">
      <c r="A463">
        <v>461</v>
      </c>
      <c r="B463">
        <v>508</v>
      </c>
      <c r="C463">
        <v>50</v>
      </c>
      <c r="D463">
        <v>2000000</v>
      </c>
      <c r="E463" t="s">
        <v>560</v>
      </c>
      <c r="F463" t="s">
        <v>151</v>
      </c>
      <c r="G463" t="s">
        <v>561</v>
      </c>
      <c r="H463">
        <v>0.13334030296472452</v>
      </c>
      <c r="I463">
        <v>-1.4271660646284184E-5</v>
      </c>
      <c r="J463">
        <v>8.1</v>
      </c>
      <c r="K463">
        <v>7.9297713043903109</v>
      </c>
      <c r="L463" s="1">
        <v>46606</v>
      </c>
      <c r="M463" s="1">
        <v>43024</v>
      </c>
      <c r="N463" s="1">
        <v>43021</v>
      </c>
      <c r="R463">
        <v>-1.8302569946960423E-3</v>
      </c>
      <c r="S463">
        <v>-1.8302569946960423E-3</v>
      </c>
      <c r="T463" t="s">
        <v>30</v>
      </c>
      <c r="U463" t="s">
        <v>30</v>
      </c>
      <c r="V463">
        <v>2012690.5</v>
      </c>
      <c r="W463" t="s">
        <v>562</v>
      </c>
      <c r="X463" t="s">
        <v>563</v>
      </c>
      <c r="Y463">
        <v>2000000</v>
      </c>
      <c r="Z463" t="s">
        <v>158</v>
      </c>
      <c r="AA463">
        <v>-2.9347888873001511E-3</v>
      </c>
      <c r="AB463">
        <v>99.843900000000005</v>
      </c>
      <c r="AC463" t="s">
        <v>33</v>
      </c>
      <c r="AD463" t="s">
        <v>54</v>
      </c>
      <c r="AE463" t="s">
        <v>41</v>
      </c>
      <c r="AF463">
        <v>0</v>
      </c>
      <c r="AG463">
        <v>4.13237538446222</v>
      </c>
      <c r="AH463" t="s">
        <v>237</v>
      </c>
      <c r="AI463" t="s">
        <v>237</v>
      </c>
      <c r="AJ463">
        <v>7.7976266107123021E-3</v>
      </c>
      <c r="AK463">
        <v>1.6461765798114137E-2</v>
      </c>
      <c r="AL463">
        <v>8.6641391874018349E-3</v>
      </c>
      <c r="AM463" t="s">
        <v>41</v>
      </c>
      <c r="AN463" t="s">
        <v>148</v>
      </c>
      <c r="AO463" t="s">
        <v>54</v>
      </c>
      <c r="AP463" t="s">
        <v>158</v>
      </c>
      <c r="AQ463">
        <v>0</v>
      </c>
    </row>
    <row r="464" spans="1:43" x14ac:dyDescent="0.2">
      <c r="A464">
        <v>462</v>
      </c>
      <c r="B464">
        <v>272</v>
      </c>
      <c r="C464">
        <v>50</v>
      </c>
      <c r="D464">
        <v>2550000</v>
      </c>
      <c r="E464" t="s">
        <v>564</v>
      </c>
      <c r="F464" t="s">
        <v>151</v>
      </c>
      <c r="G464" t="s">
        <v>565</v>
      </c>
      <c r="H464">
        <v>0.1027210457289237</v>
      </c>
      <c r="I464">
        <v>7.9812733434450733E-5</v>
      </c>
      <c r="J464">
        <v>4.33</v>
      </c>
      <c r="K464">
        <v>4.2447594377013473</v>
      </c>
      <c r="L464" s="1">
        <v>44834</v>
      </c>
      <c r="M464" s="1">
        <v>43024</v>
      </c>
      <c r="N464" s="1">
        <v>43021</v>
      </c>
      <c r="R464">
        <v>5.7632423359419462E-3</v>
      </c>
      <c r="S464">
        <v>5.7632423359419462E-3</v>
      </c>
      <c r="T464" t="s">
        <v>30</v>
      </c>
      <c r="U464" t="s">
        <v>30</v>
      </c>
      <c r="V464">
        <v>2900494.95</v>
      </c>
      <c r="W464" t="s">
        <v>566</v>
      </c>
      <c r="X464" t="s">
        <v>567</v>
      </c>
      <c r="Y464">
        <v>2550000</v>
      </c>
      <c r="Z464" t="s">
        <v>145</v>
      </c>
      <c r="AA464">
        <v>1.6412492488003562E-2</v>
      </c>
      <c r="AB464">
        <v>113.4449</v>
      </c>
      <c r="AC464" t="s">
        <v>33</v>
      </c>
      <c r="AD464" t="s">
        <v>146</v>
      </c>
      <c r="AE464" t="s">
        <v>41</v>
      </c>
      <c r="AF464">
        <v>0</v>
      </c>
      <c r="AG464">
        <v>3.6878638153974608</v>
      </c>
      <c r="AH464" t="s">
        <v>237</v>
      </c>
      <c r="AI464" t="s">
        <v>237</v>
      </c>
      <c r="AJ464">
        <v>1.3848581888827708E-2</v>
      </c>
      <c r="AK464">
        <v>2.3723105249174065E-2</v>
      </c>
      <c r="AL464">
        <v>9.8745233603463566E-3</v>
      </c>
      <c r="AM464" t="s">
        <v>41</v>
      </c>
      <c r="AN464" t="s">
        <v>148</v>
      </c>
      <c r="AO464" t="s">
        <v>146</v>
      </c>
      <c r="AP464" t="s">
        <v>145</v>
      </c>
      <c r="AQ464">
        <v>0</v>
      </c>
    </row>
    <row r="465" spans="1:43" x14ac:dyDescent="0.2">
      <c r="A465">
        <v>463</v>
      </c>
      <c r="B465">
        <v>341</v>
      </c>
      <c r="C465">
        <v>50</v>
      </c>
      <c r="F465" t="s">
        <v>151</v>
      </c>
      <c r="G465" t="s">
        <v>569</v>
      </c>
      <c r="I465">
        <v>1.6014831807487489E-5</v>
      </c>
      <c r="J465">
        <v>4.3033149270403239</v>
      </c>
      <c r="K465">
        <v>4.3033149270403239</v>
      </c>
      <c r="L465" s="1"/>
      <c r="M465" s="1"/>
      <c r="N465" s="1">
        <v>43021</v>
      </c>
      <c r="R465">
        <v>-1.8683940592812136E-3</v>
      </c>
      <c r="S465">
        <v>-1.8683940592812136E-3</v>
      </c>
      <c r="T465" t="s">
        <v>30</v>
      </c>
      <c r="U465" t="s">
        <v>30</v>
      </c>
      <c r="W465" t="s">
        <v>181</v>
      </c>
      <c r="Z465" t="s">
        <v>147</v>
      </c>
      <c r="AA465">
        <v>3.293250280080923E-3</v>
      </c>
      <c r="AC465" t="s">
        <v>54</v>
      </c>
      <c r="AD465" t="s">
        <v>54</v>
      </c>
      <c r="AE465" t="s">
        <v>41</v>
      </c>
      <c r="AF465">
        <v>2.9133758914446091</v>
      </c>
      <c r="AG465">
        <v>2.9133758914446091</v>
      </c>
      <c r="AH465" t="s">
        <v>237</v>
      </c>
      <c r="AI465" t="s">
        <v>237</v>
      </c>
      <c r="AJ465">
        <v>-8.571442265047944E-3</v>
      </c>
      <c r="AK465">
        <v>0</v>
      </c>
      <c r="AL465">
        <v>8.571442265047944E-3</v>
      </c>
      <c r="AM465" t="s">
        <v>41</v>
      </c>
      <c r="AN465" t="s">
        <v>54</v>
      </c>
      <c r="AO465" t="s">
        <v>54</v>
      </c>
      <c r="AP465" t="s">
        <v>147</v>
      </c>
    </row>
    <row r="466" spans="1:43" x14ac:dyDescent="0.2">
      <c r="A466">
        <v>464</v>
      </c>
      <c r="B466">
        <v>274</v>
      </c>
      <c r="C466">
        <v>50</v>
      </c>
      <c r="D466">
        <v>2653000</v>
      </c>
      <c r="E466" t="s">
        <v>568</v>
      </c>
      <c r="F466" t="s">
        <v>151</v>
      </c>
      <c r="G466" t="s">
        <v>571</v>
      </c>
      <c r="H466">
        <v>0.21548879528671563</v>
      </c>
      <c r="I466">
        <v>-5.0098760215821819E-5</v>
      </c>
      <c r="J466">
        <v>9.1199999999999992</v>
      </c>
      <c r="K466">
        <v>5.814382288376347</v>
      </c>
      <c r="L466" s="1">
        <v>47383</v>
      </c>
      <c r="M466" s="1">
        <v>43024</v>
      </c>
      <c r="N466" s="1">
        <v>43021</v>
      </c>
      <c r="R466">
        <v>-2.7011490838887253E-3</v>
      </c>
      <c r="S466">
        <v>-2.7011490838887253E-3</v>
      </c>
      <c r="T466" t="s">
        <v>30</v>
      </c>
      <c r="U466" t="s">
        <v>30</v>
      </c>
      <c r="V466">
        <v>2888886.1905999999</v>
      </c>
      <c r="W466" t="s">
        <v>181</v>
      </c>
      <c r="X466" t="s">
        <v>570</v>
      </c>
      <c r="Y466">
        <v>2653000</v>
      </c>
      <c r="Z466" t="s">
        <v>147</v>
      </c>
      <c r="AA466">
        <v>-1.0302184755716554E-2</v>
      </c>
      <c r="AB466">
        <v>108.54130000000001</v>
      </c>
      <c r="AC466" t="s">
        <v>142</v>
      </c>
      <c r="AD466" t="s">
        <v>146</v>
      </c>
      <c r="AE466" t="s">
        <v>41</v>
      </c>
      <c r="AF466">
        <v>0</v>
      </c>
      <c r="AG466">
        <v>4.1105920470447588</v>
      </c>
      <c r="AH466" t="s">
        <v>237</v>
      </c>
      <c r="AI466" t="s">
        <v>237</v>
      </c>
      <c r="AJ466">
        <v>1.8547202934721709E-2</v>
      </c>
      <c r="AK466">
        <v>2.3628157377929348E-2</v>
      </c>
      <c r="AL466">
        <v>5.0809544432076394E-3</v>
      </c>
      <c r="AM466" t="s">
        <v>41</v>
      </c>
      <c r="AN466" t="s">
        <v>146</v>
      </c>
      <c r="AO466" t="s">
        <v>146</v>
      </c>
      <c r="AP466" t="s">
        <v>147</v>
      </c>
      <c r="AQ466">
        <v>0</v>
      </c>
    </row>
    <row r="467" spans="1:43" x14ac:dyDescent="0.2">
      <c r="A467">
        <v>465</v>
      </c>
      <c r="B467">
        <v>275</v>
      </c>
      <c r="C467">
        <v>50</v>
      </c>
      <c r="D467">
        <v>1250000</v>
      </c>
      <c r="E467" t="s">
        <v>572</v>
      </c>
      <c r="F467" t="s">
        <v>151</v>
      </c>
      <c r="G467" t="s">
        <v>573</v>
      </c>
      <c r="H467">
        <v>3.7507948765990902E-2</v>
      </c>
      <c r="I467">
        <v>-4.7369558818759445E-7</v>
      </c>
      <c r="J467">
        <v>3.27</v>
      </c>
      <c r="K467">
        <v>3.2148875482188064</v>
      </c>
      <c r="L467" s="1">
        <v>44350</v>
      </c>
      <c r="M467" s="1">
        <v>43024</v>
      </c>
      <c r="N467" s="1">
        <v>43021</v>
      </c>
      <c r="R467">
        <v>2.3040903042631386E-4</v>
      </c>
      <c r="S467">
        <v>2.3040903042631386E-4</v>
      </c>
      <c r="T467" t="s">
        <v>30</v>
      </c>
      <c r="U467" t="s">
        <v>30</v>
      </c>
      <c r="V467">
        <v>1402413.68</v>
      </c>
      <c r="W467" t="s">
        <v>241</v>
      </c>
      <c r="X467" t="s">
        <v>574</v>
      </c>
      <c r="Y467">
        <v>1250000</v>
      </c>
      <c r="Z467" t="s">
        <v>143</v>
      </c>
      <c r="AA467">
        <v>-9.7409585515755443E-5</v>
      </c>
      <c r="AB467">
        <v>109.9949</v>
      </c>
      <c r="AC467" t="s">
        <v>34</v>
      </c>
      <c r="AD467" t="s">
        <v>54</v>
      </c>
      <c r="AE467" t="s">
        <v>41</v>
      </c>
      <c r="AF467">
        <v>0</v>
      </c>
      <c r="AG467">
        <v>3.0123671892470338</v>
      </c>
      <c r="AH467" t="s">
        <v>237</v>
      </c>
      <c r="AI467" t="s">
        <v>237</v>
      </c>
      <c r="AJ467">
        <v>-2.0558898551464762E-3</v>
      </c>
      <c r="AK467">
        <v>1.1470320723544619E-2</v>
      </c>
      <c r="AL467">
        <v>1.3526210578691095E-2</v>
      </c>
      <c r="AM467" t="s">
        <v>41</v>
      </c>
      <c r="AN467" t="s">
        <v>54</v>
      </c>
      <c r="AO467" t="s">
        <v>54</v>
      </c>
      <c r="AP467" t="s">
        <v>143</v>
      </c>
      <c r="AQ467">
        <v>0</v>
      </c>
    </row>
    <row r="468" spans="1:43" x14ac:dyDescent="0.2">
      <c r="A468">
        <v>466</v>
      </c>
      <c r="B468">
        <v>320</v>
      </c>
      <c r="C468">
        <v>50</v>
      </c>
      <c r="D468">
        <v>1045000</v>
      </c>
      <c r="E468" t="s">
        <v>575</v>
      </c>
      <c r="F468" t="s">
        <v>151</v>
      </c>
      <c r="G468" t="s">
        <v>576</v>
      </c>
      <c r="H468">
        <v>2.557529672040117E-2</v>
      </c>
      <c r="I468">
        <v>-6.0538437617249236E-7</v>
      </c>
      <c r="J468">
        <v>2.73</v>
      </c>
      <c r="K468">
        <v>2.7005872184481401</v>
      </c>
      <c r="L468" s="1">
        <v>44090</v>
      </c>
      <c r="M468" s="1">
        <v>43024</v>
      </c>
      <c r="N468" s="1">
        <v>43021</v>
      </c>
      <c r="R468">
        <v>1.4045338724044174E-4</v>
      </c>
      <c r="S468">
        <v>1.4045338724044174E-4</v>
      </c>
      <c r="T468" t="s">
        <v>30</v>
      </c>
      <c r="U468" t="s">
        <v>30</v>
      </c>
      <c r="V468">
        <v>1145403.78</v>
      </c>
      <c r="W468" t="s">
        <v>577</v>
      </c>
      <c r="X468" t="s">
        <v>578</v>
      </c>
      <c r="Y468">
        <v>1045000</v>
      </c>
      <c r="Z468" t="s">
        <v>147</v>
      </c>
      <c r="AA468">
        <v>-1.2448974115697922E-4</v>
      </c>
      <c r="AB468">
        <v>109.1601</v>
      </c>
      <c r="AC468" t="s">
        <v>148</v>
      </c>
      <c r="AD468" t="s">
        <v>54</v>
      </c>
      <c r="AE468" t="s">
        <v>41</v>
      </c>
      <c r="AF468">
        <v>0</v>
      </c>
      <c r="AG468">
        <v>2.0810773886744465</v>
      </c>
      <c r="AH468" t="s">
        <v>237</v>
      </c>
      <c r="AI468" t="s">
        <v>237</v>
      </c>
      <c r="AJ468">
        <v>-4.3102155673621217E-3</v>
      </c>
      <c r="AK468">
        <v>9.3682405569235055E-3</v>
      </c>
      <c r="AL468">
        <v>1.3678456124285627E-2</v>
      </c>
      <c r="AM468" t="s">
        <v>41</v>
      </c>
      <c r="AN468" t="s">
        <v>144</v>
      </c>
      <c r="AO468" t="s">
        <v>54</v>
      </c>
      <c r="AP468" t="s">
        <v>147</v>
      </c>
      <c r="AQ468">
        <v>0</v>
      </c>
    </row>
    <row r="469" spans="1:43" x14ac:dyDescent="0.2">
      <c r="A469">
        <v>467</v>
      </c>
      <c r="B469">
        <v>476</v>
      </c>
      <c r="C469">
        <v>50</v>
      </c>
      <c r="D469">
        <v>2000000</v>
      </c>
      <c r="E469" t="s">
        <v>579</v>
      </c>
      <c r="F469" t="s">
        <v>151</v>
      </c>
      <c r="G469" t="s">
        <v>580</v>
      </c>
      <c r="H469">
        <v>0.12799281763918222</v>
      </c>
      <c r="I469">
        <v>2.0625079662816606E-5</v>
      </c>
      <c r="J469">
        <v>7.85</v>
      </c>
      <c r="K469">
        <v>7.6819014944197646</v>
      </c>
      <c r="L469" s="1">
        <v>46488</v>
      </c>
      <c r="M469" s="1">
        <v>43024</v>
      </c>
      <c r="N469" s="1">
        <v>43021</v>
      </c>
      <c r="R469">
        <v>1.7187522536801553E-3</v>
      </c>
      <c r="S469">
        <v>1.7187522536801553E-3</v>
      </c>
      <c r="T469" t="s">
        <v>30</v>
      </c>
      <c r="U469" t="s">
        <v>30</v>
      </c>
      <c r="V469">
        <v>1993501.29</v>
      </c>
      <c r="W469" t="s">
        <v>581</v>
      </c>
      <c r="X469" t="s">
        <v>582</v>
      </c>
      <c r="Y469">
        <v>2000000</v>
      </c>
      <c r="Z469" t="s">
        <v>145</v>
      </c>
      <c r="AA469">
        <v>4.2412902110221052E-3</v>
      </c>
      <c r="AB469">
        <v>99.6143</v>
      </c>
      <c r="AC469" t="s">
        <v>33</v>
      </c>
      <c r="AD469" t="s">
        <v>148</v>
      </c>
      <c r="AE469" t="s">
        <v>41</v>
      </c>
      <c r="AF469">
        <v>0</v>
      </c>
      <c r="AG469">
        <v>4.3902229440490643</v>
      </c>
      <c r="AH469" t="s">
        <v>237</v>
      </c>
      <c r="AI469" t="s">
        <v>237</v>
      </c>
      <c r="AJ469">
        <v>1.2000030614449889E-2</v>
      </c>
      <c r="AK469">
        <v>1.6304817533653787E-2</v>
      </c>
      <c r="AL469">
        <v>4.3047869192038984E-3</v>
      </c>
      <c r="AM469" t="s">
        <v>41</v>
      </c>
      <c r="AN469" t="s">
        <v>148</v>
      </c>
      <c r="AO469" t="s">
        <v>148</v>
      </c>
      <c r="AP469" t="s">
        <v>145</v>
      </c>
      <c r="AQ469">
        <v>0</v>
      </c>
    </row>
    <row r="470" spans="1:43" x14ac:dyDescent="0.2">
      <c r="A470">
        <v>468</v>
      </c>
      <c r="B470">
        <v>277</v>
      </c>
      <c r="C470">
        <v>50</v>
      </c>
      <c r="D470">
        <v>1285000</v>
      </c>
      <c r="E470" t="s">
        <v>583</v>
      </c>
      <c r="F470" t="s">
        <v>151</v>
      </c>
      <c r="G470" t="s">
        <v>584</v>
      </c>
      <c r="H470">
        <v>3.2074251490125445E-2</v>
      </c>
      <c r="I470">
        <v>-2.003051539187684E-7</v>
      </c>
      <c r="J470">
        <v>2.78</v>
      </c>
      <c r="K470">
        <v>2.7440647486237104</v>
      </c>
      <c r="L470" s="1">
        <v>44111</v>
      </c>
      <c r="M470" s="1">
        <v>43024</v>
      </c>
      <c r="N470" s="1">
        <v>43021</v>
      </c>
      <c r="R470">
        <v>-4.8853775190010201E-4</v>
      </c>
      <c r="S470">
        <v>-4.8853775190010201E-4</v>
      </c>
      <c r="T470" t="s">
        <v>30</v>
      </c>
      <c r="U470" t="s">
        <v>30</v>
      </c>
      <c r="V470">
        <v>1410627.39</v>
      </c>
      <c r="W470" t="s">
        <v>585</v>
      </c>
      <c r="X470" t="s">
        <v>586</v>
      </c>
      <c r="Y470">
        <v>1285000</v>
      </c>
      <c r="Z470" t="s">
        <v>147</v>
      </c>
      <c r="AA470">
        <v>-4.1190254894604938E-5</v>
      </c>
      <c r="AB470">
        <v>109.6327</v>
      </c>
      <c r="AC470" t="s">
        <v>34</v>
      </c>
      <c r="AD470" t="s">
        <v>54</v>
      </c>
      <c r="AE470" t="s">
        <v>41</v>
      </c>
      <c r="AF470">
        <v>0</v>
      </c>
      <c r="AG470">
        <v>2.304153766808283</v>
      </c>
      <c r="AH470" t="s">
        <v>237</v>
      </c>
      <c r="AI470" t="s">
        <v>237</v>
      </c>
      <c r="AJ470">
        <v>4.1000957068252838E-4</v>
      </c>
      <c r="AK470">
        <v>1.1537500536016347E-2</v>
      </c>
      <c r="AL470">
        <v>1.1127490965333818E-2</v>
      </c>
      <c r="AM470" t="s">
        <v>41</v>
      </c>
      <c r="AN470" t="s">
        <v>54</v>
      </c>
      <c r="AO470" t="s">
        <v>54</v>
      </c>
      <c r="AP470" t="s">
        <v>147</v>
      </c>
      <c r="AQ470">
        <v>0</v>
      </c>
    </row>
    <row r="471" spans="1:43" x14ac:dyDescent="0.2">
      <c r="A471">
        <v>469</v>
      </c>
      <c r="B471">
        <v>513</v>
      </c>
      <c r="C471">
        <v>50</v>
      </c>
      <c r="D471">
        <v>1250000</v>
      </c>
      <c r="E471" t="s">
        <v>1264</v>
      </c>
      <c r="F471" t="s">
        <v>151</v>
      </c>
      <c r="G471" t="s">
        <v>1265</v>
      </c>
      <c r="H471">
        <v>4.6485805718407693E-2</v>
      </c>
      <c r="I471">
        <v>-1.4979370697919612E-6</v>
      </c>
      <c r="J471">
        <v>4.54</v>
      </c>
      <c r="L471" s="1">
        <v>44823</v>
      </c>
      <c r="M471" s="1">
        <v>43024</v>
      </c>
      <c r="N471" s="1"/>
      <c r="R471">
        <v>-1.4629485693011348E-4</v>
      </c>
      <c r="T471" t="s">
        <v>30</v>
      </c>
      <c r="V471">
        <v>1251886.8799999999</v>
      </c>
      <c r="W471" t="s">
        <v>1266</v>
      </c>
      <c r="X471" t="s">
        <v>1267</v>
      </c>
      <c r="Y471">
        <v>1250000</v>
      </c>
      <c r="Z471" t="s">
        <v>158</v>
      </c>
      <c r="AA471">
        <v>-3.0803206264892437E-4</v>
      </c>
      <c r="AB471">
        <v>99.877200000000002</v>
      </c>
      <c r="AC471" t="s">
        <v>142</v>
      </c>
      <c r="AE471" t="s">
        <v>41</v>
      </c>
      <c r="AF471">
        <v>0</v>
      </c>
      <c r="AH471" t="s">
        <v>237</v>
      </c>
      <c r="AJ471">
        <v>1.0239164255155879E-2</v>
      </c>
      <c r="AK471">
        <v>1.0239164255155879E-2</v>
      </c>
      <c r="AL471">
        <v>0</v>
      </c>
      <c r="AN471" t="s">
        <v>146</v>
      </c>
      <c r="AQ471">
        <v>0</v>
      </c>
    </row>
    <row r="472" spans="1:43" x14ac:dyDescent="0.2">
      <c r="A472">
        <v>470</v>
      </c>
      <c r="B472">
        <v>519</v>
      </c>
      <c r="C472">
        <v>50</v>
      </c>
      <c r="D472">
        <v>1000000</v>
      </c>
      <c r="E472" t="s">
        <v>1688</v>
      </c>
      <c r="F472" t="s">
        <v>151</v>
      </c>
      <c r="G472" t="s">
        <v>1689</v>
      </c>
      <c r="H472">
        <v>3.884915617104108E-2</v>
      </c>
      <c r="I472">
        <v>-1.3385580258012464E-5</v>
      </c>
      <c r="J472">
        <v>4.78</v>
      </c>
      <c r="L472" s="1">
        <v>44936</v>
      </c>
      <c r="M472" s="1">
        <v>43024</v>
      </c>
      <c r="N472" s="1"/>
      <c r="R472">
        <v>-1.6469617345509762E-3</v>
      </c>
      <c r="T472" t="s">
        <v>30</v>
      </c>
      <c r="V472">
        <v>993697.67</v>
      </c>
      <c r="W472" t="s">
        <v>1690</v>
      </c>
      <c r="X472" t="s">
        <v>1691</v>
      </c>
      <c r="Y472">
        <v>1000000</v>
      </c>
      <c r="Z472" t="s">
        <v>157</v>
      </c>
      <c r="AA472">
        <v>-2.7525775146221222E-3</v>
      </c>
      <c r="AB472">
        <v>99.253100000000003</v>
      </c>
      <c r="AC472" t="s">
        <v>154</v>
      </c>
      <c r="AE472" t="s">
        <v>44</v>
      </c>
      <c r="AF472">
        <v>0</v>
      </c>
      <c r="AH472" t="s">
        <v>237</v>
      </c>
      <c r="AJ472">
        <v>8.1274385295065019E-3</v>
      </c>
      <c r="AK472">
        <v>8.1274385295065019E-3</v>
      </c>
      <c r="AL472">
        <v>0</v>
      </c>
      <c r="AN472" t="s">
        <v>603</v>
      </c>
      <c r="AQ472">
        <v>0</v>
      </c>
    </row>
    <row r="473" spans="1:43" x14ac:dyDescent="0.2">
      <c r="A473">
        <v>471</v>
      </c>
      <c r="B473">
        <v>520</v>
      </c>
      <c r="C473">
        <v>50</v>
      </c>
      <c r="D473">
        <v>1000000</v>
      </c>
      <c r="E473" t="s">
        <v>1688</v>
      </c>
      <c r="F473" t="s">
        <v>151</v>
      </c>
      <c r="G473" t="s">
        <v>1692</v>
      </c>
      <c r="H473">
        <v>6.5796167003395925E-2</v>
      </c>
      <c r="I473">
        <v>1.1164475567425494E-5</v>
      </c>
      <c r="J473">
        <v>8.18</v>
      </c>
      <c r="L473" s="1">
        <v>46762</v>
      </c>
      <c r="M473" s="1">
        <v>43024</v>
      </c>
      <c r="N473" s="1"/>
      <c r="R473">
        <v>1.388005020669775E-3</v>
      </c>
      <c r="T473" t="s">
        <v>30</v>
      </c>
      <c r="V473">
        <v>983440</v>
      </c>
      <c r="W473" t="s">
        <v>1690</v>
      </c>
      <c r="X473" t="s">
        <v>1691</v>
      </c>
      <c r="Y473">
        <v>1000000</v>
      </c>
      <c r="Z473" t="s">
        <v>157</v>
      </c>
      <c r="AA473">
        <v>2.2958350566123706E-3</v>
      </c>
      <c r="AB473">
        <v>98.194000000000003</v>
      </c>
      <c r="AC473" t="s">
        <v>154</v>
      </c>
      <c r="AE473" t="s">
        <v>44</v>
      </c>
      <c r="AF473">
        <v>0</v>
      </c>
      <c r="AH473" t="s">
        <v>237</v>
      </c>
      <c r="AJ473">
        <v>8.0435411984591601E-3</v>
      </c>
      <c r="AK473">
        <v>8.0435411984591601E-3</v>
      </c>
      <c r="AL473">
        <v>0</v>
      </c>
      <c r="AN473" t="s">
        <v>603</v>
      </c>
      <c r="AQ473">
        <v>0</v>
      </c>
    </row>
    <row r="474" spans="1:43" x14ac:dyDescent="0.2">
      <c r="A474">
        <v>472</v>
      </c>
      <c r="B474">
        <v>278</v>
      </c>
      <c r="C474">
        <v>50</v>
      </c>
      <c r="D474">
        <v>1800000</v>
      </c>
      <c r="E474" t="s">
        <v>587</v>
      </c>
      <c r="F474" t="s">
        <v>151</v>
      </c>
      <c r="G474" t="s">
        <v>588</v>
      </c>
      <c r="H474">
        <v>0.1090182331366345</v>
      </c>
      <c r="I474">
        <v>-5.3595196289821485E-5</v>
      </c>
      <c r="J474">
        <v>7.48</v>
      </c>
      <c r="K474">
        <v>7.3132878215990829</v>
      </c>
      <c r="L474" s="1">
        <v>46294</v>
      </c>
      <c r="M474" s="1">
        <v>43024</v>
      </c>
      <c r="N474" s="1">
        <v>43021</v>
      </c>
      <c r="R474">
        <v>-4.1572710361236715E-3</v>
      </c>
      <c r="S474">
        <v>-4.1572710361236715E-3</v>
      </c>
      <c r="T474" t="s">
        <v>30</v>
      </c>
      <c r="U474" t="s">
        <v>30</v>
      </c>
      <c r="V474">
        <v>1781960.69</v>
      </c>
      <c r="W474" t="s">
        <v>587</v>
      </c>
      <c r="X474" t="s">
        <v>589</v>
      </c>
      <c r="Y474">
        <v>1800000</v>
      </c>
      <c r="Z474" t="s">
        <v>157</v>
      </c>
      <c r="AA474">
        <v>-1.1021183195313089E-2</v>
      </c>
      <c r="AB474">
        <v>98.792400000000001</v>
      </c>
      <c r="AC474" t="s">
        <v>146</v>
      </c>
      <c r="AD474" t="s">
        <v>146</v>
      </c>
      <c r="AE474" t="s">
        <v>88</v>
      </c>
      <c r="AF474">
        <v>0</v>
      </c>
      <c r="AG474">
        <v>4.4935978086810149</v>
      </c>
      <c r="AH474" t="s">
        <v>237</v>
      </c>
      <c r="AI474" t="s">
        <v>237</v>
      </c>
      <c r="AJ474">
        <v>1.2891917756652882E-2</v>
      </c>
      <c r="AK474">
        <v>1.4574630098480548E-2</v>
      </c>
      <c r="AL474">
        <v>1.6827123418276669E-3</v>
      </c>
      <c r="AM474" t="s">
        <v>88</v>
      </c>
      <c r="AN474" t="s">
        <v>154</v>
      </c>
      <c r="AO474" t="s">
        <v>146</v>
      </c>
      <c r="AP474" t="s">
        <v>157</v>
      </c>
      <c r="AQ474">
        <v>0</v>
      </c>
    </row>
    <row r="475" spans="1:43" x14ac:dyDescent="0.2">
      <c r="A475">
        <v>473</v>
      </c>
      <c r="B475">
        <v>279</v>
      </c>
      <c r="C475">
        <v>50</v>
      </c>
      <c r="F475" t="s">
        <v>151</v>
      </c>
      <c r="G475" t="s">
        <v>1268</v>
      </c>
      <c r="I475">
        <v>5.7888505810441338E-6</v>
      </c>
      <c r="J475">
        <v>5.5260541297758685</v>
      </c>
      <c r="K475">
        <v>5.5260541297758685</v>
      </c>
      <c r="L475" s="1"/>
      <c r="M475" s="1"/>
      <c r="N475" s="1">
        <v>43021</v>
      </c>
      <c r="R475">
        <v>-2.1728232825966452E-3</v>
      </c>
      <c r="S475">
        <v>-2.1728232825966452E-3</v>
      </c>
      <c r="T475" t="s">
        <v>30</v>
      </c>
      <c r="U475" t="s">
        <v>30</v>
      </c>
      <c r="W475" t="s">
        <v>587</v>
      </c>
      <c r="Z475" t="s">
        <v>157</v>
      </c>
      <c r="AA475">
        <v>1.1904048713428925E-3</v>
      </c>
      <c r="AC475" t="s">
        <v>149</v>
      </c>
      <c r="AD475" t="s">
        <v>149</v>
      </c>
      <c r="AE475" t="s">
        <v>88</v>
      </c>
      <c r="AF475">
        <v>4.2772252263717254</v>
      </c>
      <c r="AG475">
        <v>4.2772252263717254</v>
      </c>
      <c r="AH475" t="s">
        <v>237</v>
      </c>
      <c r="AI475" t="s">
        <v>237</v>
      </c>
      <c r="AJ475">
        <v>-2.6642068075256142E-3</v>
      </c>
      <c r="AK475">
        <v>0</v>
      </c>
      <c r="AL475">
        <v>2.6642068075256142E-3</v>
      </c>
      <c r="AM475" t="s">
        <v>88</v>
      </c>
      <c r="AN475" t="s">
        <v>149</v>
      </c>
      <c r="AO475" t="s">
        <v>149</v>
      </c>
      <c r="AP475" t="s">
        <v>157</v>
      </c>
    </row>
    <row r="476" spans="1:43" x14ac:dyDescent="0.2">
      <c r="A476">
        <v>474</v>
      </c>
      <c r="B476">
        <v>345</v>
      </c>
      <c r="C476">
        <v>50</v>
      </c>
      <c r="F476" t="s">
        <v>151</v>
      </c>
      <c r="G476" t="s">
        <v>1269</v>
      </c>
      <c r="I476">
        <v>1.3981374936544272E-5</v>
      </c>
      <c r="J476">
        <v>4.4655201182185991</v>
      </c>
      <c r="K476">
        <v>4.4655201182185991</v>
      </c>
      <c r="L476" s="1"/>
      <c r="M476" s="1"/>
      <c r="N476" s="1">
        <v>43021</v>
      </c>
      <c r="R476">
        <v>-3.4164484632358688E-3</v>
      </c>
      <c r="S476">
        <v>-3.4164484632358688E-3</v>
      </c>
      <c r="T476" t="s">
        <v>30</v>
      </c>
      <c r="U476" t="s">
        <v>30</v>
      </c>
      <c r="W476" t="s">
        <v>200</v>
      </c>
      <c r="Z476" t="s">
        <v>31</v>
      </c>
      <c r="AA476">
        <v>2.875095254148319E-3</v>
      </c>
      <c r="AC476" t="s">
        <v>55</v>
      </c>
      <c r="AD476" t="s">
        <v>55</v>
      </c>
      <c r="AE476" t="s">
        <v>41</v>
      </c>
      <c r="AF476">
        <v>2.6981521819040277</v>
      </c>
      <c r="AG476">
        <v>2.6981521819040277</v>
      </c>
      <c r="AH476" t="s">
        <v>237</v>
      </c>
      <c r="AI476" t="s">
        <v>237</v>
      </c>
      <c r="AJ476">
        <v>-4.0923710944264901E-3</v>
      </c>
      <c r="AK476">
        <v>0</v>
      </c>
      <c r="AL476">
        <v>4.0923710944264901E-3</v>
      </c>
      <c r="AM476" t="s">
        <v>41</v>
      </c>
      <c r="AN476" t="s">
        <v>55</v>
      </c>
      <c r="AO476" t="s">
        <v>55</v>
      </c>
      <c r="AP476" t="s">
        <v>31</v>
      </c>
    </row>
    <row r="477" spans="1:43" x14ac:dyDescent="0.2">
      <c r="A477">
        <v>475</v>
      </c>
      <c r="B477">
        <v>348</v>
      </c>
      <c r="C477">
        <v>50</v>
      </c>
      <c r="F477" t="s">
        <v>151</v>
      </c>
      <c r="G477" t="s">
        <v>590</v>
      </c>
      <c r="I477">
        <v>2.8579341450448392E-6</v>
      </c>
      <c r="J477">
        <v>4.4743311061285516</v>
      </c>
      <c r="K477">
        <v>4.4743311061285516</v>
      </c>
      <c r="L477" s="1"/>
      <c r="M477" s="1"/>
      <c r="N477" s="1">
        <v>43021</v>
      </c>
      <c r="R477">
        <v>-4.6997313942723071E-4</v>
      </c>
      <c r="S477">
        <v>-4.6997313942723071E-4</v>
      </c>
      <c r="T477" t="s">
        <v>30</v>
      </c>
      <c r="U477" t="s">
        <v>30</v>
      </c>
      <c r="W477" t="s">
        <v>591</v>
      </c>
      <c r="Z477" t="s">
        <v>145</v>
      </c>
      <c r="AA477">
        <v>5.8769848705007095E-4</v>
      </c>
      <c r="AC477" t="s">
        <v>148</v>
      </c>
      <c r="AD477" t="s">
        <v>148</v>
      </c>
      <c r="AE477" t="s">
        <v>41</v>
      </c>
      <c r="AF477">
        <v>3.2138180714373679</v>
      </c>
      <c r="AG477">
        <v>3.2138180714373679</v>
      </c>
      <c r="AH477" t="s">
        <v>237</v>
      </c>
      <c r="AI477" t="s">
        <v>237</v>
      </c>
      <c r="AJ477">
        <v>-6.0810584803375842E-3</v>
      </c>
      <c r="AK477">
        <v>0</v>
      </c>
      <c r="AL477">
        <v>6.0810584803375842E-3</v>
      </c>
      <c r="AM477" t="s">
        <v>41</v>
      </c>
      <c r="AN477" t="s">
        <v>148</v>
      </c>
      <c r="AO477" t="s">
        <v>148</v>
      </c>
      <c r="AP477" t="s">
        <v>145</v>
      </c>
    </row>
    <row r="478" spans="1:43" x14ac:dyDescent="0.2">
      <c r="A478">
        <v>476</v>
      </c>
      <c r="B478">
        <v>280</v>
      </c>
      <c r="C478">
        <v>50</v>
      </c>
      <c r="D478">
        <v>1800000</v>
      </c>
      <c r="E478" t="s">
        <v>592</v>
      </c>
      <c r="F478" t="s">
        <v>151</v>
      </c>
      <c r="G478" t="s">
        <v>593</v>
      </c>
      <c r="H478">
        <v>7.6005705079928848E-2</v>
      </c>
      <c r="I478">
        <v>-4.1697270021390221E-5</v>
      </c>
      <c r="J478">
        <v>4.92</v>
      </c>
      <c r="K478">
        <v>4.8300949328326972</v>
      </c>
      <c r="L478" s="1">
        <v>45017</v>
      </c>
      <c r="M478" s="1">
        <v>43024</v>
      </c>
      <c r="N478" s="1">
        <v>43021</v>
      </c>
      <c r="R478">
        <v>-4.0771608511043118E-3</v>
      </c>
      <c r="S478">
        <v>-4.0771608511043118E-3</v>
      </c>
      <c r="T478" t="s">
        <v>30</v>
      </c>
      <c r="U478" t="s">
        <v>30</v>
      </c>
      <c r="V478">
        <v>1888781.27</v>
      </c>
      <c r="W478" t="s">
        <v>594</v>
      </c>
      <c r="X478" t="s">
        <v>595</v>
      </c>
      <c r="Y478">
        <v>1800000</v>
      </c>
      <c r="Z478" t="s">
        <v>147</v>
      </c>
      <c r="AA478">
        <v>-8.5745231562376796E-3</v>
      </c>
      <c r="AB478">
        <v>104.75</v>
      </c>
      <c r="AC478" t="s">
        <v>142</v>
      </c>
      <c r="AD478" t="s">
        <v>146</v>
      </c>
      <c r="AE478" t="s">
        <v>175</v>
      </c>
      <c r="AF478">
        <v>0</v>
      </c>
      <c r="AG478">
        <v>3.4257748921631177</v>
      </c>
      <c r="AH478" t="s">
        <v>237</v>
      </c>
      <c r="AI478" t="s">
        <v>237</v>
      </c>
      <c r="AJ478">
        <v>1.0227035808532396E-2</v>
      </c>
      <c r="AK478">
        <v>1.5448314040635945E-2</v>
      </c>
      <c r="AL478">
        <v>5.2212782321035484E-3</v>
      </c>
      <c r="AM478" t="s">
        <v>175</v>
      </c>
      <c r="AN478" t="s">
        <v>146</v>
      </c>
      <c r="AO478" t="s">
        <v>146</v>
      </c>
      <c r="AP478" t="s">
        <v>147</v>
      </c>
      <c r="AQ478">
        <v>0</v>
      </c>
    </row>
    <row r="479" spans="1:43" x14ac:dyDescent="0.2">
      <c r="A479">
        <v>477</v>
      </c>
      <c r="B479">
        <v>0</v>
      </c>
      <c r="C479">
        <v>50</v>
      </c>
      <c r="D479">
        <v>1965.7375917848005</v>
      </c>
      <c r="E479" t="s">
        <v>1270</v>
      </c>
      <c r="F479" t="s">
        <v>151</v>
      </c>
      <c r="G479" t="s">
        <v>1271</v>
      </c>
      <c r="H479">
        <v>0</v>
      </c>
      <c r="I479">
        <v>0</v>
      </c>
      <c r="J479">
        <v>0</v>
      </c>
      <c r="L479" s="1">
        <v>2</v>
      </c>
      <c r="M479" s="1">
        <v>43024</v>
      </c>
      <c r="N479" s="1"/>
      <c r="R479">
        <v>0</v>
      </c>
      <c r="T479" t="s">
        <v>30</v>
      </c>
      <c r="V479">
        <v>2330768.4153</v>
      </c>
      <c r="W479" t="s">
        <v>596</v>
      </c>
      <c r="X479" t="s">
        <v>1272</v>
      </c>
      <c r="Y479">
        <v>1965.7375917848005</v>
      </c>
      <c r="Z479" t="s">
        <v>31</v>
      </c>
      <c r="AA479">
        <v>0</v>
      </c>
      <c r="AB479">
        <v>1185.18</v>
      </c>
      <c r="AC479" t="s">
        <v>47</v>
      </c>
      <c r="AE479" t="s">
        <v>41</v>
      </c>
      <c r="AF479">
        <v>0</v>
      </c>
      <c r="AH479" t="s">
        <v>597</v>
      </c>
      <c r="AJ479">
        <v>1.9063320357655698E-2</v>
      </c>
      <c r="AK479">
        <v>1.9063320357655698E-2</v>
      </c>
      <c r="AL479">
        <v>0</v>
      </c>
      <c r="AN479" t="s">
        <v>163</v>
      </c>
      <c r="AQ479">
        <v>0</v>
      </c>
    </row>
    <row r="480" spans="1:43" x14ac:dyDescent="0.2">
      <c r="A480">
        <v>478</v>
      </c>
      <c r="B480">
        <v>486</v>
      </c>
      <c r="C480">
        <v>50</v>
      </c>
      <c r="D480">
        <v>250000</v>
      </c>
      <c r="E480" t="s">
        <v>598</v>
      </c>
      <c r="F480" t="s">
        <v>151</v>
      </c>
      <c r="G480" t="s">
        <v>599</v>
      </c>
      <c r="H480">
        <v>3.2670304383028509E-2</v>
      </c>
      <c r="I480">
        <v>8.6107449729642552E-6</v>
      </c>
      <c r="J480">
        <v>15.35</v>
      </c>
      <c r="K480">
        <v>11.815569872626744</v>
      </c>
      <c r="L480" s="1">
        <v>53865</v>
      </c>
      <c r="M480" s="1">
        <v>43024</v>
      </c>
      <c r="N480" s="1">
        <v>43021</v>
      </c>
      <c r="R480">
        <v>-3.4904243093107049E-3</v>
      </c>
      <c r="S480">
        <v>-3.4904243093107049E-3</v>
      </c>
      <c r="T480" t="s">
        <v>30</v>
      </c>
      <c r="U480" t="s">
        <v>30</v>
      </c>
      <c r="V480">
        <v>260222.82</v>
      </c>
      <c r="W480" t="s">
        <v>600</v>
      </c>
      <c r="X480" t="s">
        <v>601</v>
      </c>
      <c r="Y480">
        <v>250000</v>
      </c>
      <c r="Z480" t="s">
        <v>31</v>
      </c>
      <c r="AA480">
        <v>1.7706922329750535E-3</v>
      </c>
      <c r="AB480">
        <v>102.26560000000001</v>
      </c>
      <c r="AC480" t="s">
        <v>142</v>
      </c>
      <c r="AD480" t="s">
        <v>146</v>
      </c>
      <c r="AE480" t="s">
        <v>89</v>
      </c>
      <c r="AF480">
        <v>0</v>
      </c>
      <c r="AG480">
        <v>5.0531576861321241</v>
      </c>
      <c r="AH480" t="s">
        <v>237</v>
      </c>
      <c r="AI480" t="s">
        <v>237</v>
      </c>
      <c r="AJ480">
        <v>-2.4669622400907243E-3</v>
      </c>
      <c r="AK480">
        <v>2.1283585917282418E-3</v>
      </c>
      <c r="AL480">
        <v>4.5953208318189661E-3</v>
      </c>
      <c r="AM480" t="s">
        <v>89</v>
      </c>
      <c r="AN480" t="s">
        <v>146</v>
      </c>
      <c r="AO480" t="s">
        <v>146</v>
      </c>
      <c r="AP480" t="s">
        <v>31</v>
      </c>
      <c r="AQ480">
        <v>0</v>
      </c>
    </row>
    <row r="481" spans="1:43" x14ac:dyDescent="0.2">
      <c r="A481">
        <v>479</v>
      </c>
      <c r="B481">
        <v>350</v>
      </c>
      <c r="C481">
        <v>50</v>
      </c>
      <c r="D481">
        <v>1137000</v>
      </c>
      <c r="E481" t="s">
        <v>326</v>
      </c>
      <c r="F481" t="s">
        <v>151</v>
      </c>
      <c r="G481" t="s">
        <v>602</v>
      </c>
      <c r="H481">
        <v>4.6518898927108525E-2</v>
      </c>
      <c r="I481">
        <v>4.2875884944531332E-6</v>
      </c>
      <c r="J481">
        <v>4.67</v>
      </c>
      <c r="K481">
        <v>4.5838262908022172</v>
      </c>
      <c r="L481" s="1">
        <v>44946</v>
      </c>
      <c r="M481" s="1">
        <v>43024</v>
      </c>
      <c r="N481" s="1">
        <v>43021</v>
      </c>
      <c r="R481">
        <v>-2.3015960099783757E-3</v>
      </c>
      <c r="S481">
        <v>-2.3015960099783757E-3</v>
      </c>
      <c r="T481" t="s">
        <v>30</v>
      </c>
      <c r="U481" t="s">
        <v>30</v>
      </c>
      <c r="V481">
        <v>1217904.1887999999</v>
      </c>
      <c r="W481" t="s">
        <v>327</v>
      </c>
      <c r="X481" t="s">
        <v>435</v>
      </c>
      <c r="Y481">
        <v>1137000</v>
      </c>
      <c r="Z481" t="s">
        <v>31</v>
      </c>
      <c r="AA481">
        <v>8.816890604887831E-4</v>
      </c>
      <c r="AB481">
        <v>105.95099999999999</v>
      </c>
      <c r="AC481" t="s">
        <v>154</v>
      </c>
      <c r="AD481" t="s">
        <v>146</v>
      </c>
      <c r="AE481" t="s">
        <v>35</v>
      </c>
      <c r="AF481">
        <v>0</v>
      </c>
      <c r="AG481">
        <v>3.5697875301606037</v>
      </c>
      <c r="AH481" t="s">
        <v>237</v>
      </c>
      <c r="AI481" t="s">
        <v>237</v>
      </c>
      <c r="AJ481">
        <v>-1.8628762284365521E-3</v>
      </c>
      <c r="AK481">
        <v>9.9612203270039671E-3</v>
      </c>
      <c r="AL481">
        <v>1.1824096555440519E-2</v>
      </c>
      <c r="AM481" t="s">
        <v>35</v>
      </c>
      <c r="AN481" t="s">
        <v>603</v>
      </c>
      <c r="AO481" t="s">
        <v>146</v>
      </c>
      <c r="AP481" t="s">
        <v>31</v>
      </c>
      <c r="AQ481">
        <v>0</v>
      </c>
    </row>
    <row r="482" spans="1:43" x14ac:dyDescent="0.2">
      <c r="A482">
        <v>480</v>
      </c>
      <c r="B482">
        <v>282</v>
      </c>
      <c r="C482">
        <v>50</v>
      </c>
      <c r="D482">
        <v>1000000</v>
      </c>
      <c r="E482" t="s">
        <v>326</v>
      </c>
      <c r="F482" t="s">
        <v>151</v>
      </c>
      <c r="G482" t="s">
        <v>604</v>
      </c>
      <c r="H482">
        <v>5.4818065104003708E-2</v>
      </c>
      <c r="I482">
        <v>-2.8634129635227842E-6</v>
      </c>
      <c r="J482">
        <v>6.19</v>
      </c>
      <c r="K482">
        <v>5.8879530914074607</v>
      </c>
      <c r="L482" s="1">
        <v>45700</v>
      </c>
      <c r="M482" s="1">
        <v>43024</v>
      </c>
      <c r="N482" s="1">
        <v>43021</v>
      </c>
      <c r="R482">
        <v>-4.9248115682833027E-3</v>
      </c>
      <c r="S482">
        <v>-4.9248115682833027E-3</v>
      </c>
      <c r="T482" t="s">
        <v>30</v>
      </c>
      <c r="U482" t="s">
        <v>30</v>
      </c>
      <c r="V482">
        <v>1082763.56</v>
      </c>
      <c r="W482" t="s">
        <v>327</v>
      </c>
      <c r="X482" t="s">
        <v>435</v>
      </c>
      <c r="Y482">
        <v>1000000</v>
      </c>
      <c r="Z482" t="s">
        <v>31</v>
      </c>
      <c r="AA482">
        <v>-5.888251376889224E-4</v>
      </c>
      <c r="AB482">
        <v>107.3608</v>
      </c>
      <c r="AC482" t="s">
        <v>146</v>
      </c>
      <c r="AD482" t="s">
        <v>146</v>
      </c>
      <c r="AE482" t="s">
        <v>35</v>
      </c>
      <c r="AF482">
        <v>0</v>
      </c>
      <c r="AG482">
        <v>3.9386146368040111</v>
      </c>
      <c r="AH482" t="s">
        <v>237</v>
      </c>
      <c r="AI482" t="s">
        <v>237</v>
      </c>
      <c r="AJ482">
        <v>5.8142589291409509E-4</v>
      </c>
      <c r="AK482">
        <v>8.8559071250409859E-3</v>
      </c>
      <c r="AL482">
        <v>8.2744812321268908E-3</v>
      </c>
      <c r="AM482" t="s">
        <v>35</v>
      </c>
      <c r="AN482" t="s">
        <v>154</v>
      </c>
      <c r="AO482" t="s">
        <v>146</v>
      </c>
      <c r="AP482" t="s">
        <v>31</v>
      </c>
      <c r="AQ482">
        <v>0</v>
      </c>
    </row>
    <row r="483" spans="1:43" x14ac:dyDescent="0.2">
      <c r="A483">
        <v>481</v>
      </c>
      <c r="B483">
        <v>504</v>
      </c>
      <c r="C483">
        <v>50</v>
      </c>
      <c r="D483">
        <v>1825000</v>
      </c>
      <c r="E483" t="s">
        <v>326</v>
      </c>
      <c r="F483" t="s">
        <v>151</v>
      </c>
      <c r="G483" t="s">
        <v>605</v>
      </c>
      <c r="H483">
        <v>0.12049819410286701</v>
      </c>
      <c r="I483">
        <v>-1.5600845741424488E-5</v>
      </c>
      <c r="J483">
        <v>7.96</v>
      </c>
      <c r="K483">
        <v>7.6238936880498791</v>
      </c>
      <c r="L483" s="1">
        <v>46585</v>
      </c>
      <c r="M483" s="1">
        <v>43024</v>
      </c>
      <c r="N483" s="1">
        <v>43021</v>
      </c>
      <c r="R483">
        <v>-4.7530610615136443E-3</v>
      </c>
      <c r="S483">
        <v>-4.7530610615136443E-3</v>
      </c>
      <c r="T483" t="s">
        <v>30</v>
      </c>
      <c r="U483" t="s">
        <v>30</v>
      </c>
      <c r="V483">
        <v>1850836.47</v>
      </c>
      <c r="W483" t="s">
        <v>327</v>
      </c>
      <c r="X483" t="s">
        <v>435</v>
      </c>
      <c r="Y483">
        <v>1825000</v>
      </c>
      <c r="Z483" t="s">
        <v>31</v>
      </c>
      <c r="AA483">
        <v>-3.2081192125554955E-3</v>
      </c>
      <c r="AB483">
        <v>100.33410000000001</v>
      </c>
      <c r="AC483" t="s">
        <v>34</v>
      </c>
      <c r="AD483" t="s">
        <v>146</v>
      </c>
      <c r="AE483" t="s">
        <v>35</v>
      </c>
      <c r="AF483">
        <v>0</v>
      </c>
      <c r="AG483">
        <v>4.3206751373436125</v>
      </c>
      <c r="AH483" t="s">
        <v>237</v>
      </c>
      <c r="AI483" t="s">
        <v>237</v>
      </c>
      <c r="AJ483">
        <v>3.2822733685765638E-3</v>
      </c>
      <c r="AK483">
        <v>1.513796408327475E-2</v>
      </c>
      <c r="AL483">
        <v>1.1855690714698186E-2</v>
      </c>
      <c r="AM483" t="s">
        <v>35</v>
      </c>
      <c r="AN483" t="s">
        <v>54</v>
      </c>
      <c r="AO483" t="s">
        <v>146</v>
      </c>
      <c r="AP483" t="s">
        <v>31</v>
      </c>
      <c r="AQ483">
        <v>0</v>
      </c>
    </row>
    <row r="484" spans="1:43" x14ac:dyDescent="0.2">
      <c r="A484">
        <v>482</v>
      </c>
      <c r="B484">
        <v>488</v>
      </c>
      <c r="C484">
        <v>50</v>
      </c>
      <c r="D484">
        <v>300000</v>
      </c>
      <c r="E484" t="s">
        <v>606</v>
      </c>
      <c r="F484" t="s">
        <v>151</v>
      </c>
      <c r="G484" t="s">
        <v>607</v>
      </c>
      <c r="H484">
        <v>1.4423559673179914E-2</v>
      </c>
      <c r="I484">
        <v>-1.9446422323927158E-5</v>
      </c>
      <c r="J484">
        <v>5.43</v>
      </c>
      <c r="L484" s="1">
        <v>45306</v>
      </c>
      <c r="M484" s="1">
        <v>43024</v>
      </c>
      <c r="N484" s="1"/>
      <c r="R484">
        <v>-7.320944039582185E-3</v>
      </c>
      <c r="T484" t="s">
        <v>30</v>
      </c>
      <c r="V484">
        <v>324767.98</v>
      </c>
      <c r="W484" t="s">
        <v>608</v>
      </c>
      <c r="X484" t="s">
        <v>609</v>
      </c>
      <c r="Y484">
        <v>300000</v>
      </c>
      <c r="Z484" t="s">
        <v>145</v>
      </c>
      <c r="AA484">
        <v>-3.9989140401027008E-3</v>
      </c>
      <c r="AB484">
        <v>107.02370000000001</v>
      </c>
      <c r="AC484" t="s">
        <v>33</v>
      </c>
      <c r="AE484" t="s">
        <v>89</v>
      </c>
      <c r="AF484">
        <v>0</v>
      </c>
      <c r="AH484" t="s">
        <v>237</v>
      </c>
      <c r="AJ484">
        <v>2.6562724996648094E-3</v>
      </c>
      <c r="AK484">
        <v>2.6562724996648094E-3</v>
      </c>
      <c r="AL484">
        <v>0</v>
      </c>
      <c r="AN484" t="s">
        <v>148</v>
      </c>
      <c r="AQ484">
        <v>0</v>
      </c>
    </row>
    <row r="485" spans="1:43" x14ac:dyDescent="0.2">
      <c r="A485">
        <v>483</v>
      </c>
      <c r="B485">
        <v>283</v>
      </c>
      <c r="C485">
        <v>50</v>
      </c>
      <c r="D485">
        <v>1800000</v>
      </c>
      <c r="E485" t="s">
        <v>610</v>
      </c>
      <c r="F485" t="s">
        <v>151</v>
      </c>
      <c r="G485" t="s">
        <v>611</v>
      </c>
      <c r="H485">
        <v>0.11886077054050986</v>
      </c>
      <c r="I485">
        <v>-1.4889539862914243E-4</v>
      </c>
      <c r="J485">
        <v>7.65</v>
      </c>
      <c r="L485" s="1">
        <v>46441</v>
      </c>
      <c r="M485" s="1">
        <v>43024</v>
      </c>
      <c r="N485" s="1"/>
      <c r="R485">
        <v>-9.5830591904562095E-3</v>
      </c>
      <c r="T485" t="s">
        <v>30</v>
      </c>
      <c r="V485">
        <v>1899667.9</v>
      </c>
      <c r="W485" t="s">
        <v>608</v>
      </c>
      <c r="X485" t="s">
        <v>612</v>
      </c>
      <c r="Y485">
        <v>1800000</v>
      </c>
      <c r="Z485" t="s">
        <v>145</v>
      </c>
      <c r="AA485">
        <v>-3.0618480364491149E-2</v>
      </c>
      <c r="AB485">
        <v>104.8378</v>
      </c>
      <c r="AC485" t="s">
        <v>33</v>
      </c>
      <c r="AE485" t="s">
        <v>175</v>
      </c>
      <c r="AF485">
        <v>0</v>
      </c>
      <c r="AH485" t="s">
        <v>237</v>
      </c>
      <c r="AJ485">
        <v>1.5537355626210439E-2</v>
      </c>
      <c r="AK485">
        <v>1.5537355626210439E-2</v>
      </c>
      <c r="AL485">
        <v>0</v>
      </c>
      <c r="AN485" t="s">
        <v>148</v>
      </c>
      <c r="AQ485">
        <v>0</v>
      </c>
    </row>
    <row r="486" spans="1:43" x14ac:dyDescent="0.2">
      <c r="A486">
        <v>484</v>
      </c>
      <c r="B486">
        <v>474</v>
      </c>
      <c r="C486">
        <v>50</v>
      </c>
      <c r="D486">
        <v>400000</v>
      </c>
      <c r="E486" t="s">
        <v>242</v>
      </c>
      <c r="F486" t="s">
        <v>151</v>
      </c>
      <c r="G486" t="s">
        <v>613</v>
      </c>
      <c r="H486">
        <v>2.6294862101233094E-2</v>
      </c>
      <c r="I486">
        <v>1.2159772104596414E-5</v>
      </c>
      <c r="J486">
        <v>7.86</v>
      </c>
      <c r="K486">
        <v>7.6979426790547079</v>
      </c>
      <c r="L486" s="1">
        <v>46481</v>
      </c>
      <c r="M486" s="1">
        <v>43024</v>
      </c>
      <c r="N486" s="1">
        <v>43021</v>
      </c>
      <c r="R486">
        <v>-4.5794479912491491E-3</v>
      </c>
      <c r="S486">
        <v>-4.5794479912491491E-3</v>
      </c>
      <c r="T486" t="s">
        <v>30</v>
      </c>
      <c r="U486" t="s">
        <v>30</v>
      </c>
      <c r="V486">
        <v>409024.13</v>
      </c>
      <c r="W486" t="s">
        <v>243</v>
      </c>
      <c r="X486" t="s">
        <v>244</v>
      </c>
      <c r="Y486">
        <v>400000</v>
      </c>
      <c r="Z486" t="s">
        <v>31</v>
      </c>
      <c r="AA486">
        <v>2.5005053671846764E-3</v>
      </c>
      <c r="AB486">
        <v>102.11020000000001</v>
      </c>
      <c r="AC486" t="s">
        <v>33</v>
      </c>
      <c r="AD486" t="s">
        <v>146</v>
      </c>
      <c r="AE486" t="s">
        <v>177</v>
      </c>
      <c r="AF486">
        <v>0</v>
      </c>
      <c r="AG486">
        <v>4.074560699784298</v>
      </c>
      <c r="AH486" t="s">
        <v>237</v>
      </c>
      <c r="AI486" t="s">
        <v>237</v>
      </c>
      <c r="AJ486">
        <v>-2.6552921067850271E-3</v>
      </c>
      <c r="AK486">
        <v>3.3454023029558643E-3</v>
      </c>
      <c r="AL486">
        <v>6.0006944097408914E-3</v>
      </c>
      <c r="AM486" t="s">
        <v>177</v>
      </c>
      <c r="AN486" t="s">
        <v>148</v>
      </c>
      <c r="AO486" t="s">
        <v>146</v>
      </c>
      <c r="AP486" t="s">
        <v>31</v>
      </c>
      <c r="AQ486">
        <v>0</v>
      </c>
    </row>
    <row r="487" spans="1:43" x14ac:dyDescent="0.2">
      <c r="A487">
        <v>485</v>
      </c>
      <c r="B487">
        <v>284</v>
      </c>
      <c r="C487">
        <v>50</v>
      </c>
      <c r="D487">
        <v>604000</v>
      </c>
      <c r="E487" t="s">
        <v>242</v>
      </c>
      <c r="F487" t="s">
        <v>151</v>
      </c>
      <c r="G487" t="s">
        <v>245</v>
      </c>
      <c r="H487">
        <v>1.2998488794809505E-3</v>
      </c>
      <c r="I487">
        <v>4.3340510374931577E-6</v>
      </c>
      <c r="J487">
        <v>0.26</v>
      </c>
      <c r="L487" s="1">
        <v>43119</v>
      </c>
      <c r="M487" s="1">
        <v>43024</v>
      </c>
      <c r="N487" s="1"/>
      <c r="R487">
        <v>8.669109829122526E-4</v>
      </c>
      <c r="T487" t="s">
        <v>30</v>
      </c>
      <c r="V487">
        <v>611251.72</v>
      </c>
      <c r="W487" t="s">
        <v>243</v>
      </c>
      <c r="X487" t="s">
        <v>244</v>
      </c>
      <c r="Y487">
        <v>604000</v>
      </c>
      <c r="Z487" t="s">
        <v>31</v>
      </c>
      <c r="AA487">
        <v>8.9124350256592649E-4</v>
      </c>
      <c r="AB487">
        <v>100.0527</v>
      </c>
      <c r="AC487" t="s">
        <v>33</v>
      </c>
      <c r="AE487" t="s">
        <v>177</v>
      </c>
      <c r="AF487">
        <v>0</v>
      </c>
      <c r="AH487" t="s">
        <v>237</v>
      </c>
      <c r="AJ487">
        <v>4.9994187672344247E-3</v>
      </c>
      <c r="AK487">
        <v>4.9994187672344247E-3</v>
      </c>
      <c r="AL487">
        <v>0</v>
      </c>
      <c r="AN487" t="s">
        <v>148</v>
      </c>
      <c r="AQ487">
        <v>0</v>
      </c>
    </row>
    <row r="488" spans="1:43" x14ac:dyDescent="0.2">
      <c r="A488">
        <v>486</v>
      </c>
      <c r="B488">
        <v>285</v>
      </c>
      <c r="C488">
        <v>50</v>
      </c>
      <c r="F488" t="s">
        <v>151</v>
      </c>
      <c r="G488" t="s">
        <v>1273</v>
      </c>
      <c r="I488">
        <v>2.1760728769750149E-5</v>
      </c>
      <c r="J488">
        <v>3.9986236985528176</v>
      </c>
      <c r="K488">
        <v>3.9986236985528176</v>
      </c>
      <c r="L488" s="1"/>
      <c r="M488" s="1"/>
      <c r="N488" s="1">
        <v>43021</v>
      </c>
      <c r="R488">
        <v>-3.4763913262878528E-3</v>
      </c>
      <c r="S488">
        <v>-3.4763913262878528E-3</v>
      </c>
      <c r="T488" t="s">
        <v>30</v>
      </c>
      <c r="U488" t="s">
        <v>30</v>
      </c>
      <c r="W488" t="s">
        <v>243</v>
      </c>
      <c r="Z488" t="s">
        <v>31</v>
      </c>
      <c r="AA488">
        <v>4.4748222758255567E-3</v>
      </c>
      <c r="AC488" t="s">
        <v>146</v>
      </c>
      <c r="AD488" t="s">
        <v>146</v>
      </c>
      <c r="AE488" t="s">
        <v>177</v>
      </c>
      <c r="AF488">
        <v>3.2943287650403086</v>
      </c>
      <c r="AG488">
        <v>3.2943287650403086</v>
      </c>
      <c r="AH488" t="s">
        <v>237</v>
      </c>
      <c r="AI488" t="s">
        <v>237</v>
      </c>
      <c r="AJ488">
        <v>-6.2595740028458212E-3</v>
      </c>
      <c r="AK488">
        <v>0</v>
      </c>
      <c r="AL488">
        <v>6.2595740028458212E-3</v>
      </c>
      <c r="AM488" t="s">
        <v>177</v>
      </c>
      <c r="AN488" t="s">
        <v>146</v>
      </c>
      <c r="AO488" t="s">
        <v>146</v>
      </c>
      <c r="AP488" t="s">
        <v>31</v>
      </c>
    </row>
    <row r="489" spans="1:43" x14ac:dyDescent="0.2">
      <c r="A489">
        <v>487</v>
      </c>
      <c r="B489">
        <v>521</v>
      </c>
      <c r="C489">
        <v>50</v>
      </c>
      <c r="D489">
        <v>2000000</v>
      </c>
      <c r="E489" t="s">
        <v>330</v>
      </c>
      <c r="F489" t="s">
        <v>151</v>
      </c>
      <c r="G489" t="s">
        <v>1693</v>
      </c>
      <c r="H489">
        <v>0.13671696105348596</v>
      </c>
      <c r="I489">
        <v>7.5304199620037783E-7</v>
      </c>
      <c r="J489">
        <v>8.34</v>
      </c>
      <c r="L489" s="1">
        <v>46671</v>
      </c>
      <c r="M489" s="1">
        <v>43024</v>
      </c>
      <c r="N489" s="1"/>
      <c r="R489">
        <v>4.5937023467440628E-5</v>
      </c>
      <c r="T489" t="s">
        <v>30</v>
      </c>
      <c r="V489">
        <v>2004273.22</v>
      </c>
      <c r="W489" t="s">
        <v>331</v>
      </c>
      <c r="X489" t="s">
        <v>860</v>
      </c>
      <c r="Y489">
        <v>2000000</v>
      </c>
      <c r="Z489" t="s">
        <v>31</v>
      </c>
      <c r="AA489">
        <v>1.5485368780083762E-4</v>
      </c>
      <c r="AB489">
        <v>100.1588</v>
      </c>
      <c r="AC489" t="s">
        <v>142</v>
      </c>
      <c r="AE489" t="s">
        <v>175</v>
      </c>
      <c r="AF489">
        <v>0</v>
      </c>
      <c r="AH489" t="s">
        <v>237</v>
      </c>
      <c r="AJ489">
        <v>1.6392920989626615E-2</v>
      </c>
      <c r="AK489">
        <v>1.6392920989626615E-2</v>
      </c>
      <c r="AL489">
        <v>0</v>
      </c>
      <c r="AN489" t="s">
        <v>146</v>
      </c>
      <c r="AQ489">
        <v>0</v>
      </c>
    </row>
    <row r="490" spans="1:43" x14ac:dyDescent="0.2">
      <c r="A490">
        <v>488</v>
      </c>
      <c r="B490">
        <v>287</v>
      </c>
      <c r="C490">
        <v>50</v>
      </c>
      <c r="D490">
        <v>2180000</v>
      </c>
      <c r="E490" t="s">
        <v>614</v>
      </c>
      <c r="F490" t="s">
        <v>151</v>
      </c>
      <c r="G490" t="s">
        <v>615</v>
      </c>
      <c r="H490">
        <v>7.30603203165342E-2</v>
      </c>
      <c r="I490">
        <v>-3.5331889596626552E-5</v>
      </c>
      <c r="J490">
        <v>3.59</v>
      </c>
      <c r="L490" s="1">
        <v>44523</v>
      </c>
      <c r="M490" s="1">
        <v>43024</v>
      </c>
      <c r="N490" s="1"/>
      <c r="R490">
        <v>-1.736120004707726E-3</v>
      </c>
      <c r="T490" t="s">
        <v>30</v>
      </c>
      <c r="V490">
        <v>2488213.84</v>
      </c>
      <c r="W490" t="s">
        <v>616</v>
      </c>
      <c r="X490" t="s">
        <v>617</v>
      </c>
      <c r="Y490">
        <v>2180000</v>
      </c>
      <c r="Z490" t="s">
        <v>147</v>
      </c>
      <c r="AA490">
        <v>-7.2655621182033158E-3</v>
      </c>
      <c r="AB490">
        <v>111.45699999999999</v>
      </c>
      <c r="AC490" t="s">
        <v>34</v>
      </c>
      <c r="AE490" t="s">
        <v>35</v>
      </c>
      <c r="AF490">
        <v>0</v>
      </c>
      <c r="AH490" t="s">
        <v>237</v>
      </c>
      <c r="AJ490">
        <v>2.0351064155023454E-2</v>
      </c>
      <c r="AK490">
        <v>2.0351064155023454E-2</v>
      </c>
      <c r="AL490">
        <v>0</v>
      </c>
      <c r="AN490" t="s">
        <v>54</v>
      </c>
      <c r="AQ490">
        <v>0</v>
      </c>
    </row>
    <row r="491" spans="1:43" x14ac:dyDescent="0.2">
      <c r="A491">
        <v>489</v>
      </c>
      <c r="B491">
        <v>288</v>
      </c>
      <c r="C491">
        <v>50</v>
      </c>
      <c r="D491">
        <v>850000</v>
      </c>
      <c r="E491" t="s">
        <v>618</v>
      </c>
      <c r="F491" t="s">
        <v>151</v>
      </c>
      <c r="G491" t="s">
        <v>619</v>
      </c>
      <c r="H491">
        <v>1.9572263586271335E-3</v>
      </c>
      <c r="I491">
        <v>1.0528476930325384E-5</v>
      </c>
      <c r="J491">
        <v>0.28000000000000003</v>
      </c>
      <c r="L491" s="1">
        <v>43129</v>
      </c>
      <c r="M491" s="1">
        <v>43024</v>
      </c>
      <c r="N491" s="1"/>
      <c r="R491">
        <v>1.5061995908122342E-3</v>
      </c>
      <c r="T491" t="s">
        <v>30</v>
      </c>
      <c r="V491">
        <v>854640.76199999999</v>
      </c>
      <c r="W491" t="s">
        <v>620</v>
      </c>
      <c r="X491" t="s">
        <v>621</v>
      </c>
      <c r="Y491">
        <v>850000</v>
      </c>
      <c r="Z491" t="s">
        <v>143</v>
      </c>
      <c r="AA491">
        <v>2.1650498747922422E-3</v>
      </c>
      <c r="AB491">
        <v>99.915000000000006</v>
      </c>
      <c r="AC491" t="s">
        <v>142</v>
      </c>
      <c r="AE491" t="s">
        <v>41</v>
      </c>
      <c r="AF491">
        <v>0</v>
      </c>
      <c r="AH491" t="s">
        <v>237</v>
      </c>
      <c r="AJ491">
        <v>6.990094137954048E-3</v>
      </c>
      <c r="AK491">
        <v>6.990094137954048E-3</v>
      </c>
      <c r="AL491">
        <v>0</v>
      </c>
      <c r="AN491" t="s">
        <v>146</v>
      </c>
      <c r="AQ491">
        <v>0</v>
      </c>
    </row>
    <row r="492" spans="1:43" x14ac:dyDescent="0.2">
      <c r="A492">
        <v>490</v>
      </c>
      <c r="B492">
        <v>289</v>
      </c>
      <c r="C492">
        <v>50</v>
      </c>
      <c r="F492" t="s">
        <v>151</v>
      </c>
      <c r="G492" t="s">
        <v>1274</v>
      </c>
      <c r="I492">
        <v>3.0288101836300249E-5</v>
      </c>
      <c r="J492">
        <v>9.11769305361228</v>
      </c>
      <c r="K492">
        <v>9.11769305361228</v>
      </c>
      <c r="L492" s="1"/>
      <c r="M492" s="1"/>
      <c r="N492" s="1">
        <v>43021</v>
      </c>
      <c r="R492">
        <v>-1.3209530215784041E-2</v>
      </c>
      <c r="S492">
        <v>-1.3209530215784041E-2</v>
      </c>
      <c r="T492" t="s">
        <v>30</v>
      </c>
      <c r="U492" t="s">
        <v>30</v>
      </c>
      <c r="W492" t="s">
        <v>1275</v>
      </c>
      <c r="Z492" t="s">
        <v>145</v>
      </c>
      <c r="AA492">
        <v>6.2283701168113709E-3</v>
      </c>
      <c r="AC492" t="s">
        <v>148</v>
      </c>
      <c r="AD492" t="s">
        <v>148</v>
      </c>
      <c r="AE492" t="s">
        <v>43</v>
      </c>
      <c r="AF492">
        <v>5.0661137065284514</v>
      </c>
      <c r="AG492">
        <v>5.0661137065284514</v>
      </c>
      <c r="AH492" t="s">
        <v>237</v>
      </c>
      <c r="AI492" t="s">
        <v>237</v>
      </c>
      <c r="AJ492">
        <v>-2.2928977292552811E-3</v>
      </c>
      <c r="AK492">
        <v>0</v>
      </c>
      <c r="AL492">
        <v>2.2928977292552811E-3</v>
      </c>
      <c r="AM492" t="s">
        <v>43</v>
      </c>
      <c r="AN492" t="s">
        <v>148</v>
      </c>
      <c r="AO492" t="s">
        <v>148</v>
      </c>
      <c r="AP492" t="s">
        <v>145</v>
      </c>
    </row>
    <row r="493" spans="1:43" x14ac:dyDescent="0.2">
      <c r="A493">
        <v>491</v>
      </c>
      <c r="B493">
        <v>290</v>
      </c>
      <c r="C493">
        <v>50</v>
      </c>
      <c r="D493">
        <v>500000</v>
      </c>
      <c r="E493" t="s">
        <v>622</v>
      </c>
      <c r="F493" t="s">
        <v>151</v>
      </c>
      <c r="G493" t="s">
        <v>623</v>
      </c>
      <c r="H493">
        <v>2.7133523450489073E-2</v>
      </c>
      <c r="I493">
        <v>1.223043877610513E-7</v>
      </c>
      <c r="J493">
        <v>6.26</v>
      </c>
      <c r="K493">
        <v>6.1478110122338911</v>
      </c>
      <c r="L493" s="1">
        <v>45686</v>
      </c>
      <c r="M493" s="1">
        <v>43024</v>
      </c>
      <c r="N493" s="1">
        <v>43021</v>
      </c>
      <c r="R493">
        <v>-7.4389842619042353E-3</v>
      </c>
      <c r="S493">
        <v>-7.4389842619042353E-3</v>
      </c>
      <c r="T493" t="s">
        <v>30</v>
      </c>
      <c r="U493" t="s">
        <v>30</v>
      </c>
      <c r="V493">
        <v>529947</v>
      </c>
      <c r="W493" t="s">
        <v>624</v>
      </c>
      <c r="X493" t="s">
        <v>625</v>
      </c>
      <c r="Y493">
        <v>500000</v>
      </c>
      <c r="Z493" t="s">
        <v>31</v>
      </c>
      <c r="AA493">
        <v>2.5150370861896587E-5</v>
      </c>
      <c r="AB493">
        <v>105.0269</v>
      </c>
      <c r="AC493" t="s">
        <v>34</v>
      </c>
      <c r="AD493" t="s">
        <v>54</v>
      </c>
      <c r="AE493" t="s">
        <v>175</v>
      </c>
      <c r="AF493">
        <v>0</v>
      </c>
      <c r="AG493">
        <v>3.6424802101639391</v>
      </c>
      <c r="AH493" t="s">
        <v>237</v>
      </c>
      <c r="AI493" t="s">
        <v>237</v>
      </c>
      <c r="AJ493">
        <v>-1.6441006386770304E-5</v>
      </c>
      <c r="AK493">
        <v>4.3344286662123123E-3</v>
      </c>
      <c r="AL493">
        <v>4.3508696725990826E-3</v>
      </c>
      <c r="AM493" t="s">
        <v>175</v>
      </c>
      <c r="AN493" t="s">
        <v>54</v>
      </c>
      <c r="AO493" t="s">
        <v>54</v>
      </c>
      <c r="AP493" t="s">
        <v>31</v>
      </c>
      <c r="AQ493">
        <v>0</v>
      </c>
    </row>
    <row r="494" spans="1:43" x14ac:dyDescent="0.2">
      <c r="A494">
        <v>492</v>
      </c>
      <c r="B494">
        <v>384</v>
      </c>
      <c r="C494">
        <v>50</v>
      </c>
      <c r="D494">
        <v>800000</v>
      </c>
      <c r="E494" t="s">
        <v>626</v>
      </c>
      <c r="F494" t="s">
        <v>151</v>
      </c>
      <c r="G494" t="s">
        <v>627</v>
      </c>
      <c r="H494">
        <v>8.9992812610459147E-2</v>
      </c>
      <c r="I494">
        <v>5.1505312384622257E-4</v>
      </c>
      <c r="J494">
        <v>13.6</v>
      </c>
      <c r="K494">
        <v>13.217407125981394</v>
      </c>
      <c r="L494" s="1">
        <v>53110</v>
      </c>
      <c r="M494" s="1">
        <v>43024</v>
      </c>
      <c r="N494" s="1">
        <v>43021</v>
      </c>
      <c r="R494">
        <v>-2.8746866548989312E-2</v>
      </c>
      <c r="S494">
        <v>-2.8746866548989312E-2</v>
      </c>
      <c r="T494" t="s">
        <v>30</v>
      </c>
      <c r="U494" t="s">
        <v>30</v>
      </c>
      <c r="V494">
        <v>809039.07</v>
      </c>
      <c r="W494" t="s">
        <v>628</v>
      </c>
      <c r="X494" t="s">
        <v>629</v>
      </c>
      <c r="Y494">
        <v>800000</v>
      </c>
      <c r="Z494" t="s">
        <v>143</v>
      </c>
      <c r="AA494">
        <v>0.10591424654051597</v>
      </c>
      <c r="AB494">
        <v>98.877799999999993</v>
      </c>
      <c r="AC494" t="s">
        <v>142</v>
      </c>
      <c r="AD494" t="s">
        <v>146</v>
      </c>
      <c r="AE494" t="s">
        <v>175</v>
      </c>
      <c r="AF494">
        <v>0</v>
      </c>
      <c r="AG494">
        <v>5.9373384652930543</v>
      </c>
      <c r="AH494" t="s">
        <v>237</v>
      </c>
      <c r="AI494" t="s">
        <v>237</v>
      </c>
      <c r="AJ494">
        <v>-1.7916844013885436E-2</v>
      </c>
      <c r="AK494">
        <v>6.6171185742984664E-3</v>
      </c>
      <c r="AL494">
        <v>2.4533962588183904E-2</v>
      </c>
      <c r="AM494" t="s">
        <v>175</v>
      </c>
      <c r="AN494" t="s">
        <v>146</v>
      </c>
      <c r="AO494" t="s">
        <v>146</v>
      </c>
      <c r="AP494" t="s">
        <v>143</v>
      </c>
      <c r="AQ494">
        <v>0</v>
      </c>
    </row>
    <row r="495" spans="1:43" x14ac:dyDescent="0.2">
      <c r="A495">
        <v>493</v>
      </c>
      <c r="B495">
        <v>291</v>
      </c>
      <c r="C495">
        <v>50</v>
      </c>
      <c r="D495">
        <v>2325000</v>
      </c>
      <c r="E495" t="s">
        <v>626</v>
      </c>
      <c r="F495" t="s">
        <v>151</v>
      </c>
      <c r="G495" t="s">
        <v>630</v>
      </c>
      <c r="H495">
        <v>0.1445449471280188</v>
      </c>
      <c r="I495">
        <v>-1.199208485908529E-5</v>
      </c>
      <c r="J495">
        <v>7.01</v>
      </c>
      <c r="K495">
        <v>6.6993534181234526</v>
      </c>
      <c r="L495" s="1">
        <v>46199</v>
      </c>
      <c r="M495" s="1">
        <v>43024</v>
      </c>
      <c r="N495" s="1">
        <v>43021</v>
      </c>
      <c r="R495">
        <v>-1.2711045607266632E-2</v>
      </c>
      <c r="S495">
        <v>-1.2711045607266632E-2</v>
      </c>
      <c r="T495" t="s">
        <v>30</v>
      </c>
      <c r="U495" t="s">
        <v>30</v>
      </c>
      <c r="V495">
        <v>2521073.31</v>
      </c>
      <c r="W495" t="s">
        <v>628</v>
      </c>
      <c r="X495" t="s">
        <v>631</v>
      </c>
      <c r="Y495">
        <v>2325000</v>
      </c>
      <c r="Z495" t="s">
        <v>143</v>
      </c>
      <c r="AA495">
        <v>-2.4660225780499621E-3</v>
      </c>
      <c r="AB495">
        <v>106.79089999999999</v>
      </c>
      <c r="AC495" t="s">
        <v>142</v>
      </c>
      <c r="AD495" t="s">
        <v>146</v>
      </c>
      <c r="AE495" t="s">
        <v>175</v>
      </c>
      <c r="AF495">
        <v>0</v>
      </c>
      <c r="AG495">
        <v>4.3953514837030241</v>
      </c>
      <c r="AH495" t="s">
        <v>237</v>
      </c>
      <c r="AI495" t="s">
        <v>237</v>
      </c>
      <c r="AJ495">
        <v>9.4343811119910331E-4</v>
      </c>
      <c r="AK495">
        <v>2.0619821273611814E-2</v>
      </c>
      <c r="AL495">
        <v>1.967638316241271E-2</v>
      </c>
      <c r="AM495" t="s">
        <v>175</v>
      </c>
      <c r="AN495" t="s">
        <v>146</v>
      </c>
      <c r="AO495" t="s">
        <v>146</v>
      </c>
      <c r="AP495" t="s">
        <v>143</v>
      </c>
      <c r="AQ495">
        <v>0</v>
      </c>
    </row>
    <row r="496" spans="1:43" x14ac:dyDescent="0.2">
      <c r="A496">
        <v>494</v>
      </c>
      <c r="B496">
        <v>302</v>
      </c>
      <c r="C496">
        <v>50</v>
      </c>
      <c r="D496">
        <v>500000</v>
      </c>
      <c r="E496" t="s">
        <v>626</v>
      </c>
      <c r="F496" t="s">
        <v>151</v>
      </c>
      <c r="G496" t="s">
        <v>1694</v>
      </c>
      <c r="H496">
        <v>7.6054618949613541E-3</v>
      </c>
      <c r="I496">
        <v>3.580184427018556E-5</v>
      </c>
      <c r="J496">
        <v>1.67</v>
      </c>
      <c r="K496">
        <v>1.6433005376479384</v>
      </c>
      <c r="L496" s="1">
        <v>43669</v>
      </c>
      <c r="M496" s="1">
        <v>43024</v>
      </c>
      <c r="N496" s="1">
        <v>43021</v>
      </c>
      <c r="R496">
        <v>-2.2779320669062534E-3</v>
      </c>
      <c r="S496">
        <v>-2.2779320669062534E-3</v>
      </c>
      <c r="T496" t="s">
        <v>30</v>
      </c>
      <c r="U496" t="s">
        <v>30</v>
      </c>
      <c r="V496">
        <v>556813.43000000005</v>
      </c>
      <c r="W496" t="s">
        <v>628</v>
      </c>
      <c r="X496" t="s">
        <v>1695</v>
      </c>
      <c r="Y496">
        <v>500000</v>
      </c>
      <c r="Z496" t="s">
        <v>143</v>
      </c>
      <c r="AA496">
        <v>7.362202431316061E-3</v>
      </c>
      <c r="AB496">
        <v>109.60469999999999</v>
      </c>
      <c r="AC496" t="s">
        <v>142</v>
      </c>
      <c r="AD496" t="s">
        <v>146</v>
      </c>
      <c r="AE496" t="s">
        <v>175</v>
      </c>
      <c r="AF496">
        <v>0</v>
      </c>
      <c r="AG496">
        <v>2.0005912261601919</v>
      </c>
      <c r="AH496" t="s">
        <v>237</v>
      </c>
      <c r="AI496" t="s">
        <v>237</v>
      </c>
      <c r="AJ496">
        <v>-1.5716818245071467E-2</v>
      </c>
      <c r="AK496">
        <v>4.5541687993780567E-3</v>
      </c>
      <c r="AL496">
        <v>2.0270987044449525E-2</v>
      </c>
      <c r="AM496" t="s">
        <v>175</v>
      </c>
      <c r="AN496" t="s">
        <v>146</v>
      </c>
      <c r="AO496" t="s">
        <v>146</v>
      </c>
      <c r="AP496" t="s">
        <v>143</v>
      </c>
      <c r="AQ496">
        <v>0</v>
      </c>
    </row>
    <row r="497" spans="1:43" x14ac:dyDescent="0.2">
      <c r="A497">
        <v>495</v>
      </c>
      <c r="B497">
        <v>292</v>
      </c>
      <c r="C497">
        <v>50</v>
      </c>
      <c r="D497">
        <v>800000</v>
      </c>
      <c r="E497" t="s">
        <v>626</v>
      </c>
      <c r="F497" t="s">
        <v>151</v>
      </c>
      <c r="G497" t="s">
        <v>632</v>
      </c>
      <c r="H497">
        <v>3.7539665346007528E-2</v>
      </c>
      <c r="I497">
        <v>1.2077065341237603E-4</v>
      </c>
      <c r="J497">
        <v>5.12</v>
      </c>
      <c r="K497">
        <v>5.021193288281391</v>
      </c>
      <c r="L497" s="1">
        <v>45187</v>
      </c>
      <c r="M497" s="1">
        <v>43024</v>
      </c>
      <c r="N497" s="1">
        <v>43021</v>
      </c>
      <c r="R497">
        <v>-7.0932916685521059E-3</v>
      </c>
      <c r="S497">
        <v>-7.0932916685521059E-3</v>
      </c>
      <c r="T497" t="s">
        <v>30</v>
      </c>
      <c r="U497" t="s">
        <v>30</v>
      </c>
      <c r="V497">
        <v>896439.56</v>
      </c>
      <c r="W497" t="s">
        <v>628</v>
      </c>
      <c r="X497" t="s">
        <v>631</v>
      </c>
      <c r="Y497">
        <v>800000</v>
      </c>
      <c r="Z497" t="s">
        <v>143</v>
      </c>
      <c r="AA497">
        <v>2.4834977535631176E-2</v>
      </c>
      <c r="AB497">
        <v>111.598</v>
      </c>
      <c r="AC497" t="s">
        <v>142</v>
      </c>
      <c r="AD497" t="s">
        <v>146</v>
      </c>
      <c r="AE497" t="s">
        <v>175</v>
      </c>
      <c r="AF497">
        <v>0</v>
      </c>
      <c r="AG497">
        <v>3.6314058299124321</v>
      </c>
      <c r="AH497" t="s">
        <v>237</v>
      </c>
      <c r="AI497" t="s">
        <v>237</v>
      </c>
      <c r="AJ497">
        <v>-1.702603798851372E-2</v>
      </c>
      <c r="AK497">
        <v>7.3319658878920951E-3</v>
      </c>
      <c r="AL497">
        <v>2.4358003876405816E-2</v>
      </c>
      <c r="AM497" t="s">
        <v>175</v>
      </c>
      <c r="AN497" t="s">
        <v>146</v>
      </c>
      <c r="AO497" t="s">
        <v>146</v>
      </c>
      <c r="AP497" t="s">
        <v>143</v>
      </c>
      <c r="AQ497">
        <v>0</v>
      </c>
    </row>
    <row r="498" spans="1:43" x14ac:dyDescent="0.2">
      <c r="A498">
        <v>496</v>
      </c>
      <c r="B498">
        <v>366</v>
      </c>
      <c r="C498">
        <v>50</v>
      </c>
      <c r="D498">
        <v>400000</v>
      </c>
      <c r="E498" t="s">
        <v>626</v>
      </c>
      <c r="F498" t="s">
        <v>151</v>
      </c>
      <c r="G498" t="s">
        <v>633</v>
      </c>
      <c r="H498">
        <v>4.7971324219469584E-2</v>
      </c>
      <c r="I498">
        <v>1.3673675798695417E-4</v>
      </c>
      <c r="J498">
        <v>12.71</v>
      </c>
      <c r="K498">
        <v>12.357162207262682</v>
      </c>
      <c r="L498" s="1">
        <v>52492</v>
      </c>
      <c r="M498" s="1">
        <v>43024</v>
      </c>
      <c r="N498" s="1">
        <v>43021</v>
      </c>
      <c r="R498">
        <v>-1.6941767784189488E-2</v>
      </c>
      <c r="S498">
        <v>-1.6941767784189488E-2</v>
      </c>
      <c r="T498" t="s">
        <v>30</v>
      </c>
      <c r="U498" t="s">
        <v>30</v>
      </c>
      <c r="V498">
        <v>461462.84</v>
      </c>
      <c r="W498" t="s">
        <v>628</v>
      </c>
      <c r="X498" t="s">
        <v>634</v>
      </c>
      <c r="Y498">
        <v>400000</v>
      </c>
      <c r="Z498" t="s">
        <v>143</v>
      </c>
      <c r="AA498">
        <v>2.8118207668428926E-2</v>
      </c>
      <c r="AB498">
        <v>114.7921</v>
      </c>
      <c r="AC498" t="s">
        <v>142</v>
      </c>
      <c r="AD498" t="s">
        <v>146</v>
      </c>
      <c r="AE498" t="s">
        <v>175</v>
      </c>
      <c r="AF498">
        <v>0</v>
      </c>
      <c r="AG498">
        <v>6.1675634596863889</v>
      </c>
      <c r="AH498" t="s">
        <v>237</v>
      </c>
      <c r="AI498" t="s">
        <v>237</v>
      </c>
      <c r="AJ498">
        <v>-8.0709852554206648E-3</v>
      </c>
      <c r="AK498">
        <v>3.7742977355994952E-3</v>
      </c>
      <c r="AL498">
        <v>1.184528299102016E-2</v>
      </c>
      <c r="AM498" t="s">
        <v>175</v>
      </c>
      <c r="AN498" t="s">
        <v>146</v>
      </c>
      <c r="AO498" t="s">
        <v>146</v>
      </c>
      <c r="AP498" t="s">
        <v>143</v>
      </c>
      <c r="AQ498">
        <v>0</v>
      </c>
    </row>
    <row r="499" spans="1:43" x14ac:dyDescent="0.2">
      <c r="A499">
        <v>497</v>
      </c>
      <c r="B499">
        <v>293</v>
      </c>
      <c r="C499">
        <v>50</v>
      </c>
      <c r="F499" t="s">
        <v>151</v>
      </c>
      <c r="G499" t="s">
        <v>1276</v>
      </c>
      <c r="I499">
        <v>9.3455408147067107E-5</v>
      </c>
      <c r="J499">
        <v>9.6340918086667404</v>
      </c>
      <c r="K499">
        <v>9.6340918086667404</v>
      </c>
      <c r="L499" s="1"/>
      <c r="M499" s="1"/>
      <c r="N499" s="1">
        <v>43021</v>
      </c>
      <c r="R499">
        <v>-2.6568324706560457E-2</v>
      </c>
      <c r="S499">
        <v>-2.6568324706560457E-2</v>
      </c>
      <c r="T499" t="s">
        <v>30</v>
      </c>
      <c r="U499" t="s">
        <v>30</v>
      </c>
      <c r="W499" t="s">
        <v>1277</v>
      </c>
      <c r="Z499" t="s">
        <v>157</v>
      </c>
      <c r="AA499">
        <v>1.9217938268418881E-2</v>
      </c>
      <c r="AC499" t="s">
        <v>146</v>
      </c>
      <c r="AD499" t="s">
        <v>146</v>
      </c>
      <c r="AE499" t="s">
        <v>177</v>
      </c>
      <c r="AF499">
        <v>5.5981672983066799</v>
      </c>
      <c r="AG499">
        <v>5.5981672983066799</v>
      </c>
      <c r="AH499" t="s">
        <v>237</v>
      </c>
      <c r="AI499" t="s">
        <v>237</v>
      </c>
      <c r="AJ499">
        <v>-3.5175499087449187E-3</v>
      </c>
      <c r="AK499">
        <v>0</v>
      </c>
      <c r="AL499">
        <v>3.5175499087449187E-3</v>
      </c>
      <c r="AM499" t="s">
        <v>177</v>
      </c>
      <c r="AN499" t="s">
        <v>146</v>
      </c>
      <c r="AO499" t="s">
        <v>146</v>
      </c>
      <c r="AP499" t="s">
        <v>157</v>
      </c>
    </row>
    <row r="500" spans="1:43" x14ac:dyDescent="0.2">
      <c r="A500">
        <v>498</v>
      </c>
      <c r="B500">
        <v>294</v>
      </c>
      <c r="C500">
        <v>50</v>
      </c>
      <c r="F500" t="s">
        <v>151</v>
      </c>
      <c r="G500" t="s">
        <v>1278</v>
      </c>
      <c r="I500">
        <v>3.0275042163886311E-4</v>
      </c>
      <c r="J500">
        <v>11.183199475773428</v>
      </c>
      <c r="K500">
        <v>11.183199475773428</v>
      </c>
      <c r="L500" s="1"/>
      <c r="M500" s="1"/>
      <c r="N500" s="1">
        <v>43021</v>
      </c>
      <c r="R500">
        <v>-4.1855392886550602E-2</v>
      </c>
      <c r="S500">
        <v>-4.1855392886550602E-2</v>
      </c>
      <c r="T500" t="s">
        <v>30</v>
      </c>
      <c r="U500" t="s">
        <v>30</v>
      </c>
      <c r="W500" t="s">
        <v>1279</v>
      </c>
      <c r="Z500" t="s">
        <v>145</v>
      </c>
      <c r="AA500">
        <v>6.2256845581772267E-2</v>
      </c>
      <c r="AC500" t="s">
        <v>150</v>
      </c>
      <c r="AD500" t="s">
        <v>150</v>
      </c>
      <c r="AE500" t="s">
        <v>43</v>
      </c>
      <c r="AF500">
        <v>4.2915772460264296</v>
      </c>
      <c r="AG500">
        <v>4.2915772460264296</v>
      </c>
      <c r="AH500" t="s">
        <v>237</v>
      </c>
      <c r="AI500" t="s">
        <v>237</v>
      </c>
      <c r="AJ500">
        <v>-7.233247635722132E-3</v>
      </c>
      <c r="AK500">
        <v>0</v>
      </c>
      <c r="AL500">
        <v>7.233247635722132E-3</v>
      </c>
      <c r="AM500" t="s">
        <v>43</v>
      </c>
      <c r="AN500" t="s">
        <v>150</v>
      </c>
      <c r="AO500" t="s">
        <v>150</v>
      </c>
      <c r="AP500" t="s">
        <v>145</v>
      </c>
    </row>
    <row r="501" spans="1:43" x14ac:dyDescent="0.2">
      <c r="A501">
        <v>499</v>
      </c>
      <c r="B501">
        <v>295</v>
      </c>
      <c r="C501">
        <v>50</v>
      </c>
      <c r="F501" t="s">
        <v>151</v>
      </c>
      <c r="G501" t="s">
        <v>1280</v>
      </c>
      <c r="I501">
        <v>9.5812512799326423E-5</v>
      </c>
      <c r="J501">
        <v>5.9833524343996327</v>
      </c>
      <c r="K501">
        <v>5.9833524343996327</v>
      </c>
      <c r="L501" s="1"/>
      <c r="M501" s="1"/>
      <c r="N501" s="1">
        <v>43021</v>
      </c>
      <c r="R501">
        <v>-2.3174954832350811E-2</v>
      </c>
      <c r="S501">
        <v>-2.3174954832350811E-2</v>
      </c>
      <c r="T501" t="s">
        <v>30</v>
      </c>
      <c r="U501" t="s">
        <v>30</v>
      </c>
      <c r="W501" t="s">
        <v>1281</v>
      </c>
      <c r="Z501" t="s">
        <v>145</v>
      </c>
      <c r="AA501">
        <v>1.9702647421130919E-2</v>
      </c>
      <c r="AC501" t="s">
        <v>148</v>
      </c>
      <c r="AD501" t="s">
        <v>148</v>
      </c>
      <c r="AE501" t="s">
        <v>43</v>
      </c>
      <c r="AF501">
        <v>3.5968579642931311</v>
      </c>
      <c r="AG501">
        <v>3.5968579642931311</v>
      </c>
      <c r="AH501" t="s">
        <v>237</v>
      </c>
      <c r="AI501" t="s">
        <v>237</v>
      </c>
      <c r="AJ501">
        <v>-4.1343128171097039E-3</v>
      </c>
      <c r="AK501">
        <v>0</v>
      </c>
      <c r="AL501">
        <v>4.1343128171097039E-3</v>
      </c>
      <c r="AM501" t="s">
        <v>43</v>
      </c>
      <c r="AN501" t="s">
        <v>148</v>
      </c>
      <c r="AO501" t="s">
        <v>148</v>
      </c>
      <c r="AP501" t="s">
        <v>145</v>
      </c>
    </row>
    <row r="502" spans="1:43" x14ac:dyDescent="0.2">
      <c r="A502">
        <v>500</v>
      </c>
      <c r="B502">
        <v>297</v>
      </c>
      <c r="C502">
        <v>50</v>
      </c>
      <c r="F502" t="s">
        <v>151</v>
      </c>
      <c r="G502" t="s">
        <v>1282</v>
      </c>
      <c r="I502">
        <v>3.4360375436709917E-4</v>
      </c>
      <c r="J502">
        <v>10.972459821167652</v>
      </c>
      <c r="K502">
        <v>10.972459821167652</v>
      </c>
      <c r="L502" s="1"/>
      <c r="M502" s="1"/>
      <c r="N502" s="1">
        <v>43021</v>
      </c>
      <c r="R502">
        <v>-3.3774923166647569E-2</v>
      </c>
      <c r="S502">
        <v>-3.3774923166647569E-2</v>
      </c>
      <c r="T502" t="s">
        <v>30</v>
      </c>
      <c r="U502" t="s">
        <v>30</v>
      </c>
      <c r="W502" t="s">
        <v>1283</v>
      </c>
      <c r="Z502" t="s">
        <v>157</v>
      </c>
      <c r="AA502">
        <v>7.0657823566854835E-2</v>
      </c>
      <c r="AC502" t="s">
        <v>146</v>
      </c>
      <c r="AD502" t="s">
        <v>146</v>
      </c>
      <c r="AE502" t="s">
        <v>177</v>
      </c>
      <c r="AF502">
        <v>5.4345743751099542</v>
      </c>
      <c r="AG502">
        <v>5.4345743751099542</v>
      </c>
      <c r="AH502" t="s">
        <v>237</v>
      </c>
      <c r="AI502" t="s">
        <v>237</v>
      </c>
      <c r="AJ502">
        <v>-1.0173339334385363E-2</v>
      </c>
      <c r="AK502">
        <v>0</v>
      </c>
      <c r="AL502">
        <v>1.0173339334385363E-2</v>
      </c>
      <c r="AM502" t="s">
        <v>177</v>
      </c>
      <c r="AN502" t="s">
        <v>146</v>
      </c>
      <c r="AO502" t="s">
        <v>146</v>
      </c>
      <c r="AP502" t="s">
        <v>157</v>
      </c>
    </row>
    <row r="503" spans="1:43" x14ac:dyDescent="0.2">
      <c r="A503">
        <v>501</v>
      </c>
      <c r="B503">
        <v>300</v>
      </c>
      <c r="C503">
        <v>50</v>
      </c>
      <c r="F503" t="s">
        <v>151</v>
      </c>
      <c r="G503" t="s">
        <v>1284</v>
      </c>
      <c r="I503">
        <v>1.3777162701968424E-4</v>
      </c>
      <c r="J503">
        <v>12.105775693194952</v>
      </c>
      <c r="K503">
        <v>12.105775693194952</v>
      </c>
      <c r="L503" s="1"/>
      <c r="M503" s="1"/>
      <c r="N503" s="1">
        <v>43021</v>
      </c>
      <c r="R503">
        <v>-4.8149643084589931E-2</v>
      </c>
      <c r="S503">
        <v>-4.8149643084589931E-2</v>
      </c>
      <c r="T503" t="s">
        <v>30</v>
      </c>
      <c r="U503" t="s">
        <v>30</v>
      </c>
      <c r="W503" t="s">
        <v>1285</v>
      </c>
      <c r="Z503" t="s">
        <v>145</v>
      </c>
      <c r="AA503">
        <v>2.8331015568808623E-2</v>
      </c>
      <c r="AC503" t="s">
        <v>150</v>
      </c>
      <c r="AD503" t="s">
        <v>150</v>
      </c>
      <c r="AE503" t="s">
        <v>43</v>
      </c>
      <c r="AF503">
        <v>4.4429462861117557</v>
      </c>
      <c r="AG503">
        <v>4.4429462861117557</v>
      </c>
      <c r="AH503" t="s">
        <v>237</v>
      </c>
      <c r="AI503" t="s">
        <v>237</v>
      </c>
      <c r="AJ503">
        <v>-2.8613218747571031E-3</v>
      </c>
      <c r="AK503">
        <v>0</v>
      </c>
      <c r="AL503">
        <v>2.8613218747571031E-3</v>
      </c>
      <c r="AM503" t="s">
        <v>43</v>
      </c>
      <c r="AN503" t="s">
        <v>150</v>
      </c>
      <c r="AO503" t="s">
        <v>150</v>
      </c>
      <c r="AP503" t="s">
        <v>145</v>
      </c>
    </row>
    <row r="504" spans="1:43" x14ac:dyDescent="0.2">
      <c r="A504">
        <v>502</v>
      </c>
      <c r="B504">
        <v>303</v>
      </c>
      <c r="C504">
        <v>50</v>
      </c>
      <c r="F504" t="s">
        <v>151</v>
      </c>
      <c r="G504" t="s">
        <v>1286</v>
      </c>
      <c r="I504">
        <v>0</v>
      </c>
      <c r="J504">
        <v>1.8702058514775239</v>
      </c>
      <c r="K504">
        <v>1.8702058514775239</v>
      </c>
      <c r="L504" s="1"/>
      <c r="M504" s="1"/>
      <c r="N504" s="1">
        <v>43021</v>
      </c>
      <c r="R504">
        <v>-2.5816223560431804E-2</v>
      </c>
      <c r="S504">
        <v>-2.5816223560431804E-2</v>
      </c>
      <c r="T504" t="s">
        <v>30</v>
      </c>
      <c r="U504" t="s">
        <v>30</v>
      </c>
      <c r="W504" t="s">
        <v>1287</v>
      </c>
      <c r="Z504" t="s">
        <v>157</v>
      </c>
      <c r="AA504">
        <v>0</v>
      </c>
      <c r="AC504" t="s">
        <v>1696</v>
      </c>
      <c r="AD504" t="s">
        <v>1696</v>
      </c>
      <c r="AE504" t="s">
        <v>177</v>
      </c>
      <c r="AF504">
        <v>0</v>
      </c>
      <c r="AG504">
        <v>0</v>
      </c>
      <c r="AH504" t="s">
        <v>237</v>
      </c>
      <c r="AI504" t="s">
        <v>237</v>
      </c>
      <c r="AJ504">
        <v>0</v>
      </c>
      <c r="AK504">
        <v>0</v>
      </c>
      <c r="AL504">
        <v>0</v>
      </c>
      <c r="AM504" t="s">
        <v>177</v>
      </c>
      <c r="AN504" t="s">
        <v>1696</v>
      </c>
      <c r="AO504" t="s">
        <v>1696</v>
      </c>
      <c r="AP504" t="s">
        <v>157</v>
      </c>
    </row>
    <row r="505" spans="1:43" x14ac:dyDescent="0.2">
      <c r="A505">
        <v>503</v>
      </c>
      <c r="B505">
        <v>304</v>
      </c>
      <c r="C505">
        <v>50</v>
      </c>
      <c r="F505" t="s">
        <v>151</v>
      </c>
      <c r="G505" t="s">
        <v>1288</v>
      </c>
      <c r="I505">
        <v>1.115562741728216E-5</v>
      </c>
      <c r="J505">
        <v>1.6633229009141448</v>
      </c>
      <c r="K505">
        <v>1.6633229009141448</v>
      </c>
      <c r="L505" s="1"/>
      <c r="M505" s="1"/>
      <c r="N505" s="1">
        <v>43021</v>
      </c>
      <c r="R505">
        <v>-1.7341992713364007E-3</v>
      </c>
      <c r="S505">
        <v>-1.7341992713364007E-3</v>
      </c>
      <c r="T505" t="s">
        <v>30</v>
      </c>
      <c r="U505" t="s">
        <v>30</v>
      </c>
      <c r="W505" t="s">
        <v>1289</v>
      </c>
      <c r="Z505" t="s">
        <v>31</v>
      </c>
      <c r="AA505">
        <v>2.2940155449691631E-3</v>
      </c>
      <c r="AC505" t="s">
        <v>146</v>
      </c>
      <c r="AD505" t="s">
        <v>146</v>
      </c>
      <c r="AE505" t="s">
        <v>177</v>
      </c>
      <c r="AF505">
        <v>2.0850983130624954</v>
      </c>
      <c r="AG505">
        <v>2.0850983130624954</v>
      </c>
      <c r="AH505" t="s">
        <v>237</v>
      </c>
      <c r="AI505" t="s">
        <v>237</v>
      </c>
      <c r="AJ505">
        <v>-6.4327252361751144E-3</v>
      </c>
      <c r="AK505">
        <v>0</v>
      </c>
      <c r="AL505">
        <v>6.4327252361751144E-3</v>
      </c>
      <c r="AM505" t="s">
        <v>177</v>
      </c>
      <c r="AN505" t="s">
        <v>146</v>
      </c>
      <c r="AO505" t="s">
        <v>146</v>
      </c>
      <c r="AP505" t="s">
        <v>31</v>
      </c>
    </row>
    <row r="506" spans="1:43" x14ac:dyDescent="0.2">
      <c r="A506">
        <v>504</v>
      </c>
      <c r="B506">
        <v>305</v>
      </c>
      <c r="C506">
        <v>50</v>
      </c>
      <c r="F506" t="s">
        <v>151</v>
      </c>
      <c r="G506" t="s">
        <v>1290</v>
      </c>
      <c r="I506">
        <v>1.3619446494633017E-5</v>
      </c>
      <c r="J506">
        <v>1.8868769672054395</v>
      </c>
      <c r="K506">
        <v>1.8868769672054395</v>
      </c>
      <c r="L506" s="1"/>
      <c r="M506" s="1"/>
      <c r="N506" s="1">
        <v>43021</v>
      </c>
      <c r="R506">
        <v>-2.1074727330306509E-3</v>
      </c>
      <c r="S506">
        <v>-2.1074727330306509E-3</v>
      </c>
      <c r="T506" t="s">
        <v>30</v>
      </c>
      <c r="U506" t="s">
        <v>30</v>
      </c>
      <c r="W506" t="s">
        <v>1291</v>
      </c>
      <c r="Z506" t="s">
        <v>31</v>
      </c>
      <c r="AA506">
        <v>2.8006691872984484E-3</v>
      </c>
      <c r="AC506" t="s">
        <v>146</v>
      </c>
      <c r="AD506" t="s">
        <v>146</v>
      </c>
      <c r="AE506" t="s">
        <v>177</v>
      </c>
      <c r="AF506">
        <v>2.1987582314220271</v>
      </c>
      <c r="AG506">
        <v>2.1987582314220271</v>
      </c>
      <c r="AH506" t="s">
        <v>237</v>
      </c>
      <c r="AI506" t="s">
        <v>237</v>
      </c>
      <c r="AJ506">
        <v>-6.4624544276060802E-3</v>
      </c>
      <c r="AK506">
        <v>0</v>
      </c>
      <c r="AL506">
        <v>6.4624544276060802E-3</v>
      </c>
      <c r="AM506" t="s">
        <v>177</v>
      </c>
      <c r="AN506" t="s">
        <v>146</v>
      </c>
      <c r="AO506" t="s">
        <v>146</v>
      </c>
      <c r="AP506" t="s">
        <v>31</v>
      </c>
    </row>
    <row r="507" spans="1:43" x14ac:dyDescent="0.2">
      <c r="A507">
        <v>505</v>
      </c>
      <c r="B507">
        <v>306</v>
      </c>
      <c r="C507">
        <v>50</v>
      </c>
      <c r="F507" t="s">
        <v>151</v>
      </c>
      <c r="G507" t="s">
        <v>1292</v>
      </c>
      <c r="I507">
        <v>2.4818287016248444E-4</v>
      </c>
      <c r="J507">
        <v>11.799233393761808</v>
      </c>
      <c r="K507">
        <v>11.799233393761808</v>
      </c>
      <c r="L507" s="1"/>
      <c r="M507" s="1"/>
      <c r="N507" s="1">
        <v>43021</v>
      </c>
      <c r="R507">
        <v>-3.4897167524134791E-2</v>
      </c>
      <c r="S507">
        <v>-3.4897167524134791E-2</v>
      </c>
      <c r="T507" t="s">
        <v>30</v>
      </c>
      <c r="U507" t="s">
        <v>30</v>
      </c>
      <c r="W507" t="s">
        <v>1293</v>
      </c>
      <c r="Z507" t="s">
        <v>157</v>
      </c>
      <c r="AA507">
        <v>5.1035709678309574E-2</v>
      </c>
      <c r="AC507" t="s">
        <v>146</v>
      </c>
      <c r="AD507" t="s">
        <v>146</v>
      </c>
      <c r="AE507" t="s">
        <v>177</v>
      </c>
      <c r="AF507">
        <v>5.5307279759320194</v>
      </c>
      <c r="AG507">
        <v>5.5307279759320194</v>
      </c>
      <c r="AH507" t="s">
        <v>237</v>
      </c>
      <c r="AI507" t="s">
        <v>237</v>
      </c>
      <c r="AJ507">
        <v>-7.1118342195205901E-3</v>
      </c>
      <c r="AK507">
        <v>0</v>
      </c>
      <c r="AL507">
        <v>7.1118342195205901E-3</v>
      </c>
      <c r="AM507" t="s">
        <v>177</v>
      </c>
      <c r="AN507" t="s">
        <v>146</v>
      </c>
      <c r="AO507" t="s">
        <v>146</v>
      </c>
      <c r="AP507" t="s">
        <v>157</v>
      </c>
    </row>
    <row r="508" spans="1:43" x14ac:dyDescent="0.2">
      <c r="A508">
        <v>506</v>
      </c>
      <c r="B508">
        <v>307</v>
      </c>
      <c r="C508">
        <v>50</v>
      </c>
      <c r="F508" t="s">
        <v>151</v>
      </c>
      <c r="G508" t="s">
        <v>1294</v>
      </c>
      <c r="I508">
        <v>2.7225153804816899E-6</v>
      </c>
      <c r="J508">
        <v>2.0690316765681245</v>
      </c>
      <c r="K508">
        <v>2.0690316765681245</v>
      </c>
      <c r="L508" s="1"/>
      <c r="M508" s="1"/>
      <c r="N508" s="1">
        <v>43021</v>
      </c>
      <c r="R508">
        <v>-1.1330971042731262E-3</v>
      </c>
      <c r="S508">
        <v>-1.1330971042731262E-3</v>
      </c>
      <c r="T508" t="s">
        <v>30</v>
      </c>
      <c r="U508" t="s">
        <v>30</v>
      </c>
      <c r="W508" t="s">
        <v>1295</v>
      </c>
      <c r="Z508" t="s">
        <v>157</v>
      </c>
      <c r="AA508">
        <v>5.5985130827937045E-4</v>
      </c>
      <c r="AC508" t="s">
        <v>146</v>
      </c>
      <c r="AD508" t="s">
        <v>146</v>
      </c>
      <c r="AE508" t="s">
        <v>177</v>
      </c>
      <c r="AF508">
        <v>2.8112209249568907</v>
      </c>
      <c r="AG508">
        <v>2.8112209249568907</v>
      </c>
      <c r="AH508" t="s">
        <v>237</v>
      </c>
      <c r="AI508" t="s">
        <v>237</v>
      </c>
      <c r="AJ508">
        <v>-2.4027202701468065E-3</v>
      </c>
      <c r="AK508">
        <v>0</v>
      </c>
      <c r="AL508">
        <v>2.4027202701468065E-3</v>
      </c>
      <c r="AM508" t="s">
        <v>177</v>
      </c>
      <c r="AN508" t="s">
        <v>146</v>
      </c>
      <c r="AO508" t="s">
        <v>146</v>
      </c>
      <c r="AP508" t="s">
        <v>157</v>
      </c>
    </row>
    <row r="509" spans="1:43" x14ac:dyDescent="0.2">
      <c r="A509">
        <v>507</v>
      </c>
      <c r="B509">
        <v>308</v>
      </c>
      <c r="C509">
        <v>50</v>
      </c>
      <c r="F509" t="s">
        <v>151</v>
      </c>
      <c r="G509" t="s">
        <v>1296</v>
      </c>
      <c r="I509">
        <v>2.7598196075350183E-5</v>
      </c>
      <c r="J509">
        <v>2.1015070465133303</v>
      </c>
      <c r="K509">
        <v>2.1015070465133303</v>
      </c>
      <c r="L509" s="1"/>
      <c r="M509" s="1"/>
      <c r="N509" s="1">
        <v>43021</v>
      </c>
      <c r="R509">
        <v>-4.2894247669927089E-3</v>
      </c>
      <c r="S509">
        <v>-4.2894247669927089E-3</v>
      </c>
      <c r="T509" t="s">
        <v>30</v>
      </c>
      <c r="U509" t="s">
        <v>30</v>
      </c>
      <c r="W509" t="s">
        <v>1297</v>
      </c>
      <c r="Z509" t="s">
        <v>31</v>
      </c>
      <c r="AA509">
        <v>5.6752245697879906E-3</v>
      </c>
      <c r="AC509" t="s">
        <v>54</v>
      </c>
      <c r="AD509" t="s">
        <v>54</v>
      </c>
      <c r="AE509" t="s">
        <v>89</v>
      </c>
      <c r="AF509">
        <v>2.0145459702888342</v>
      </c>
      <c r="AG509">
        <v>2.0145459702888342</v>
      </c>
      <c r="AH509" t="s">
        <v>237</v>
      </c>
      <c r="AI509" t="s">
        <v>237</v>
      </c>
      <c r="AJ509">
        <v>-6.4340086548945628E-3</v>
      </c>
      <c r="AK509">
        <v>0</v>
      </c>
      <c r="AL509">
        <v>6.4340086548945628E-3</v>
      </c>
      <c r="AM509" t="s">
        <v>89</v>
      </c>
      <c r="AN509" t="s">
        <v>54</v>
      </c>
      <c r="AO509" t="s">
        <v>54</v>
      </c>
      <c r="AP509" t="s">
        <v>31</v>
      </c>
    </row>
    <row r="510" spans="1:43" x14ac:dyDescent="0.2">
      <c r="A510">
        <v>508</v>
      </c>
      <c r="B510">
        <v>310</v>
      </c>
      <c r="C510">
        <v>50</v>
      </c>
      <c r="F510" t="s">
        <v>151</v>
      </c>
      <c r="G510" t="s">
        <v>1298</v>
      </c>
      <c r="I510">
        <v>8.6542994099069853E-6</v>
      </c>
      <c r="J510">
        <v>2.3447676949591223</v>
      </c>
      <c r="K510">
        <v>2.3447676949591223</v>
      </c>
      <c r="L510" s="1"/>
      <c r="M510" s="1"/>
      <c r="N510" s="1">
        <v>43021</v>
      </c>
      <c r="R510">
        <v>-3.412598471989835E-3</v>
      </c>
      <c r="S510">
        <v>-3.412598471989835E-3</v>
      </c>
      <c r="T510" t="s">
        <v>30</v>
      </c>
      <c r="U510" t="s">
        <v>30</v>
      </c>
      <c r="W510" t="s">
        <v>1299</v>
      </c>
      <c r="Z510" t="s">
        <v>147</v>
      </c>
      <c r="AA510">
        <v>1.7796486593293628E-3</v>
      </c>
      <c r="AC510" t="s">
        <v>54</v>
      </c>
      <c r="AD510" t="s">
        <v>54</v>
      </c>
      <c r="AE510" t="s">
        <v>177</v>
      </c>
      <c r="AF510">
        <v>2.1261914227657743</v>
      </c>
      <c r="AG510">
        <v>2.1261914227657743</v>
      </c>
      <c r="AH510" t="s">
        <v>237</v>
      </c>
      <c r="AI510" t="s">
        <v>237</v>
      </c>
      <c r="AJ510">
        <v>-2.5359852560857513E-3</v>
      </c>
      <c r="AK510">
        <v>0</v>
      </c>
      <c r="AL510">
        <v>2.5359852560857513E-3</v>
      </c>
      <c r="AM510" t="s">
        <v>177</v>
      </c>
      <c r="AN510" t="s">
        <v>54</v>
      </c>
      <c r="AO510" t="s">
        <v>54</v>
      </c>
      <c r="AP510" t="s">
        <v>147</v>
      </c>
    </row>
    <row r="511" spans="1:43" x14ac:dyDescent="0.2">
      <c r="A511">
        <v>509</v>
      </c>
      <c r="B511">
        <v>311</v>
      </c>
      <c r="C511">
        <v>50</v>
      </c>
      <c r="F511" t="s">
        <v>151</v>
      </c>
      <c r="G511" t="s">
        <v>1300</v>
      </c>
      <c r="I511">
        <v>1.5823383079642249E-4</v>
      </c>
      <c r="J511">
        <v>12.674708278690174</v>
      </c>
      <c r="K511">
        <v>12.674708278690174</v>
      </c>
      <c r="L511" s="1"/>
      <c r="M511" s="1"/>
      <c r="N511" s="1">
        <v>43021</v>
      </c>
      <c r="R511">
        <v>-1.9521203076056259E-2</v>
      </c>
      <c r="S511">
        <v>-1.9521203076056259E-2</v>
      </c>
      <c r="T511" t="s">
        <v>30</v>
      </c>
      <c r="U511" t="s">
        <v>30</v>
      </c>
      <c r="W511" t="s">
        <v>1301</v>
      </c>
      <c r="Z511" t="s">
        <v>147</v>
      </c>
      <c r="AA511">
        <v>3.253881238671278E-2</v>
      </c>
      <c r="AC511" t="s">
        <v>54</v>
      </c>
      <c r="AD511" t="s">
        <v>54</v>
      </c>
      <c r="AE511" t="s">
        <v>177</v>
      </c>
      <c r="AF511">
        <v>4.9044091924522162</v>
      </c>
      <c r="AG511">
        <v>4.9044091924522162</v>
      </c>
      <c r="AH511" t="s">
        <v>237</v>
      </c>
      <c r="AI511" t="s">
        <v>237</v>
      </c>
      <c r="AJ511">
        <v>-8.1057417506456998E-3</v>
      </c>
      <c r="AK511">
        <v>0</v>
      </c>
      <c r="AL511">
        <v>8.1057417506456998E-3</v>
      </c>
      <c r="AM511" t="s">
        <v>177</v>
      </c>
      <c r="AN511" t="s">
        <v>54</v>
      </c>
      <c r="AO511" t="s">
        <v>54</v>
      </c>
      <c r="AP511" t="s">
        <v>147</v>
      </c>
    </row>
    <row r="512" spans="1:43" x14ac:dyDescent="0.2">
      <c r="A512">
        <v>510</v>
      </c>
      <c r="B512">
        <v>312</v>
      </c>
      <c r="C512">
        <v>50</v>
      </c>
      <c r="F512" t="s">
        <v>151</v>
      </c>
      <c r="G512" t="s">
        <v>1302</v>
      </c>
      <c r="I512">
        <v>8.6994435336543867E-6</v>
      </c>
      <c r="J512">
        <v>2.2902683666892467</v>
      </c>
      <c r="K512">
        <v>2.2902683666892467</v>
      </c>
      <c r="L512" s="1"/>
      <c r="M512" s="1"/>
      <c r="N512" s="1">
        <v>43021</v>
      </c>
      <c r="R512">
        <v>-5.6374193846510379E-3</v>
      </c>
      <c r="S512">
        <v>-5.6374193846510379E-3</v>
      </c>
      <c r="T512" t="s">
        <v>30</v>
      </c>
      <c r="U512" t="s">
        <v>30</v>
      </c>
      <c r="W512" t="s">
        <v>1303</v>
      </c>
      <c r="Z512" t="s">
        <v>157</v>
      </c>
      <c r="AA512">
        <v>1.7889319849341706E-3</v>
      </c>
      <c r="AC512" t="s">
        <v>149</v>
      </c>
      <c r="AD512" t="s">
        <v>149</v>
      </c>
      <c r="AE512" t="s">
        <v>177</v>
      </c>
      <c r="AF512">
        <v>2.8497689886474977</v>
      </c>
      <c r="AG512">
        <v>2.8497689886474977</v>
      </c>
      <c r="AH512" t="s">
        <v>237</v>
      </c>
      <c r="AI512" t="s">
        <v>237</v>
      </c>
      <c r="AJ512">
        <v>-1.5431606095051755E-3</v>
      </c>
      <c r="AK512">
        <v>0</v>
      </c>
      <c r="AL512">
        <v>1.5431606095051755E-3</v>
      </c>
      <c r="AM512" t="s">
        <v>177</v>
      </c>
      <c r="AN512" t="s">
        <v>149</v>
      </c>
      <c r="AO512" t="s">
        <v>149</v>
      </c>
      <c r="AP512" t="s">
        <v>157</v>
      </c>
    </row>
    <row r="513" spans="1:42" x14ac:dyDescent="0.2">
      <c r="A513">
        <v>511</v>
      </c>
      <c r="B513">
        <v>313</v>
      </c>
      <c r="C513">
        <v>50</v>
      </c>
      <c r="F513" t="s">
        <v>151</v>
      </c>
      <c r="G513" t="s">
        <v>1304</v>
      </c>
      <c r="I513">
        <v>2.4495983111576619E-5</v>
      </c>
      <c r="J513">
        <v>2.5022304576750711</v>
      </c>
      <c r="K513">
        <v>2.5022304576750711</v>
      </c>
      <c r="L513" s="1"/>
      <c r="M513" s="1"/>
      <c r="N513" s="1">
        <v>43021</v>
      </c>
      <c r="R513">
        <v>-4.9407615161198536E-3</v>
      </c>
      <c r="S513">
        <v>-4.9407615161198536E-3</v>
      </c>
      <c r="T513" t="s">
        <v>30</v>
      </c>
      <c r="U513" t="s">
        <v>30</v>
      </c>
      <c r="W513" t="s">
        <v>1305</v>
      </c>
      <c r="Z513" t="s">
        <v>145</v>
      </c>
      <c r="AA513">
        <v>5.0372931925104936E-3</v>
      </c>
      <c r="AC513" t="s">
        <v>54</v>
      </c>
      <c r="AD513" t="s">
        <v>54</v>
      </c>
      <c r="AE513" t="s">
        <v>35</v>
      </c>
      <c r="AF513">
        <v>2.3327878482136128</v>
      </c>
      <c r="AG513">
        <v>2.3327878482136128</v>
      </c>
      <c r="AH513" t="s">
        <v>237</v>
      </c>
      <c r="AI513" t="s">
        <v>237</v>
      </c>
      <c r="AJ513">
        <v>-4.9579367536067877E-3</v>
      </c>
      <c r="AK513">
        <v>0</v>
      </c>
      <c r="AL513">
        <v>4.9579367536067877E-3</v>
      </c>
      <c r="AM513" t="s">
        <v>35</v>
      </c>
      <c r="AN513" t="s">
        <v>54</v>
      </c>
      <c r="AO513" t="s">
        <v>54</v>
      </c>
      <c r="AP513" t="s">
        <v>145</v>
      </c>
    </row>
    <row r="514" spans="1:42" x14ac:dyDescent="0.2">
      <c r="A514">
        <v>512</v>
      </c>
      <c r="B514">
        <v>314</v>
      </c>
      <c r="C514">
        <v>50</v>
      </c>
      <c r="F514" t="s">
        <v>151</v>
      </c>
      <c r="G514" t="s">
        <v>1306</v>
      </c>
      <c r="I514">
        <v>6.0948629617916756E-6</v>
      </c>
      <c r="J514">
        <v>1.9281062877104227</v>
      </c>
      <c r="K514">
        <v>1.9281062877104227</v>
      </c>
      <c r="L514" s="1"/>
      <c r="M514" s="1"/>
      <c r="N514" s="1">
        <v>43021</v>
      </c>
      <c r="R514">
        <v>-2.6114084639168684E-3</v>
      </c>
      <c r="S514">
        <v>-2.6114084639168684E-3</v>
      </c>
      <c r="T514" t="s">
        <v>30</v>
      </c>
      <c r="U514" t="s">
        <v>30</v>
      </c>
      <c r="W514" t="s">
        <v>1307</v>
      </c>
      <c r="Z514" t="s">
        <v>145</v>
      </c>
      <c r="AA514">
        <v>1.2533324981028502E-3</v>
      </c>
      <c r="AC514" t="s">
        <v>150</v>
      </c>
      <c r="AD514" t="s">
        <v>150</v>
      </c>
      <c r="AE514" t="s">
        <v>43</v>
      </c>
      <c r="AF514">
        <v>2.0520533245413426</v>
      </c>
      <c r="AG514">
        <v>2.0520533245413426</v>
      </c>
      <c r="AH514" t="s">
        <v>237</v>
      </c>
      <c r="AI514" t="s">
        <v>237</v>
      </c>
      <c r="AJ514">
        <v>-2.3339370481513838E-3</v>
      </c>
      <c r="AK514">
        <v>0</v>
      </c>
      <c r="AL514">
        <v>2.3339370481513838E-3</v>
      </c>
      <c r="AM514" t="s">
        <v>43</v>
      </c>
      <c r="AN514" t="s">
        <v>150</v>
      </c>
      <c r="AO514" t="s">
        <v>150</v>
      </c>
      <c r="AP514" t="s">
        <v>145</v>
      </c>
    </row>
    <row r="515" spans="1:42" x14ac:dyDescent="0.2">
      <c r="A515">
        <v>513</v>
      </c>
      <c r="B515">
        <v>315</v>
      </c>
      <c r="C515">
        <v>50</v>
      </c>
      <c r="F515" t="s">
        <v>151</v>
      </c>
      <c r="G515" t="s">
        <v>1308</v>
      </c>
      <c r="I515">
        <v>6.0801834933534138E-5</v>
      </c>
      <c r="J515">
        <v>2.307692704173256</v>
      </c>
      <c r="K515">
        <v>2.307692704173256</v>
      </c>
      <c r="L515" s="1"/>
      <c r="M515" s="1"/>
      <c r="N515" s="1">
        <v>43021</v>
      </c>
      <c r="R515">
        <v>-4.6605294782725865E-3</v>
      </c>
      <c r="S515">
        <v>-4.6605294782725865E-3</v>
      </c>
      <c r="T515" t="s">
        <v>30</v>
      </c>
      <c r="U515" t="s">
        <v>30</v>
      </c>
      <c r="W515" t="s">
        <v>1309</v>
      </c>
      <c r="Z515" t="s">
        <v>145</v>
      </c>
      <c r="AA515">
        <v>1.2503138486329793E-2</v>
      </c>
      <c r="AC515" t="s">
        <v>150</v>
      </c>
      <c r="AD515" t="s">
        <v>150</v>
      </c>
      <c r="AE515" t="s">
        <v>43</v>
      </c>
      <c r="AF515">
        <v>2.1697203356665304</v>
      </c>
      <c r="AG515">
        <v>2.1697203356665304</v>
      </c>
      <c r="AH515" t="s">
        <v>237</v>
      </c>
      <c r="AI515" t="s">
        <v>237</v>
      </c>
      <c r="AJ515">
        <v>-1.3046121737238788E-2</v>
      </c>
      <c r="AK515">
        <v>0</v>
      </c>
      <c r="AL515">
        <v>1.3046121737238788E-2</v>
      </c>
      <c r="AM515" t="s">
        <v>43</v>
      </c>
      <c r="AN515" t="s">
        <v>150</v>
      </c>
      <c r="AO515" t="s">
        <v>150</v>
      </c>
      <c r="AP515" t="s">
        <v>145</v>
      </c>
    </row>
    <row r="516" spans="1:42" x14ac:dyDescent="0.2">
      <c r="A516">
        <v>514</v>
      </c>
      <c r="B516">
        <v>317</v>
      </c>
      <c r="C516">
        <v>50</v>
      </c>
      <c r="F516" t="s">
        <v>151</v>
      </c>
      <c r="G516" t="s">
        <v>1310</v>
      </c>
      <c r="I516">
        <v>1.3022278418753892E-5</v>
      </c>
      <c r="J516">
        <v>1.9030241673020409</v>
      </c>
      <c r="K516">
        <v>1.9030241673020409</v>
      </c>
      <c r="L516" s="1"/>
      <c r="M516" s="1"/>
      <c r="N516" s="1">
        <v>43021</v>
      </c>
      <c r="R516">
        <v>-2.7887301074242836E-3</v>
      </c>
      <c r="S516">
        <v>-2.7887301074242836E-3</v>
      </c>
      <c r="T516" t="s">
        <v>30</v>
      </c>
      <c r="U516" t="s">
        <v>30</v>
      </c>
      <c r="W516" t="s">
        <v>1311</v>
      </c>
      <c r="Z516" t="s">
        <v>145</v>
      </c>
      <c r="AA516">
        <v>2.6778690257491496E-3</v>
      </c>
      <c r="AC516" t="s">
        <v>150</v>
      </c>
      <c r="AD516" t="s">
        <v>150</v>
      </c>
      <c r="AE516" t="s">
        <v>43</v>
      </c>
      <c r="AF516">
        <v>1.9924746804723856</v>
      </c>
      <c r="AG516">
        <v>1.9924746804723856</v>
      </c>
      <c r="AH516" t="s">
        <v>237</v>
      </c>
      <c r="AI516" t="s">
        <v>237</v>
      </c>
      <c r="AJ516">
        <v>-4.669608716915772E-3</v>
      </c>
      <c r="AK516">
        <v>0</v>
      </c>
      <c r="AL516">
        <v>4.669608716915772E-3</v>
      </c>
      <c r="AM516" t="s">
        <v>43</v>
      </c>
      <c r="AN516" t="s">
        <v>150</v>
      </c>
      <c r="AO516" t="s">
        <v>150</v>
      </c>
      <c r="AP516" t="s">
        <v>145</v>
      </c>
    </row>
    <row r="517" spans="1:42" x14ac:dyDescent="0.2">
      <c r="A517">
        <v>515</v>
      </c>
      <c r="B517">
        <v>318</v>
      </c>
      <c r="C517">
        <v>50</v>
      </c>
      <c r="F517" t="s">
        <v>151</v>
      </c>
      <c r="G517" t="s">
        <v>1312</v>
      </c>
      <c r="I517">
        <v>7.7579471525620443E-6</v>
      </c>
      <c r="J517">
        <v>2.190728842203848</v>
      </c>
      <c r="K517">
        <v>2.190728842203848</v>
      </c>
      <c r="L517" s="1"/>
      <c r="M517" s="1"/>
      <c r="N517" s="1">
        <v>43021</v>
      </c>
      <c r="R517">
        <v>-2.5430588044919934E-3</v>
      </c>
      <c r="S517">
        <v>-2.5430588044919934E-3</v>
      </c>
      <c r="T517" t="s">
        <v>30</v>
      </c>
      <c r="U517" t="s">
        <v>30</v>
      </c>
      <c r="W517" t="s">
        <v>1313</v>
      </c>
      <c r="Z517" t="s">
        <v>145</v>
      </c>
      <c r="AA517">
        <v>1.5953250049796322E-3</v>
      </c>
      <c r="AC517" t="s">
        <v>150</v>
      </c>
      <c r="AD517" t="s">
        <v>150</v>
      </c>
      <c r="AE517" t="s">
        <v>35</v>
      </c>
      <c r="AF517">
        <v>2.2431108245677627</v>
      </c>
      <c r="AG517">
        <v>2.2431108245677627</v>
      </c>
      <c r="AH517" t="s">
        <v>237</v>
      </c>
      <c r="AI517" t="s">
        <v>237</v>
      </c>
      <c r="AJ517">
        <v>-3.0506361625844461E-3</v>
      </c>
      <c r="AK517">
        <v>0</v>
      </c>
      <c r="AL517">
        <v>3.0506361625844461E-3</v>
      </c>
      <c r="AM517" t="s">
        <v>35</v>
      </c>
      <c r="AN517" t="s">
        <v>150</v>
      </c>
      <c r="AO517" t="s">
        <v>150</v>
      </c>
      <c r="AP517" t="s">
        <v>145</v>
      </c>
    </row>
    <row r="518" spans="1:42" x14ac:dyDescent="0.2">
      <c r="A518">
        <v>516</v>
      </c>
      <c r="B518">
        <v>319</v>
      </c>
      <c r="C518">
        <v>50</v>
      </c>
      <c r="F518" t="s">
        <v>151</v>
      </c>
      <c r="G518" t="s">
        <v>1314</v>
      </c>
      <c r="I518">
        <v>2.9574352130224453E-5</v>
      </c>
      <c r="J518">
        <v>2.7146543878937814</v>
      </c>
      <c r="K518">
        <v>2.7146543878937814</v>
      </c>
      <c r="L518" s="1"/>
      <c r="M518" s="1"/>
      <c r="N518" s="1">
        <v>43021</v>
      </c>
      <c r="R518">
        <v>-8.1377200353130851E-3</v>
      </c>
      <c r="S518">
        <v>-8.1377200353130851E-3</v>
      </c>
      <c r="T518" t="s">
        <v>30</v>
      </c>
      <c r="U518" t="s">
        <v>30</v>
      </c>
      <c r="W518" t="s">
        <v>1315</v>
      </c>
      <c r="Z518" t="s">
        <v>157</v>
      </c>
      <c r="AA518">
        <v>6.0815963980675484E-3</v>
      </c>
      <c r="AC518" t="s">
        <v>146</v>
      </c>
      <c r="AD518" t="s">
        <v>146</v>
      </c>
      <c r="AE518" t="s">
        <v>177</v>
      </c>
      <c r="AF518">
        <v>2.3865631600253332</v>
      </c>
      <c r="AG518">
        <v>2.3865631600253332</v>
      </c>
      <c r="AH518" t="s">
        <v>237</v>
      </c>
      <c r="AI518" t="s">
        <v>237</v>
      </c>
      <c r="AJ518">
        <v>-3.6342307184184948E-3</v>
      </c>
      <c r="AK518">
        <v>0</v>
      </c>
      <c r="AL518">
        <v>3.6342307184184948E-3</v>
      </c>
      <c r="AM518" t="s">
        <v>177</v>
      </c>
      <c r="AN518" t="s">
        <v>146</v>
      </c>
      <c r="AO518" t="s">
        <v>146</v>
      </c>
      <c r="AP518" t="s">
        <v>157</v>
      </c>
    </row>
    <row r="519" spans="1:42" x14ac:dyDescent="0.2">
      <c r="A519">
        <v>517</v>
      </c>
      <c r="B519">
        <v>321</v>
      </c>
      <c r="C519">
        <v>50</v>
      </c>
      <c r="F519" t="s">
        <v>151</v>
      </c>
      <c r="G519" t="s">
        <v>1316</v>
      </c>
      <c r="I519">
        <v>1.6144007611578685E-5</v>
      </c>
      <c r="J519">
        <v>1.4155099476795665E-2</v>
      </c>
      <c r="K519">
        <v>1.4155099476795665E-2</v>
      </c>
      <c r="L519" s="1"/>
      <c r="M519" s="1"/>
      <c r="N519" s="1">
        <v>43021</v>
      </c>
      <c r="R519">
        <v>-6.6387679255610725E-3</v>
      </c>
      <c r="S519">
        <v>-6.6387679255610725E-3</v>
      </c>
      <c r="T519" t="s">
        <v>30</v>
      </c>
      <c r="U519" t="s">
        <v>30</v>
      </c>
      <c r="W519" t="s">
        <v>1317</v>
      </c>
      <c r="Z519" t="s">
        <v>157</v>
      </c>
      <c r="AA519">
        <v>3.3198136719489609E-3</v>
      </c>
      <c r="AC519" t="s">
        <v>149</v>
      </c>
      <c r="AD519" t="s">
        <v>149</v>
      </c>
      <c r="AE519" t="s">
        <v>177</v>
      </c>
      <c r="AF519">
        <v>7.228313080247708</v>
      </c>
      <c r="AG519">
        <v>7.228313080247708</v>
      </c>
      <c r="AH519" t="s">
        <v>237</v>
      </c>
      <c r="AI519" t="s">
        <v>237</v>
      </c>
      <c r="AJ519">
        <v>-2.431777672091811E-3</v>
      </c>
      <c r="AK519">
        <v>0</v>
      </c>
      <c r="AL519">
        <v>2.431777672091811E-3</v>
      </c>
      <c r="AM519" t="s">
        <v>177</v>
      </c>
      <c r="AN519" t="s">
        <v>149</v>
      </c>
      <c r="AO519" t="s">
        <v>149</v>
      </c>
      <c r="AP519" t="s">
        <v>157</v>
      </c>
    </row>
    <row r="520" spans="1:42" x14ac:dyDescent="0.2">
      <c r="A520">
        <v>518</v>
      </c>
      <c r="B520">
        <v>322</v>
      </c>
      <c r="C520">
        <v>50</v>
      </c>
      <c r="F520" t="s">
        <v>151</v>
      </c>
      <c r="G520" t="s">
        <v>1318</v>
      </c>
      <c r="I520">
        <v>4.5742176740664554E-6</v>
      </c>
      <c r="J520">
        <v>2.7985526520941</v>
      </c>
      <c r="K520">
        <v>2.7985526520941</v>
      </c>
      <c r="L520" s="1"/>
      <c r="M520" s="1"/>
      <c r="N520" s="1">
        <v>43021</v>
      </c>
      <c r="R520">
        <v>-7.4752134336493318E-4</v>
      </c>
      <c r="S520">
        <v>-7.4752134336493318E-4</v>
      </c>
      <c r="T520" t="s">
        <v>30</v>
      </c>
      <c r="U520" t="s">
        <v>30</v>
      </c>
      <c r="W520" t="s">
        <v>1319</v>
      </c>
      <c r="Z520" t="s">
        <v>147</v>
      </c>
      <c r="AA520">
        <v>9.4063077385723776E-4</v>
      </c>
      <c r="AC520" t="s">
        <v>54</v>
      </c>
      <c r="AD520" t="s">
        <v>54</v>
      </c>
      <c r="AE520" t="s">
        <v>41</v>
      </c>
      <c r="AF520">
        <v>2.128829356789669</v>
      </c>
      <c r="AG520">
        <v>2.128829356789669</v>
      </c>
      <c r="AH520" t="s">
        <v>237</v>
      </c>
      <c r="AI520" t="s">
        <v>237</v>
      </c>
      <c r="AJ520">
        <v>-6.1191800269886926E-3</v>
      </c>
      <c r="AK520">
        <v>0</v>
      </c>
      <c r="AL520">
        <v>6.1191800269886926E-3</v>
      </c>
      <c r="AM520" t="s">
        <v>41</v>
      </c>
      <c r="AN520" t="s">
        <v>54</v>
      </c>
      <c r="AO520" t="s">
        <v>54</v>
      </c>
      <c r="AP520" t="s">
        <v>147</v>
      </c>
    </row>
    <row r="521" spans="1:42" x14ac:dyDescent="0.2">
      <c r="A521">
        <v>519</v>
      </c>
      <c r="B521">
        <v>323</v>
      </c>
      <c r="C521">
        <v>50</v>
      </c>
      <c r="F521" t="s">
        <v>151</v>
      </c>
      <c r="G521" t="s">
        <v>1320</v>
      </c>
      <c r="I521">
        <v>2.3260737902386747E-5</v>
      </c>
      <c r="J521">
        <v>2.9442967265442279</v>
      </c>
      <c r="K521">
        <v>2.9442967265442279</v>
      </c>
      <c r="L521" s="1"/>
      <c r="M521" s="1"/>
      <c r="N521" s="1">
        <v>43021</v>
      </c>
      <c r="R521">
        <v>-4.4795401430809435E-3</v>
      </c>
      <c r="S521">
        <v>-4.4795401430809435E-3</v>
      </c>
      <c r="T521" t="s">
        <v>30</v>
      </c>
      <c r="U521" t="s">
        <v>30</v>
      </c>
      <c r="W521" t="s">
        <v>1321</v>
      </c>
      <c r="Z521" t="s">
        <v>31</v>
      </c>
      <c r="AA521">
        <v>4.7832804323370628E-3</v>
      </c>
      <c r="AC521" t="s">
        <v>54</v>
      </c>
      <c r="AD521" t="s">
        <v>54</v>
      </c>
      <c r="AE521" t="s">
        <v>89</v>
      </c>
      <c r="AF521">
        <v>2.44864074089433</v>
      </c>
      <c r="AG521">
        <v>2.44864074089433</v>
      </c>
      <c r="AH521" t="s">
        <v>237</v>
      </c>
      <c r="AI521" t="s">
        <v>237</v>
      </c>
      <c r="AJ521">
        <v>-5.192662005343354E-3</v>
      </c>
      <c r="AK521">
        <v>0</v>
      </c>
      <c r="AL521">
        <v>5.192662005343354E-3</v>
      </c>
      <c r="AM521" t="s">
        <v>89</v>
      </c>
      <c r="AN521" t="s">
        <v>54</v>
      </c>
      <c r="AO521" t="s">
        <v>54</v>
      </c>
      <c r="AP521" t="s">
        <v>31</v>
      </c>
    </row>
    <row r="522" spans="1:42" x14ac:dyDescent="0.2">
      <c r="A522">
        <v>520</v>
      </c>
      <c r="B522">
        <v>324</v>
      </c>
      <c r="C522">
        <v>50</v>
      </c>
      <c r="F522" t="s">
        <v>151</v>
      </c>
      <c r="G522" t="s">
        <v>1322</v>
      </c>
      <c r="I522">
        <v>-3.9874574247664365E-5</v>
      </c>
      <c r="J522">
        <v>3.0439209917061318</v>
      </c>
      <c r="K522">
        <v>3.0439209917061318</v>
      </c>
      <c r="L522" s="1"/>
      <c r="M522" s="1"/>
      <c r="N522" s="1">
        <v>43021</v>
      </c>
      <c r="R522">
        <v>5.0091707951856563E-3</v>
      </c>
      <c r="S522">
        <v>5.0091707951856563E-3</v>
      </c>
      <c r="T522" t="s">
        <v>30</v>
      </c>
      <c r="U522" t="s">
        <v>30</v>
      </c>
      <c r="W522" t="s">
        <v>1323</v>
      </c>
      <c r="Z522" t="s">
        <v>145</v>
      </c>
      <c r="AA522">
        <v>-8.1997085194384003E-3</v>
      </c>
      <c r="AC522" t="s">
        <v>146</v>
      </c>
      <c r="AD522" t="s">
        <v>146</v>
      </c>
      <c r="AE522" t="s">
        <v>41</v>
      </c>
      <c r="AF522">
        <v>3.3862309464940652</v>
      </c>
      <c r="AG522">
        <v>3.3862309464940652</v>
      </c>
      <c r="AH522" t="s">
        <v>237</v>
      </c>
      <c r="AI522" t="s">
        <v>237</v>
      </c>
      <c r="AJ522">
        <v>-7.9603143669982369E-3</v>
      </c>
      <c r="AK522">
        <v>0</v>
      </c>
      <c r="AL522">
        <v>7.9603143669982369E-3</v>
      </c>
      <c r="AM522" t="s">
        <v>41</v>
      </c>
      <c r="AN522" t="s">
        <v>146</v>
      </c>
      <c r="AO522" t="s">
        <v>146</v>
      </c>
      <c r="AP522" t="s">
        <v>145</v>
      </c>
    </row>
    <row r="523" spans="1:42" x14ac:dyDescent="0.2">
      <c r="A523">
        <v>521</v>
      </c>
      <c r="B523">
        <v>325</v>
      </c>
      <c r="C523">
        <v>50</v>
      </c>
      <c r="F523" t="s">
        <v>151</v>
      </c>
      <c r="G523" t="s">
        <v>1324</v>
      </c>
      <c r="I523">
        <v>2.3450929240578037E-5</v>
      </c>
      <c r="J523">
        <v>2.9796842600937055</v>
      </c>
      <c r="K523">
        <v>2.9796842600937055</v>
      </c>
      <c r="L523" s="1"/>
      <c r="M523" s="1"/>
      <c r="N523" s="1">
        <v>43021</v>
      </c>
      <c r="R523">
        <v>-4.6523555901170528E-3</v>
      </c>
      <c r="S523">
        <v>-4.6523555901170528E-3</v>
      </c>
      <c r="T523" t="s">
        <v>30</v>
      </c>
      <c r="U523" t="s">
        <v>30</v>
      </c>
      <c r="W523" t="s">
        <v>1325</v>
      </c>
      <c r="Z523" t="s">
        <v>31</v>
      </c>
      <c r="AA523">
        <v>4.8223909072578541E-3</v>
      </c>
      <c r="AC523" t="s">
        <v>146</v>
      </c>
      <c r="AD523" t="s">
        <v>146</v>
      </c>
      <c r="AE523" t="s">
        <v>177</v>
      </c>
      <c r="AF523">
        <v>2.7144207633770896</v>
      </c>
      <c r="AG523">
        <v>2.7144207633770896</v>
      </c>
      <c r="AH523" t="s">
        <v>237</v>
      </c>
      <c r="AI523" t="s">
        <v>237</v>
      </c>
      <c r="AJ523">
        <v>-5.0406571007587178E-3</v>
      </c>
      <c r="AK523">
        <v>0</v>
      </c>
      <c r="AL523">
        <v>5.0406571007587178E-3</v>
      </c>
      <c r="AM523" t="s">
        <v>177</v>
      </c>
      <c r="AN523" t="s">
        <v>146</v>
      </c>
      <c r="AO523" t="s">
        <v>146</v>
      </c>
      <c r="AP523" t="s">
        <v>31</v>
      </c>
    </row>
    <row r="524" spans="1:42" x14ac:dyDescent="0.2">
      <c r="A524">
        <v>522</v>
      </c>
      <c r="B524">
        <v>326</v>
      </c>
      <c r="C524">
        <v>50</v>
      </c>
      <c r="F524" t="s">
        <v>151</v>
      </c>
      <c r="G524" t="s">
        <v>1326</v>
      </c>
      <c r="I524">
        <v>2.3618048173603754E-5</v>
      </c>
      <c r="J524">
        <v>3.1692786190946061</v>
      </c>
      <c r="K524">
        <v>3.1692786190946061</v>
      </c>
      <c r="L524" s="1"/>
      <c r="M524" s="1"/>
      <c r="N524" s="1">
        <v>43021</v>
      </c>
      <c r="R524">
        <v>-6.2465387298028417E-3</v>
      </c>
      <c r="S524">
        <v>-6.2465387298028417E-3</v>
      </c>
      <c r="T524" t="s">
        <v>30</v>
      </c>
      <c r="U524" t="s">
        <v>30</v>
      </c>
      <c r="W524" t="s">
        <v>1327</v>
      </c>
      <c r="Z524" t="s">
        <v>157</v>
      </c>
      <c r="AA524">
        <v>4.8567568300230532E-3</v>
      </c>
      <c r="AC524" t="s">
        <v>149</v>
      </c>
      <c r="AD524" t="s">
        <v>149</v>
      </c>
      <c r="AE524" t="s">
        <v>177</v>
      </c>
      <c r="AF524">
        <v>3.2879901918360233</v>
      </c>
      <c r="AG524">
        <v>3.2879901918360233</v>
      </c>
      <c r="AH524" t="s">
        <v>237</v>
      </c>
      <c r="AI524" t="s">
        <v>237</v>
      </c>
      <c r="AJ524">
        <v>-3.7809816276203902E-3</v>
      </c>
      <c r="AK524">
        <v>0</v>
      </c>
      <c r="AL524">
        <v>3.7809816276203902E-3</v>
      </c>
      <c r="AM524" t="s">
        <v>177</v>
      </c>
      <c r="AN524" t="s">
        <v>149</v>
      </c>
      <c r="AO524" t="s">
        <v>149</v>
      </c>
      <c r="AP524" t="s">
        <v>157</v>
      </c>
    </row>
    <row r="525" spans="1:42" x14ac:dyDescent="0.2">
      <c r="A525">
        <v>523</v>
      </c>
      <c r="B525">
        <v>328</v>
      </c>
      <c r="C525">
        <v>50</v>
      </c>
      <c r="F525" t="s">
        <v>151</v>
      </c>
      <c r="G525" t="s">
        <v>1328</v>
      </c>
      <c r="I525">
        <v>8.9763205447906383E-6</v>
      </c>
      <c r="J525">
        <v>3.1854723540616807</v>
      </c>
      <c r="K525">
        <v>3.1854723540616807</v>
      </c>
      <c r="L525" s="1"/>
      <c r="M525" s="1"/>
      <c r="N525" s="1">
        <v>43021</v>
      </c>
      <c r="R525">
        <v>-2.2333565625985399E-3</v>
      </c>
      <c r="S525">
        <v>-2.2333565625985399E-3</v>
      </c>
      <c r="T525" t="s">
        <v>30</v>
      </c>
      <c r="U525" t="s">
        <v>30</v>
      </c>
      <c r="W525" t="s">
        <v>1329</v>
      </c>
      <c r="Z525" t="s">
        <v>143</v>
      </c>
      <c r="AA525">
        <v>1.8458682865721383E-3</v>
      </c>
      <c r="AC525" t="s">
        <v>54</v>
      </c>
      <c r="AD525" t="s">
        <v>54</v>
      </c>
      <c r="AE525" t="s">
        <v>41</v>
      </c>
      <c r="AF525">
        <v>3.0273221900621037</v>
      </c>
      <c r="AG525">
        <v>3.0273221900621037</v>
      </c>
      <c r="AH525" t="s">
        <v>237</v>
      </c>
      <c r="AI525" t="s">
        <v>237</v>
      </c>
      <c r="AJ525">
        <v>-4.019206200709201E-3</v>
      </c>
      <c r="AK525">
        <v>0</v>
      </c>
      <c r="AL525">
        <v>4.019206200709201E-3</v>
      </c>
      <c r="AM525" t="s">
        <v>41</v>
      </c>
      <c r="AN525" t="s">
        <v>54</v>
      </c>
      <c r="AO525" t="s">
        <v>54</v>
      </c>
      <c r="AP525" t="s">
        <v>143</v>
      </c>
    </row>
    <row r="526" spans="1:42" x14ac:dyDescent="0.2">
      <c r="A526">
        <v>524</v>
      </c>
      <c r="B526">
        <v>329</v>
      </c>
      <c r="C526">
        <v>50</v>
      </c>
      <c r="F526" t="s">
        <v>151</v>
      </c>
      <c r="G526" t="s">
        <v>1330</v>
      </c>
      <c r="I526">
        <v>3.1167961019922944E-5</v>
      </c>
      <c r="J526">
        <v>11.976160593572155</v>
      </c>
      <c r="K526">
        <v>11.976160593572155</v>
      </c>
      <c r="L526" s="1"/>
      <c r="M526" s="1"/>
      <c r="N526" s="1">
        <v>43021</v>
      </c>
      <c r="R526">
        <v>-1.0368592641095038E-2</v>
      </c>
      <c r="S526">
        <v>-1.0368592641095038E-2</v>
      </c>
      <c r="T526" t="s">
        <v>30</v>
      </c>
      <c r="U526" t="s">
        <v>30</v>
      </c>
      <c r="W526" t="s">
        <v>1331</v>
      </c>
      <c r="Z526" t="s">
        <v>157</v>
      </c>
      <c r="AA526">
        <v>6.4093021764001883E-3</v>
      </c>
      <c r="AC526" t="s">
        <v>149</v>
      </c>
      <c r="AD526" t="s">
        <v>149</v>
      </c>
      <c r="AE526" t="s">
        <v>177</v>
      </c>
      <c r="AF526">
        <v>5.8366778365892307</v>
      </c>
      <c r="AG526">
        <v>5.8366778365892307</v>
      </c>
      <c r="AH526" t="s">
        <v>237</v>
      </c>
      <c r="AI526" t="s">
        <v>237</v>
      </c>
      <c r="AJ526">
        <v>-3.0059972552486411E-3</v>
      </c>
      <c r="AK526">
        <v>0</v>
      </c>
      <c r="AL526">
        <v>3.0059972552486411E-3</v>
      </c>
      <c r="AM526" t="s">
        <v>177</v>
      </c>
      <c r="AN526" t="s">
        <v>149</v>
      </c>
      <c r="AO526" t="s">
        <v>149</v>
      </c>
      <c r="AP526" t="s">
        <v>157</v>
      </c>
    </row>
    <row r="527" spans="1:42" x14ac:dyDescent="0.2">
      <c r="A527">
        <v>525</v>
      </c>
      <c r="B527">
        <v>330</v>
      </c>
      <c r="C527">
        <v>50</v>
      </c>
      <c r="F527" t="s">
        <v>151</v>
      </c>
      <c r="G527" t="s">
        <v>1332</v>
      </c>
      <c r="I527">
        <v>3.3096537564661231E-5</v>
      </c>
      <c r="J527">
        <v>3.4515142906021494</v>
      </c>
      <c r="K527">
        <v>3.4515142906021494</v>
      </c>
      <c r="L527" s="1"/>
      <c r="M527" s="1"/>
      <c r="N527" s="1">
        <v>43021</v>
      </c>
      <c r="R527">
        <v>-3.9078659979705551E-3</v>
      </c>
      <c r="S527">
        <v>-3.9078659979705551E-3</v>
      </c>
      <c r="T527" t="s">
        <v>30</v>
      </c>
      <c r="U527" t="s">
        <v>30</v>
      </c>
      <c r="W527" t="s">
        <v>1333</v>
      </c>
      <c r="Z527" t="s">
        <v>147</v>
      </c>
      <c r="AA527">
        <v>6.8058898722601858E-3</v>
      </c>
      <c r="AC527" t="s">
        <v>146</v>
      </c>
      <c r="AD527" t="s">
        <v>146</v>
      </c>
      <c r="AE527" t="s">
        <v>41</v>
      </c>
      <c r="AF527">
        <v>5.9823935719873047</v>
      </c>
      <c r="AG527">
        <v>5.9823935719873047</v>
      </c>
      <c r="AH527" t="s">
        <v>237</v>
      </c>
      <c r="AI527" t="s">
        <v>237</v>
      </c>
      <c r="AJ527">
        <v>-8.4692099426769054E-3</v>
      </c>
      <c r="AK527">
        <v>0</v>
      </c>
      <c r="AL527">
        <v>8.4692099426769054E-3</v>
      </c>
      <c r="AM527" t="s">
        <v>41</v>
      </c>
      <c r="AN527" t="s">
        <v>146</v>
      </c>
      <c r="AO527" t="s">
        <v>146</v>
      </c>
      <c r="AP527" t="s">
        <v>147</v>
      </c>
    </row>
    <row r="528" spans="1:42" x14ac:dyDescent="0.2">
      <c r="A528">
        <v>526</v>
      </c>
      <c r="B528">
        <v>331</v>
      </c>
      <c r="C528">
        <v>50</v>
      </c>
      <c r="F528" t="s">
        <v>151</v>
      </c>
      <c r="G528" t="s">
        <v>1334</v>
      </c>
      <c r="I528">
        <v>2.4409609140706547E-6</v>
      </c>
      <c r="J528">
        <v>7.522419653187673E-2</v>
      </c>
      <c r="K528">
        <v>7.522419653187673E-2</v>
      </c>
      <c r="L528" s="1"/>
      <c r="M528" s="1"/>
      <c r="N528" s="1">
        <v>43021</v>
      </c>
      <c r="R528">
        <v>-2.564561552127152E-4</v>
      </c>
      <c r="S528">
        <v>-2.564561552127152E-4</v>
      </c>
      <c r="T528" t="s">
        <v>30</v>
      </c>
      <c r="U528" t="s">
        <v>30</v>
      </c>
      <c r="W528" t="s">
        <v>1335</v>
      </c>
      <c r="Z528" t="s">
        <v>143</v>
      </c>
      <c r="AA528">
        <v>5.019531463434665E-4</v>
      </c>
      <c r="AC528" t="s">
        <v>146</v>
      </c>
      <c r="AD528" t="s">
        <v>146</v>
      </c>
      <c r="AE528" t="s">
        <v>89</v>
      </c>
      <c r="AF528">
        <v>5.3881388244023309</v>
      </c>
      <c r="AG528">
        <v>5.3881388244023309</v>
      </c>
      <c r="AH528" t="s">
        <v>237</v>
      </c>
      <c r="AI528" t="s">
        <v>237</v>
      </c>
      <c r="AJ528">
        <v>-9.5180437843108978E-3</v>
      </c>
      <c r="AK528">
        <v>0</v>
      </c>
      <c r="AL528">
        <v>9.5180437843108978E-3</v>
      </c>
      <c r="AM528" t="s">
        <v>89</v>
      </c>
      <c r="AN528" t="s">
        <v>146</v>
      </c>
      <c r="AO528" t="s">
        <v>146</v>
      </c>
      <c r="AP528" t="s">
        <v>143</v>
      </c>
    </row>
    <row r="529" spans="1:42" x14ac:dyDescent="0.2">
      <c r="A529">
        <v>527</v>
      </c>
      <c r="B529">
        <v>332</v>
      </c>
      <c r="C529">
        <v>50</v>
      </c>
      <c r="F529" t="s">
        <v>151</v>
      </c>
      <c r="G529" t="s">
        <v>1336</v>
      </c>
      <c r="I529">
        <v>1.1300148080275359E-4</v>
      </c>
      <c r="J529">
        <v>3.812237923265767</v>
      </c>
      <c r="K529">
        <v>3.812237923265767</v>
      </c>
      <c r="L529" s="1"/>
      <c r="M529" s="1"/>
      <c r="N529" s="1">
        <v>43021</v>
      </c>
      <c r="R529">
        <v>-1.3967421711287099E-2</v>
      </c>
      <c r="S529">
        <v>-1.3967421711287099E-2</v>
      </c>
      <c r="T529" t="s">
        <v>30</v>
      </c>
      <c r="U529" t="s">
        <v>30</v>
      </c>
      <c r="W529" t="s">
        <v>1337</v>
      </c>
      <c r="Z529" t="s">
        <v>157</v>
      </c>
      <c r="AA529">
        <v>2.3237344155512013E-2</v>
      </c>
      <c r="AC529" t="s">
        <v>146</v>
      </c>
      <c r="AD529" t="s">
        <v>146</v>
      </c>
      <c r="AE529" t="s">
        <v>177</v>
      </c>
      <c r="AF529">
        <v>3.1395819688337108</v>
      </c>
      <c r="AG529">
        <v>3.1395819688337108</v>
      </c>
      <c r="AH529" t="s">
        <v>237</v>
      </c>
      <c r="AI529" t="s">
        <v>237</v>
      </c>
      <c r="AJ529">
        <v>-8.0903607794298137E-3</v>
      </c>
      <c r="AK529">
        <v>0</v>
      </c>
      <c r="AL529">
        <v>8.0903607794298137E-3</v>
      </c>
      <c r="AM529" t="s">
        <v>177</v>
      </c>
      <c r="AN529" t="s">
        <v>146</v>
      </c>
      <c r="AO529" t="s">
        <v>146</v>
      </c>
      <c r="AP529" t="s">
        <v>157</v>
      </c>
    </row>
    <row r="530" spans="1:42" x14ac:dyDescent="0.2">
      <c r="A530">
        <v>528</v>
      </c>
      <c r="B530">
        <v>333</v>
      </c>
      <c r="C530">
        <v>50</v>
      </c>
      <c r="F530" t="s">
        <v>151</v>
      </c>
      <c r="G530" t="s">
        <v>1338</v>
      </c>
      <c r="I530">
        <v>4.4466793283488599E-5</v>
      </c>
      <c r="J530">
        <v>3.8489538601447641</v>
      </c>
      <c r="K530">
        <v>3.8489538601447641</v>
      </c>
      <c r="L530" s="1"/>
      <c r="M530" s="1"/>
      <c r="N530" s="1">
        <v>43021</v>
      </c>
      <c r="R530">
        <v>-8.9957351155516944E-3</v>
      </c>
      <c r="S530">
        <v>-8.9957351155516944E-3</v>
      </c>
      <c r="T530" t="s">
        <v>30</v>
      </c>
      <c r="U530" t="s">
        <v>30</v>
      </c>
      <c r="W530" t="s">
        <v>1339</v>
      </c>
      <c r="Z530" t="s">
        <v>145</v>
      </c>
      <c r="AA530">
        <v>9.1440410486661131E-3</v>
      </c>
      <c r="AC530" t="s">
        <v>54</v>
      </c>
      <c r="AD530" t="s">
        <v>54</v>
      </c>
      <c r="AE530" t="s">
        <v>35</v>
      </c>
      <c r="AF530">
        <v>2.8996016154995758</v>
      </c>
      <c r="AG530">
        <v>2.8996016154995758</v>
      </c>
      <c r="AH530" t="s">
        <v>237</v>
      </c>
      <c r="AI530" t="s">
        <v>237</v>
      </c>
      <c r="AJ530">
        <v>-4.9430972246631696E-3</v>
      </c>
      <c r="AK530">
        <v>0</v>
      </c>
      <c r="AL530">
        <v>4.9430972246631696E-3</v>
      </c>
      <c r="AM530" t="s">
        <v>35</v>
      </c>
      <c r="AN530" t="s">
        <v>54</v>
      </c>
      <c r="AO530" t="s">
        <v>54</v>
      </c>
      <c r="AP530" t="s">
        <v>145</v>
      </c>
    </row>
    <row r="531" spans="1:42" x14ac:dyDescent="0.2">
      <c r="A531">
        <v>529</v>
      </c>
      <c r="B531">
        <v>334</v>
      </c>
      <c r="C531">
        <v>50</v>
      </c>
      <c r="F531" t="s">
        <v>151</v>
      </c>
      <c r="G531" t="s">
        <v>1340</v>
      </c>
      <c r="I531">
        <v>8.1668992135760748E-6</v>
      </c>
      <c r="J531">
        <v>4.0073080676751927</v>
      </c>
      <c r="K531">
        <v>4.0073080676751927</v>
      </c>
      <c r="L531" s="1"/>
      <c r="M531" s="1"/>
      <c r="N531" s="1">
        <v>43021</v>
      </c>
      <c r="R531">
        <v>-7.6800412556827704E-3</v>
      </c>
      <c r="S531">
        <v>-7.6800412556827704E-3</v>
      </c>
      <c r="T531" t="s">
        <v>30</v>
      </c>
      <c r="U531" t="s">
        <v>30</v>
      </c>
      <c r="W531" t="s">
        <v>1341</v>
      </c>
      <c r="Z531" t="s">
        <v>157</v>
      </c>
      <c r="AA531">
        <v>1.6794208921961599E-3</v>
      </c>
      <c r="AC531" t="s">
        <v>149</v>
      </c>
      <c r="AD531" t="s">
        <v>149</v>
      </c>
      <c r="AE531" t="s">
        <v>43</v>
      </c>
      <c r="AF531">
        <v>3.7794116784995579</v>
      </c>
      <c r="AG531">
        <v>3.7794116784995579</v>
      </c>
      <c r="AH531" t="s">
        <v>237</v>
      </c>
      <c r="AI531" t="s">
        <v>237</v>
      </c>
      <c r="AJ531">
        <v>-1.0633926227327306E-3</v>
      </c>
      <c r="AK531">
        <v>0</v>
      </c>
      <c r="AL531">
        <v>1.0633926227327306E-3</v>
      </c>
      <c r="AM531" t="s">
        <v>43</v>
      </c>
      <c r="AN531" t="s">
        <v>149</v>
      </c>
      <c r="AO531" t="s">
        <v>149</v>
      </c>
      <c r="AP531" t="s">
        <v>157</v>
      </c>
    </row>
    <row r="532" spans="1:42" x14ac:dyDescent="0.2">
      <c r="A532">
        <v>530</v>
      </c>
      <c r="B532">
        <v>335</v>
      </c>
      <c r="C532">
        <v>50</v>
      </c>
      <c r="F532" t="s">
        <v>151</v>
      </c>
      <c r="G532" t="s">
        <v>1342</v>
      </c>
      <c r="I532">
        <v>4.1878465365466751E-5</v>
      </c>
      <c r="J532">
        <v>3.8666694583001342</v>
      </c>
      <c r="K532">
        <v>3.8666694583001342</v>
      </c>
      <c r="L532" s="1"/>
      <c r="M532" s="1"/>
      <c r="N532" s="1">
        <v>43021</v>
      </c>
      <c r="R532">
        <v>-3.285109197221399E-3</v>
      </c>
      <c r="S532">
        <v>-3.285109197221399E-3</v>
      </c>
      <c r="T532" t="s">
        <v>30</v>
      </c>
      <c r="U532" t="s">
        <v>30</v>
      </c>
      <c r="W532" t="s">
        <v>1343</v>
      </c>
      <c r="Z532" t="s">
        <v>147</v>
      </c>
      <c r="AA532">
        <v>8.6117837172477816E-3</v>
      </c>
      <c r="AC532" t="s">
        <v>146</v>
      </c>
      <c r="AD532" t="s">
        <v>146</v>
      </c>
      <c r="AE532" t="s">
        <v>41</v>
      </c>
      <c r="AF532">
        <v>5.7235400514602128</v>
      </c>
      <c r="AG532">
        <v>5.7235400514602128</v>
      </c>
      <c r="AH532" t="s">
        <v>237</v>
      </c>
      <c r="AI532" t="s">
        <v>237</v>
      </c>
      <c r="AJ532">
        <v>-1.2747967525976995E-2</v>
      </c>
      <c r="AK532">
        <v>0</v>
      </c>
      <c r="AL532">
        <v>1.2747967525976995E-2</v>
      </c>
      <c r="AM532" t="s">
        <v>41</v>
      </c>
      <c r="AN532" t="s">
        <v>146</v>
      </c>
      <c r="AO532" t="s">
        <v>146</v>
      </c>
      <c r="AP532" t="s">
        <v>147</v>
      </c>
    </row>
    <row r="533" spans="1:42" x14ac:dyDescent="0.2">
      <c r="A533">
        <v>531</v>
      </c>
      <c r="B533">
        <v>336</v>
      </c>
      <c r="C533">
        <v>50</v>
      </c>
      <c r="F533" t="s">
        <v>151</v>
      </c>
      <c r="G533" t="s">
        <v>1344</v>
      </c>
      <c r="I533">
        <v>-4.9181658878231892E-7</v>
      </c>
      <c r="J533">
        <v>3.939526058247576</v>
      </c>
      <c r="K533">
        <v>3.939526058247576</v>
      </c>
      <c r="L533" s="1"/>
      <c r="M533" s="1"/>
      <c r="N533" s="1">
        <v>43021</v>
      </c>
      <c r="R533">
        <v>2.6469939474805816E-4</v>
      </c>
      <c r="S533">
        <v>2.6469939474805816E-4</v>
      </c>
      <c r="T533" t="s">
        <v>30</v>
      </c>
      <c r="U533" t="s">
        <v>30</v>
      </c>
      <c r="W533" t="s">
        <v>1345</v>
      </c>
      <c r="Z533" t="s">
        <v>157</v>
      </c>
      <c r="AA533">
        <v>-1.011359431198373E-4</v>
      </c>
      <c r="AC533" t="s">
        <v>149</v>
      </c>
      <c r="AD533" t="s">
        <v>149</v>
      </c>
      <c r="AE533" t="s">
        <v>177</v>
      </c>
      <c r="AF533">
        <v>3.6327302059971012</v>
      </c>
      <c r="AG533">
        <v>3.6327302059971012</v>
      </c>
      <c r="AH533" t="s">
        <v>237</v>
      </c>
      <c r="AI533" t="s">
        <v>237</v>
      </c>
      <c r="AJ533">
        <v>-1.8580193175372832E-3</v>
      </c>
      <c r="AK533">
        <v>0</v>
      </c>
      <c r="AL533">
        <v>1.8580193175372832E-3</v>
      </c>
      <c r="AM533" t="s">
        <v>177</v>
      </c>
      <c r="AN533" t="s">
        <v>149</v>
      </c>
      <c r="AO533" t="s">
        <v>149</v>
      </c>
      <c r="AP533" t="s">
        <v>157</v>
      </c>
    </row>
    <row r="534" spans="1:42" x14ac:dyDescent="0.2">
      <c r="A534">
        <v>532</v>
      </c>
      <c r="B534">
        <v>337</v>
      </c>
      <c r="C534">
        <v>50</v>
      </c>
      <c r="F534" t="s">
        <v>151</v>
      </c>
      <c r="G534" t="s">
        <v>1346</v>
      </c>
      <c r="I534">
        <v>5.2423351719569376E-6</v>
      </c>
      <c r="J534">
        <v>4.0843647183485468</v>
      </c>
      <c r="K534">
        <v>4.0843647183485468</v>
      </c>
      <c r="L534" s="1"/>
      <c r="M534" s="1"/>
      <c r="N534" s="1">
        <v>43021</v>
      </c>
      <c r="R534">
        <v>-2.8169646229960106E-3</v>
      </c>
      <c r="S534">
        <v>-2.8169646229960106E-3</v>
      </c>
      <c r="T534" t="s">
        <v>30</v>
      </c>
      <c r="U534" t="s">
        <v>30</v>
      </c>
      <c r="W534" t="s">
        <v>1347</v>
      </c>
      <c r="Z534" t="s">
        <v>157</v>
      </c>
      <c r="AA534">
        <v>1.0780207985233781E-3</v>
      </c>
      <c r="AC534" t="s">
        <v>146</v>
      </c>
      <c r="AD534" t="s">
        <v>146</v>
      </c>
      <c r="AE534" t="s">
        <v>44</v>
      </c>
      <c r="AF534">
        <v>3.3122695649322358</v>
      </c>
      <c r="AG534">
        <v>3.3122695649322358</v>
      </c>
      <c r="AH534" t="s">
        <v>237</v>
      </c>
      <c r="AI534" t="s">
        <v>237</v>
      </c>
      <c r="AJ534">
        <v>-1.8609872233260069E-3</v>
      </c>
      <c r="AK534">
        <v>0</v>
      </c>
      <c r="AL534">
        <v>1.8609872233260069E-3</v>
      </c>
      <c r="AM534" t="s">
        <v>44</v>
      </c>
      <c r="AN534" t="s">
        <v>146</v>
      </c>
      <c r="AO534" t="s">
        <v>146</v>
      </c>
      <c r="AP534" t="s">
        <v>157</v>
      </c>
    </row>
    <row r="535" spans="1:42" x14ac:dyDescent="0.2">
      <c r="A535">
        <v>533</v>
      </c>
      <c r="B535">
        <v>338</v>
      </c>
      <c r="C535">
        <v>50</v>
      </c>
      <c r="F535" t="s">
        <v>151</v>
      </c>
      <c r="G535" t="s">
        <v>1348</v>
      </c>
      <c r="I535">
        <v>3.9852877323979324E-5</v>
      </c>
      <c r="J535">
        <v>3.5855469997882139</v>
      </c>
      <c r="K535">
        <v>3.5855469997882139</v>
      </c>
      <c r="L535" s="1"/>
      <c r="M535" s="1"/>
      <c r="N535" s="1">
        <v>43021</v>
      </c>
      <c r="R535">
        <v>-6.3422342820841898E-3</v>
      </c>
      <c r="S535">
        <v>-6.3422342820841898E-3</v>
      </c>
      <c r="T535" t="s">
        <v>30</v>
      </c>
      <c r="U535" t="s">
        <v>30</v>
      </c>
      <c r="W535" t="s">
        <v>1349</v>
      </c>
      <c r="Z535" t="s">
        <v>31</v>
      </c>
      <c r="AA535">
        <v>8.1952468178818939E-3</v>
      </c>
      <c r="AC535" t="s">
        <v>146</v>
      </c>
      <c r="AD535" t="s">
        <v>146</v>
      </c>
      <c r="AE535" t="s">
        <v>177</v>
      </c>
      <c r="AF535">
        <v>3.072356713430644</v>
      </c>
      <c r="AG535">
        <v>3.072356713430644</v>
      </c>
      <c r="AH535" t="s">
        <v>237</v>
      </c>
      <c r="AI535" t="s">
        <v>237</v>
      </c>
      <c r="AJ535">
        <v>-6.2837283442141846E-3</v>
      </c>
      <c r="AK535">
        <v>0</v>
      </c>
      <c r="AL535">
        <v>6.2837283442141846E-3</v>
      </c>
      <c r="AM535" t="s">
        <v>177</v>
      </c>
      <c r="AN535" t="s">
        <v>146</v>
      </c>
      <c r="AO535" t="s">
        <v>146</v>
      </c>
      <c r="AP535" t="s">
        <v>31</v>
      </c>
    </row>
    <row r="536" spans="1:42" x14ac:dyDescent="0.2">
      <c r="A536">
        <v>534</v>
      </c>
      <c r="B536">
        <v>339</v>
      </c>
      <c r="C536">
        <v>50</v>
      </c>
      <c r="F536" t="s">
        <v>151</v>
      </c>
      <c r="G536" t="s">
        <v>1350</v>
      </c>
      <c r="I536">
        <v>1.3528655475578068E-4</v>
      </c>
      <c r="J536">
        <v>4.3571668981294067</v>
      </c>
      <c r="K536">
        <v>4.3571668981294067</v>
      </c>
      <c r="L536" s="1"/>
      <c r="M536" s="1"/>
      <c r="N536" s="1">
        <v>43021</v>
      </c>
      <c r="R536">
        <v>-1.4232779868552651E-2</v>
      </c>
      <c r="S536">
        <v>-1.4232779868552651E-2</v>
      </c>
      <c r="T536" t="s">
        <v>30</v>
      </c>
      <c r="U536" t="s">
        <v>30</v>
      </c>
      <c r="W536" t="s">
        <v>1351</v>
      </c>
      <c r="Z536" t="s">
        <v>145</v>
      </c>
      <c r="AA536">
        <v>2.7819991473925811E-2</v>
      </c>
      <c r="AC536" t="s">
        <v>150</v>
      </c>
      <c r="AD536" t="s">
        <v>150</v>
      </c>
      <c r="AE536" t="s">
        <v>43</v>
      </c>
      <c r="AF536">
        <v>2.6138752666658127</v>
      </c>
      <c r="AG536">
        <v>2.6138752666658127</v>
      </c>
      <c r="AH536" t="s">
        <v>237</v>
      </c>
      <c r="AI536" t="s">
        <v>237</v>
      </c>
      <c r="AJ536">
        <v>-9.5052797840776363E-3</v>
      </c>
      <c r="AK536">
        <v>0</v>
      </c>
      <c r="AL536">
        <v>9.5052797840776363E-3</v>
      </c>
      <c r="AM536" t="s">
        <v>43</v>
      </c>
      <c r="AN536" t="s">
        <v>150</v>
      </c>
      <c r="AO536" t="s">
        <v>150</v>
      </c>
      <c r="AP536" t="s">
        <v>145</v>
      </c>
    </row>
    <row r="537" spans="1:42" x14ac:dyDescent="0.2">
      <c r="A537">
        <v>535</v>
      </c>
      <c r="B537">
        <v>340</v>
      </c>
      <c r="C537">
        <v>50</v>
      </c>
      <c r="F537" t="s">
        <v>151</v>
      </c>
      <c r="G537" t="s">
        <v>1352</v>
      </c>
      <c r="I537">
        <v>3.9677751299977424E-4</v>
      </c>
      <c r="J537">
        <v>15.041094331860034</v>
      </c>
      <c r="K537">
        <v>15.041094331860034</v>
      </c>
      <c r="L537" s="1"/>
      <c r="M537" s="1"/>
      <c r="N537" s="1">
        <v>43021</v>
      </c>
      <c r="R537">
        <v>-5.7640013070179061E-2</v>
      </c>
      <c r="S537">
        <v>-5.7640013070179061E-2</v>
      </c>
      <c r="T537" t="s">
        <v>30</v>
      </c>
      <c r="U537" t="s">
        <v>30</v>
      </c>
      <c r="W537" t="s">
        <v>1353</v>
      </c>
      <c r="Z537" t="s">
        <v>145</v>
      </c>
      <c r="AA537">
        <v>8.159234336793951E-2</v>
      </c>
      <c r="AC537" t="s">
        <v>150</v>
      </c>
      <c r="AD537" t="s">
        <v>150</v>
      </c>
      <c r="AE537" t="s">
        <v>43</v>
      </c>
      <c r="AF537">
        <v>4.154148208806598</v>
      </c>
      <c r="AG537">
        <v>4.154148208806598</v>
      </c>
      <c r="AH537" t="s">
        <v>237</v>
      </c>
      <c r="AI537" t="s">
        <v>237</v>
      </c>
      <c r="AJ537">
        <v>-6.8837165688474334E-3</v>
      </c>
      <c r="AK537">
        <v>0</v>
      </c>
      <c r="AL537">
        <v>6.8837165688474334E-3</v>
      </c>
      <c r="AM537" t="s">
        <v>43</v>
      </c>
      <c r="AN537" t="s">
        <v>150</v>
      </c>
      <c r="AO537" t="s">
        <v>150</v>
      </c>
      <c r="AP537" t="s">
        <v>145</v>
      </c>
    </row>
    <row r="538" spans="1:42" x14ac:dyDescent="0.2">
      <c r="A538">
        <v>536</v>
      </c>
      <c r="B538">
        <v>342</v>
      </c>
      <c r="C538">
        <v>50</v>
      </c>
      <c r="F538" t="s">
        <v>151</v>
      </c>
      <c r="G538" t="s">
        <v>1354</v>
      </c>
      <c r="I538">
        <v>1.2445357751142397E-5</v>
      </c>
      <c r="J538">
        <v>4.5479520036213383</v>
      </c>
      <c r="K538">
        <v>4.5479520036213383</v>
      </c>
      <c r="L538" s="1"/>
      <c r="M538" s="1"/>
      <c r="N538" s="1">
        <v>43021</v>
      </c>
      <c r="R538">
        <v>-6.9156101787817168E-3</v>
      </c>
      <c r="S538">
        <v>-6.9156101787817168E-3</v>
      </c>
      <c r="T538" t="s">
        <v>30</v>
      </c>
      <c r="U538" t="s">
        <v>30</v>
      </c>
      <c r="W538" t="s">
        <v>1355</v>
      </c>
      <c r="Z538" t="s">
        <v>147</v>
      </c>
      <c r="AA538">
        <v>2.5592324910021697E-3</v>
      </c>
      <c r="AC538" t="s">
        <v>54</v>
      </c>
      <c r="AD538" t="s">
        <v>54</v>
      </c>
      <c r="AE538" t="s">
        <v>177</v>
      </c>
      <c r="AF538">
        <v>2.8350859424547838</v>
      </c>
      <c r="AG538">
        <v>2.8350859424547838</v>
      </c>
      <c r="AH538" t="s">
        <v>237</v>
      </c>
      <c r="AI538" t="s">
        <v>237</v>
      </c>
      <c r="AJ538">
        <v>-1.7996037123849025E-3</v>
      </c>
      <c r="AK538">
        <v>0</v>
      </c>
      <c r="AL538">
        <v>1.7996037123849025E-3</v>
      </c>
      <c r="AM538" t="s">
        <v>177</v>
      </c>
      <c r="AN538" t="s">
        <v>54</v>
      </c>
      <c r="AO538" t="s">
        <v>54</v>
      </c>
      <c r="AP538" t="s">
        <v>147</v>
      </c>
    </row>
    <row r="539" spans="1:42" x14ac:dyDescent="0.2">
      <c r="A539">
        <v>537</v>
      </c>
      <c r="B539">
        <v>343</v>
      </c>
      <c r="C539">
        <v>50</v>
      </c>
      <c r="F539" t="s">
        <v>151</v>
      </c>
      <c r="G539" t="s">
        <v>1356</v>
      </c>
      <c r="I539">
        <v>2.2368612739725034E-4</v>
      </c>
      <c r="J539">
        <v>13.995507913829933</v>
      </c>
      <c r="K539">
        <v>13.995507913829933</v>
      </c>
      <c r="L539" s="1"/>
      <c r="M539" s="1"/>
      <c r="N539" s="1">
        <v>43021</v>
      </c>
      <c r="R539">
        <v>-2.9268604772464353E-2</v>
      </c>
      <c r="S539">
        <v>-2.9268604772464353E-2</v>
      </c>
      <c r="T539" t="s">
        <v>30</v>
      </c>
      <c r="U539" t="s">
        <v>30</v>
      </c>
      <c r="W539" t="s">
        <v>1357</v>
      </c>
      <c r="Z539" t="s">
        <v>147</v>
      </c>
      <c r="AA539">
        <v>4.5998260272505656E-2</v>
      </c>
      <c r="AC539" t="s">
        <v>54</v>
      </c>
      <c r="AD539" t="s">
        <v>54</v>
      </c>
      <c r="AE539" t="s">
        <v>177</v>
      </c>
      <c r="AF539">
        <v>4.7008033529093645</v>
      </c>
      <c r="AG539">
        <v>4.7008033529093645</v>
      </c>
      <c r="AH539" t="s">
        <v>237</v>
      </c>
      <c r="AI539" t="s">
        <v>237</v>
      </c>
      <c r="AJ539">
        <v>-7.6425278600123873E-3</v>
      </c>
      <c r="AK539">
        <v>0</v>
      </c>
      <c r="AL539">
        <v>7.6425278600123873E-3</v>
      </c>
      <c r="AM539" t="s">
        <v>177</v>
      </c>
      <c r="AN539" t="s">
        <v>54</v>
      </c>
      <c r="AO539" t="s">
        <v>54</v>
      </c>
      <c r="AP539" t="s">
        <v>147</v>
      </c>
    </row>
    <row r="540" spans="1:42" x14ac:dyDescent="0.2">
      <c r="A540">
        <v>538</v>
      </c>
      <c r="B540">
        <v>344</v>
      </c>
      <c r="C540">
        <v>50</v>
      </c>
      <c r="F540" t="s">
        <v>151</v>
      </c>
      <c r="G540" t="s">
        <v>1358</v>
      </c>
      <c r="I540">
        <v>1.8863030422176699E-4</v>
      </c>
      <c r="J540">
        <v>13.502420840017708</v>
      </c>
      <c r="K540">
        <v>13.502420840017708</v>
      </c>
      <c r="L540" s="1"/>
      <c r="M540" s="1"/>
      <c r="N540" s="1">
        <v>43021</v>
      </c>
      <c r="R540">
        <v>-3.5730833057163375E-2</v>
      </c>
      <c r="S540">
        <v>-3.5730833057163375E-2</v>
      </c>
      <c r="T540" t="s">
        <v>30</v>
      </c>
      <c r="U540" t="s">
        <v>30</v>
      </c>
      <c r="W540" t="s">
        <v>1359</v>
      </c>
      <c r="Z540" t="s">
        <v>157</v>
      </c>
      <c r="AA540">
        <v>3.8789467768225214E-2</v>
      </c>
      <c r="AC540" t="s">
        <v>146</v>
      </c>
      <c r="AD540" t="s">
        <v>146</v>
      </c>
      <c r="AE540" t="s">
        <v>177</v>
      </c>
      <c r="AF540">
        <v>5.2903096501534925</v>
      </c>
      <c r="AG540">
        <v>5.2903096501534925</v>
      </c>
      <c r="AH540" t="s">
        <v>237</v>
      </c>
      <c r="AI540" t="s">
        <v>237</v>
      </c>
      <c r="AJ540">
        <v>-5.2792025285273913E-3</v>
      </c>
      <c r="AK540">
        <v>0</v>
      </c>
      <c r="AL540">
        <v>5.2792025285273913E-3</v>
      </c>
      <c r="AM540" t="s">
        <v>177</v>
      </c>
      <c r="AN540" t="s">
        <v>146</v>
      </c>
      <c r="AO540" t="s">
        <v>146</v>
      </c>
      <c r="AP540" t="s">
        <v>157</v>
      </c>
    </row>
    <row r="541" spans="1:42" x14ac:dyDescent="0.2">
      <c r="A541">
        <v>539</v>
      </c>
      <c r="B541">
        <v>346</v>
      </c>
      <c r="C541">
        <v>50</v>
      </c>
      <c r="F541" t="s">
        <v>151</v>
      </c>
      <c r="G541" t="s">
        <v>1360</v>
      </c>
      <c r="I541">
        <v>1.3196510785615466E-5</v>
      </c>
      <c r="J541">
        <v>12.740837865081668</v>
      </c>
      <c r="K541">
        <v>12.740837865081668</v>
      </c>
      <c r="L541" s="1"/>
      <c r="M541" s="1"/>
      <c r="N541" s="1">
        <v>43021</v>
      </c>
      <c r="R541">
        <v>-5.021406859100427E-3</v>
      </c>
      <c r="S541">
        <v>-5.021406859100427E-3</v>
      </c>
      <c r="T541" t="s">
        <v>30</v>
      </c>
      <c r="U541" t="s">
        <v>30</v>
      </c>
      <c r="W541" t="s">
        <v>1361</v>
      </c>
      <c r="Z541" t="s">
        <v>145</v>
      </c>
      <c r="AA541">
        <v>2.7136977373999191E-3</v>
      </c>
      <c r="AC541" t="s">
        <v>146</v>
      </c>
      <c r="AD541" t="s">
        <v>146</v>
      </c>
      <c r="AE541" t="s">
        <v>177</v>
      </c>
      <c r="AF541">
        <v>5.6722598714709687</v>
      </c>
      <c r="AG541">
        <v>5.6722598714709687</v>
      </c>
      <c r="AH541" t="s">
        <v>237</v>
      </c>
      <c r="AI541" t="s">
        <v>237</v>
      </c>
      <c r="AJ541">
        <v>-2.6280504957886621E-3</v>
      </c>
      <c r="AK541">
        <v>0</v>
      </c>
      <c r="AL541">
        <v>2.6280504957886621E-3</v>
      </c>
      <c r="AM541" t="s">
        <v>177</v>
      </c>
      <c r="AN541" t="s">
        <v>146</v>
      </c>
      <c r="AO541" t="s">
        <v>146</v>
      </c>
      <c r="AP541" t="s">
        <v>145</v>
      </c>
    </row>
    <row r="542" spans="1:42" x14ac:dyDescent="0.2">
      <c r="A542">
        <v>540</v>
      </c>
      <c r="B542">
        <v>347</v>
      </c>
      <c r="C542">
        <v>50</v>
      </c>
      <c r="F542" t="s">
        <v>151</v>
      </c>
      <c r="G542" t="s">
        <v>1362</v>
      </c>
      <c r="I542">
        <v>3.109904652725781E-5</v>
      </c>
      <c r="J542">
        <v>4.5222490599752838</v>
      </c>
      <c r="K542">
        <v>4.5222490599752838</v>
      </c>
      <c r="L542" s="1"/>
      <c r="M542" s="1"/>
      <c r="N542" s="1">
        <v>43021</v>
      </c>
      <c r="R542">
        <v>-5.0777149339554968E-3</v>
      </c>
      <c r="S542">
        <v>-5.0777149339554968E-3</v>
      </c>
      <c r="T542" t="s">
        <v>30</v>
      </c>
      <c r="U542" t="s">
        <v>30</v>
      </c>
      <c r="W542" t="s">
        <v>1363</v>
      </c>
      <c r="Z542" t="s">
        <v>31</v>
      </c>
      <c r="AA542">
        <v>6.3951307711054431E-3</v>
      </c>
      <c r="AC542" t="s">
        <v>54</v>
      </c>
      <c r="AD542" t="s">
        <v>54</v>
      </c>
      <c r="AE542" t="s">
        <v>43</v>
      </c>
      <c r="AF542">
        <v>2.8060460869249693</v>
      </c>
      <c r="AG542">
        <v>2.8060460869249693</v>
      </c>
      <c r="AH542" t="s">
        <v>237</v>
      </c>
      <c r="AI542" t="s">
        <v>237</v>
      </c>
      <c r="AJ542">
        <v>-6.124614503128855E-3</v>
      </c>
      <c r="AK542">
        <v>0</v>
      </c>
      <c r="AL542">
        <v>6.124614503128855E-3</v>
      </c>
      <c r="AM542" t="s">
        <v>43</v>
      </c>
      <c r="AN542" t="s">
        <v>54</v>
      </c>
      <c r="AO542" t="s">
        <v>54</v>
      </c>
      <c r="AP542" t="s">
        <v>31</v>
      </c>
    </row>
    <row r="543" spans="1:42" x14ac:dyDescent="0.2">
      <c r="A543">
        <v>541</v>
      </c>
      <c r="B543">
        <v>349</v>
      </c>
      <c r="C543">
        <v>50</v>
      </c>
      <c r="F543" t="s">
        <v>151</v>
      </c>
      <c r="G543" t="s">
        <v>1364</v>
      </c>
      <c r="I543">
        <v>2.4433851181154922E-5</v>
      </c>
      <c r="J543">
        <v>4.4285499227674139</v>
      </c>
      <c r="K543">
        <v>4.4285499227674139</v>
      </c>
      <c r="L543" s="1"/>
      <c r="M543" s="1"/>
      <c r="N543" s="1">
        <v>43021</v>
      </c>
      <c r="R543">
        <v>-6.3267722131668458E-3</v>
      </c>
      <c r="S543">
        <v>-6.3267722131668458E-3</v>
      </c>
      <c r="T543" t="s">
        <v>30</v>
      </c>
      <c r="U543" t="s">
        <v>30</v>
      </c>
      <c r="W543" t="s">
        <v>1365</v>
      </c>
      <c r="Z543" t="s">
        <v>145</v>
      </c>
      <c r="AA543">
        <v>5.0245165364879467E-3</v>
      </c>
      <c r="AC543" t="s">
        <v>146</v>
      </c>
      <c r="AD543" t="s">
        <v>146</v>
      </c>
      <c r="AE543" t="s">
        <v>177</v>
      </c>
      <c r="AF543">
        <v>4.2682838447686411</v>
      </c>
      <c r="AG543">
        <v>4.2682838447686411</v>
      </c>
      <c r="AH543" t="s">
        <v>237</v>
      </c>
      <c r="AI543" t="s">
        <v>237</v>
      </c>
      <c r="AJ543">
        <v>-3.8619773808680614E-3</v>
      </c>
      <c r="AK543">
        <v>0</v>
      </c>
      <c r="AL543">
        <v>3.8619773808680614E-3</v>
      </c>
      <c r="AM543" t="s">
        <v>177</v>
      </c>
      <c r="AN543" t="s">
        <v>146</v>
      </c>
      <c r="AO543" t="s">
        <v>146</v>
      </c>
      <c r="AP543" t="s">
        <v>145</v>
      </c>
    </row>
    <row r="544" spans="1:42" x14ac:dyDescent="0.2">
      <c r="A544">
        <v>542</v>
      </c>
      <c r="B544">
        <v>353</v>
      </c>
      <c r="C544">
        <v>50</v>
      </c>
      <c r="F544" t="s">
        <v>151</v>
      </c>
      <c r="G544" t="s">
        <v>1366</v>
      </c>
      <c r="I544">
        <v>1.2702815761029126E-5</v>
      </c>
      <c r="J544">
        <v>4.7529922537278182</v>
      </c>
      <c r="K544">
        <v>4.7529922537278182</v>
      </c>
      <c r="L544" s="1"/>
      <c r="M544" s="1"/>
      <c r="N544" s="1">
        <v>43021</v>
      </c>
      <c r="R544">
        <v>-2.0398172402633983E-3</v>
      </c>
      <c r="S544">
        <v>-2.0398172402633983E-3</v>
      </c>
      <c r="T544" t="s">
        <v>30</v>
      </c>
      <c r="U544" t="s">
        <v>30</v>
      </c>
      <c r="W544" t="s">
        <v>1367</v>
      </c>
      <c r="Z544" t="s">
        <v>31</v>
      </c>
      <c r="AA544">
        <v>2.6121755174017434E-3</v>
      </c>
      <c r="AC544" t="s">
        <v>55</v>
      </c>
      <c r="AD544" t="s">
        <v>55</v>
      </c>
      <c r="AE544" t="s">
        <v>41</v>
      </c>
      <c r="AF544">
        <v>2.8221476606511677</v>
      </c>
      <c r="AG544">
        <v>2.8221476606511677</v>
      </c>
      <c r="AH544" t="s">
        <v>237</v>
      </c>
      <c r="AI544" t="s">
        <v>237</v>
      </c>
      <c r="AJ544">
        <v>-6.227428374607144E-3</v>
      </c>
      <c r="AK544">
        <v>0</v>
      </c>
      <c r="AL544">
        <v>6.227428374607144E-3</v>
      </c>
      <c r="AM544" t="s">
        <v>41</v>
      </c>
      <c r="AN544" t="s">
        <v>55</v>
      </c>
      <c r="AO544" t="s">
        <v>55</v>
      </c>
      <c r="AP544" t="s">
        <v>31</v>
      </c>
    </row>
    <row r="545" spans="1:42" x14ac:dyDescent="0.2">
      <c r="A545">
        <v>543</v>
      </c>
      <c r="B545">
        <v>354</v>
      </c>
      <c r="C545">
        <v>50</v>
      </c>
      <c r="F545" t="s">
        <v>151</v>
      </c>
      <c r="G545" t="s">
        <v>1368</v>
      </c>
      <c r="I545">
        <v>3.0227418079176473E-5</v>
      </c>
      <c r="J545">
        <v>4.8618862989655733</v>
      </c>
      <c r="K545">
        <v>4.8618862989655733</v>
      </c>
      <c r="L545" s="1"/>
      <c r="M545" s="1"/>
      <c r="N545" s="1">
        <v>43021</v>
      </c>
      <c r="R545">
        <v>-2.5445832777935802E-3</v>
      </c>
      <c r="S545">
        <v>-2.5445832777935802E-3</v>
      </c>
      <c r="T545" t="s">
        <v>30</v>
      </c>
      <c r="U545" t="s">
        <v>30</v>
      </c>
      <c r="W545" t="s">
        <v>1369</v>
      </c>
      <c r="Z545" t="s">
        <v>147</v>
      </c>
      <c r="AA545">
        <v>6.215891259552889E-3</v>
      </c>
      <c r="AC545" t="s">
        <v>54</v>
      </c>
      <c r="AD545" t="s">
        <v>54</v>
      </c>
      <c r="AE545" t="s">
        <v>41</v>
      </c>
      <c r="AF545">
        <v>2.9209717648199804</v>
      </c>
      <c r="AG545">
        <v>2.9209717648199804</v>
      </c>
      <c r="AH545" t="s">
        <v>237</v>
      </c>
      <c r="AI545" t="s">
        <v>237</v>
      </c>
      <c r="AJ545">
        <v>-1.1879123133036858E-2</v>
      </c>
      <c r="AK545">
        <v>0</v>
      </c>
      <c r="AL545">
        <v>1.1879123133036858E-2</v>
      </c>
      <c r="AM545" t="s">
        <v>41</v>
      </c>
      <c r="AN545" t="s">
        <v>54</v>
      </c>
      <c r="AO545" t="s">
        <v>54</v>
      </c>
      <c r="AP545" t="s">
        <v>147</v>
      </c>
    </row>
    <row r="546" spans="1:42" x14ac:dyDescent="0.2">
      <c r="A546">
        <v>544</v>
      </c>
      <c r="B546">
        <v>355</v>
      </c>
      <c r="C546">
        <v>50</v>
      </c>
      <c r="F546" t="s">
        <v>151</v>
      </c>
      <c r="G546" t="s">
        <v>1370</v>
      </c>
      <c r="I546">
        <v>1.5233792439182402E-5</v>
      </c>
      <c r="J546">
        <v>4.9130470419186949</v>
      </c>
      <c r="K546">
        <v>4.9130470419186949</v>
      </c>
      <c r="L546" s="1"/>
      <c r="M546" s="1"/>
      <c r="N546" s="1">
        <v>43021</v>
      </c>
      <c r="R546">
        <v>-4.2746728617748392E-3</v>
      </c>
      <c r="S546">
        <v>-4.2746728617748392E-3</v>
      </c>
      <c r="T546" t="s">
        <v>30</v>
      </c>
      <c r="U546" t="s">
        <v>30</v>
      </c>
      <c r="W546" t="s">
        <v>1371</v>
      </c>
      <c r="Z546" t="s">
        <v>31</v>
      </c>
      <c r="AA546">
        <v>3.132639282141976E-3</v>
      </c>
      <c r="AC546" t="s">
        <v>54</v>
      </c>
      <c r="AD546" t="s">
        <v>54</v>
      </c>
      <c r="AE546" t="s">
        <v>177</v>
      </c>
      <c r="AF546">
        <v>3.3435030737584972</v>
      </c>
      <c r="AG546">
        <v>3.3435030737584972</v>
      </c>
      <c r="AH546" t="s">
        <v>237</v>
      </c>
      <c r="AI546" t="s">
        <v>237</v>
      </c>
      <c r="AJ546">
        <v>-3.5637329292275595E-3</v>
      </c>
      <c r="AK546">
        <v>0</v>
      </c>
      <c r="AL546">
        <v>3.5637329292275595E-3</v>
      </c>
      <c r="AM546" t="s">
        <v>177</v>
      </c>
      <c r="AN546" t="s">
        <v>54</v>
      </c>
      <c r="AO546" t="s">
        <v>54</v>
      </c>
      <c r="AP546" t="s">
        <v>31</v>
      </c>
    </row>
    <row r="547" spans="1:42" x14ac:dyDescent="0.2">
      <c r="A547">
        <v>545</v>
      </c>
      <c r="B547">
        <v>357</v>
      </c>
      <c r="C547">
        <v>50</v>
      </c>
      <c r="F547" t="s">
        <v>151</v>
      </c>
      <c r="G547" t="s">
        <v>1372</v>
      </c>
      <c r="I547">
        <v>2.2863238843517E-5</v>
      </c>
      <c r="J547">
        <v>4.8093883816695531</v>
      </c>
      <c r="K547">
        <v>4.8093883816695531</v>
      </c>
      <c r="L547" s="1"/>
      <c r="M547" s="1"/>
      <c r="N547" s="1">
        <v>43021</v>
      </c>
      <c r="R547">
        <v>-8.5029726263718755E-3</v>
      </c>
      <c r="S547">
        <v>-8.5029726263718755E-3</v>
      </c>
      <c r="T547" t="s">
        <v>30</v>
      </c>
      <c r="U547" t="s">
        <v>30</v>
      </c>
      <c r="W547" t="s">
        <v>1373</v>
      </c>
      <c r="Z547" t="s">
        <v>157</v>
      </c>
      <c r="AA547">
        <v>4.7015397120665778E-3</v>
      </c>
      <c r="AC547" t="s">
        <v>149</v>
      </c>
      <c r="AD547" t="s">
        <v>149</v>
      </c>
      <c r="AE547" t="s">
        <v>177</v>
      </c>
      <c r="AF547">
        <v>4.0148238951316841</v>
      </c>
      <c r="AG547">
        <v>4.0148238951316841</v>
      </c>
      <c r="AH547" t="s">
        <v>237</v>
      </c>
      <c r="AI547" t="s">
        <v>237</v>
      </c>
      <c r="AJ547">
        <v>-2.6888524576225165E-3</v>
      </c>
      <c r="AK547">
        <v>0</v>
      </c>
      <c r="AL547">
        <v>2.6888524576225165E-3</v>
      </c>
      <c r="AM547" t="s">
        <v>177</v>
      </c>
      <c r="AN547" t="s">
        <v>149</v>
      </c>
      <c r="AO547" t="s">
        <v>149</v>
      </c>
      <c r="AP547" t="s">
        <v>157</v>
      </c>
    </row>
    <row r="548" spans="1:42" x14ac:dyDescent="0.2">
      <c r="A548">
        <v>546</v>
      </c>
      <c r="B548">
        <v>359</v>
      </c>
      <c r="C548">
        <v>50</v>
      </c>
      <c r="F548" t="s">
        <v>151</v>
      </c>
      <c r="G548" t="s">
        <v>1374</v>
      </c>
      <c r="I548">
        <v>1.9898268629730502E-5</v>
      </c>
      <c r="J548">
        <v>4.8940326647667058</v>
      </c>
      <c r="K548">
        <v>4.8940326647667058</v>
      </c>
      <c r="L548" s="1"/>
      <c r="M548" s="1"/>
      <c r="N548" s="1">
        <v>43021</v>
      </c>
      <c r="R548">
        <v>-3.2503700602543543E-3</v>
      </c>
      <c r="S548">
        <v>-3.2503700602543543E-3</v>
      </c>
      <c r="T548" t="s">
        <v>30</v>
      </c>
      <c r="U548" t="s">
        <v>30</v>
      </c>
      <c r="W548" t="s">
        <v>1375</v>
      </c>
      <c r="Z548" t="s">
        <v>31</v>
      </c>
      <c r="AA548">
        <v>4.0918305933970462E-3</v>
      </c>
      <c r="AC548" t="s">
        <v>148</v>
      </c>
      <c r="AD548" t="s">
        <v>148</v>
      </c>
      <c r="AE548" t="s">
        <v>35</v>
      </c>
      <c r="AF548">
        <v>3.1255939932651664</v>
      </c>
      <c r="AG548">
        <v>3.1255939932651664</v>
      </c>
      <c r="AH548" t="s">
        <v>237</v>
      </c>
      <c r="AI548" t="s">
        <v>237</v>
      </c>
      <c r="AJ548">
        <v>-6.1218471315150451E-3</v>
      </c>
      <c r="AK548">
        <v>0</v>
      </c>
      <c r="AL548">
        <v>6.1218471315150451E-3</v>
      </c>
      <c r="AM548" t="s">
        <v>35</v>
      </c>
      <c r="AN548" t="s">
        <v>148</v>
      </c>
      <c r="AO548" t="s">
        <v>148</v>
      </c>
      <c r="AP548" t="s">
        <v>31</v>
      </c>
    </row>
    <row r="549" spans="1:42" x14ac:dyDescent="0.2">
      <c r="A549">
        <v>547</v>
      </c>
      <c r="B549">
        <v>360</v>
      </c>
      <c r="C549">
        <v>50</v>
      </c>
      <c r="F549" t="s">
        <v>151</v>
      </c>
      <c r="G549" t="s">
        <v>1376</v>
      </c>
      <c r="I549">
        <v>2.2824075948436878E-5</v>
      </c>
      <c r="J549">
        <v>5.036516060892569</v>
      </c>
      <c r="K549">
        <v>5.036516060892569</v>
      </c>
      <c r="L549" s="1"/>
      <c r="M549" s="1"/>
      <c r="N549" s="1">
        <v>43021</v>
      </c>
      <c r="R549">
        <v>-1.3181966058365501E-2</v>
      </c>
      <c r="S549">
        <v>-1.3181966058365501E-2</v>
      </c>
      <c r="T549" t="s">
        <v>30</v>
      </c>
      <c r="U549" t="s">
        <v>30</v>
      </c>
      <c r="W549" t="s">
        <v>1377</v>
      </c>
      <c r="Z549" t="s">
        <v>145</v>
      </c>
      <c r="AA549">
        <v>4.6934863514854763E-3</v>
      </c>
      <c r="AC549" t="s">
        <v>150</v>
      </c>
      <c r="AD549" t="s">
        <v>150</v>
      </c>
      <c r="AE549" t="s">
        <v>35</v>
      </c>
      <c r="AF549">
        <v>2.9535442902761542</v>
      </c>
      <c r="AG549">
        <v>2.9535442902761542</v>
      </c>
      <c r="AH549" t="s">
        <v>237</v>
      </c>
      <c r="AI549" t="s">
        <v>237</v>
      </c>
      <c r="AJ549">
        <v>-1.7314621997492042E-3</v>
      </c>
      <c r="AK549">
        <v>0</v>
      </c>
      <c r="AL549">
        <v>1.7314621997492042E-3</v>
      </c>
      <c r="AM549" t="s">
        <v>35</v>
      </c>
      <c r="AN549" t="s">
        <v>150</v>
      </c>
      <c r="AO549" t="s">
        <v>150</v>
      </c>
      <c r="AP549" t="s">
        <v>145</v>
      </c>
    </row>
    <row r="550" spans="1:42" x14ac:dyDescent="0.2">
      <c r="A550">
        <v>548</v>
      </c>
      <c r="B550">
        <v>361</v>
      </c>
      <c r="C550">
        <v>50</v>
      </c>
      <c r="F550" t="s">
        <v>151</v>
      </c>
      <c r="G550" t="s">
        <v>1378</v>
      </c>
      <c r="I550">
        <v>2.0013391874390167E-4</v>
      </c>
      <c r="J550">
        <v>15.172434919634258</v>
      </c>
      <c r="K550">
        <v>15.172434919634258</v>
      </c>
      <c r="L550" s="1"/>
      <c r="M550" s="1"/>
      <c r="N550" s="1">
        <v>43021</v>
      </c>
      <c r="R550">
        <v>-4.7959981454389761E-2</v>
      </c>
      <c r="S550">
        <v>-4.7959981454389761E-2</v>
      </c>
      <c r="T550" t="s">
        <v>30</v>
      </c>
      <c r="U550" t="s">
        <v>30</v>
      </c>
      <c r="W550" t="s">
        <v>1379</v>
      </c>
      <c r="Z550" t="s">
        <v>145</v>
      </c>
      <c r="AA550">
        <v>4.1155042518079957E-2</v>
      </c>
      <c r="AC550" t="s">
        <v>150</v>
      </c>
      <c r="AD550" t="s">
        <v>150</v>
      </c>
      <c r="AE550" t="s">
        <v>35</v>
      </c>
      <c r="AF550">
        <v>4.1894325073537741</v>
      </c>
      <c r="AG550">
        <v>4.1894325073537741</v>
      </c>
      <c r="AH550" t="s">
        <v>237</v>
      </c>
      <c r="AI550" t="s">
        <v>237</v>
      </c>
      <c r="AJ550">
        <v>-4.1729356991980961E-3</v>
      </c>
      <c r="AK550">
        <v>0</v>
      </c>
      <c r="AL550">
        <v>4.1729356991980961E-3</v>
      </c>
      <c r="AM550" t="s">
        <v>35</v>
      </c>
      <c r="AN550" t="s">
        <v>150</v>
      </c>
      <c r="AO550" t="s">
        <v>150</v>
      </c>
      <c r="AP550" t="s">
        <v>145</v>
      </c>
    </row>
    <row r="551" spans="1:42" x14ac:dyDescent="0.2">
      <c r="A551">
        <v>549</v>
      </c>
      <c r="B551">
        <v>362</v>
      </c>
      <c r="C551">
        <v>50</v>
      </c>
      <c r="F551" t="s">
        <v>151</v>
      </c>
      <c r="G551" t="s">
        <v>1380</v>
      </c>
      <c r="I551">
        <v>2.6365437092214435E-5</v>
      </c>
      <c r="J551">
        <v>4.8427015921820802</v>
      </c>
      <c r="K551">
        <v>4.8427015921820802</v>
      </c>
      <c r="L551" s="1"/>
      <c r="M551" s="1"/>
      <c r="N551" s="1">
        <v>43021</v>
      </c>
      <c r="R551">
        <v>-4.3023528008851166E-3</v>
      </c>
      <c r="S551">
        <v>-4.3023528008851166E-3</v>
      </c>
      <c r="T551" t="s">
        <v>30</v>
      </c>
      <c r="U551" t="s">
        <v>30</v>
      </c>
      <c r="W551" t="s">
        <v>1381</v>
      </c>
      <c r="Z551" t="s">
        <v>31</v>
      </c>
      <c r="AA551">
        <v>5.4217230709720007E-3</v>
      </c>
      <c r="AC551" t="s">
        <v>146</v>
      </c>
      <c r="AD551" t="s">
        <v>146</v>
      </c>
      <c r="AE551" t="s">
        <v>177</v>
      </c>
      <c r="AF551">
        <v>3.6014696862072757</v>
      </c>
      <c r="AG551">
        <v>3.6014696862072757</v>
      </c>
      <c r="AH551" t="s">
        <v>237</v>
      </c>
      <c r="AI551" t="s">
        <v>237</v>
      </c>
      <c r="AJ551">
        <v>-6.1281439046073378E-3</v>
      </c>
      <c r="AK551">
        <v>0</v>
      </c>
      <c r="AL551">
        <v>6.1281439046073378E-3</v>
      </c>
      <c r="AM551" t="s">
        <v>177</v>
      </c>
      <c r="AN551" t="s">
        <v>146</v>
      </c>
      <c r="AO551" t="s">
        <v>146</v>
      </c>
      <c r="AP551" t="s">
        <v>31</v>
      </c>
    </row>
    <row r="552" spans="1:42" x14ac:dyDescent="0.2">
      <c r="A552">
        <v>550</v>
      </c>
      <c r="B552">
        <v>363</v>
      </c>
      <c r="C552">
        <v>50</v>
      </c>
      <c r="F552" t="s">
        <v>151</v>
      </c>
      <c r="G552" t="s">
        <v>1382</v>
      </c>
      <c r="I552">
        <v>3.5857981217498968E-6</v>
      </c>
      <c r="J552">
        <v>4.896280812330664</v>
      </c>
      <c r="K552">
        <v>4.896280812330664</v>
      </c>
      <c r="L552" s="1"/>
      <c r="M552" s="1"/>
      <c r="N552" s="1">
        <v>43021</v>
      </c>
      <c r="R552">
        <v>-2.0799023025916165E-3</v>
      </c>
      <c r="S552">
        <v>-2.0799023025916165E-3</v>
      </c>
      <c r="T552" t="s">
        <v>30</v>
      </c>
      <c r="U552" t="s">
        <v>30</v>
      </c>
      <c r="W552" t="s">
        <v>1383</v>
      </c>
      <c r="Z552" t="s">
        <v>157</v>
      </c>
      <c r="AA552">
        <v>7.3737462938857788E-4</v>
      </c>
      <c r="AC552" t="s">
        <v>149</v>
      </c>
      <c r="AD552" t="s">
        <v>149</v>
      </c>
      <c r="AE552" t="s">
        <v>35</v>
      </c>
      <c r="AF552">
        <v>3.928924462282545</v>
      </c>
      <c r="AG552">
        <v>3.928924462282545</v>
      </c>
      <c r="AH552" t="s">
        <v>237</v>
      </c>
      <c r="AI552" t="s">
        <v>237</v>
      </c>
      <c r="AJ552">
        <v>-1.7240223818599037E-3</v>
      </c>
      <c r="AK552">
        <v>0</v>
      </c>
      <c r="AL552">
        <v>1.7240223818599037E-3</v>
      </c>
      <c r="AM552" t="s">
        <v>35</v>
      </c>
      <c r="AN552" t="s">
        <v>149</v>
      </c>
      <c r="AO552" t="s">
        <v>149</v>
      </c>
      <c r="AP552" t="s">
        <v>157</v>
      </c>
    </row>
    <row r="553" spans="1:42" x14ac:dyDescent="0.2">
      <c r="A553">
        <v>551</v>
      </c>
      <c r="B553">
        <v>364</v>
      </c>
      <c r="C553">
        <v>50</v>
      </c>
      <c r="F553" t="s">
        <v>151</v>
      </c>
      <c r="G553" t="s">
        <v>1384</v>
      </c>
      <c r="I553">
        <v>1.1105894452784271E-5</v>
      </c>
      <c r="J553">
        <v>5.0248571601211767</v>
      </c>
      <c r="K553">
        <v>5.0248571601211767</v>
      </c>
      <c r="L553" s="1"/>
      <c r="M553" s="1"/>
      <c r="N553" s="1">
        <v>43021</v>
      </c>
      <c r="R553">
        <v>-2.9240911351461141E-3</v>
      </c>
      <c r="S553">
        <v>-2.9240911351461141E-3</v>
      </c>
      <c r="T553" t="s">
        <v>30</v>
      </c>
      <c r="U553" t="s">
        <v>30</v>
      </c>
      <c r="W553" t="s">
        <v>1385</v>
      </c>
      <c r="Z553" t="s">
        <v>31</v>
      </c>
      <c r="AA553">
        <v>2.2837885815373427E-3</v>
      </c>
      <c r="AC553" t="s">
        <v>54</v>
      </c>
      <c r="AD553" t="s">
        <v>54</v>
      </c>
      <c r="AE553" t="s">
        <v>89</v>
      </c>
      <c r="AF553">
        <v>3.2491898752215893</v>
      </c>
      <c r="AG553">
        <v>3.2491898752215893</v>
      </c>
      <c r="AH553" t="s">
        <v>237</v>
      </c>
      <c r="AI553" t="s">
        <v>237</v>
      </c>
      <c r="AJ553">
        <v>-3.7980671393230431E-3</v>
      </c>
      <c r="AK553">
        <v>0</v>
      </c>
      <c r="AL553">
        <v>3.7980671393230431E-3</v>
      </c>
      <c r="AM553" t="s">
        <v>89</v>
      </c>
      <c r="AN553" t="s">
        <v>54</v>
      </c>
      <c r="AO553" t="s">
        <v>54</v>
      </c>
      <c r="AP553" t="s">
        <v>31</v>
      </c>
    </row>
    <row r="554" spans="1:42" x14ac:dyDescent="0.2">
      <c r="A554">
        <v>552</v>
      </c>
      <c r="B554">
        <v>367</v>
      </c>
      <c r="C554">
        <v>50</v>
      </c>
      <c r="F554" t="s">
        <v>151</v>
      </c>
      <c r="G554" t="s">
        <v>1386</v>
      </c>
      <c r="I554">
        <v>8.395888497885022E-6</v>
      </c>
      <c r="J554">
        <v>5.0268666412181178</v>
      </c>
      <c r="K554">
        <v>5.0268666412181178</v>
      </c>
      <c r="L554" s="1"/>
      <c r="M554" s="1"/>
      <c r="N554" s="1">
        <v>43021</v>
      </c>
      <c r="R554">
        <v>-4.1261284750293906E-3</v>
      </c>
      <c r="S554">
        <v>-4.1261284750293906E-3</v>
      </c>
      <c r="T554" t="s">
        <v>30</v>
      </c>
      <c r="U554" t="s">
        <v>30</v>
      </c>
      <c r="W554" t="s">
        <v>1387</v>
      </c>
      <c r="Z554" t="s">
        <v>157</v>
      </c>
      <c r="AA554">
        <v>1.7265096804988502E-3</v>
      </c>
      <c r="AC554" t="s">
        <v>146</v>
      </c>
      <c r="AD554" t="s">
        <v>146</v>
      </c>
      <c r="AE554" t="s">
        <v>44</v>
      </c>
      <c r="AF554">
        <v>3.7614330849986879</v>
      </c>
      <c r="AG554">
        <v>3.7614330849986879</v>
      </c>
      <c r="AH554" t="s">
        <v>237</v>
      </c>
      <c r="AI554" t="s">
        <v>237</v>
      </c>
      <c r="AJ554">
        <v>-2.0348102461412616E-3</v>
      </c>
      <c r="AK554">
        <v>0</v>
      </c>
      <c r="AL554">
        <v>2.0348102461412616E-3</v>
      </c>
      <c r="AM554" t="s">
        <v>44</v>
      </c>
      <c r="AN554" t="s">
        <v>146</v>
      </c>
      <c r="AO554" t="s">
        <v>146</v>
      </c>
      <c r="AP554" t="s">
        <v>157</v>
      </c>
    </row>
    <row r="555" spans="1:42" x14ac:dyDescent="0.2">
      <c r="A555">
        <v>553</v>
      </c>
      <c r="B555">
        <v>368</v>
      </c>
      <c r="C555">
        <v>50</v>
      </c>
      <c r="F555" t="s">
        <v>151</v>
      </c>
      <c r="G555" t="s">
        <v>1388</v>
      </c>
      <c r="I555">
        <v>5.1343355889801352E-5</v>
      </c>
      <c r="J555">
        <v>5.1738590621387184</v>
      </c>
      <c r="K555">
        <v>5.1738590621387184</v>
      </c>
      <c r="L555" s="1"/>
      <c r="M555" s="1"/>
      <c r="N555" s="1">
        <v>43021</v>
      </c>
      <c r="R555">
        <v>-6.9052616868133659E-3</v>
      </c>
      <c r="S555">
        <v>-6.9052616868133659E-3</v>
      </c>
      <c r="T555" t="s">
        <v>30</v>
      </c>
      <c r="U555" t="s">
        <v>30</v>
      </c>
      <c r="W555" t="s">
        <v>1389</v>
      </c>
      <c r="Z555" t="s">
        <v>31</v>
      </c>
      <c r="AA555">
        <v>1.0558120322270822E-2</v>
      </c>
      <c r="AC555" t="s">
        <v>54</v>
      </c>
      <c r="AD555" t="s">
        <v>54</v>
      </c>
      <c r="AE555" t="s">
        <v>35</v>
      </c>
      <c r="AF555">
        <v>3.0124023063971177</v>
      </c>
      <c r="AG555">
        <v>3.0124023063971177</v>
      </c>
      <c r="AH555" t="s">
        <v>237</v>
      </c>
      <c r="AI555" t="s">
        <v>237</v>
      </c>
      <c r="AJ555">
        <v>-7.435396110743956E-3</v>
      </c>
      <c r="AK555">
        <v>0</v>
      </c>
      <c r="AL555">
        <v>7.435396110743956E-3</v>
      </c>
      <c r="AM555" t="s">
        <v>35</v>
      </c>
      <c r="AN555" t="s">
        <v>54</v>
      </c>
      <c r="AO555" t="s">
        <v>54</v>
      </c>
      <c r="AP555" t="s">
        <v>31</v>
      </c>
    </row>
    <row r="556" spans="1:42" x14ac:dyDescent="0.2">
      <c r="A556">
        <v>554</v>
      </c>
      <c r="B556">
        <v>370</v>
      </c>
      <c r="C556">
        <v>50</v>
      </c>
      <c r="F556" t="s">
        <v>151</v>
      </c>
      <c r="G556" t="s">
        <v>1390</v>
      </c>
      <c r="I556">
        <v>5.6664343509386954E-6</v>
      </c>
      <c r="J556">
        <v>1.0745655834919303</v>
      </c>
      <c r="K556">
        <v>1.0745655834919303</v>
      </c>
      <c r="L556" s="1"/>
      <c r="M556" s="1"/>
      <c r="N556" s="1">
        <v>43021</v>
      </c>
      <c r="R556">
        <v>-2.1893388330577763E-3</v>
      </c>
      <c r="S556">
        <v>-2.1893388330577763E-3</v>
      </c>
      <c r="T556" t="s">
        <v>30</v>
      </c>
      <c r="U556" t="s">
        <v>30</v>
      </c>
      <c r="W556" t="s">
        <v>1391</v>
      </c>
      <c r="Z556" t="s">
        <v>145</v>
      </c>
      <c r="AA556">
        <v>1.165231501498777E-3</v>
      </c>
      <c r="AC556" t="s">
        <v>150</v>
      </c>
      <c r="AD556" t="s">
        <v>150</v>
      </c>
      <c r="AE556" t="s">
        <v>35</v>
      </c>
      <c r="AF556">
        <v>1.9972816389225192</v>
      </c>
      <c r="AG556">
        <v>1.9972816389225192</v>
      </c>
      <c r="AH556" t="s">
        <v>237</v>
      </c>
      <c r="AI556" t="s">
        <v>237</v>
      </c>
      <c r="AJ556">
        <v>-2.5881943285245511E-3</v>
      </c>
      <c r="AK556">
        <v>0</v>
      </c>
      <c r="AL556">
        <v>2.5881943285245511E-3</v>
      </c>
      <c r="AM556" t="s">
        <v>35</v>
      </c>
      <c r="AN556" t="s">
        <v>150</v>
      </c>
      <c r="AO556" t="s">
        <v>150</v>
      </c>
      <c r="AP556" t="s">
        <v>145</v>
      </c>
    </row>
    <row r="557" spans="1:42" x14ac:dyDescent="0.2">
      <c r="A557">
        <v>555</v>
      </c>
      <c r="B557">
        <v>371</v>
      </c>
      <c r="C557">
        <v>50</v>
      </c>
      <c r="F557" t="s">
        <v>151</v>
      </c>
      <c r="G557" t="s">
        <v>1392</v>
      </c>
      <c r="I557">
        <v>8.5860266730924506E-5</v>
      </c>
      <c r="J557">
        <v>5.3552701640632785</v>
      </c>
      <c r="K557">
        <v>5.3552701640632785</v>
      </c>
      <c r="L557" s="1"/>
      <c r="M557" s="1"/>
      <c r="N557" s="1">
        <v>43021</v>
      </c>
      <c r="R557">
        <v>-1.5476486683887672E-2</v>
      </c>
      <c r="S557">
        <v>-1.5476486683887672E-2</v>
      </c>
      <c r="T557" t="s">
        <v>30</v>
      </c>
      <c r="U557" t="s">
        <v>30</v>
      </c>
      <c r="W557" t="s">
        <v>1393</v>
      </c>
      <c r="Z557" t="s">
        <v>145</v>
      </c>
      <c r="AA557">
        <v>1.7656092231155378E-2</v>
      </c>
      <c r="AC557" t="s">
        <v>150</v>
      </c>
      <c r="AD557" t="s">
        <v>150</v>
      </c>
      <c r="AE557" t="s">
        <v>35</v>
      </c>
      <c r="AF557">
        <v>2.9215386836614239</v>
      </c>
      <c r="AG557">
        <v>2.9215386836614239</v>
      </c>
      <c r="AH557" t="s">
        <v>237</v>
      </c>
      <c r="AI557" t="s">
        <v>237</v>
      </c>
      <c r="AJ557">
        <v>-5.5477879756981466E-3</v>
      </c>
      <c r="AK557">
        <v>0</v>
      </c>
      <c r="AL557">
        <v>5.5477879756981466E-3</v>
      </c>
      <c r="AM557" t="s">
        <v>35</v>
      </c>
      <c r="AN557" t="s">
        <v>150</v>
      </c>
      <c r="AO557" t="s">
        <v>150</v>
      </c>
      <c r="AP557" t="s">
        <v>145</v>
      </c>
    </row>
    <row r="558" spans="1:42" x14ac:dyDescent="0.2">
      <c r="A558">
        <v>556</v>
      </c>
      <c r="B558">
        <v>372</v>
      </c>
      <c r="C558">
        <v>50</v>
      </c>
      <c r="F558" t="s">
        <v>151</v>
      </c>
      <c r="G558" t="s">
        <v>1394</v>
      </c>
      <c r="I558">
        <v>1.9750525109178888E-4</v>
      </c>
      <c r="J558">
        <v>14.802959041495278</v>
      </c>
      <c r="K558">
        <v>14.802959041495278</v>
      </c>
      <c r="L558" s="1"/>
      <c r="M558" s="1"/>
      <c r="N558" s="1">
        <v>43021</v>
      </c>
      <c r="R558">
        <v>-4.846414983260644E-2</v>
      </c>
      <c r="S558">
        <v>-4.846414983260644E-2</v>
      </c>
      <c r="T558" t="s">
        <v>30</v>
      </c>
      <c r="U558" t="s">
        <v>30</v>
      </c>
      <c r="W558" t="s">
        <v>1395</v>
      </c>
      <c r="Z558" t="s">
        <v>145</v>
      </c>
      <c r="AA558">
        <v>4.0614489823826073E-2</v>
      </c>
      <c r="AC558" t="s">
        <v>150</v>
      </c>
      <c r="AD558" t="s">
        <v>150</v>
      </c>
      <c r="AE558" t="s">
        <v>35</v>
      </c>
      <c r="AF558">
        <v>4.1861816085377432</v>
      </c>
      <c r="AG558">
        <v>4.1861816085377432</v>
      </c>
      <c r="AH558" t="s">
        <v>237</v>
      </c>
      <c r="AI558" t="s">
        <v>237</v>
      </c>
      <c r="AJ558">
        <v>-4.0752855827238367E-3</v>
      </c>
      <c r="AK558">
        <v>0</v>
      </c>
      <c r="AL558">
        <v>4.0752855827238367E-3</v>
      </c>
      <c r="AM558" t="s">
        <v>35</v>
      </c>
      <c r="AN558" t="s">
        <v>150</v>
      </c>
      <c r="AO558" t="s">
        <v>150</v>
      </c>
      <c r="AP558" t="s">
        <v>145</v>
      </c>
    </row>
    <row r="559" spans="1:42" x14ac:dyDescent="0.2">
      <c r="A559">
        <v>557</v>
      </c>
      <c r="B559">
        <v>446</v>
      </c>
      <c r="C559">
        <v>50</v>
      </c>
      <c r="F559" t="s">
        <v>151</v>
      </c>
      <c r="G559" t="s">
        <v>1396</v>
      </c>
      <c r="I559">
        <v>-8.1492000958790795E-6</v>
      </c>
      <c r="J559">
        <v>1.2236049251280969</v>
      </c>
      <c r="K559">
        <v>1.2236049251280969</v>
      </c>
      <c r="L559" s="1"/>
      <c r="M559" s="1"/>
      <c r="N559" s="1">
        <v>43021</v>
      </c>
      <c r="R559">
        <v>1.0344072065102078E-3</v>
      </c>
      <c r="S559">
        <v>1.0344072065102078E-3</v>
      </c>
      <c r="T559" t="s">
        <v>30</v>
      </c>
      <c r="U559" t="s">
        <v>30</v>
      </c>
      <c r="W559" t="s">
        <v>1397</v>
      </c>
      <c r="Z559" t="s">
        <v>145</v>
      </c>
      <c r="AA559">
        <v>-1.6757812895444753E-3</v>
      </c>
      <c r="AC559" t="s">
        <v>146</v>
      </c>
      <c r="AD559" t="s">
        <v>146</v>
      </c>
      <c r="AE559" t="s">
        <v>41</v>
      </c>
      <c r="AF559">
        <v>5.5643381405761252</v>
      </c>
      <c r="AG559">
        <v>5.5643381405761252</v>
      </c>
      <c r="AH559" t="s">
        <v>237</v>
      </c>
      <c r="AI559" t="s">
        <v>237</v>
      </c>
      <c r="AJ559">
        <v>-7.878135462118574E-3</v>
      </c>
      <c r="AK559">
        <v>0</v>
      </c>
      <c r="AL559">
        <v>7.878135462118574E-3</v>
      </c>
      <c r="AM559" t="s">
        <v>41</v>
      </c>
      <c r="AN559" t="s">
        <v>146</v>
      </c>
      <c r="AO559" t="s">
        <v>146</v>
      </c>
      <c r="AP559" t="s">
        <v>145</v>
      </c>
    </row>
    <row r="560" spans="1:42" x14ac:dyDescent="0.2">
      <c r="A560">
        <v>558</v>
      </c>
      <c r="B560">
        <v>373</v>
      </c>
      <c r="C560">
        <v>50</v>
      </c>
      <c r="F560" t="s">
        <v>151</v>
      </c>
      <c r="G560" t="s">
        <v>1398</v>
      </c>
      <c r="I560">
        <v>2.4680693863513572E-5</v>
      </c>
      <c r="J560">
        <v>5.1705216138540315</v>
      </c>
      <c r="K560">
        <v>5.1705216138540315</v>
      </c>
      <c r="L560" s="1"/>
      <c r="M560" s="1"/>
      <c r="N560" s="1">
        <v>43021</v>
      </c>
      <c r="R560">
        <v>-8.4677373631889871E-3</v>
      </c>
      <c r="S560">
        <v>-8.4677373631889871E-3</v>
      </c>
      <c r="T560" t="s">
        <v>30</v>
      </c>
      <c r="U560" t="s">
        <v>30</v>
      </c>
      <c r="W560" t="s">
        <v>1399</v>
      </c>
      <c r="Z560" t="s">
        <v>157</v>
      </c>
      <c r="AA560">
        <v>5.0752766532712826E-3</v>
      </c>
      <c r="AC560" t="s">
        <v>149</v>
      </c>
      <c r="AD560" t="s">
        <v>149</v>
      </c>
      <c r="AE560" t="s">
        <v>177</v>
      </c>
      <c r="AF560">
        <v>4.1124740827390109</v>
      </c>
      <c r="AG560">
        <v>4.1124740827390109</v>
      </c>
      <c r="AH560" t="s">
        <v>237</v>
      </c>
      <c r="AI560" t="s">
        <v>237</v>
      </c>
      <c r="AJ560">
        <v>-2.914673991992911E-3</v>
      </c>
      <c r="AK560">
        <v>0</v>
      </c>
      <c r="AL560">
        <v>2.914673991992911E-3</v>
      </c>
      <c r="AM560" t="s">
        <v>177</v>
      </c>
      <c r="AN560" t="s">
        <v>149</v>
      </c>
      <c r="AO560" t="s">
        <v>149</v>
      </c>
      <c r="AP560" t="s">
        <v>157</v>
      </c>
    </row>
    <row r="561" spans="1:42" x14ac:dyDescent="0.2">
      <c r="A561">
        <v>559</v>
      </c>
      <c r="B561">
        <v>374</v>
      </c>
      <c r="C561">
        <v>50</v>
      </c>
      <c r="F561" t="s">
        <v>151</v>
      </c>
      <c r="G561" t="s">
        <v>1400</v>
      </c>
      <c r="I561">
        <v>-3.4436719941202528E-6</v>
      </c>
      <c r="J561">
        <v>12.434709659444716</v>
      </c>
      <c r="K561">
        <v>12.434709659444716</v>
      </c>
      <c r="L561" s="1"/>
      <c r="M561" s="1"/>
      <c r="N561" s="1">
        <v>43021</v>
      </c>
      <c r="R561">
        <v>7.6070993971223797E-4</v>
      </c>
      <c r="S561">
        <v>7.6070993971223797E-4</v>
      </c>
      <c r="T561" t="s">
        <v>30</v>
      </c>
      <c r="U561" t="s">
        <v>30</v>
      </c>
      <c r="W561" t="s">
        <v>1401</v>
      </c>
      <c r="Z561" t="s">
        <v>145</v>
      </c>
      <c r="AA561">
        <v>-7.0814816511785669E-4</v>
      </c>
      <c r="AC561" t="s">
        <v>54</v>
      </c>
      <c r="AD561" t="s">
        <v>54</v>
      </c>
      <c r="AE561" t="s">
        <v>41</v>
      </c>
      <c r="AF561">
        <v>6.088910063934347</v>
      </c>
      <c r="AG561">
        <v>6.088910063934347</v>
      </c>
      <c r="AH561" t="s">
        <v>237</v>
      </c>
      <c r="AI561" t="s">
        <v>237</v>
      </c>
      <c r="AJ561">
        <v>-4.5269186247558803E-3</v>
      </c>
      <c r="AK561">
        <v>0</v>
      </c>
      <c r="AL561">
        <v>4.5269186247558803E-3</v>
      </c>
      <c r="AM561" t="s">
        <v>41</v>
      </c>
      <c r="AN561" t="s">
        <v>54</v>
      </c>
      <c r="AO561" t="s">
        <v>54</v>
      </c>
      <c r="AP561" t="s">
        <v>145</v>
      </c>
    </row>
    <row r="562" spans="1:42" x14ac:dyDescent="0.2">
      <c r="A562">
        <v>560</v>
      </c>
      <c r="B562">
        <v>376</v>
      </c>
      <c r="C562">
        <v>50</v>
      </c>
      <c r="F562" t="s">
        <v>151</v>
      </c>
      <c r="G562" t="s">
        <v>1402</v>
      </c>
      <c r="I562">
        <v>-3.7731954481830475E-5</v>
      </c>
      <c r="J562">
        <v>12.548825228185336</v>
      </c>
      <c r="K562">
        <v>12.548825228185336</v>
      </c>
      <c r="L562" s="1"/>
      <c r="M562" s="1"/>
      <c r="N562" s="1">
        <v>43021</v>
      </c>
      <c r="R562">
        <v>1.1852162506892748E-2</v>
      </c>
      <c r="S562">
        <v>1.1852162506892748E-2</v>
      </c>
      <c r="T562" t="s">
        <v>30</v>
      </c>
      <c r="U562" t="s">
        <v>30</v>
      </c>
      <c r="W562" t="s">
        <v>1403</v>
      </c>
      <c r="Z562" t="s">
        <v>145</v>
      </c>
      <c r="AA562">
        <v>-7.7591055066337086E-3</v>
      </c>
      <c r="AC562" t="s">
        <v>146</v>
      </c>
      <c r="AD562" t="s">
        <v>146</v>
      </c>
      <c r="AE562" t="s">
        <v>38</v>
      </c>
      <c r="AF562">
        <v>6.1615786677638411</v>
      </c>
      <c r="AG562">
        <v>6.1615786677638411</v>
      </c>
      <c r="AH562" t="s">
        <v>237</v>
      </c>
      <c r="AI562" t="s">
        <v>237</v>
      </c>
      <c r="AJ562">
        <v>-3.1835502137172915E-3</v>
      </c>
      <c r="AK562">
        <v>0</v>
      </c>
      <c r="AL562">
        <v>3.1835502137172915E-3</v>
      </c>
      <c r="AM562" t="s">
        <v>38</v>
      </c>
      <c r="AN562" t="s">
        <v>146</v>
      </c>
      <c r="AO562" t="s">
        <v>146</v>
      </c>
      <c r="AP562" t="s">
        <v>145</v>
      </c>
    </row>
    <row r="563" spans="1:42" x14ac:dyDescent="0.2">
      <c r="A563">
        <v>561</v>
      </c>
      <c r="B563">
        <v>377</v>
      </c>
      <c r="C563">
        <v>50</v>
      </c>
      <c r="F563" t="s">
        <v>151</v>
      </c>
      <c r="G563" t="s">
        <v>1404</v>
      </c>
      <c r="I563">
        <v>1.003730160727178E-5</v>
      </c>
      <c r="J563">
        <v>5.4738824563616282</v>
      </c>
      <c r="K563">
        <v>5.4738824563616282</v>
      </c>
      <c r="L563" s="1"/>
      <c r="M563" s="1"/>
      <c r="N563" s="1">
        <v>43021</v>
      </c>
      <c r="R563">
        <v>-2.0003086505456865E-3</v>
      </c>
      <c r="S563">
        <v>-2.0003086505456865E-3</v>
      </c>
      <c r="T563" t="s">
        <v>30</v>
      </c>
      <c r="U563" t="s">
        <v>30</v>
      </c>
      <c r="W563" t="s">
        <v>1405</v>
      </c>
      <c r="Z563" t="s">
        <v>31</v>
      </c>
      <c r="AA563">
        <v>2.064045799965877E-3</v>
      </c>
      <c r="AC563" t="s">
        <v>54</v>
      </c>
      <c r="AD563" t="s">
        <v>54</v>
      </c>
      <c r="AE563" t="s">
        <v>89</v>
      </c>
      <c r="AF563">
        <v>3.3197581094447441</v>
      </c>
      <c r="AG563">
        <v>3.3197581094447441</v>
      </c>
      <c r="AH563" t="s">
        <v>237</v>
      </c>
      <c r="AI563" t="s">
        <v>237</v>
      </c>
      <c r="AJ563">
        <v>-5.017876418488513E-3</v>
      </c>
      <c r="AK563">
        <v>0</v>
      </c>
      <c r="AL563">
        <v>5.017876418488513E-3</v>
      </c>
      <c r="AM563" t="s">
        <v>89</v>
      </c>
      <c r="AN563" t="s">
        <v>54</v>
      </c>
      <c r="AO563" t="s">
        <v>54</v>
      </c>
      <c r="AP563" t="s">
        <v>31</v>
      </c>
    </row>
    <row r="564" spans="1:42" x14ac:dyDescent="0.2">
      <c r="A564">
        <v>562</v>
      </c>
      <c r="B564">
        <v>378</v>
      </c>
      <c r="C564">
        <v>50</v>
      </c>
      <c r="F564" t="s">
        <v>151</v>
      </c>
      <c r="G564" t="s">
        <v>1406</v>
      </c>
      <c r="I564">
        <v>-2.5671027008346052E-5</v>
      </c>
      <c r="J564">
        <v>5.6225213124052864</v>
      </c>
      <c r="K564">
        <v>5.6225213124052864</v>
      </c>
      <c r="L564" s="1"/>
      <c r="M564" s="1"/>
      <c r="N564" s="1">
        <v>43021</v>
      </c>
      <c r="R564">
        <v>5.6910702893348576E-3</v>
      </c>
      <c r="S564">
        <v>5.6910702893348576E-3</v>
      </c>
      <c r="T564" t="s">
        <v>30</v>
      </c>
      <c r="U564" t="s">
        <v>30</v>
      </c>
      <c r="W564" t="s">
        <v>1407</v>
      </c>
      <c r="Z564" t="s">
        <v>145</v>
      </c>
      <c r="AA564">
        <v>-5.278926304157292E-3</v>
      </c>
      <c r="AC564" t="s">
        <v>150</v>
      </c>
      <c r="AD564" t="s">
        <v>150</v>
      </c>
      <c r="AE564" t="s">
        <v>41</v>
      </c>
      <c r="AF564">
        <v>3.5771938398958443</v>
      </c>
      <c r="AG564">
        <v>3.5771938398958443</v>
      </c>
      <c r="AH564" t="s">
        <v>237</v>
      </c>
      <c r="AI564" t="s">
        <v>237</v>
      </c>
      <c r="AJ564">
        <v>-4.5107555702578305E-3</v>
      </c>
      <c r="AK564">
        <v>0</v>
      </c>
      <c r="AL564">
        <v>4.5107555702578305E-3</v>
      </c>
      <c r="AM564" t="s">
        <v>41</v>
      </c>
      <c r="AN564" t="s">
        <v>150</v>
      </c>
      <c r="AO564" t="s">
        <v>150</v>
      </c>
      <c r="AP564" t="s">
        <v>145</v>
      </c>
    </row>
    <row r="565" spans="1:42" x14ac:dyDescent="0.2">
      <c r="A565">
        <v>563</v>
      </c>
      <c r="B565">
        <v>379</v>
      </c>
      <c r="C565">
        <v>50</v>
      </c>
      <c r="F565" t="s">
        <v>151</v>
      </c>
      <c r="G565" t="s">
        <v>1408</v>
      </c>
      <c r="I565">
        <v>-2.098836451824944E-5</v>
      </c>
      <c r="J565">
        <v>9.8020585555116089</v>
      </c>
      <c r="K565">
        <v>9.8020585555116089</v>
      </c>
      <c r="L565" s="1"/>
      <c r="M565" s="1"/>
      <c r="N565" s="1">
        <v>43021</v>
      </c>
      <c r="R565">
        <v>2.7747416203994877E-3</v>
      </c>
      <c r="S565">
        <v>2.7747416203994877E-3</v>
      </c>
      <c r="T565" t="s">
        <v>30</v>
      </c>
      <c r="U565" t="s">
        <v>30</v>
      </c>
      <c r="W565" t="s">
        <v>1409</v>
      </c>
      <c r="Z565" t="s">
        <v>147</v>
      </c>
      <c r="AA565">
        <v>-4.3159952073832898E-3</v>
      </c>
      <c r="AC565" t="s">
        <v>54</v>
      </c>
      <c r="AD565" t="s">
        <v>54</v>
      </c>
      <c r="AE565" t="s">
        <v>89</v>
      </c>
      <c r="AF565">
        <v>6.0703003055896936</v>
      </c>
      <c r="AG565">
        <v>6.0703003055896936</v>
      </c>
      <c r="AH565" t="s">
        <v>237</v>
      </c>
      <c r="AI565" t="s">
        <v>237</v>
      </c>
      <c r="AJ565">
        <v>-7.5640788907861212E-3</v>
      </c>
      <c r="AK565">
        <v>0</v>
      </c>
      <c r="AL565">
        <v>7.5640788907861212E-3</v>
      </c>
      <c r="AM565" t="s">
        <v>89</v>
      </c>
      <c r="AN565" t="s">
        <v>54</v>
      </c>
      <c r="AO565" t="s">
        <v>54</v>
      </c>
      <c r="AP565" t="s">
        <v>147</v>
      </c>
    </row>
    <row r="566" spans="1:42" x14ac:dyDescent="0.2">
      <c r="A566">
        <v>564</v>
      </c>
      <c r="B566">
        <v>380</v>
      </c>
      <c r="C566">
        <v>50</v>
      </c>
      <c r="F566" t="s">
        <v>151</v>
      </c>
      <c r="G566" t="s">
        <v>1410</v>
      </c>
      <c r="I566">
        <v>6.4934974135899548E-5</v>
      </c>
      <c r="J566">
        <v>12.260464397282457</v>
      </c>
      <c r="K566">
        <v>12.260464397282457</v>
      </c>
      <c r="L566" s="1"/>
      <c r="M566" s="1"/>
      <c r="N566" s="1">
        <v>43021</v>
      </c>
      <c r="R566">
        <v>-3.3659909745373098E-2</v>
      </c>
      <c r="S566">
        <v>-3.3659909745373098E-2</v>
      </c>
      <c r="T566" t="s">
        <v>30</v>
      </c>
      <c r="U566" t="s">
        <v>30</v>
      </c>
      <c r="W566" t="s">
        <v>1411</v>
      </c>
      <c r="Z566" t="s">
        <v>157</v>
      </c>
      <c r="AA566">
        <v>1.3353066977582477E-2</v>
      </c>
      <c r="AC566" t="s">
        <v>149</v>
      </c>
      <c r="AD566" t="s">
        <v>149</v>
      </c>
      <c r="AE566" t="s">
        <v>177</v>
      </c>
      <c r="AF566">
        <v>6.4373289366475603</v>
      </c>
      <c r="AG566">
        <v>6.4373289366475603</v>
      </c>
      <c r="AH566" t="s">
        <v>237</v>
      </c>
      <c r="AI566" t="s">
        <v>237</v>
      </c>
      <c r="AJ566">
        <v>-1.9291487893791969E-3</v>
      </c>
      <c r="AK566">
        <v>0</v>
      </c>
      <c r="AL566">
        <v>1.9291487893791969E-3</v>
      </c>
      <c r="AM566" t="s">
        <v>177</v>
      </c>
      <c r="AN566" t="s">
        <v>149</v>
      </c>
      <c r="AO566" t="s">
        <v>149</v>
      </c>
      <c r="AP566" t="s">
        <v>157</v>
      </c>
    </row>
    <row r="567" spans="1:42" x14ac:dyDescent="0.2">
      <c r="A567">
        <v>565</v>
      </c>
      <c r="B567">
        <v>381</v>
      </c>
      <c r="C567">
        <v>50</v>
      </c>
      <c r="F567" t="s">
        <v>151</v>
      </c>
      <c r="G567" t="s">
        <v>1412</v>
      </c>
      <c r="I567">
        <v>6.2077098360190173E-5</v>
      </c>
      <c r="J567">
        <v>5.1319434092658147</v>
      </c>
      <c r="K567">
        <v>5.1319434092658147</v>
      </c>
      <c r="L567" s="1"/>
      <c r="M567" s="1"/>
      <c r="N567" s="1">
        <v>43021</v>
      </c>
      <c r="R567">
        <v>-1.4104155008910184E-2</v>
      </c>
      <c r="S567">
        <v>-1.4104155008910184E-2</v>
      </c>
      <c r="T567" t="s">
        <v>30</v>
      </c>
      <c r="U567" t="s">
        <v>30</v>
      </c>
      <c r="W567" t="s">
        <v>1413</v>
      </c>
      <c r="Z567" t="s">
        <v>157</v>
      </c>
      <c r="AA567">
        <v>1.2765380493457736E-2</v>
      </c>
      <c r="AC567" t="s">
        <v>149</v>
      </c>
      <c r="AD567" t="s">
        <v>149</v>
      </c>
      <c r="AE567" t="s">
        <v>177</v>
      </c>
      <c r="AF567">
        <v>4.4384833935248098</v>
      </c>
      <c r="AG567">
        <v>4.4384833935248098</v>
      </c>
      <c r="AH567" t="s">
        <v>237</v>
      </c>
      <c r="AI567" t="s">
        <v>237</v>
      </c>
      <c r="AJ567">
        <v>-4.4013340977161327E-3</v>
      </c>
      <c r="AK567">
        <v>0</v>
      </c>
      <c r="AL567">
        <v>4.4013340977161327E-3</v>
      </c>
      <c r="AM567" t="s">
        <v>177</v>
      </c>
      <c r="AN567" t="s">
        <v>149</v>
      </c>
      <c r="AO567" t="s">
        <v>149</v>
      </c>
      <c r="AP567" t="s">
        <v>157</v>
      </c>
    </row>
    <row r="568" spans="1:42" x14ac:dyDescent="0.2">
      <c r="A568">
        <v>566</v>
      </c>
      <c r="B568">
        <v>382</v>
      </c>
      <c r="C568">
        <v>50</v>
      </c>
      <c r="F568" t="s">
        <v>151</v>
      </c>
      <c r="G568" t="s">
        <v>1414</v>
      </c>
      <c r="I568">
        <v>5.6862633699054762E-6</v>
      </c>
      <c r="J568">
        <v>5.4528463411331574</v>
      </c>
      <c r="K568">
        <v>5.4528463411331574</v>
      </c>
      <c r="L568" s="1"/>
      <c r="M568" s="1"/>
      <c r="N568" s="1">
        <v>43021</v>
      </c>
      <c r="R568">
        <v>-2.5234683200174679E-3</v>
      </c>
      <c r="S568">
        <v>-2.5234683200174679E-3</v>
      </c>
      <c r="T568" t="s">
        <v>30</v>
      </c>
      <c r="U568" t="s">
        <v>30</v>
      </c>
      <c r="W568" t="s">
        <v>1415</v>
      </c>
      <c r="Z568" t="s">
        <v>157</v>
      </c>
      <c r="AA568">
        <v>1.1693090917632937E-3</v>
      </c>
      <c r="AC568" t="s">
        <v>149</v>
      </c>
      <c r="AD568" t="s">
        <v>149</v>
      </c>
      <c r="AE568" t="s">
        <v>177</v>
      </c>
      <c r="AF568">
        <v>3.909834854935216</v>
      </c>
      <c r="AG568">
        <v>3.909834854935216</v>
      </c>
      <c r="AH568" t="s">
        <v>237</v>
      </c>
      <c r="AI568" t="s">
        <v>237</v>
      </c>
      <c r="AJ568">
        <v>-2.2533523899622861E-3</v>
      </c>
      <c r="AK568">
        <v>0</v>
      </c>
      <c r="AL568">
        <v>2.2533523899622861E-3</v>
      </c>
      <c r="AM568" t="s">
        <v>177</v>
      </c>
      <c r="AN568" t="s">
        <v>149</v>
      </c>
      <c r="AO568" t="s">
        <v>149</v>
      </c>
      <c r="AP568" t="s">
        <v>157</v>
      </c>
    </row>
    <row r="569" spans="1:42" x14ac:dyDescent="0.2">
      <c r="A569">
        <v>567</v>
      </c>
      <c r="B569">
        <v>383</v>
      </c>
      <c r="C569">
        <v>50</v>
      </c>
      <c r="F569" t="s">
        <v>151</v>
      </c>
      <c r="G569" t="s">
        <v>1416</v>
      </c>
      <c r="I569">
        <v>2.7807994557932288E-4</v>
      </c>
      <c r="J569">
        <v>14.435332280929336</v>
      </c>
      <c r="K569">
        <v>14.435332280929336</v>
      </c>
      <c r="L569" s="1"/>
      <c r="M569" s="1"/>
      <c r="N569" s="1">
        <v>43021</v>
      </c>
      <c r="R569">
        <v>-4.7520592602962972E-2</v>
      </c>
      <c r="S569">
        <v>-4.7520592602962972E-2</v>
      </c>
      <c r="T569" t="s">
        <v>30</v>
      </c>
      <c r="U569" t="s">
        <v>30</v>
      </c>
      <c r="W569" t="s">
        <v>1417</v>
      </c>
      <c r="Z569" t="s">
        <v>145</v>
      </c>
      <c r="AA569">
        <v>5.7183670092359681E-2</v>
      </c>
      <c r="AC569" t="s">
        <v>148</v>
      </c>
      <c r="AD569" t="s">
        <v>148</v>
      </c>
      <c r="AE569" t="s">
        <v>43</v>
      </c>
      <c r="AF569">
        <v>4.998885652853069</v>
      </c>
      <c r="AG569">
        <v>4.998885652853069</v>
      </c>
      <c r="AH569" t="s">
        <v>237</v>
      </c>
      <c r="AI569" t="s">
        <v>237</v>
      </c>
      <c r="AJ569">
        <v>-5.8517777314499274E-3</v>
      </c>
      <c r="AK569">
        <v>0</v>
      </c>
      <c r="AL569">
        <v>5.8517777314499274E-3</v>
      </c>
      <c r="AM569" t="s">
        <v>43</v>
      </c>
      <c r="AN569" t="s">
        <v>148</v>
      </c>
      <c r="AO569" t="s">
        <v>148</v>
      </c>
      <c r="AP569" t="s">
        <v>145</v>
      </c>
    </row>
    <row r="570" spans="1:42" x14ac:dyDescent="0.2">
      <c r="A570">
        <v>568</v>
      </c>
      <c r="B570">
        <v>385</v>
      </c>
      <c r="C570">
        <v>50</v>
      </c>
      <c r="F570" t="s">
        <v>151</v>
      </c>
      <c r="G570" t="s">
        <v>1418</v>
      </c>
      <c r="I570">
        <v>-1.5492881674726464E-6</v>
      </c>
      <c r="J570">
        <v>5.6807515619282949</v>
      </c>
      <c r="K570">
        <v>5.6807515619282949</v>
      </c>
      <c r="L570" s="1"/>
      <c r="M570" s="1"/>
      <c r="N570" s="1">
        <v>43021</v>
      </c>
      <c r="R570">
        <v>2.6132390900173851E-4</v>
      </c>
      <c r="S570">
        <v>2.6132390900173851E-4</v>
      </c>
      <c r="T570" t="s">
        <v>30</v>
      </c>
      <c r="U570" t="s">
        <v>30</v>
      </c>
      <c r="W570" t="s">
        <v>1419</v>
      </c>
      <c r="Z570" t="s">
        <v>145</v>
      </c>
      <c r="AA570">
        <v>-3.185917749738652E-4</v>
      </c>
      <c r="AC570" t="s">
        <v>148</v>
      </c>
      <c r="AD570" t="s">
        <v>148</v>
      </c>
      <c r="AE570" t="s">
        <v>41</v>
      </c>
      <c r="AF570">
        <v>3.8479564972013951</v>
      </c>
      <c r="AG570">
        <v>3.8479564972013951</v>
      </c>
      <c r="AH570" t="s">
        <v>237</v>
      </c>
      <c r="AI570" t="s">
        <v>237</v>
      </c>
      <c r="AJ570">
        <v>-5.9286124005681375E-3</v>
      </c>
      <c r="AK570">
        <v>0</v>
      </c>
      <c r="AL570">
        <v>5.9286124005681375E-3</v>
      </c>
      <c r="AM570" t="s">
        <v>41</v>
      </c>
      <c r="AN570" t="s">
        <v>148</v>
      </c>
      <c r="AO570" t="s">
        <v>148</v>
      </c>
      <c r="AP570" t="s">
        <v>145</v>
      </c>
    </row>
    <row r="571" spans="1:42" x14ac:dyDescent="0.2">
      <c r="A571">
        <v>569</v>
      </c>
      <c r="B571">
        <v>386</v>
      </c>
      <c r="C571">
        <v>50</v>
      </c>
      <c r="F571" t="s">
        <v>151</v>
      </c>
      <c r="G571" t="s">
        <v>1420</v>
      </c>
      <c r="I571">
        <v>1.1884973396933464E-4</v>
      </c>
      <c r="J571">
        <v>14.646460032439768</v>
      </c>
      <c r="K571">
        <v>14.646460032439768</v>
      </c>
      <c r="L571" s="1"/>
      <c r="M571" s="1"/>
      <c r="N571" s="1">
        <v>43021</v>
      </c>
      <c r="R571">
        <v>-4.0429747564482407E-2</v>
      </c>
      <c r="S571">
        <v>-4.0429747564482407E-2</v>
      </c>
      <c r="T571" t="s">
        <v>30</v>
      </c>
      <c r="U571" t="s">
        <v>30</v>
      </c>
      <c r="W571" t="s">
        <v>1421</v>
      </c>
      <c r="Z571" t="s">
        <v>145</v>
      </c>
      <c r="AA571">
        <v>2.4439964427166855E-2</v>
      </c>
      <c r="AC571" t="s">
        <v>54</v>
      </c>
      <c r="AD571" t="s">
        <v>54</v>
      </c>
      <c r="AE571" t="s">
        <v>35</v>
      </c>
      <c r="AF571">
        <v>4.8485007342365369</v>
      </c>
      <c r="AG571">
        <v>4.8485007342365369</v>
      </c>
      <c r="AH571" t="s">
        <v>237</v>
      </c>
      <c r="AI571" t="s">
        <v>237</v>
      </c>
      <c r="AJ571">
        <v>-2.9396605501871673E-3</v>
      </c>
      <c r="AK571">
        <v>0</v>
      </c>
      <c r="AL571">
        <v>2.9396605501871673E-3</v>
      </c>
      <c r="AM571" t="s">
        <v>35</v>
      </c>
      <c r="AN571" t="s">
        <v>54</v>
      </c>
      <c r="AO571" t="s">
        <v>54</v>
      </c>
      <c r="AP571" t="s">
        <v>145</v>
      </c>
    </row>
    <row r="572" spans="1:42" x14ac:dyDescent="0.2">
      <c r="A572">
        <v>570</v>
      </c>
      <c r="B572">
        <v>387</v>
      </c>
      <c r="C572">
        <v>50</v>
      </c>
      <c r="F572" t="s">
        <v>151</v>
      </c>
      <c r="G572" t="s">
        <v>1422</v>
      </c>
      <c r="I572">
        <v>8.7534670976958245E-5</v>
      </c>
      <c r="J572">
        <v>5.8050809470574656</v>
      </c>
      <c r="K572">
        <v>5.8050809470574656</v>
      </c>
      <c r="L572" s="1"/>
      <c r="M572" s="1"/>
      <c r="N572" s="1">
        <v>43021</v>
      </c>
      <c r="R572">
        <v>-1.824120595112708E-2</v>
      </c>
      <c r="S572">
        <v>-1.824120595112708E-2</v>
      </c>
      <c r="T572" t="s">
        <v>30</v>
      </c>
      <c r="U572" t="s">
        <v>30</v>
      </c>
      <c r="W572" t="s">
        <v>1423</v>
      </c>
      <c r="Z572" t="s">
        <v>145</v>
      </c>
      <c r="AA572">
        <v>1.8000412566111453E-2</v>
      </c>
      <c r="AC572" t="s">
        <v>54</v>
      </c>
      <c r="AD572" t="s">
        <v>54</v>
      </c>
      <c r="AE572" t="s">
        <v>35</v>
      </c>
      <c r="AF572">
        <v>3.3457042697817214</v>
      </c>
      <c r="AG572">
        <v>3.3457042697817214</v>
      </c>
      <c r="AH572" t="s">
        <v>237</v>
      </c>
      <c r="AI572" t="s">
        <v>237</v>
      </c>
      <c r="AJ572">
        <v>-4.7987326721427477E-3</v>
      </c>
      <c r="AK572">
        <v>0</v>
      </c>
      <c r="AL572">
        <v>4.7987326721427477E-3</v>
      </c>
      <c r="AM572" t="s">
        <v>35</v>
      </c>
      <c r="AN572" t="s">
        <v>54</v>
      </c>
      <c r="AO572" t="s">
        <v>54</v>
      </c>
      <c r="AP572" t="s">
        <v>145</v>
      </c>
    </row>
    <row r="573" spans="1:42" x14ac:dyDescent="0.2">
      <c r="A573">
        <v>571</v>
      </c>
      <c r="B573">
        <v>388</v>
      </c>
      <c r="C573">
        <v>50</v>
      </c>
      <c r="F573" t="s">
        <v>151</v>
      </c>
      <c r="G573" t="s">
        <v>1424</v>
      </c>
      <c r="I573">
        <v>2.8485079075982872E-5</v>
      </c>
      <c r="J573">
        <v>5.5506743363745477</v>
      </c>
      <c r="K573">
        <v>5.5506743363745477</v>
      </c>
      <c r="L573" s="1"/>
      <c r="M573" s="1"/>
      <c r="N573" s="1">
        <v>43021</v>
      </c>
      <c r="R573">
        <v>-4.5712982725998287E-3</v>
      </c>
      <c r="S573">
        <v>-4.5712982725998287E-3</v>
      </c>
      <c r="T573" t="s">
        <v>30</v>
      </c>
      <c r="U573" t="s">
        <v>30</v>
      </c>
      <c r="W573" t="s">
        <v>1425</v>
      </c>
      <c r="Z573" t="s">
        <v>31</v>
      </c>
      <c r="AA573">
        <v>5.8576009896806475E-3</v>
      </c>
      <c r="AC573" t="s">
        <v>54</v>
      </c>
      <c r="AD573" t="s">
        <v>54</v>
      </c>
      <c r="AE573" t="s">
        <v>89</v>
      </c>
      <c r="AF573">
        <v>3.5892485546033961</v>
      </c>
      <c r="AG573">
        <v>3.5892485546033961</v>
      </c>
      <c r="AH573" t="s">
        <v>237</v>
      </c>
      <c r="AI573" t="s">
        <v>237</v>
      </c>
      <c r="AJ573">
        <v>-6.2312886574742345E-3</v>
      </c>
      <c r="AK573">
        <v>0</v>
      </c>
      <c r="AL573">
        <v>6.2312886574742345E-3</v>
      </c>
      <c r="AM573" t="s">
        <v>89</v>
      </c>
      <c r="AN573" t="s">
        <v>54</v>
      </c>
      <c r="AO573" t="s">
        <v>54</v>
      </c>
      <c r="AP573" t="s">
        <v>31</v>
      </c>
    </row>
    <row r="574" spans="1:42" x14ac:dyDescent="0.2">
      <c r="A574">
        <v>572</v>
      </c>
      <c r="B574">
        <v>389</v>
      </c>
      <c r="C574">
        <v>50</v>
      </c>
      <c r="F574" t="s">
        <v>151</v>
      </c>
      <c r="G574" t="s">
        <v>1426</v>
      </c>
      <c r="I574">
        <v>3.0069807510691729E-5</v>
      </c>
      <c r="J574">
        <v>5.9699162911269728</v>
      </c>
      <c r="K574">
        <v>5.9699162911269728</v>
      </c>
      <c r="L574" s="1"/>
      <c r="M574" s="1"/>
      <c r="N574" s="1">
        <v>43021</v>
      </c>
      <c r="R574">
        <v>-6.5121544953057418E-3</v>
      </c>
      <c r="S574">
        <v>-6.5121544953057418E-3</v>
      </c>
      <c r="T574" t="s">
        <v>30</v>
      </c>
      <c r="U574" t="s">
        <v>30</v>
      </c>
      <c r="W574" t="s">
        <v>1427</v>
      </c>
      <c r="Z574" t="s">
        <v>31</v>
      </c>
      <c r="AA574">
        <v>6.1834806132816354E-3</v>
      </c>
      <c r="AC574" t="s">
        <v>54</v>
      </c>
      <c r="AD574" t="s">
        <v>54</v>
      </c>
      <c r="AE574" t="s">
        <v>89</v>
      </c>
      <c r="AF574">
        <v>3.5489119697024538</v>
      </c>
      <c r="AG574">
        <v>3.5489119697024538</v>
      </c>
      <c r="AH574" t="s">
        <v>237</v>
      </c>
      <c r="AI574" t="s">
        <v>237</v>
      </c>
      <c r="AJ574">
        <v>-4.6174898848556833E-3</v>
      </c>
      <c r="AK574">
        <v>0</v>
      </c>
      <c r="AL574">
        <v>4.6174898848556833E-3</v>
      </c>
      <c r="AM574" t="s">
        <v>89</v>
      </c>
      <c r="AN574" t="s">
        <v>54</v>
      </c>
      <c r="AO574" t="s">
        <v>54</v>
      </c>
      <c r="AP574" t="s">
        <v>31</v>
      </c>
    </row>
    <row r="575" spans="1:42" x14ac:dyDescent="0.2">
      <c r="A575">
        <v>573</v>
      </c>
      <c r="B575">
        <v>391</v>
      </c>
      <c r="C575">
        <v>50</v>
      </c>
      <c r="F575" t="s">
        <v>151</v>
      </c>
      <c r="G575" t="s">
        <v>1428</v>
      </c>
      <c r="I575">
        <v>1.7769184291444842E-4</v>
      </c>
      <c r="J575">
        <v>6.1502216829880805</v>
      </c>
      <c r="K575">
        <v>6.1502216829880805</v>
      </c>
      <c r="L575" s="1"/>
      <c r="M575" s="1"/>
      <c r="N575" s="1">
        <v>43021</v>
      </c>
      <c r="R575">
        <v>-1.2089169078629142E-2</v>
      </c>
      <c r="S575">
        <v>-1.2089169078629142E-2</v>
      </c>
      <c r="T575" t="s">
        <v>30</v>
      </c>
      <c r="U575" t="s">
        <v>30</v>
      </c>
      <c r="W575" t="s">
        <v>1429</v>
      </c>
      <c r="Z575" t="s">
        <v>143</v>
      </c>
      <c r="AA575">
        <v>3.6540109723319662E-2</v>
      </c>
      <c r="AC575" t="s">
        <v>146</v>
      </c>
      <c r="AD575" t="s">
        <v>146</v>
      </c>
      <c r="AE575" t="s">
        <v>175</v>
      </c>
      <c r="AF575">
        <v>3.9964240380075049</v>
      </c>
      <c r="AG575">
        <v>3.9964240380075049</v>
      </c>
      <c r="AH575" t="s">
        <v>237</v>
      </c>
      <c r="AI575" t="s">
        <v>237</v>
      </c>
      <c r="AJ575">
        <v>-1.4698433098149529E-2</v>
      </c>
      <c r="AK575">
        <v>0</v>
      </c>
      <c r="AL575">
        <v>1.4698433098149529E-2</v>
      </c>
      <c r="AM575" t="s">
        <v>175</v>
      </c>
      <c r="AN575" t="s">
        <v>146</v>
      </c>
      <c r="AO575" t="s">
        <v>146</v>
      </c>
      <c r="AP575" t="s">
        <v>143</v>
      </c>
    </row>
    <row r="576" spans="1:42" x14ac:dyDescent="0.2">
      <c r="A576">
        <v>574</v>
      </c>
      <c r="B576">
        <v>392</v>
      </c>
      <c r="C576">
        <v>50</v>
      </c>
      <c r="F576" t="s">
        <v>151</v>
      </c>
      <c r="G576" t="s">
        <v>1430</v>
      </c>
      <c r="I576">
        <v>1.5020853574402637E-5</v>
      </c>
      <c r="J576">
        <v>13.620821622553914</v>
      </c>
      <c r="K576">
        <v>13.620821622553914</v>
      </c>
      <c r="L576" s="1"/>
      <c r="M576" s="1"/>
      <c r="N576" s="1">
        <v>43021</v>
      </c>
      <c r="R576">
        <v>-3.3285285587448471E-3</v>
      </c>
      <c r="S576">
        <v>-3.3285285587448471E-3</v>
      </c>
      <c r="T576" t="s">
        <v>30</v>
      </c>
      <c r="U576" t="s">
        <v>30</v>
      </c>
      <c r="W576" t="s">
        <v>1431</v>
      </c>
      <c r="Z576" t="s">
        <v>145</v>
      </c>
      <c r="AA576">
        <v>3.0888510622901627E-3</v>
      </c>
      <c r="AC576" t="s">
        <v>146</v>
      </c>
      <c r="AD576" t="s">
        <v>146</v>
      </c>
      <c r="AE576" t="s">
        <v>177</v>
      </c>
      <c r="AF576">
        <v>5.5977107889730213</v>
      </c>
      <c r="AG576">
        <v>5.5977107889730213</v>
      </c>
      <c r="AH576" t="s">
        <v>237</v>
      </c>
      <c r="AI576" t="s">
        <v>237</v>
      </c>
      <c r="AJ576">
        <v>-4.5127609120069684E-3</v>
      </c>
      <c r="AK576">
        <v>0</v>
      </c>
      <c r="AL576">
        <v>4.5127609120069684E-3</v>
      </c>
      <c r="AM576" t="s">
        <v>177</v>
      </c>
      <c r="AN576" t="s">
        <v>146</v>
      </c>
      <c r="AO576" t="s">
        <v>146</v>
      </c>
      <c r="AP576" t="s">
        <v>145</v>
      </c>
    </row>
    <row r="577" spans="1:43" x14ac:dyDescent="0.2">
      <c r="A577">
        <v>575</v>
      </c>
      <c r="B577">
        <v>393</v>
      </c>
      <c r="C577">
        <v>50</v>
      </c>
      <c r="F577" t="s">
        <v>151</v>
      </c>
      <c r="G577" t="s">
        <v>1432</v>
      </c>
      <c r="I577">
        <v>2.9525842179479657E-5</v>
      </c>
      <c r="J577">
        <v>5.6807025498001762</v>
      </c>
      <c r="K577">
        <v>5.6807025498001762</v>
      </c>
      <c r="L577" s="1"/>
      <c r="M577" s="1"/>
      <c r="N577" s="1">
        <v>43021</v>
      </c>
      <c r="R577">
        <v>-4.768961453095447E-3</v>
      </c>
      <c r="S577">
        <v>-4.768961453095447E-3</v>
      </c>
      <c r="T577" t="s">
        <v>30</v>
      </c>
      <c r="U577" t="s">
        <v>30</v>
      </c>
      <c r="W577" t="s">
        <v>1433</v>
      </c>
      <c r="Z577" t="s">
        <v>31</v>
      </c>
      <c r="AA577">
        <v>6.071620932149616E-3</v>
      </c>
      <c r="AC577" t="s">
        <v>146</v>
      </c>
      <c r="AD577" t="s">
        <v>146</v>
      </c>
      <c r="AE577" t="s">
        <v>177</v>
      </c>
      <c r="AF577">
        <v>3.7992475170436131</v>
      </c>
      <c r="AG577">
        <v>3.7992475170436131</v>
      </c>
      <c r="AH577" t="s">
        <v>237</v>
      </c>
      <c r="AI577" t="s">
        <v>237</v>
      </c>
      <c r="AJ577">
        <v>-6.1912520094527003E-3</v>
      </c>
      <c r="AK577">
        <v>0</v>
      </c>
      <c r="AL577">
        <v>6.1912520094527003E-3</v>
      </c>
      <c r="AM577" t="s">
        <v>177</v>
      </c>
      <c r="AN577" t="s">
        <v>146</v>
      </c>
      <c r="AO577" t="s">
        <v>146</v>
      </c>
      <c r="AP577" t="s">
        <v>31</v>
      </c>
    </row>
    <row r="578" spans="1:43" x14ac:dyDescent="0.2">
      <c r="A578">
        <v>576</v>
      </c>
      <c r="B578">
        <v>394</v>
      </c>
      <c r="C578">
        <v>50</v>
      </c>
      <c r="F578" t="s">
        <v>151</v>
      </c>
      <c r="G578" t="s">
        <v>1434</v>
      </c>
      <c r="I578">
        <v>-8.0365468913947877E-6</v>
      </c>
      <c r="J578">
        <v>1.849438959313334</v>
      </c>
      <c r="K578">
        <v>1.849438959313334</v>
      </c>
      <c r="L578" s="1"/>
      <c r="M578" s="1"/>
      <c r="N578" s="1">
        <v>43021</v>
      </c>
      <c r="R578">
        <v>8.8557737858711871E-4</v>
      </c>
      <c r="S578">
        <v>8.8557737858711871E-4</v>
      </c>
      <c r="T578" t="s">
        <v>30</v>
      </c>
      <c r="U578" t="s">
        <v>30</v>
      </c>
      <c r="W578" t="s">
        <v>1435</v>
      </c>
      <c r="Z578" t="s">
        <v>31</v>
      </c>
      <c r="AA578">
        <v>-1.6526155640670178E-3</v>
      </c>
      <c r="AC578" t="s">
        <v>148</v>
      </c>
      <c r="AD578" t="s">
        <v>148</v>
      </c>
      <c r="AE578" t="s">
        <v>41</v>
      </c>
      <c r="AF578">
        <v>2.1941587379847731</v>
      </c>
      <c r="AG578">
        <v>2.1941587379847731</v>
      </c>
      <c r="AH578" t="s">
        <v>237</v>
      </c>
      <c r="AI578" t="s">
        <v>237</v>
      </c>
      <c r="AJ578">
        <v>-9.0749234180039443E-3</v>
      </c>
      <c r="AK578">
        <v>0</v>
      </c>
      <c r="AL578">
        <v>9.0749234180039443E-3</v>
      </c>
      <c r="AM578" t="s">
        <v>41</v>
      </c>
      <c r="AN578" t="s">
        <v>148</v>
      </c>
      <c r="AO578" t="s">
        <v>148</v>
      </c>
      <c r="AP578" t="s">
        <v>31</v>
      </c>
    </row>
    <row r="579" spans="1:43" x14ac:dyDescent="0.2">
      <c r="A579">
        <v>577</v>
      </c>
      <c r="B579">
        <v>395</v>
      </c>
      <c r="C579">
        <v>50</v>
      </c>
      <c r="F579" t="s">
        <v>151</v>
      </c>
      <c r="G579" t="s">
        <v>1436</v>
      </c>
      <c r="I579">
        <v>6.1957063625089379E-6</v>
      </c>
      <c r="J579">
        <v>6.0344613386973869</v>
      </c>
      <c r="K579">
        <v>6.0344613386973869</v>
      </c>
      <c r="L579" s="1"/>
      <c r="M579" s="1"/>
      <c r="N579" s="1">
        <v>43021</v>
      </c>
      <c r="R579">
        <v>-3.532305033743435E-3</v>
      </c>
      <c r="S579">
        <v>-3.532305033743435E-3</v>
      </c>
      <c r="T579" t="s">
        <v>30</v>
      </c>
      <c r="U579" t="s">
        <v>30</v>
      </c>
      <c r="W579" t="s">
        <v>1437</v>
      </c>
      <c r="Z579" t="s">
        <v>145</v>
      </c>
      <c r="AA579">
        <v>1.2740696848337885E-3</v>
      </c>
      <c r="AC579" t="s">
        <v>148</v>
      </c>
      <c r="AD579" t="s">
        <v>148</v>
      </c>
      <c r="AE579" t="s">
        <v>35</v>
      </c>
      <c r="AF579">
        <v>3.6628492034008842</v>
      </c>
      <c r="AG579">
        <v>3.6628492034008842</v>
      </c>
      <c r="AH579" t="s">
        <v>237</v>
      </c>
      <c r="AI579" t="s">
        <v>237</v>
      </c>
      <c r="AJ579">
        <v>-1.7540122677182574E-3</v>
      </c>
      <c r="AK579">
        <v>0</v>
      </c>
      <c r="AL579">
        <v>1.7540122677182574E-3</v>
      </c>
      <c r="AM579" t="s">
        <v>35</v>
      </c>
      <c r="AN579" t="s">
        <v>148</v>
      </c>
      <c r="AO579" t="s">
        <v>148</v>
      </c>
      <c r="AP579" t="s">
        <v>145</v>
      </c>
    </row>
    <row r="580" spans="1:43" x14ac:dyDescent="0.2">
      <c r="A580">
        <v>578</v>
      </c>
      <c r="B580">
        <v>396</v>
      </c>
      <c r="C580">
        <v>50</v>
      </c>
      <c r="F580" t="s">
        <v>151</v>
      </c>
      <c r="G580" t="s">
        <v>1438</v>
      </c>
      <c r="I580">
        <v>1.8230855125852696E-5</v>
      </c>
      <c r="J580">
        <v>5.9892549355675815</v>
      </c>
      <c r="K580">
        <v>5.9892549355675815</v>
      </c>
      <c r="L580" s="1"/>
      <c r="M580" s="1"/>
      <c r="N580" s="1">
        <v>43021</v>
      </c>
      <c r="R580">
        <v>-3.6674780298167203E-3</v>
      </c>
      <c r="S580">
        <v>-3.6674780298167203E-3</v>
      </c>
      <c r="T580" t="s">
        <v>30</v>
      </c>
      <c r="U580" t="s">
        <v>30</v>
      </c>
      <c r="W580" t="s">
        <v>1439</v>
      </c>
      <c r="Z580" t="s">
        <v>31</v>
      </c>
      <c r="AA580">
        <v>3.7489478173138801E-3</v>
      </c>
      <c r="AC580" t="s">
        <v>148</v>
      </c>
      <c r="AD580" t="s">
        <v>148</v>
      </c>
      <c r="AE580" t="s">
        <v>35</v>
      </c>
      <c r="AF580">
        <v>3.5030433793148541</v>
      </c>
      <c r="AG580">
        <v>3.5030433793148541</v>
      </c>
      <c r="AH580" t="s">
        <v>237</v>
      </c>
      <c r="AI580" t="s">
        <v>237</v>
      </c>
      <c r="AJ580">
        <v>-4.970951421558692E-3</v>
      </c>
      <c r="AK580">
        <v>0</v>
      </c>
      <c r="AL580">
        <v>4.970951421558692E-3</v>
      </c>
      <c r="AM580" t="s">
        <v>35</v>
      </c>
      <c r="AN580" t="s">
        <v>148</v>
      </c>
      <c r="AO580" t="s">
        <v>148</v>
      </c>
      <c r="AP580" t="s">
        <v>31</v>
      </c>
    </row>
    <row r="581" spans="1:43" x14ac:dyDescent="0.2">
      <c r="A581">
        <v>579</v>
      </c>
      <c r="B581">
        <v>397</v>
      </c>
      <c r="C581">
        <v>50</v>
      </c>
      <c r="F581" t="s">
        <v>151</v>
      </c>
      <c r="G581" t="s">
        <v>1440</v>
      </c>
      <c r="I581">
        <v>3.5011069513625102E-5</v>
      </c>
      <c r="J581">
        <v>5.6107851159865207</v>
      </c>
      <c r="K581">
        <v>5.6107851159865207</v>
      </c>
      <c r="L581" s="1"/>
      <c r="M581" s="1"/>
      <c r="N581" s="1">
        <v>43021</v>
      </c>
      <c r="R581">
        <v>-5.6195506374047835E-3</v>
      </c>
      <c r="S581">
        <v>-5.6195506374047835E-3</v>
      </c>
      <c r="T581" t="s">
        <v>30</v>
      </c>
      <c r="U581" t="s">
        <v>30</v>
      </c>
      <c r="W581" t="s">
        <v>1441</v>
      </c>
      <c r="Z581" t="s">
        <v>31</v>
      </c>
      <c r="AA581">
        <v>7.1995894722897864E-3</v>
      </c>
      <c r="AC581" t="s">
        <v>146</v>
      </c>
      <c r="AD581" t="s">
        <v>146</v>
      </c>
      <c r="AE581" t="s">
        <v>177</v>
      </c>
      <c r="AF581">
        <v>3.5052593319581891</v>
      </c>
      <c r="AG581">
        <v>3.5052593319581891</v>
      </c>
      <c r="AH581" t="s">
        <v>237</v>
      </c>
      <c r="AI581" t="s">
        <v>237</v>
      </c>
      <c r="AJ581">
        <v>-6.230225826347191E-3</v>
      </c>
      <c r="AK581">
        <v>0</v>
      </c>
      <c r="AL581">
        <v>6.230225826347191E-3</v>
      </c>
      <c r="AM581" t="s">
        <v>177</v>
      </c>
      <c r="AN581" t="s">
        <v>146</v>
      </c>
      <c r="AO581" t="s">
        <v>146</v>
      </c>
      <c r="AP581" t="s">
        <v>31</v>
      </c>
    </row>
    <row r="582" spans="1:43" x14ac:dyDescent="0.2">
      <c r="A582">
        <v>580</v>
      </c>
      <c r="B582">
        <v>399</v>
      </c>
      <c r="C582">
        <v>50</v>
      </c>
      <c r="F582" t="s">
        <v>151</v>
      </c>
      <c r="G582" t="s">
        <v>1442</v>
      </c>
      <c r="I582">
        <v>4.9375416501585121E-5</v>
      </c>
      <c r="J582">
        <v>12.92326904502057</v>
      </c>
      <c r="K582">
        <v>12.92326904502057</v>
      </c>
      <c r="L582" s="1"/>
      <c r="M582" s="1"/>
      <c r="N582" s="1">
        <v>43021</v>
      </c>
      <c r="R582">
        <v>-1.0948877904786278E-2</v>
      </c>
      <c r="S582">
        <v>-1.0948877904786278E-2</v>
      </c>
      <c r="T582" t="s">
        <v>30</v>
      </c>
      <c r="U582" t="s">
        <v>30</v>
      </c>
      <c r="W582" t="s">
        <v>1443</v>
      </c>
      <c r="Z582" t="s">
        <v>31</v>
      </c>
      <c r="AA582">
        <v>1.0153438148937266E-2</v>
      </c>
      <c r="AC582" t="s">
        <v>146</v>
      </c>
      <c r="AD582" t="s">
        <v>146</v>
      </c>
      <c r="AE582" t="s">
        <v>35</v>
      </c>
      <c r="AF582">
        <v>5.9282940932459613</v>
      </c>
      <c r="AG582">
        <v>5.9282940932459613</v>
      </c>
      <c r="AH582" t="s">
        <v>237</v>
      </c>
      <c r="AI582" t="s">
        <v>237</v>
      </c>
      <c r="AJ582">
        <v>-4.5096325788783129E-3</v>
      </c>
      <c r="AK582">
        <v>0</v>
      </c>
      <c r="AL582">
        <v>4.5096325788783129E-3</v>
      </c>
      <c r="AM582" t="s">
        <v>35</v>
      </c>
      <c r="AN582" t="s">
        <v>146</v>
      </c>
      <c r="AO582" t="s">
        <v>146</v>
      </c>
      <c r="AP582" t="s">
        <v>31</v>
      </c>
    </row>
    <row r="583" spans="1:43" x14ac:dyDescent="0.2">
      <c r="A583">
        <v>581</v>
      </c>
      <c r="B583">
        <v>400</v>
      </c>
      <c r="C583">
        <v>50</v>
      </c>
      <c r="F583" t="s">
        <v>151</v>
      </c>
      <c r="G583" t="s">
        <v>1444</v>
      </c>
      <c r="I583">
        <v>2.5381765549194207E-4</v>
      </c>
      <c r="J583">
        <v>14.201366102168866</v>
      </c>
      <c r="K583">
        <v>14.201366102168866</v>
      </c>
      <c r="L583" s="1"/>
      <c r="M583" s="1"/>
      <c r="N583" s="1">
        <v>43021</v>
      </c>
      <c r="R583">
        <v>-2.4717257564470487E-2</v>
      </c>
      <c r="S583">
        <v>-2.4717257564470487E-2</v>
      </c>
      <c r="T583" t="s">
        <v>30</v>
      </c>
      <c r="U583" t="s">
        <v>30</v>
      </c>
      <c r="W583" t="s">
        <v>1445</v>
      </c>
      <c r="Z583" t="s">
        <v>147</v>
      </c>
      <c r="AA583">
        <v>5.2194432953552229E-2</v>
      </c>
      <c r="AC583" t="s">
        <v>54</v>
      </c>
      <c r="AD583" t="s">
        <v>54</v>
      </c>
      <c r="AE583" t="s">
        <v>177</v>
      </c>
      <c r="AF583">
        <v>4.8216421367754663</v>
      </c>
      <c r="AG583">
        <v>4.8216421367754663</v>
      </c>
      <c r="AH583" t="s">
        <v>237</v>
      </c>
      <c r="AI583" t="s">
        <v>237</v>
      </c>
      <c r="AJ583">
        <v>-1.0268843735188046E-2</v>
      </c>
      <c r="AK583">
        <v>0</v>
      </c>
      <c r="AL583">
        <v>1.0268843735188046E-2</v>
      </c>
      <c r="AM583" t="s">
        <v>177</v>
      </c>
      <c r="AN583" t="s">
        <v>54</v>
      </c>
      <c r="AO583" t="s">
        <v>54</v>
      </c>
      <c r="AP583" t="s">
        <v>147</v>
      </c>
    </row>
    <row r="584" spans="1:43" x14ac:dyDescent="0.2">
      <c r="A584">
        <v>582</v>
      </c>
      <c r="B584">
        <v>401</v>
      </c>
      <c r="C584">
        <v>50</v>
      </c>
      <c r="F584" t="s">
        <v>151</v>
      </c>
      <c r="G584" t="s">
        <v>1446</v>
      </c>
      <c r="I584">
        <v>7.8797178755022887E-6</v>
      </c>
      <c r="J584">
        <v>2.4083047295444793</v>
      </c>
      <c r="K584">
        <v>2.4083047295444793</v>
      </c>
      <c r="L584" s="1"/>
      <c r="M584" s="1"/>
      <c r="N584" s="1">
        <v>43021</v>
      </c>
      <c r="R584">
        <v>-1.3961665292565968E-3</v>
      </c>
      <c r="S584">
        <v>-1.3961665292565968E-3</v>
      </c>
      <c r="T584" t="s">
        <v>30</v>
      </c>
      <c r="U584" t="s">
        <v>30</v>
      </c>
      <c r="W584" t="s">
        <v>1447</v>
      </c>
      <c r="Z584" t="s">
        <v>158</v>
      </c>
      <c r="AA584">
        <v>1.620365634331801E-3</v>
      </c>
      <c r="AC584" t="s">
        <v>54</v>
      </c>
      <c r="AD584" t="s">
        <v>54</v>
      </c>
      <c r="AE584" t="s">
        <v>182</v>
      </c>
      <c r="AF584">
        <v>2.1918821955477386</v>
      </c>
      <c r="AG584">
        <v>2.1918821955477386</v>
      </c>
      <c r="AH584" t="s">
        <v>237</v>
      </c>
      <c r="AI584" t="s">
        <v>237</v>
      </c>
      <c r="AJ584">
        <v>-5.6438237920643499E-3</v>
      </c>
      <c r="AK584">
        <v>0</v>
      </c>
      <c r="AL584">
        <v>5.6438237920643499E-3</v>
      </c>
      <c r="AM584" t="s">
        <v>182</v>
      </c>
      <c r="AN584" t="s">
        <v>54</v>
      </c>
      <c r="AO584" t="s">
        <v>54</v>
      </c>
      <c r="AP584" t="s">
        <v>158</v>
      </c>
    </row>
    <row r="585" spans="1:43" x14ac:dyDescent="0.2">
      <c r="A585">
        <v>583</v>
      </c>
      <c r="B585">
        <v>402</v>
      </c>
      <c r="C585">
        <v>50</v>
      </c>
      <c r="F585" t="s">
        <v>151</v>
      </c>
      <c r="G585" t="s">
        <v>1448</v>
      </c>
      <c r="I585">
        <v>3.8945522733992648E-5</v>
      </c>
      <c r="J585">
        <v>6.4401405935835623</v>
      </c>
      <c r="K585">
        <v>6.4401405935835623</v>
      </c>
      <c r="L585" s="1"/>
      <c r="M585" s="1"/>
      <c r="N585" s="1">
        <v>43021</v>
      </c>
      <c r="R585">
        <v>-1.3273160742892056E-2</v>
      </c>
      <c r="S585">
        <v>-1.3273160742892056E-2</v>
      </c>
      <c r="T585" t="s">
        <v>30</v>
      </c>
      <c r="U585" t="s">
        <v>30</v>
      </c>
      <c r="W585" t="s">
        <v>1449</v>
      </c>
      <c r="Z585" t="s">
        <v>145</v>
      </c>
      <c r="AA585">
        <v>8.0086606711445123E-3</v>
      </c>
      <c r="AC585" t="s">
        <v>54</v>
      </c>
      <c r="AD585" t="s">
        <v>54</v>
      </c>
      <c r="AE585" t="s">
        <v>35</v>
      </c>
      <c r="AF585">
        <v>3.6280786591505207</v>
      </c>
      <c r="AG585">
        <v>3.6280786591505207</v>
      </c>
      <c r="AH585" t="s">
        <v>237</v>
      </c>
      <c r="AI585" t="s">
        <v>237</v>
      </c>
      <c r="AJ585">
        <v>-2.9341558870857841E-3</v>
      </c>
      <c r="AK585">
        <v>0</v>
      </c>
      <c r="AL585">
        <v>2.9341558870857841E-3</v>
      </c>
      <c r="AM585" t="s">
        <v>35</v>
      </c>
      <c r="AN585" t="s">
        <v>54</v>
      </c>
      <c r="AO585" t="s">
        <v>54</v>
      </c>
      <c r="AP585" t="s">
        <v>145</v>
      </c>
    </row>
    <row r="586" spans="1:43" x14ac:dyDescent="0.2">
      <c r="A586">
        <v>584</v>
      </c>
      <c r="B586">
        <v>403</v>
      </c>
      <c r="C586">
        <v>50</v>
      </c>
      <c r="F586" t="s">
        <v>151</v>
      </c>
      <c r="G586" t="s">
        <v>1450</v>
      </c>
      <c r="I586">
        <v>1.4115518148532963E-5</v>
      </c>
      <c r="J586">
        <v>6.0804972596522537</v>
      </c>
      <c r="K586">
        <v>6.0804972596522537</v>
      </c>
      <c r="L586" s="1"/>
      <c r="M586" s="1"/>
      <c r="N586" s="1">
        <v>43021</v>
      </c>
      <c r="R586">
        <v>-1.2165080532914201E-2</v>
      </c>
      <c r="S586">
        <v>-1.2165080532914201E-2</v>
      </c>
      <c r="T586" t="s">
        <v>30</v>
      </c>
      <c r="U586" t="s">
        <v>30</v>
      </c>
      <c r="W586" t="s">
        <v>1451</v>
      </c>
      <c r="Z586" t="s">
        <v>157</v>
      </c>
      <c r="AA586">
        <v>2.9026801314522548E-3</v>
      </c>
      <c r="AC586" t="s">
        <v>149</v>
      </c>
      <c r="AD586" t="s">
        <v>149</v>
      </c>
      <c r="AE586" t="s">
        <v>43</v>
      </c>
      <c r="AF586">
        <v>4.3366718180600463</v>
      </c>
      <c r="AG586">
        <v>4.3366718180600463</v>
      </c>
      <c r="AH586" t="s">
        <v>237</v>
      </c>
      <c r="AI586" t="s">
        <v>237</v>
      </c>
      <c r="AJ586">
        <v>-1.1603308428860459E-3</v>
      </c>
      <c r="AK586">
        <v>0</v>
      </c>
      <c r="AL586">
        <v>1.1603308428860459E-3</v>
      </c>
      <c r="AM586" t="s">
        <v>43</v>
      </c>
      <c r="AN586" t="s">
        <v>149</v>
      </c>
      <c r="AO586" t="s">
        <v>149</v>
      </c>
      <c r="AP586" t="s">
        <v>157</v>
      </c>
    </row>
    <row r="587" spans="1:43" x14ac:dyDescent="0.2">
      <c r="A587">
        <v>585</v>
      </c>
      <c r="B587">
        <v>404</v>
      </c>
      <c r="C587">
        <v>50</v>
      </c>
      <c r="F587" t="s">
        <v>151</v>
      </c>
      <c r="G587" t="s">
        <v>1452</v>
      </c>
      <c r="I587">
        <v>2.711900658081125E-5</v>
      </c>
      <c r="J587">
        <v>6.2620753039470518</v>
      </c>
      <c r="K587">
        <v>6.2620753039470518</v>
      </c>
      <c r="L587" s="1"/>
      <c r="M587" s="1"/>
      <c r="N587" s="1">
        <v>43021</v>
      </c>
      <c r="R587">
        <v>-7.343319646566703E-3</v>
      </c>
      <c r="S587">
        <v>-7.343319646566703E-3</v>
      </c>
      <c r="T587" t="s">
        <v>30</v>
      </c>
      <c r="U587" t="s">
        <v>30</v>
      </c>
      <c r="W587" t="s">
        <v>1453</v>
      </c>
      <c r="Z587" t="s">
        <v>157</v>
      </c>
      <c r="AA587">
        <v>5.5766852310005326E-3</v>
      </c>
      <c r="AC587" t="s">
        <v>146</v>
      </c>
      <c r="AD587" t="s">
        <v>146</v>
      </c>
      <c r="AE587" t="s">
        <v>44</v>
      </c>
      <c r="AF587">
        <v>4.0113684808344807</v>
      </c>
      <c r="AG587">
        <v>4.0113684808344807</v>
      </c>
      <c r="AH587" t="s">
        <v>237</v>
      </c>
      <c r="AI587" t="s">
        <v>237</v>
      </c>
      <c r="AJ587">
        <v>-3.6930173117944655E-3</v>
      </c>
      <c r="AK587">
        <v>0</v>
      </c>
      <c r="AL587">
        <v>3.6930173117944655E-3</v>
      </c>
      <c r="AM587" t="s">
        <v>44</v>
      </c>
      <c r="AN587" t="s">
        <v>146</v>
      </c>
      <c r="AO587" t="s">
        <v>146</v>
      </c>
      <c r="AP587" t="s">
        <v>157</v>
      </c>
    </row>
    <row r="588" spans="1:43" x14ac:dyDescent="0.2">
      <c r="A588">
        <v>586</v>
      </c>
      <c r="B588">
        <v>461</v>
      </c>
      <c r="C588">
        <v>50</v>
      </c>
      <c r="D588">
        <v>2490000</v>
      </c>
      <c r="E588" t="s">
        <v>635</v>
      </c>
      <c r="F588" t="s">
        <v>151</v>
      </c>
      <c r="G588" t="s">
        <v>636</v>
      </c>
      <c r="H588">
        <v>0.16530907854070107</v>
      </c>
      <c r="I588">
        <v>-1.3742937285831451E-4</v>
      </c>
      <c r="J588">
        <v>7.43</v>
      </c>
      <c r="K588">
        <v>7.2735468485484871</v>
      </c>
      <c r="L588" s="1">
        <v>46419</v>
      </c>
      <c r="M588" s="1">
        <v>43024</v>
      </c>
      <c r="N588" s="1">
        <v>43021</v>
      </c>
      <c r="R588">
        <v>-7.0643969068354831E-3</v>
      </c>
      <c r="S588">
        <v>-7.0643969068354831E-3</v>
      </c>
      <c r="T588" t="s">
        <v>30</v>
      </c>
      <c r="U588" t="s">
        <v>30</v>
      </c>
      <c r="V588">
        <v>2720247.81</v>
      </c>
      <c r="W588" t="s">
        <v>637</v>
      </c>
      <c r="X588" t="s">
        <v>638</v>
      </c>
      <c r="Y588">
        <v>2490000</v>
      </c>
      <c r="Z588" t="s">
        <v>157</v>
      </c>
      <c r="AA588">
        <v>-2.8260635272197406E-2</v>
      </c>
      <c r="AB588">
        <v>108.1219</v>
      </c>
      <c r="AC588" t="s">
        <v>142</v>
      </c>
      <c r="AD588" t="s">
        <v>146</v>
      </c>
      <c r="AE588" t="s">
        <v>44</v>
      </c>
      <c r="AF588">
        <v>0</v>
      </c>
      <c r="AG588">
        <v>4.2948352564087076</v>
      </c>
      <c r="AH588" t="s">
        <v>237</v>
      </c>
      <c r="AI588" t="s">
        <v>237</v>
      </c>
      <c r="AJ588">
        <v>1.9453801176621089E-2</v>
      </c>
      <c r="AK588">
        <v>2.2248866559986685E-2</v>
      </c>
      <c r="AL588">
        <v>2.7950653833655943E-3</v>
      </c>
      <c r="AM588" t="s">
        <v>44</v>
      </c>
      <c r="AN588" t="s">
        <v>146</v>
      </c>
      <c r="AO588" t="s">
        <v>146</v>
      </c>
      <c r="AP588" t="s">
        <v>157</v>
      </c>
      <c r="AQ588">
        <v>0</v>
      </c>
    </row>
    <row r="589" spans="1:43" x14ac:dyDescent="0.2">
      <c r="A589">
        <v>587</v>
      </c>
      <c r="B589">
        <v>406</v>
      </c>
      <c r="C589">
        <v>50</v>
      </c>
      <c r="D589">
        <v>380000</v>
      </c>
      <c r="E589" t="s">
        <v>438</v>
      </c>
      <c r="F589" t="s">
        <v>151</v>
      </c>
      <c r="G589" t="s">
        <v>639</v>
      </c>
      <c r="H589">
        <v>2.3533649909049759E-2</v>
      </c>
      <c r="I589">
        <v>-1.4099616653349621E-5</v>
      </c>
      <c r="J589">
        <v>7.52</v>
      </c>
      <c r="L589" s="1">
        <v>46239</v>
      </c>
      <c r="M589" s="1">
        <v>43024</v>
      </c>
      <c r="N589" s="1"/>
      <c r="R589">
        <v>-4.5054259599747052E-3</v>
      </c>
      <c r="T589" t="s">
        <v>30</v>
      </c>
      <c r="V589">
        <v>382623.84</v>
      </c>
      <c r="W589" t="s">
        <v>438</v>
      </c>
      <c r="X589" t="s">
        <v>640</v>
      </c>
      <c r="Y589">
        <v>380000</v>
      </c>
      <c r="Z589" t="s">
        <v>31</v>
      </c>
      <c r="AA589">
        <v>-2.8994101874343747E-3</v>
      </c>
      <c r="AB589">
        <v>99.950900000000004</v>
      </c>
      <c r="AC589" t="s">
        <v>36</v>
      </c>
      <c r="AE589" t="s">
        <v>175</v>
      </c>
      <c r="AF589">
        <v>0</v>
      </c>
      <c r="AH589" t="s">
        <v>237</v>
      </c>
      <c r="AJ589">
        <v>3.1294747219481065E-3</v>
      </c>
      <c r="AK589">
        <v>3.1294747219481065E-3</v>
      </c>
      <c r="AL589">
        <v>0</v>
      </c>
      <c r="AN589" t="s">
        <v>150</v>
      </c>
      <c r="AQ589">
        <v>0</v>
      </c>
    </row>
    <row r="590" spans="1:43" x14ac:dyDescent="0.2">
      <c r="A590">
        <v>588</v>
      </c>
      <c r="B590">
        <v>407</v>
      </c>
      <c r="C590">
        <v>50</v>
      </c>
      <c r="D590">
        <v>200000</v>
      </c>
      <c r="E590" t="s">
        <v>438</v>
      </c>
      <c r="F590" t="s">
        <v>151</v>
      </c>
      <c r="G590" t="s">
        <v>641</v>
      </c>
      <c r="H590">
        <v>1.0563604811171506E-2</v>
      </c>
      <c r="I590">
        <v>-1.1472422740178634E-5</v>
      </c>
      <c r="J590">
        <v>6.04</v>
      </c>
      <c r="L590" s="1">
        <v>45595</v>
      </c>
      <c r="M590" s="1">
        <v>43024</v>
      </c>
      <c r="N590" s="1"/>
      <c r="R590">
        <v>-6.5596389290706811E-3</v>
      </c>
      <c r="T590" t="s">
        <v>30</v>
      </c>
      <c r="V590">
        <v>213833.52</v>
      </c>
      <c r="W590" t="s">
        <v>438</v>
      </c>
      <c r="X590" t="s">
        <v>640</v>
      </c>
      <c r="Y590">
        <v>200000</v>
      </c>
      <c r="Z590" t="s">
        <v>31</v>
      </c>
      <c r="AA590">
        <v>-2.3591605492001388E-3</v>
      </c>
      <c r="AB590">
        <v>104.8994</v>
      </c>
      <c r="AC590" t="s">
        <v>36</v>
      </c>
      <c r="AE590" t="s">
        <v>175</v>
      </c>
      <c r="AF590">
        <v>0</v>
      </c>
      <c r="AH590" t="s">
        <v>237</v>
      </c>
      <c r="AJ590">
        <v>1.7489411939025671E-3</v>
      </c>
      <c r="AK590">
        <v>1.7489411939025671E-3</v>
      </c>
      <c r="AL590">
        <v>0</v>
      </c>
      <c r="AN590" t="s">
        <v>150</v>
      </c>
      <c r="AQ590">
        <v>0</v>
      </c>
    </row>
    <row r="591" spans="1:43" x14ac:dyDescent="0.2">
      <c r="A591">
        <v>589</v>
      </c>
      <c r="B591">
        <v>408</v>
      </c>
      <c r="C591">
        <v>50</v>
      </c>
      <c r="D591">
        <v>1150000</v>
      </c>
      <c r="E591" t="s">
        <v>642</v>
      </c>
      <c r="F591" t="s">
        <v>151</v>
      </c>
      <c r="G591" t="s">
        <v>643</v>
      </c>
      <c r="H591">
        <v>7.3646570185314467E-2</v>
      </c>
      <c r="I591">
        <v>-1.0802581438726794E-5</v>
      </c>
      <c r="J591">
        <v>7.54</v>
      </c>
      <c r="K591">
        <v>7.2240377168191197</v>
      </c>
      <c r="L591" s="1">
        <v>46320</v>
      </c>
      <c r="M591" s="1">
        <v>43024</v>
      </c>
      <c r="N591" s="1">
        <v>43021</v>
      </c>
      <c r="R591">
        <v>-4.8217429103348418E-3</v>
      </c>
      <c r="S591">
        <v>-4.8217429103348418E-3</v>
      </c>
      <c r="T591" t="s">
        <v>30</v>
      </c>
      <c r="U591" t="s">
        <v>30</v>
      </c>
      <c r="V591">
        <v>1194212.8999999999</v>
      </c>
      <c r="W591" t="s">
        <v>644</v>
      </c>
      <c r="X591" t="s">
        <v>645</v>
      </c>
      <c r="Y591">
        <v>1150000</v>
      </c>
      <c r="Z591" t="s">
        <v>31</v>
      </c>
      <c r="AA591">
        <v>-2.2214160458463987E-3</v>
      </c>
      <c r="AB591">
        <v>101.94459999999999</v>
      </c>
      <c r="AC591" t="s">
        <v>142</v>
      </c>
      <c r="AD591" t="s">
        <v>54</v>
      </c>
      <c r="AE591" t="s">
        <v>89</v>
      </c>
      <c r="AF591">
        <v>0</v>
      </c>
      <c r="AG591">
        <v>3.7048286528005181</v>
      </c>
      <c r="AH591" t="s">
        <v>237</v>
      </c>
      <c r="AI591" t="s">
        <v>237</v>
      </c>
      <c r="AJ591">
        <v>2.240389344602493E-3</v>
      </c>
      <c r="AK591">
        <v>9.7674496266995318E-3</v>
      </c>
      <c r="AL591">
        <v>7.5270602820970388E-3</v>
      </c>
      <c r="AM591" t="s">
        <v>89</v>
      </c>
      <c r="AN591" t="s">
        <v>146</v>
      </c>
      <c r="AO591" t="s">
        <v>54</v>
      </c>
      <c r="AP591" t="s">
        <v>31</v>
      </c>
      <c r="AQ591">
        <v>0</v>
      </c>
    </row>
    <row r="592" spans="1:43" x14ac:dyDescent="0.2">
      <c r="A592">
        <v>590</v>
      </c>
      <c r="B592">
        <v>390</v>
      </c>
      <c r="C592">
        <v>50</v>
      </c>
      <c r="D592">
        <v>450000</v>
      </c>
      <c r="E592" t="s">
        <v>348</v>
      </c>
      <c r="F592" t="s">
        <v>151</v>
      </c>
      <c r="G592" t="s">
        <v>646</v>
      </c>
      <c r="H592">
        <v>2.7962308608056517E-2</v>
      </c>
      <c r="I592">
        <v>1.5341443257530213E-5</v>
      </c>
      <c r="J592">
        <v>7.25</v>
      </c>
      <c r="K592">
        <v>6.7641508615704158</v>
      </c>
      <c r="L592" s="1">
        <v>46235</v>
      </c>
      <c r="M592" s="1">
        <v>43024</v>
      </c>
      <c r="N592" s="1">
        <v>43021</v>
      </c>
      <c r="R592">
        <v>-2.5694296286297371E-3</v>
      </c>
      <c r="S592">
        <v>-2.5694296286297371E-3</v>
      </c>
      <c r="T592" t="s">
        <v>30</v>
      </c>
      <c r="U592" t="s">
        <v>30</v>
      </c>
      <c r="V592">
        <v>471558.52</v>
      </c>
      <c r="W592" t="s">
        <v>348</v>
      </c>
      <c r="X592" t="s">
        <v>647</v>
      </c>
      <c r="Y592">
        <v>450000</v>
      </c>
      <c r="Z592" t="s">
        <v>31</v>
      </c>
      <c r="AA592">
        <v>3.1547763293452518E-3</v>
      </c>
      <c r="AB592">
        <v>103.80119999999999</v>
      </c>
      <c r="AC592" t="s">
        <v>142</v>
      </c>
      <c r="AD592" t="s">
        <v>146</v>
      </c>
      <c r="AE592" t="s">
        <v>58</v>
      </c>
      <c r="AF592">
        <v>0</v>
      </c>
      <c r="AG592">
        <v>4.1914505701271576</v>
      </c>
      <c r="AH592" t="s">
        <v>237</v>
      </c>
      <c r="AI592" t="s">
        <v>237</v>
      </c>
      <c r="AJ592">
        <v>-5.9707582907073901E-3</v>
      </c>
      <c r="AK592">
        <v>3.8568701528353816E-3</v>
      </c>
      <c r="AL592">
        <v>9.8276284435427717E-3</v>
      </c>
      <c r="AM592" t="s">
        <v>58</v>
      </c>
      <c r="AN592" t="s">
        <v>146</v>
      </c>
      <c r="AO592" t="s">
        <v>146</v>
      </c>
      <c r="AP592" t="s">
        <v>31</v>
      </c>
      <c r="AQ592">
        <v>0</v>
      </c>
    </row>
    <row r="593" spans="1:43" x14ac:dyDescent="0.2">
      <c r="A593">
        <v>591</v>
      </c>
      <c r="B593">
        <v>409</v>
      </c>
      <c r="C593">
        <v>50</v>
      </c>
      <c r="D593">
        <v>2100000</v>
      </c>
      <c r="E593" t="s">
        <v>348</v>
      </c>
      <c r="F593" t="s">
        <v>151</v>
      </c>
      <c r="G593" t="s">
        <v>648</v>
      </c>
      <c r="H593">
        <v>0.10945819415553668</v>
      </c>
      <c r="I593">
        <v>-2.5066228620409191E-5</v>
      </c>
      <c r="J593">
        <v>5.94</v>
      </c>
      <c r="K593">
        <v>5.0995259350489048</v>
      </c>
      <c r="L593" s="1">
        <v>45595</v>
      </c>
      <c r="M593" s="1">
        <v>43024</v>
      </c>
      <c r="N593" s="1">
        <v>43021</v>
      </c>
      <c r="R593">
        <v>-4.3073109362179451E-3</v>
      </c>
      <c r="S593">
        <v>-4.3073109362179451E-3</v>
      </c>
      <c r="T593" t="s">
        <v>30</v>
      </c>
      <c r="U593" t="s">
        <v>30</v>
      </c>
      <c r="V593">
        <v>2253006.33</v>
      </c>
      <c r="W593" t="s">
        <v>348</v>
      </c>
      <c r="X593" t="s">
        <v>647</v>
      </c>
      <c r="Y593">
        <v>2100000</v>
      </c>
      <c r="Z593" t="s">
        <v>31</v>
      </c>
      <c r="AA593">
        <v>-5.1545570641672511E-3</v>
      </c>
      <c r="AB593">
        <v>105.0381</v>
      </c>
      <c r="AC593" t="s">
        <v>142</v>
      </c>
      <c r="AD593" t="s">
        <v>146</v>
      </c>
      <c r="AE593" t="s">
        <v>58</v>
      </c>
      <c r="AF593">
        <v>0</v>
      </c>
      <c r="AG593">
        <v>4.0013003971852514</v>
      </c>
      <c r="AH593" t="s">
        <v>237</v>
      </c>
      <c r="AI593" t="s">
        <v>237</v>
      </c>
      <c r="AJ593">
        <v>5.8194611421340092E-3</v>
      </c>
      <c r="AK593">
        <v>1.8427305413390011E-2</v>
      </c>
      <c r="AL593">
        <v>1.2607844271256002E-2</v>
      </c>
      <c r="AM593" t="s">
        <v>58</v>
      </c>
      <c r="AN593" t="s">
        <v>146</v>
      </c>
      <c r="AO593" t="s">
        <v>146</v>
      </c>
      <c r="AP593" t="s">
        <v>31</v>
      </c>
      <c r="AQ593">
        <v>0</v>
      </c>
    </row>
    <row r="594" spans="1:43" x14ac:dyDescent="0.2">
      <c r="A594">
        <v>592</v>
      </c>
      <c r="B594">
        <v>410</v>
      </c>
      <c r="C594">
        <v>50</v>
      </c>
      <c r="D594">
        <v>2700000</v>
      </c>
      <c r="E594" t="s">
        <v>649</v>
      </c>
      <c r="F594" t="s">
        <v>151</v>
      </c>
      <c r="G594" t="s">
        <v>650</v>
      </c>
      <c r="H594">
        <v>0.26562676105946204</v>
      </c>
      <c r="I594">
        <v>1.3332537114642571E-4</v>
      </c>
      <c r="J594">
        <v>11.76</v>
      </c>
      <c r="K594">
        <v>8.1275600141787887</v>
      </c>
      <c r="L594" s="1">
        <v>50494</v>
      </c>
      <c r="M594" s="1">
        <v>43024</v>
      </c>
      <c r="N594" s="1">
        <v>43021</v>
      </c>
      <c r="R594">
        <v>6.8845328156932886E-3</v>
      </c>
      <c r="S594">
        <v>6.8845328156932886E-3</v>
      </c>
      <c r="T594" t="s">
        <v>30</v>
      </c>
      <c r="U594" t="s">
        <v>30</v>
      </c>
      <c r="V594">
        <v>2761627.4</v>
      </c>
      <c r="W594" t="s">
        <v>651</v>
      </c>
      <c r="X594" t="s">
        <v>652</v>
      </c>
      <c r="Y594">
        <v>2700000</v>
      </c>
      <c r="Z594" t="s">
        <v>145</v>
      </c>
      <c r="AA594">
        <v>2.7416698542196194E-2</v>
      </c>
      <c r="AB594">
        <v>109.9349</v>
      </c>
      <c r="AC594" t="s">
        <v>142</v>
      </c>
      <c r="AD594" t="s">
        <v>146</v>
      </c>
      <c r="AE594" t="s">
        <v>175</v>
      </c>
      <c r="AF594">
        <v>0</v>
      </c>
      <c r="AG594">
        <v>5.5567133449454893</v>
      </c>
      <c r="AH594" t="s">
        <v>237</v>
      </c>
      <c r="AI594" t="s">
        <v>237</v>
      </c>
      <c r="AJ594">
        <v>1.9365928628085061E-2</v>
      </c>
      <c r="AK594">
        <v>2.2587309613899834E-2</v>
      </c>
      <c r="AL594">
        <v>3.2213809858147742E-3</v>
      </c>
      <c r="AM594" t="s">
        <v>175</v>
      </c>
      <c r="AN594" t="s">
        <v>146</v>
      </c>
      <c r="AO594" t="s">
        <v>146</v>
      </c>
      <c r="AP594" t="s">
        <v>145</v>
      </c>
      <c r="AQ594">
        <v>0</v>
      </c>
    </row>
    <row r="595" spans="1:43" x14ac:dyDescent="0.2">
      <c r="A595">
        <v>593</v>
      </c>
      <c r="B595">
        <v>411</v>
      </c>
      <c r="C595">
        <v>50</v>
      </c>
      <c r="D595">
        <v>2650000</v>
      </c>
      <c r="E595" t="s">
        <v>653</v>
      </c>
      <c r="F595" t="s">
        <v>151</v>
      </c>
      <c r="G595" t="s">
        <v>654</v>
      </c>
      <c r="H595">
        <v>0.17193250790710463</v>
      </c>
      <c r="I595">
        <v>-9.0981980344432032E-5</v>
      </c>
      <c r="J595">
        <v>7.35</v>
      </c>
      <c r="K595">
        <v>7.1783792195966436</v>
      </c>
      <c r="L595" s="1">
        <v>46404</v>
      </c>
      <c r="M595" s="1">
        <v>43024</v>
      </c>
      <c r="N595" s="1">
        <v>43021</v>
      </c>
      <c r="R595">
        <v>-4.3706166705673611E-3</v>
      </c>
      <c r="S595">
        <v>-4.3706166705673611E-3</v>
      </c>
      <c r="T595" t="s">
        <v>30</v>
      </c>
      <c r="U595" t="s">
        <v>30</v>
      </c>
      <c r="V595">
        <v>2860034.27</v>
      </c>
      <c r="W595" t="s">
        <v>655</v>
      </c>
      <c r="X595" t="s">
        <v>656</v>
      </c>
      <c r="Y595">
        <v>2650000</v>
      </c>
      <c r="Z595" t="s">
        <v>157</v>
      </c>
      <c r="AA595">
        <v>-1.8709308711661404E-2</v>
      </c>
      <c r="AB595">
        <v>106.56610000000001</v>
      </c>
      <c r="AC595" t="s">
        <v>142</v>
      </c>
      <c r="AD595" t="s">
        <v>146</v>
      </c>
      <c r="AE595" t="s">
        <v>177</v>
      </c>
      <c r="AF595">
        <v>0</v>
      </c>
      <c r="AG595">
        <v>4.6096845056409235</v>
      </c>
      <c r="AH595" t="s">
        <v>237</v>
      </c>
      <c r="AI595" t="s">
        <v>237</v>
      </c>
      <c r="AJ595">
        <v>2.0816737591544815E-2</v>
      </c>
      <c r="AK595">
        <v>2.339217794654485E-2</v>
      </c>
      <c r="AL595">
        <v>2.575440355000035E-3</v>
      </c>
      <c r="AM595" t="s">
        <v>177</v>
      </c>
      <c r="AN595" t="s">
        <v>146</v>
      </c>
      <c r="AO595" t="s">
        <v>146</v>
      </c>
      <c r="AP595" t="s">
        <v>157</v>
      </c>
      <c r="AQ595">
        <v>0</v>
      </c>
    </row>
    <row r="596" spans="1:43" x14ac:dyDescent="0.2">
      <c r="A596">
        <v>594</v>
      </c>
      <c r="B596">
        <v>369</v>
      </c>
      <c r="C596">
        <v>50</v>
      </c>
      <c r="D596">
        <v>2400000</v>
      </c>
      <c r="E596" t="s">
        <v>657</v>
      </c>
      <c r="F596" t="s">
        <v>151</v>
      </c>
      <c r="G596" t="s">
        <v>658</v>
      </c>
      <c r="H596">
        <v>0.11472591955757717</v>
      </c>
      <c r="I596">
        <v>-3.2005488032851262E-5</v>
      </c>
      <c r="J596">
        <v>5.18</v>
      </c>
      <c r="K596">
        <v>5.0869779129368409</v>
      </c>
      <c r="L596" s="1">
        <v>45243</v>
      </c>
      <c r="M596" s="1">
        <v>43024</v>
      </c>
      <c r="N596" s="1">
        <v>43021</v>
      </c>
      <c r="R596">
        <v>-1.8886969450519564E-3</v>
      </c>
      <c r="S596">
        <v>-1.8886969450519564E-3</v>
      </c>
      <c r="T596" t="s">
        <v>30</v>
      </c>
      <c r="U596" t="s">
        <v>30</v>
      </c>
      <c r="V596">
        <v>2707898.4</v>
      </c>
      <c r="W596" t="s">
        <v>659</v>
      </c>
      <c r="X596" t="s">
        <v>660</v>
      </c>
      <c r="Y596">
        <v>2400000</v>
      </c>
      <c r="Z596" t="s">
        <v>145</v>
      </c>
      <c r="AA596">
        <v>-6.5815291534335645E-3</v>
      </c>
      <c r="AB596">
        <v>110.49160000000001</v>
      </c>
      <c r="AC596" t="s">
        <v>34</v>
      </c>
      <c r="AD596" t="s">
        <v>54</v>
      </c>
      <c r="AE596" t="s">
        <v>180</v>
      </c>
      <c r="AF596">
        <v>0</v>
      </c>
      <c r="AG596">
        <v>3.5503999121172307</v>
      </c>
      <c r="AH596" t="s">
        <v>237</v>
      </c>
      <c r="AI596" t="s">
        <v>237</v>
      </c>
      <c r="AJ596">
        <v>1.6945803887013128E-2</v>
      </c>
      <c r="AK596">
        <v>2.2147860918451192E-2</v>
      </c>
      <c r="AL596">
        <v>5.2020570314380635E-3</v>
      </c>
      <c r="AM596" t="s">
        <v>180</v>
      </c>
      <c r="AN596" t="s">
        <v>54</v>
      </c>
      <c r="AO596" t="s">
        <v>54</v>
      </c>
      <c r="AP596" t="s">
        <v>145</v>
      </c>
      <c r="AQ596">
        <v>0</v>
      </c>
    </row>
    <row r="597" spans="1:43" x14ac:dyDescent="0.2">
      <c r="A597">
        <v>595</v>
      </c>
      <c r="B597">
        <v>412</v>
      </c>
      <c r="C597">
        <v>50</v>
      </c>
      <c r="D597">
        <v>1750000</v>
      </c>
      <c r="E597" t="s">
        <v>661</v>
      </c>
      <c r="F597" t="s">
        <v>151</v>
      </c>
      <c r="G597" t="s">
        <v>662</v>
      </c>
      <c r="H597">
        <v>9.349282693418054E-2</v>
      </c>
      <c r="I597">
        <v>-3.0383303305633437E-5</v>
      </c>
      <c r="J597">
        <v>6.01</v>
      </c>
      <c r="K597">
        <v>5.7085630813779682</v>
      </c>
      <c r="L597" s="1">
        <v>45641</v>
      </c>
      <c r="M597" s="1">
        <v>43024</v>
      </c>
      <c r="N597" s="1">
        <v>43021</v>
      </c>
      <c r="R597">
        <v>-2.5746209984841184E-3</v>
      </c>
      <c r="S597">
        <v>-2.5746209984841184E-3</v>
      </c>
      <c r="T597" t="s">
        <v>30</v>
      </c>
      <c r="U597" t="s">
        <v>30</v>
      </c>
      <c r="V597">
        <v>1901973.22</v>
      </c>
      <c r="W597" t="s">
        <v>663</v>
      </c>
      <c r="X597" t="s">
        <v>664</v>
      </c>
      <c r="Y597">
        <v>1750000</v>
      </c>
      <c r="Z597" t="s">
        <v>145</v>
      </c>
      <c r="AA597">
        <v>-6.2479471107701251E-3</v>
      </c>
      <c r="AB597">
        <v>106.9196</v>
      </c>
      <c r="AC597" t="s">
        <v>34</v>
      </c>
      <c r="AD597" t="s">
        <v>54</v>
      </c>
      <c r="AE597" t="s">
        <v>41</v>
      </c>
      <c r="AF597">
        <v>0</v>
      </c>
      <c r="AG597">
        <v>4.0889627548236183</v>
      </c>
      <c r="AH597" t="s">
        <v>237</v>
      </c>
      <c r="AI597" t="s">
        <v>237</v>
      </c>
      <c r="AJ597">
        <v>1.1801078031882158E-2</v>
      </c>
      <c r="AK597">
        <v>1.5556210804356164E-2</v>
      </c>
      <c r="AL597">
        <v>3.7551327724740058E-3</v>
      </c>
      <c r="AM597" t="s">
        <v>41</v>
      </c>
      <c r="AN597" t="s">
        <v>54</v>
      </c>
      <c r="AO597" t="s">
        <v>54</v>
      </c>
      <c r="AP597" t="s">
        <v>145</v>
      </c>
      <c r="AQ597">
        <v>0</v>
      </c>
    </row>
    <row r="598" spans="1:43" x14ac:dyDescent="0.2">
      <c r="A598">
        <v>596</v>
      </c>
      <c r="B598">
        <v>413</v>
      </c>
      <c r="C598">
        <v>50</v>
      </c>
      <c r="D598">
        <v>2000000</v>
      </c>
      <c r="E598" t="s">
        <v>665</v>
      </c>
      <c r="F598" t="s">
        <v>151</v>
      </c>
      <c r="G598" t="s">
        <v>666</v>
      </c>
      <c r="H598">
        <v>5.4225623085841716E-2</v>
      </c>
      <c r="I598">
        <v>-4.9927806833428029E-5</v>
      </c>
      <c r="J598">
        <v>3.02</v>
      </c>
      <c r="K598">
        <v>2.9713119168238511</v>
      </c>
      <c r="L598" s="1">
        <v>44226</v>
      </c>
      <c r="M598" s="1">
        <v>43024</v>
      </c>
      <c r="N598" s="1">
        <v>43021</v>
      </c>
      <c r="R598">
        <v>-3.7597404199730369E-3</v>
      </c>
      <c r="S598">
        <v>-3.7597404199730369E-3</v>
      </c>
      <c r="T598" t="s">
        <v>30</v>
      </c>
      <c r="U598" t="s">
        <v>30</v>
      </c>
      <c r="V598">
        <v>2195321.7799999998</v>
      </c>
      <c r="W598" t="s">
        <v>667</v>
      </c>
      <c r="X598" t="s">
        <v>668</v>
      </c>
      <c r="Y598">
        <v>2000000</v>
      </c>
      <c r="Z598" t="s">
        <v>157</v>
      </c>
      <c r="AA598">
        <v>-1.0267030326296576E-2</v>
      </c>
      <c r="AB598">
        <v>108.5522</v>
      </c>
      <c r="AC598" t="s">
        <v>142</v>
      </c>
      <c r="AD598" t="s">
        <v>146</v>
      </c>
      <c r="AE598" t="s">
        <v>177</v>
      </c>
      <c r="AF598">
        <v>0</v>
      </c>
      <c r="AG598">
        <v>2.9304086334845976</v>
      </c>
      <c r="AH598" t="s">
        <v>237</v>
      </c>
      <c r="AI598" t="s">
        <v>237</v>
      </c>
      <c r="AJ598">
        <v>1.3279588816343359E-2</v>
      </c>
      <c r="AK598">
        <v>1.795550433306017E-2</v>
      </c>
      <c r="AL598">
        <v>4.6759155167168101E-3</v>
      </c>
      <c r="AM598" t="s">
        <v>177</v>
      </c>
      <c r="AN598" t="s">
        <v>146</v>
      </c>
      <c r="AO598" t="s">
        <v>146</v>
      </c>
      <c r="AP598" t="s">
        <v>157</v>
      </c>
      <c r="AQ598">
        <v>0</v>
      </c>
    </row>
    <row r="599" spans="1:43" x14ac:dyDescent="0.2">
      <c r="A599">
        <v>597</v>
      </c>
      <c r="B599">
        <v>522</v>
      </c>
      <c r="C599">
        <v>50</v>
      </c>
      <c r="D599">
        <v>2000000</v>
      </c>
      <c r="E599" t="s">
        <v>665</v>
      </c>
      <c r="F599" t="s">
        <v>151</v>
      </c>
      <c r="G599" t="s">
        <v>1697</v>
      </c>
      <c r="H599">
        <v>0.13106184437283822</v>
      </c>
      <c r="I599">
        <v>1.0949140221645664E-6</v>
      </c>
      <c r="J599">
        <v>8.0299999999999994</v>
      </c>
      <c r="L599" s="1">
        <v>46684</v>
      </c>
      <c r="M599" s="1">
        <v>43024</v>
      </c>
      <c r="N599" s="1"/>
      <c r="R599">
        <v>6.708405211336695E-5</v>
      </c>
      <c r="T599" t="s">
        <v>30</v>
      </c>
      <c r="V599">
        <v>1995544</v>
      </c>
      <c r="W599" t="s">
        <v>667</v>
      </c>
      <c r="X599" t="s">
        <v>668</v>
      </c>
      <c r="Y599">
        <v>2000000</v>
      </c>
      <c r="Z599" t="s">
        <v>157</v>
      </c>
      <c r="AA599">
        <v>2.2515540303533749E-4</v>
      </c>
      <c r="AB599">
        <v>99.777199999999993</v>
      </c>
      <c r="AC599" t="s">
        <v>142</v>
      </c>
      <c r="AE599" t="s">
        <v>177</v>
      </c>
      <c r="AF599">
        <v>0</v>
      </c>
      <c r="AH599" t="s">
        <v>237</v>
      </c>
      <c r="AJ599">
        <v>1.632152482849791E-2</v>
      </c>
      <c r="AK599">
        <v>1.632152482849791E-2</v>
      </c>
      <c r="AL599">
        <v>0</v>
      </c>
      <c r="AN599" t="s">
        <v>146</v>
      </c>
      <c r="AQ599">
        <v>0</v>
      </c>
    </row>
    <row r="600" spans="1:43" x14ac:dyDescent="0.2">
      <c r="A600">
        <v>598</v>
      </c>
      <c r="B600">
        <v>414</v>
      </c>
      <c r="C600">
        <v>50</v>
      </c>
      <c r="D600">
        <v>300000</v>
      </c>
      <c r="E600" t="s">
        <v>669</v>
      </c>
      <c r="F600" t="s">
        <v>151</v>
      </c>
      <c r="G600" t="s">
        <v>670</v>
      </c>
      <c r="H600">
        <v>5.0401369093431613E-3</v>
      </c>
      <c r="I600">
        <v>1.8713776655283937E-5</v>
      </c>
      <c r="J600">
        <v>1.92</v>
      </c>
      <c r="K600">
        <v>1.8876440321165333</v>
      </c>
      <c r="L600" s="1">
        <v>43768</v>
      </c>
      <c r="M600" s="1">
        <v>43024</v>
      </c>
      <c r="N600" s="1">
        <v>43021</v>
      </c>
      <c r="R600">
        <v>-2.8497281532247252E-3</v>
      </c>
      <c r="S600">
        <v>-2.8497281532247252E-3</v>
      </c>
      <c r="T600" t="s">
        <v>30</v>
      </c>
      <c r="U600" t="s">
        <v>30</v>
      </c>
      <c r="V600">
        <v>320953.18</v>
      </c>
      <c r="W600" t="s">
        <v>671</v>
      </c>
      <c r="X600" t="s">
        <v>672</v>
      </c>
      <c r="Y600">
        <v>300000</v>
      </c>
      <c r="Z600" t="s">
        <v>158</v>
      </c>
      <c r="AA600">
        <v>3.8482546024974111E-3</v>
      </c>
      <c r="AB600">
        <v>104.6212</v>
      </c>
      <c r="AC600" t="s">
        <v>142</v>
      </c>
      <c r="AD600" t="s">
        <v>146</v>
      </c>
      <c r="AE600" t="s">
        <v>41</v>
      </c>
      <c r="AF600">
        <v>0</v>
      </c>
      <c r="AG600">
        <v>2.6591641928322982</v>
      </c>
      <c r="AH600" t="s">
        <v>237</v>
      </c>
      <c r="AI600" t="s">
        <v>237</v>
      </c>
      <c r="AJ600">
        <v>-6.566863802116565E-3</v>
      </c>
      <c r="AK600">
        <v>2.6250713069495631E-3</v>
      </c>
      <c r="AL600">
        <v>9.1919351090661277E-3</v>
      </c>
      <c r="AM600" t="s">
        <v>41</v>
      </c>
      <c r="AN600" t="s">
        <v>146</v>
      </c>
      <c r="AO600" t="s">
        <v>146</v>
      </c>
      <c r="AP600" t="s">
        <v>158</v>
      </c>
      <c r="AQ600">
        <v>0</v>
      </c>
    </row>
    <row r="601" spans="1:43" x14ac:dyDescent="0.2">
      <c r="A601">
        <v>599</v>
      </c>
      <c r="B601">
        <v>415</v>
      </c>
      <c r="C601">
        <v>50</v>
      </c>
      <c r="D601">
        <v>2350000</v>
      </c>
      <c r="E601" t="s">
        <v>669</v>
      </c>
      <c r="F601" t="s">
        <v>151</v>
      </c>
      <c r="G601" t="s">
        <v>673</v>
      </c>
      <c r="H601">
        <v>7.3186726306956051E-2</v>
      </c>
      <c r="I601">
        <v>-2.1671477852602681E-5</v>
      </c>
      <c r="J601">
        <v>3.64</v>
      </c>
      <c r="K601">
        <v>3.5650067627582889</v>
      </c>
      <c r="L601" s="1">
        <v>44489</v>
      </c>
      <c r="M601" s="1">
        <v>43024</v>
      </c>
      <c r="N601" s="1">
        <v>43021</v>
      </c>
      <c r="R601">
        <v>-2.5003571185352562E-3</v>
      </c>
      <c r="S601">
        <v>-2.5003571185352562E-3</v>
      </c>
      <c r="T601" t="s">
        <v>30</v>
      </c>
      <c r="U601" t="s">
        <v>30</v>
      </c>
      <c r="V601">
        <v>2458280.9500000002</v>
      </c>
      <c r="W601" t="s">
        <v>671</v>
      </c>
      <c r="X601" t="s">
        <v>672</v>
      </c>
      <c r="Y601">
        <v>2350000</v>
      </c>
      <c r="Z601" t="s">
        <v>158</v>
      </c>
      <c r="AA601">
        <v>-4.4564689386549497E-3</v>
      </c>
      <c r="AB601">
        <v>102.40770000000001</v>
      </c>
      <c r="AC601" t="s">
        <v>142</v>
      </c>
      <c r="AD601" t="s">
        <v>146</v>
      </c>
      <c r="AE601" t="s">
        <v>41</v>
      </c>
      <c r="AF601">
        <v>0</v>
      </c>
      <c r="AG601">
        <v>3.8009484595682559</v>
      </c>
      <c r="AH601" t="s">
        <v>237</v>
      </c>
      <c r="AI601" t="s">
        <v>237</v>
      </c>
      <c r="AJ601">
        <v>8.6673530320733275E-3</v>
      </c>
      <c r="AK601">
        <v>2.010624349092199E-2</v>
      </c>
      <c r="AL601">
        <v>1.1438890458848662E-2</v>
      </c>
      <c r="AM601" t="s">
        <v>41</v>
      </c>
      <c r="AN601" t="s">
        <v>146</v>
      </c>
      <c r="AO601" t="s">
        <v>146</v>
      </c>
      <c r="AP601" t="s">
        <v>158</v>
      </c>
      <c r="AQ601">
        <v>0</v>
      </c>
    </row>
    <row r="602" spans="1:43" x14ac:dyDescent="0.2">
      <c r="A602">
        <v>600</v>
      </c>
      <c r="B602">
        <v>489</v>
      </c>
      <c r="C602">
        <v>50</v>
      </c>
      <c r="D602">
        <v>1000000</v>
      </c>
      <c r="E602" t="s">
        <v>674</v>
      </c>
      <c r="F602" t="s">
        <v>151</v>
      </c>
      <c r="G602" t="s">
        <v>675</v>
      </c>
      <c r="H602">
        <v>6.3493253865748889E-2</v>
      </c>
      <c r="I602">
        <v>-6.9796868863360092E-5</v>
      </c>
      <c r="J602">
        <v>7.61</v>
      </c>
      <c r="L602" s="1">
        <v>46477</v>
      </c>
      <c r="M602" s="1">
        <v>43024</v>
      </c>
      <c r="N602" s="1"/>
      <c r="R602">
        <v>-8.3655213697702568E-3</v>
      </c>
      <c r="T602" t="s">
        <v>30</v>
      </c>
      <c r="V602">
        <v>1020101.78</v>
      </c>
      <c r="W602" t="s">
        <v>676</v>
      </c>
      <c r="X602" t="s">
        <v>677</v>
      </c>
      <c r="Y602">
        <v>1000000</v>
      </c>
      <c r="Z602" t="s">
        <v>157</v>
      </c>
      <c r="AA602">
        <v>-1.435285494697267E-2</v>
      </c>
      <c r="AB602">
        <v>101.7824</v>
      </c>
      <c r="AC602" t="s">
        <v>142</v>
      </c>
      <c r="AE602" t="s">
        <v>165</v>
      </c>
      <c r="AF602">
        <v>0</v>
      </c>
      <c r="AH602" t="s">
        <v>237</v>
      </c>
      <c r="AJ602">
        <v>8.3433973542376989E-3</v>
      </c>
      <c r="AK602">
        <v>8.3433973542376989E-3</v>
      </c>
      <c r="AL602">
        <v>0</v>
      </c>
      <c r="AN602" t="s">
        <v>146</v>
      </c>
      <c r="AQ602">
        <v>0</v>
      </c>
    </row>
    <row r="603" spans="1:43" x14ac:dyDescent="0.2">
      <c r="A603">
        <v>601</v>
      </c>
      <c r="B603">
        <v>351</v>
      </c>
      <c r="C603">
        <v>50</v>
      </c>
      <c r="D603">
        <v>1306000</v>
      </c>
      <c r="E603" t="s">
        <v>678</v>
      </c>
      <c r="F603" t="s">
        <v>151</v>
      </c>
      <c r="G603" t="s">
        <v>679</v>
      </c>
      <c r="H603">
        <v>0.10767518489720165</v>
      </c>
      <c r="I603">
        <v>-5.9236357196771219E-5</v>
      </c>
      <c r="J603">
        <v>10.18</v>
      </c>
      <c r="K603">
        <v>6.6393150988514087</v>
      </c>
      <c r="L603" s="1">
        <v>48554</v>
      </c>
      <c r="M603" s="1">
        <v>43024</v>
      </c>
      <c r="N603" s="1">
        <v>43021</v>
      </c>
      <c r="R603">
        <v>-8.0796557520942253E-3</v>
      </c>
      <c r="S603">
        <v>-8.0796557520942253E-3</v>
      </c>
      <c r="T603" t="s">
        <v>30</v>
      </c>
      <c r="U603" t="s">
        <v>30</v>
      </c>
      <c r="V603">
        <v>1293208.1299999999</v>
      </c>
      <c r="W603" t="s">
        <v>680</v>
      </c>
      <c r="X603" t="s">
        <v>681</v>
      </c>
      <c r="Y603">
        <v>1306000</v>
      </c>
      <c r="Z603" t="s">
        <v>145</v>
      </c>
      <c r="AA603">
        <v>-1.2181217528493412E-2</v>
      </c>
      <c r="AB603">
        <v>106.0474</v>
      </c>
      <c r="AC603" t="s">
        <v>34</v>
      </c>
      <c r="AD603" t="s">
        <v>54</v>
      </c>
      <c r="AE603" t="s">
        <v>89</v>
      </c>
      <c r="AF603">
        <v>0</v>
      </c>
      <c r="AG603">
        <v>4.9405135390282888</v>
      </c>
      <c r="AH603" t="s">
        <v>237</v>
      </c>
      <c r="AI603" t="s">
        <v>237</v>
      </c>
      <c r="AJ603">
        <v>7.3315446863459885E-3</v>
      </c>
      <c r="AK603">
        <v>1.0577130147072854E-2</v>
      </c>
      <c r="AL603">
        <v>3.245585460726866E-3</v>
      </c>
      <c r="AM603" t="s">
        <v>89</v>
      </c>
      <c r="AN603" t="s">
        <v>54</v>
      </c>
      <c r="AO603" t="s">
        <v>54</v>
      </c>
      <c r="AP603" t="s">
        <v>145</v>
      </c>
      <c r="AQ603">
        <v>0</v>
      </c>
    </row>
    <row r="604" spans="1:43" x14ac:dyDescent="0.2">
      <c r="A604">
        <v>602</v>
      </c>
      <c r="B604">
        <v>416</v>
      </c>
      <c r="C604">
        <v>50</v>
      </c>
      <c r="D604">
        <v>2320000</v>
      </c>
      <c r="E604" t="s">
        <v>682</v>
      </c>
      <c r="F604" t="s">
        <v>151</v>
      </c>
      <c r="G604" t="s">
        <v>683</v>
      </c>
      <c r="H604">
        <v>0.18372189417515689</v>
      </c>
      <c r="I604">
        <v>-5.6669912687480025E-5</v>
      </c>
      <c r="J604">
        <v>9.19</v>
      </c>
      <c r="K604">
        <v>6.3967363890250226</v>
      </c>
      <c r="L604" s="1">
        <v>47330</v>
      </c>
      <c r="M604" s="1">
        <v>43024</v>
      </c>
      <c r="N604" s="1">
        <v>43021</v>
      </c>
      <c r="R604">
        <v>-8.8417684882652926E-3</v>
      </c>
      <c r="S604">
        <v>-8.8417684882652926E-3</v>
      </c>
      <c r="T604" t="s">
        <v>30</v>
      </c>
      <c r="U604" t="s">
        <v>30</v>
      </c>
      <c r="V604">
        <v>2444252.0099999998</v>
      </c>
      <c r="W604" t="s">
        <v>684</v>
      </c>
      <c r="X604" t="s">
        <v>685</v>
      </c>
      <c r="Y604">
        <v>2320000</v>
      </c>
      <c r="Z604" t="s">
        <v>31</v>
      </c>
      <c r="AA604">
        <v>-1.1653460246953695E-2</v>
      </c>
      <c r="AB604">
        <v>104.37739999999999</v>
      </c>
      <c r="AC604" t="s">
        <v>34</v>
      </c>
      <c r="AD604" t="s">
        <v>54</v>
      </c>
      <c r="AE604" t="s">
        <v>175</v>
      </c>
      <c r="AF604">
        <v>0</v>
      </c>
      <c r="AG604">
        <v>4.124298876472575</v>
      </c>
      <c r="AH604" t="s">
        <v>237</v>
      </c>
      <c r="AI604" t="s">
        <v>237</v>
      </c>
      <c r="AJ604">
        <v>6.4093413848928266E-3</v>
      </c>
      <c r="AK604">
        <v>1.9991500998384863E-2</v>
      </c>
      <c r="AL604">
        <v>1.3582159613492037E-2</v>
      </c>
      <c r="AM604" t="s">
        <v>175</v>
      </c>
      <c r="AN604" t="s">
        <v>54</v>
      </c>
      <c r="AO604" t="s">
        <v>54</v>
      </c>
      <c r="AP604" t="s">
        <v>31</v>
      </c>
      <c r="AQ604">
        <v>0</v>
      </c>
    </row>
    <row r="605" spans="1:43" x14ac:dyDescent="0.2">
      <c r="A605">
        <v>603</v>
      </c>
      <c r="B605">
        <v>398</v>
      </c>
      <c r="C605">
        <v>50</v>
      </c>
      <c r="F605" t="s">
        <v>151</v>
      </c>
      <c r="G605" t="s">
        <v>686</v>
      </c>
      <c r="I605">
        <v>5.2749726237814207E-6</v>
      </c>
      <c r="J605">
        <v>5.7621284970999023</v>
      </c>
      <c r="K605">
        <v>5.7621284970999023</v>
      </c>
      <c r="L605" s="1"/>
      <c r="M605" s="1"/>
      <c r="N605" s="1">
        <v>43021</v>
      </c>
      <c r="R605">
        <v>-2.0839458755021177E-3</v>
      </c>
      <c r="S605">
        <v>-2.0839458755021177E-3</v>
      </c>
      <c r="T605" t="s">
        <v>30</v>
      </c>
      <c r="U605" t="s">
        <v>30</v>
      </c>
      <c r="W605" t="s">
        <v>687</v>
      </c>
      <c r="Z605" t="s">
        <v>145</v>
      </c>
      <c r="AA605">
        <v>1.0847322831430202E-3</v>
      </c>
      <c r="AC605" t="s">
        <v>54</v>
      </c>
      <c r="AD605" t="s">
        <v>54</v>
      </c>
      <c r="AE605" t="s">
        <v>88</v>
      </c>
      <c r="AF605">
        <v>3.5120556213900285</v>
      </c>
      <c r="AG605">
        <v>3.5120556213900285</v>
      </c>
      <c r="AH605" t="s">
        <v>237</v>
      </c>
      <c r="AI605" t="s">
        <v>237</v>
      </c>
      <c r="AJ605">
        <v>-2.5312426228490405E-3</v>
      </c>
      <c r="AK605">
        <v>0</v>
      </c>
      <c r="AL605">
        <v>2.5312426228490405E-3</v>
      </c>
      <c r="AM605" t="s">
        <v>88</v>
      </c>
      <c r="AN605" t="s">
        <v>54</v>
      </c>
      <c r="AO605" t="s">
        <v>54</v>
      </c>
      <c r="AP605" t="s">
        <v>145</v>
      </c>
    </row>
    <row r="606" spans="1:43" x14ac:dyDescent="0.2">
      <c r="A606">
        <v>604</v>
      </c>
      <c r="B606">
        <v>417</v>
      </c>
      <c r="C606">
        <v>50</v>
      </c>
      <c r="D606">
        <v>2250000</v>
      </c>
      <c r="E606" t="s">
        <v>688</v>
      </c>
      <c r="F606" t="s">
        <v>151</v>
      </c>
      <c r="G606" t="s">
        <v>689</v>
      </c>
      <c r="H606">
        <v>0.14061762912894665</v>
      </c>
      <c r="I606">
        <v>-6.327987281574641E-5</v>
      </c>
      <c r="J606">
        <v>6.84</v>
      </c>
      <c r="K606">
        <v>6.542952743997775</v>
      </c>
      <c r="L606" s="1">
        <v>46141</v>
      </c>
      <c r="M606" s="1">
        <v>43024</v>
      </c>
      <c r="N606" s="1">
        <v>43021</v>
      </c>
      <c r="R606">
        <v>-4.807312028814033E-3</v>
      </c>
      <c r="S606">
        <v>-4.807312028814033E-3</v>
      </c>
      <c r="T606" t="s">
        <v>30</v>
      </c>
      <c r="U606" t="s">
        <v>30</v>
      </c>
      <c r="V606">
        <v>2513531.0099999998</v>
      </c>
      <c r="W606" t="s">
        <v>690</v>
      </c>
      <c r="X606" t="s">
        <v>691</v>
      </c>
      <c r="Y606">
        <v>2250000</v>
      </c>
      <c r="Z606" t="s">
        <v>143</v>
      </c>
      <c r="AA606">
        <v>-1.3012716048413914E-2</v>
      </c>
      <c r="AB606">
        <v>109.1611</v>
      </c>
      <c r="AC606" t="s">
        <v>34</v>
      </c>
      <c r="AD606" t="s">
        <v>54</v>
      </c>
      <c r="AE606" t="s">
        <v>41</v>
      </c>
      <c r="AF606">
        <v>0</v>
      </c>
      <c r="AG606">
        <v>4.1824762124618671</v>
      </c>
      <c r="AH606" t="s">
        <v>237</v>
      </c>
      <c r="AI606" t="s">
        <v>237</v>
      </c>
      <c r="AJ606">
        <v>1.3163254732886062E-2</v>
      </c>
      <c r="AK606">
        <v>2.0558132913588691E-2</v>
      </c>
      <c r="AL606">
        <v>7.3948781807026288E-3</v>
      </c>
      <c r="AM606" t="s">
        <v>41</v>
      </c>
      <c r="AN606" t="s">
        <v>54</v>
      </c>
      <c r="AO606" t="s">
        <v>54</v>
      </c>
      <c r="AP606" t="s">
        <v>143</v>
      </c>
      <c r="AQ606">
        <v>0</v>
      </c>
    </row>
    <row r="607" spans="1:43" x14ac:dyDescent="0.2">
      <c r="A607">
        <v>605</v>
      </c>
      <c r="B607">
        <v>523</v>
      </c>
      <c r="C607">
        <v>50</v>
      </c>
      <c r="D607">
        <v>1100000</v>
      </c>
      <c r="E607" t="s">
        <v>1698</v>
      </c>
      <c r="F607" t="s">
        <v>151</v>
      </c>
      <c r="G607" t="s">
        <v>1699</v>
      </c>
      <c r="H607">
        <v>7.4052977547243146E-2</v>
      </c>
      <c r="I607">
        <v>-6.4458948990556575E-6</v>
      </c>
      <c r="J607">
        <v>8.2899999999999991</v>
      </c>
      <c r="L607" s="1">
        <v>46679</v>
      </c>
      <c r="M607" s="1">
        <v>43024</v>
      </c>
      <c r="N607" s="1"/>
      <c r="R607">
        <v>-7.2159784093868266E-4</v>
      </c>
      <c r="T607" t="s">
        <v>30</v>
      </c>
      <c r="V607">
        <v>1092165.8</v>
      </c>
      <c r="W607" t="s">
        <v>1700</v>
      </c>
      <c r="X607" t="s">
        <v>1701</v>
      </c>
      <c r="Y607">
        <v>1100000</v>
      </c>
      <c r="Z607" t="s">
        <v>147</v>
      </c>
      <c r="AA607">
        <v>-1.3255178347712923E-3</v>
      </c>
      <c r="AB607">
        <v>99.287800000000004</v>
      </c>
      <c r="AC607" t="s">
        <v>34</v>
      </c>
      <c r="AE607" t="s">
        <v>41</v>
      </c>
      <c r="AF607">
        <v>0</v>
      </c>
      <c r="AH607" t="s">
        <v>237</v>
      </c>
      <c r="AJ607">
        <v>8.9328079067844575E-3</v>
      </c>
      <c r="AK607">
        <v>8.9328079067844575E-3</v>
      </c>
      <c r="AL607">
        <v>0</v>
      </c>
      <c r="AN607" t="s">
        <v>54</v>
      </c>
      <c r="AQ607">
        <v>0</v>
      </c>
    </row>
    <row r="608" spans="1:43" x14ac:dyDescent="0.2">
      <c r="A608">
        <v>606</v>
      </c>
      <c r="B608">
        <v>418</v>
      </c>
      <c r="C608">
        <v>50</v>
      </c>
      <c r="D608">
        <v>1176000</v>
      </c>
      <c r="E608" t="s">
        <v>692</v>
      </c>
      <c r="F608" t="s">
        <v>151</v>
      </c>
      <c r="G608" t="s">
        <v>693</v>
      </c>
      <c r="H608">
        <v>7.3101038882314381E-2</v>
      </c>
      <c r="I608">
        <v>-2.1097618041053663E-5</v>
      </c>
      <c r="J608">
        <v>7.05</v>
      </c>
      <c r="K608">
        <v>6.7439343648863312</v>
      </c>
      <c r="L608" s="1">
        <v>46166</v>
      </c>
      <c r="M608" s="1">
        <v>43024</v>
      </c>
      <c r="N608" s="1">
        <v>43021</v>
      </c>
      <c r="R608">
        <v>-4.7184403402135301E-3</v>
      </c>
      <c r="S608">
        <v>-4.7184403402135301E-3</v>
      </c>
      <c r="T608" t="s">
        <v>30</v>
      </c>
      <c r="U608" t="s">
        <v>30</v>
      </c>
      <c r="V608">
        <v>1267754.06</v>
      </c>
      <c r="W608" t="s">
        <v>694</v>
      </c>
      <c r="X608" t="s">
        <v>695</v>
      </c>
      <c r="Y608">
        <v>1176000</v>
      </c>
      <c r="Z608" t="s">
        <v>147</v>
      </c>
      <c r="AA608">
        <v>-4.3384618307546708E-3</v>
      </c>
      <c r="AB608">
        <v>105.8793</v>
      </c>
      <c r="AC608" t="s">
        <v>142</v>
      </c>
      <c r="AD608" t="s">
        <v>146</v>
      </c>
      <c r="AE608" t="s">
        <v>89</v>
      </c>
      <c r="AF608">
        <v>0</v>
      </c>
      <c r="AG608">
        <v>4.0141682944866268</v>
      </c>
      <c r="AH608" t="s">
        <v>237</v>
      </c>
      <c r="AI608" t="s">
        <v>237</v>
      </c>
      <c r="AJ608">
        <v>4.4713118148907022E-3</v>
      </c>
      <c r="AK608">
        <v>1.0368941685434663E-2</v>
      </c>
      <c r="AL608">
        <v>5.8976298705439613E-3</v>
      </c>
      <c r="AM608" t="s">
        <v>89</v>
      </c>
      <c r="AN608" t="s">
        <v>146</v>
      </c>
      <c r="AO608" t="s">
        <v>146</v>
      </c>
      <c r="AP608" t="s">
        <v>147</v>
      </c>
      <c r="AQ608">
        <v>0</v>
      </c>
    </row>
    <row r="609" spans="1:43" x14ac:dyDescent="0.2">
      <c r="A609">
        <v>607</v>
      </c>
      <c r="B609">
        <v>509</v>
      </c>
      <c r="C609">
        <v>50</v>
      </c>
      <c r="D609">
        <v>2000000</v>
      </c>
      <c r="E609" t="s">
        <v>692</v>
      </c>
      <c r="F609" t="s">
        <v>151</v>
      </c>
      <c r="G609" t="s">
        <v>696</v>
      </c>
      <c r="H609">
        <v>0.13339322549736671</v>
      </c>
      <c r="I609">
        <v>-1.0717417347955695E-4</v>
      </c>
      <c r="J609">
        <v>8.1199999999999992</v>
      </c>
      <c r="L609" s="1">
        <v>46615</v>
      </c>
      <c r="M609" s="1">
        <v>43024</v>
      </c>
      <c r="N609" s="1"/>
      <c r="R609">
        <v>-6.5239766518066676E-3</v>
      </c>
      <c r="T609" t="s">
        <v>30</v>
      </c>
      <c r="V609">
        <v>2008530</v>
      </c>
      <c r="W609" t="s">
        <v>694</v>
      </c>
      <c r="X609" t="s">
        <v>695</v>
      </c>
      <c r="Y609">
        <v>2000000</v>
      </c>
      <c r="Z609" t="s">
        <v>147</v>
      </c>
      <c r="AA609">
        <v>-2.203903113512409E-2</v>
      </c>
      <c r="AB609">
        <v>99.739000000000004</v>
      </c>
      <c r="AC609" t="s">
        <v>142</v>
      </c>
      <c r="AE609" t="s">
        <v>89</v>
      </c>
      <c r="AF609">
        <v>0</v>
      </c>
      <c r="AH609" t="s">
        <v>237</v>
      </c>
      <c r="AJ609">
        <v>1.6427737130217578E-2</v>
      </c>
      <c r="AK609">
        <v>1.6427737130217578E-2</v>
      </c>
      <c r="AL609">
        <v>0</v>
      </c>
      <c r="AN609" t="s">
        <v>146</v>
      </c>
      <c r="AQ609">
        <v>0</v>
      </c>
    </row>
    <row r="610" spans="1:43" x14ac:dyDescent="0.2">
      <c r="A610">
        <v>608</v>
      </c>
      <c r="B610">
        <v>405</v>
      </c>
      <c r="C610">
        <v>50</v>
      </c>
      <c r="D610">
        <v>2000000</v>
      </c>
      <c r="E610" t="s">
        <v>1702</v>
      </c>
      <c r="F610" t="s">
        <v>151</v>
      </c>
      <c r="G610" t="s">
        <v>1703</v>
      </c>
      <c r="H610">
        <v>0.20066053296418609</v>
      </c>
      <c r="I610">
        <v>1.7850951168565443E-5</v>
      </c>
      <c r="J610">
        <v>11.06</v>
      </c>
      <c r="K610">
        <v>7.7451708864843249</v>
      </c>
      <c r="L610" s="1">
        <v>49130</v>
      </c>
      <c r="M610" s="1">
        <v>43024</v>
      </c>
      <c r="N610" s="1">
        <v>43021</v>
      </c>
      <c r="R610">
        <v>-8.9306220154093899E-3</v>
      </c>
      <c r="S610">
        <v>-8.9306220154093899E-3</v>
      </c>
      <c r="T610" t="s">
        <v>30</v>
      </c>
      <c r="U610" t="s">
        <v>30</v>
      </c>
      <c r="V610">
        <v>2218234.2799999998</v>
      </c>
      <c r="W610" t="s">
        <v>1704</v>
      </c>
      <c r="X610" t="s">
        <v>1705</v>
      </c>
      <c r="Y610">
        <v>2000000</v>
      </c>
      <c r="Z610" t="s">
        <v>147</v>
      </c>
      <c r="AA610">
        <v>3.670825310079358E-3</v>
      </c>
      <c r="AB610">
        <v>110.73220000000001</v>
      </c>
      <c r="AC610" t="s">
        <v>34</v>
      </c>
      <c r="AD610" t="s">
        <v>54</v>
      </c>
      <c r="AE610" t="s">
        <v>57</v>
      </c>
      <c r="AF610">
        <v>0</v>
      </c>
      <c r="AG610">
        <v>4.9071279375234429</v>
      </c>
      <c r="AH610" t="s">
        <v>237</v>
      </c>
      <c r="AI610" t="s">
        <v>237</v>
      </c>
      <c r="AJ610">
        <v>-1.9988474641256145E-3</v>
      </c>
      <c r="AK610">
        <v>1.8142905331300731E-2</v>
      </c>
      <c r="AL610">
        <v>2.0141752795426345E-2</v>
      </c>
      <c r="AM610" t="s">
        <v>57</v>
      </c>
      <c r="AN610" t="s">
        <v>54</v>
      </c>
      <c r="AO610" t="s">
        <v>54</v>
      </c>
      <c r="AP610" t="s">
        <v>147</v>
      </c>
      <c r="AQ610">
        <v>0</v>
      </c>
    </row>
    <row r="611" spans="1:43" x14ac:dyDescent="0.2">
      <c r="A611">
        <v>609</v>
      </c>
      <c r="B611">
        <v>419</v>
      </c>
      <c r="C611">
        <v>50</v>
      </c>
      <c r="D611">
        <v>750000</v>
      </c>
      <c r="E611" t="s">
        <v>697</v>
      </c>
      <c r="F611" t="s">
        <v>151</v>
      </c>
      <c r="G611" t="s">
        <v>698</v>
      </c>
      <c r="H611">
        <v>4.6632949116019881E-2</v>
      </c>
      <c r="I611">
        <v>-6.9768249604218128E-6</v>
      </c>
      <c r="J611">
        <v>7.65</v>
      </c>
      <c r="K611">
        <v>7.496618220510392</v>
      </c>
      <c r="L611" s="1">
        <v>46301</v>
      </c>
      <c r="M611" s="1">
        <v>43024</v>
      </c>
      <c r="N611" s="1">
        <v>43021</v>
      </c>
      <c r="R611">
        <v>-3.8792393520884357E-3</v>
      </c>
      <c r="S611">
        <v>-3.8792393520884357E-3</v>
      </c>
      <c r="T611" t="s">
        <v>30</v>
      </c>
      <c r="U611" t="s">
        <v>30</v>
      </c>
      <c r="V611">
        <v>745301.55</v>
      </c>
      <c r="W611" t="s">
        <v>699</v>
      </c>
      <c r="X611" t="s">
        <v>700</v>
      </c>
      <c r="Y611">
        <v>750000</v>
      </c>
      <c r="Z611" t="s">
        <v>145</v>
      </c>
      <c r="AA611">
        <v>-1.4346969753527123E-3</v>
      </c>
      <c r="AB611">
        <v>99.265900000000002</v>
      </c>
      <c r="AC611" t="s">
        <v>33</v>
      </c>
      <c r="AD611" t="s">
        <v>148</v>
      </c>
      <c r="AE611" t="s">
        <v>56</v>
      </c>
      <c r="AF611">
        <v>0</v>
      </c>
      <c r="AG611">
        <v>3.9304781400180375</v>
      </c>
      <c r="AH611" t="s">
        <v>237</v>
      </c>
      <c r="AI611" t="s">
        <v>237</v>
      </c>
      <c r="AJ611">
        <v>1.7985033474837674E-3</v>
      </c>
      <c r="AK611">
        <v>6.0958103419633831E-3</v>
      </c>
      <c r="AL611">
        <v>4.2973069944796157E-3</v>
      </c>
      <c r="AM611" t="s">
        <v>56</v>
      </c>
      <c r="AN611" t="s">
        <v>148</v>
      </c>
      <c r="AO611" t="s">
        <v>148</v>
      </c>
      <c r="AP611" t="s">
        <v>145</v>
      </c>
      <c r="AQ611">
        <v>0</v>
      </c>
    </row>
    <row r="612" spans="1:43" x14ac:dyDescent="0.2">
      <c r="A612">
        <v>610</v>
      </c>
      <c r="B612">
        <v>420</v>
      </c>
      <c r="C612">
        <v>50</v>
      </c>
      <c r="F612" t="s">
        <v>151</v>
      </c>
      <c r="G612" t="s">
        <v>1454</v>
      </c>
      <c r="I612">
        <v>5.2014265562812823E-5</v>
      </c>
      <c r="J612">
        <v>3.2402047800611817</v>
      </c>
      <c r="K612">
        <v>3.2402047800611817</v>
      </c>
      <c r="L612" s="1"/>
      <c r="M612" s="1"/>
      <c r="N612" s="1">
        <v>43021</v>
      </c>
      <c r="R612">
        <v>-1.0910269297036489E-2</v>
      </c>
      <c r="S612">
        <v>-1.0910269297036489E-2</v>
      </c>
      <c r="T612" t="s">
        <v>30</v>
      </c>
      <c r="U612" t="s">
        <v>30</v>
      </c>
      <c r="W612" t="s">
        <v>1455</v>
      </c>
      <c r="Z612" t="s">
        <v>157</v>
      </c>
      <c r="AA612">
        <v>1.0696084522901453E-2</v>
      </c>
      <c r="AC612" t="s">
        <v>146</v>
      </c>
      <c r="AD612" t="s">
        <v>146</v>
      </c>
      <c r="AE612" t="s">
        <v>177</v>
      </c>
      <c r="AF612">
        <v>2.9018344387159689</v>
      </c>
      <c r="AG612">
        <v>2.9018344387159689</v>
      </c>
      <c r="AH612" t="s">
        <v>237</v>
      </c>
      <c r="AI612" t="s">
        <v>237</v>
      </c>
      <c r="AJ612">
        <v>-4.7674593675649454E-3</v>
      </c>
      <c r="AK612">
        <v>0</v>
      </c>
      <c r="AL612">
        <v>4.7674593675649454E-3</v>
      </c>
      <c r="AM612" t="s">
        <v>177</v>
      </c>
      <c r="AN612" t="s">
        <v>146</v>
      </c>
      <c r="AO612" t="s">
        <v>146</v>
      </c>
      <c r="AP612" t="s">
        <v>157</v>
      </c>
    </row>
    <row r="613" spans="1:43" x14ac:dyDescent="0.2">
      <c r="A613">
        <v>611</v>
      </c>
      <c r="B613">
        <v>421</v>
      </c>
      <c r="C613">
        <v>50</v>
      </c>
      <c r="F613" t="s">
        <v>151</v>
      </c>
      <c r="G613" t="s">
        <v>1456</v>
      </c>
      <c r="I613">
        <v>6.9966955171706627E-6</v>
      </c>
      <c r="J613">
        <v>8.9459056108601729</v>
      </c>
      <c r="K613">
        <v>8.9459056108601729</v>
      </c>
      <c r="L613" s="1"/>
      <c r="M613" s="1"/>
      <c r="N613" s="1">
        <v>43021</v>
      </c>
      <c r="R613">
        <v>-1.6917078396648233E-3</v>
      </c>
      <c r="S613">
        <v>-1.6917078396648233E-3</v>
      </c>
      <c r="T613" t="s">
        <v>30</v>
      </c>
      <c r="U613" t="s">
        <v>30</v>
      </c>
      <c r="W613" t="s">
        <v>1457</v>
      </c>
      <c r="Z613" t="s">
        <v>31</v>
      </c>
      <c r="AA613">
        <v>1.4387831073436781E-3</v>
      </c>
      <c r="AC613" t="s">
        <v>54</v>
      </c>
      <c r="AD613" t="s">
        <v>54</v>
      </c>
      <c r="AE613" t="s">
        <v>89</v>
      </c>
      <c r="AF613">
        <v>3.8659730013565001</v>
      </c>
      <c r="AG613">
        <v>3.8659730013565001</v>
      </c>
      <c r="AH613" t="s">
        <v>237</v>
      </c>
      <c r="AI613" t="s">
        <v>237</v>
      </c>
      <c r="AJ613">
        <v>-4.1358769836740321E-3</v>
      </c>
      <c r="AK613">
        <v>0</v>
      </c>
      <c r="AL613">
        <v>4.1358769836740321E-3</v>
      </c>
      <c r="AM613" t="s">
        <v>89</v>
      </c>
      <c r="AN613" t="s">
        <v>54</v>
      </c>
      <c r="AO613" t="s">
        <v>54</v>
      </c>
      <c r="AP613" t="s">
        <v>31</v>
      </c>
    </row>
    <row r="614" spans="1:43" x14ac:dyDescent="0.2">
      <c r="A614">
        <v>612</v>
      </c>
      <c r="B614">
        <v>515</v>
      </c>
      <c r="C614">
        <v>50</v>
      </c>
      <c r="D614">
        <v>500000</v>
      </c>
      <c r="E614" t="s">
        <v>701</v>
      </c>
      <c r="F614" t="s">
        <v>151</v>
      </c>
      <c r="G614" t="s">
        <v>1458</v>
      </c>
      <c r="H614">
        <v>3.5303738256583492E-2</v>
      </c>
      <c r="I614">
        <v>4.8299432164975999E-6</v>
      </c>
      <c r="J614">
        <v>8.75</v>
      </c>
      <c r="L614" s="1">
        <v>46873</v>
      </c>
      <c r="M614" s="1">
        <v>43024</v>
      </c>
      <c r="N614" s="1"/>
      <c r="R614">
        <v>1.1970971129798957E-3</v>
      </c>
      <c r="T614" t="s">
        <v>30</v>
      </c>
      <c r="V614">
        <v>493302.39</v>
      </c>
      <c r="W614" t="s">
        <v>703</v>
      </c>
      <c r="X614" t="s">
        <v>704</v>
      </c>
      <c r="Y614">
        <v>500000</v>
      </c>
      <c r="Z614" t="s">
        <v>145</v>
      </c>
      <c r="AA614">
        <v>9.932175399474984E-4</v>
      </c>
      <c r="AB614">
        <v>98.4315</v>
      </c>
      <c r="AC614" t="s">
        <v>148</v>
      </c>
      <c r="AE614" t="s">
        <v>57</v>
      </c>
      <c r="AF614">
        <v>0</v>
      </c>
      <c r="AH614" t="s">
        <v>237</v>
      </c>
      <c r="AJ614">
        <v>4.0347129436095423E-3</v>
      </c>
      <c r="AK614">
        <v>4.0347129436095423E-3</v>
      </c>
      <c r="AL614">
        <v>0</v>
      </c>
      <c r="AN614" t="s">
        <v>144</v>
      </c>
      <c r="AQ614">
        <v>0</v>
      </c>
    </row>
    <row r="615" spans="1:43" x14ac:dyDescent="0.2">
      <c r="A615">
        <v>613</v>
      </c>
      <c r="B615">
        <v>516</v>
      </c>
      <c r="C615">
        <v>50</v>
      </c>
      <c r="D615">
        <v>200000</v>
      </c>
      <c r="E615" t="s">
        <v>701</v>
      </c>
      <c r="F615" t="s">
        <v>151</v>
      </c>
      <c r="G615" t="s">
        <v>1459</v>
      </c>
      <c r="H615">
        <v>2.5007984130419991E-2</v>
      </c>
      <c r="I615">
        <v>-1.2618891884261374E-5</v>
      </c>
      <c r="J615">
        <v>15.3</v>
      </c>
      <c r="L615" s="1">
        <v>53904</v>
      </c>
      <c r="M615" s="1">
        <v>43024</v>
      </c>
      <c r="N615" s="1"/>
      <c r="R615">
        <v>-7.7202962390858082E-3</v>
      </c>
      <c r="T615" t="s">
        <v>30</v>
      </c>
      <c r="V615">
        <v>199842.49</v>
      </c>
      <c r="W615" t="s">
        <v>703</v>
      </c>
      <c r="X615" t="s">
        <v>704</v>
      </c>
      <c r="Y615">
        <v>200000</v>
      </c>
      <c r="Z615" t="s">
        <v>145</v>
      </c>
      <c r="AA615">
        <v>-2.5949176195984298E-3</v>
      </c>
      <c r="AB615">
        <v>99.690600000000003</v>
      </c>
      <c r="AC615" t="s">
        <v>148</v>
      </c>
      <c r="AE615" t="s">
        <v>57</v>
      </c>
      <c r="AF615">
        <v>0</v>
      </c>
      <c r="AH615" t="s">
        <v>237</v>
      </c>
      <c r="AJ615">
        <v>1.6345087666941171E-3</v>
      </c>
      <c r="AK615">
        <v>1.6345087666941171E-3</v>
      </c>
      <c r="AL615">
        <v>0</v>
      </c>
      <c r="AN615" t="s">
        <v>144</v>
      </c>
      <c r="AQ615">
        <v>0</v>
      </c>
    </row>
    <row r="616" spans="1:43" x14ac:dyDescent="0.2">
      <c r="A616">
        <v>614</v>
      </c>
      <c r="B616">
        <v>422</v>
      </c>
      <c r="C616">
        <v>50</v>
      </c>
      <c r="D616">
        <v>1000000</v>
      </c>
      <c r="E616" t="s">
        <v>701</v>
      </c>
      <c r="F616" t="s">
        <v>151</v>
      </c>
      <c r="G616" t="s">
        <v>702</v>
      </c>
      <c r="H616">
        <v>6.3577755113433332E-2</v>
      </c>
      <c r="I616">
        <v>-5.3803745278103452E-5</v>
      </c>
      <c r="J616">
        <v>7.47</v>
      </c>
      <c r="L616" s="1">
        <v>46326</v>
      </c>
      <c r="M616" s="1">
        <v>43024</v>
      </c>
      <c r="N616" s="1"/>
      <c r="R616">
        <v>-6.3216132200696789E-3</v>
      </c>
      <c r="T616" t="s">
        <v>30</v>
      </c>
      <c r="V616">
        <v>1040603.22</v>
      </c>
      <c r="W616" t="s">
        <v>703</v>
      </c>
      <c r="X616" t="s">
        <v>704</v>
      </c>
      <c r="Y616">
        <v>1000000</v>
      </c>
      <c r="Z616" t="s">
        <v>145</v>
      </c>
      <c r="AA616">
        <v>-1.1064068691853182E-2</v>
      </c>
      <c r="AB616">
        <v>102.1006</v>
      </c>
      <c r="AC616" t="s">
        <v>148</v>
      </c>
      <c r="AE616" t="s">
        <v>57</v>
      </c>
      <c r="AF616">
        <v>0</v>
      </c>
      <c r="AH616" t="s">
        <v>237</v>
      </c>
      <c r="AJ616">
        <v>8.5110783284381968E-3</v>
      </c>
      <c r="AK616">
        <v>8.5110783284381968E-3</v>
      </c>
      <c r="AL616">
        <v>0</v>
      </c>
      <c r="AN616" t="s">
        <v>144</v>
      </c>
      <c r="AQ616">
        <v>0</v>
      </c>
    </row>
    <row r="617" spans="1:43" x14ac:dyDescent="0.2">
      <c r="A617">
        <v>615</v>
      </c>
      <c r="B617">
        <v>375</v>
      </c>
      <c r="C617">
        <v>50</v>
      </c>
      <c r="D617">
        <v>2200000</v>
      </c>
      <c r="E617" t="s">
        <v>705</v>
      </c>
      <c r="F617" t="s">
        <v>151</v>
      </c>
      <c r="G617" t="s">
        <v>706</v>
      </c>
      <c r="H617">
        <v>0.1066531021132238</v>
      </c>
      <c r="I617">
        <v>-8.6202811937648895E-5</v>
      </c>
      <c r="J617">
        <v>5.31</v>
      </c>
      <c r="K617">
        <v>5.1942150014778532</v>
      </c>
      <c r="L617" s="1">
        <v>45329</v>
      </c>
      <c r="M617" s="1">
        <v>43024</v>
      </c>
      <c r="N617" s="1">
        <v>43021</v>
      </c>
      <c r="R617">
        <v>-7.0574546020691787E-3</v>
      </c>
      <c r="S617">
        <v>-7.0574546020691787E-3</v>
      </c>
      <c r="T617" t="s">
        <v>30</v>
      </c>
      <c r="U617" t="s">
        <v>30</v>
      </c>
      <c r="V617">
        <v>2455723.9670000002</v>
      </c>
      <c r="W617" t="s">
        <v>707</v>
      </c>
      <c r="X617" t="s">
        <v>708</v>
      </c>
      <c r="Y617">
        <v>2200000</v>
      </c>
      <c r="Z617" t="s">
        <v>147</v>
      </c>
      <c r="AA617">
        <v>-1.7726532377611244E-2</v>
      </c>
      <c r="AB617">
        <v>110.4259</v>
      </c>
      <c r="AC617" t="s">
        <v>55</v>
      </c>
      <c r="AD617" t="s">
        <v>149</v>
      </c>
      <c r="AE617" t="s">
        <v>177</v>
      </c>
      <c r="AF617">
        <v>0</v>
      </c>
      <c r="AG617">
        <v>4.2584340829150555</v>
      </c>
      <c r="AH617" t="s">
        <v>237</v>
      </c>
      <c r="AI617" t="s">
        <v>237</v>
      </c>
      <c r="AJ617">
        <v>1.2214433786421388E-2</v>
      </c>
      <c r="AK617">
        <v>2.0085329964825576E-2</v>
      </c>
      <c r="AL617">
        <v>7.8708961784041877E-3</v>
      </c>
      <c r="AM617" t="s">
        <v>177</v>
      </c>
      <c r="AN617" t="s">
        <v>149</v>
      </c>
      <c r="AO617" t="s">
        <v>149</v>
      </c>
      <c r="AP617" t="s">
        <v>147</v>
      </c>
      <c r="AQ617">
        <v>0</v>
      </c>
    </row>
    <row r="618" spans="1:43" x14ac:dyDescent="0.2">
      <c r="A618">
        <v>616</v>
      </c>
      <c r="B618">
        <v>0</v>
      </c>
      <c r="C618">
        <v>50</v>
      </c>
      <c r="D618">
        <v>326.21146903326212</v>
      </c>
      <c r="E618" t="s">
        <v>1460</v>
      </c>
      <c r="F618" t="s">
        <v>151</v>
      </c>
      <c r="G618" t="s">
        <v>1461</v>
      </c>
      <c r="H618">
        <v>0</v>
      </c>
      <c r="I618">
        <v>0</v>
      </c>
      <c r="J618">
        <v>0</v>
      </c>
      <c r="L618" s="1">
        <v>2</v>
      </c>
      <c r="M618" s="1">
        <v>43024</v>
      </c>
      <c r="N618" s="1"/>
      <c r="R618">
        <v>0</v>
      </c>
      <c r="T618" t="s">
        <v>30</v>
      </c>
      <c r="V618">
        <v>326.35359999999997</v>
      </c>
      <c r="W618" t="s">
        <v>1462</v>
      </c>
      <c r="X618" t="s">
        <v>1463</v>
      </c>
      <c r="Y618">
        <v>326.21146903326212</v>
      </c>
      <c r="Z618" t="s">
        <v>31</v>
      </c>
      <c r="AA618">
        <v>0</v>
      </c>
      <c r="AB618">
        <v>619.67999999999995</v>
      </c>
      <c r="AC618" t="s">
        <v>47</v>
      </c>
      <c r="AE618" t="s">
        <v>41</v>
      </c>
      <c r="AF618">
        <v>0</v>
      </c>
      <c r="AH618" t="s">
        <v>597</v>
      </c>
      <c r="AJ618">
        <v>2.6692412621669457E-6</v>
      </c>
      <c r="AK618">
        <v>2.6692412621669457E-6</v>
      </c>
      <c r="AL618">
        <v>0</v>
      </c>
      <c r="AN618" t="s">
        <v>163</v>
      </c>
      <c r="AQ618">
        <v>0</v>
      </c>
    </row>
    <row r="619" spans="1:43" x14ac:dyDescent="0.2">
      <c r="A619">
        <v>617</v>
      </c>
      <c r="B619">
        <v>518</v>
      </c>
      <c r="C619">
        <v>50</v>
      </c>
      <c r="D619">
        <v>200000</v>
      </c>
      <c r="E619" t="s">
        <v>709</v>
      </c>
      <c r="F619" t="s">
        <v>151</v>
      </c>
      <c r="G619" t="s">
        <v>1706</v>
      </c>
      <c r="H619">
        <v>2.3396084164441267E-2</v>
      </c>
      <c r="I619">
        <v>4.5686213648049919E-6</v>
      </c>
      <c r="J619">
        <v>14.6</v>
      </c>
      <c r="L619" s="1">
        <v>54072</v>
      </c>
      <c r="M619" s="1">
        <v>43024</v>
      </c>
      <c r="N619" s="1"/>
      <c r="R619">
        <v>2.85098444070099E-3</v>
      </c>
      <c r="T619" t="s">
        <v>30</v>
      </c>
      <c r="V619">
        <v>195925.47</v>
      </c>
      <c r="W619" t="s">
        <v>711</v>
      </c>
      <c r="X619" t="s">
        <v>712</v>
      </c>
      <c r="Y619">
        <v>200000</v>
      </c>
      <c r="Z619" t="s">
        <v>145</v>
      </c>
      <c r="AA619">
        <v>9.3947996270515822E-4</v>
      </c>
      <c r="AB619">
        <v>97.635999999999996</v>
      </c>
      <c r="AC619" t="s">
        <v>142</v>
      </c>
      <c r="AE619" t="s">
        <v>44</v>
      </c>
      <c r="AF619">
        <v>0</v>
      </c>
      <c r="AH619" t="s">
        <v>237</v>
      </c>
      <c r="AJ619">
        <v>1.6024715181124157E-3</v>
      </c>
      <c r="AK619">
        <v>1.6024715181124157E-3</v>
      </c>
      <c r="AL619">
        <v>0</v>
      </c>
      <c r="AN619" t="s">
        <v>146</v>
      </c>
      <c r="AQ619">
        <v>0</v>
      </c>
    </row>
    <row r="620" spans="1:43" x14ac:dyDescent="0.2">
      <c r="A620">
        <v>618</v>
      </c>
      <c r="B620">
        <v>423</v>
      </c>
      <c r="C620">
        <v>50</v>
      </c>
      <c r="F620" t="s">
        <v>151</v>
      </c>
      <c r="G620" t="s">
        <v>710</v>
      </c>
      <c r="I620">
        <v>7.1587656464348803E-6</v>
      </c>
      <c r="J620">
        <v>4.3612997533476463</v>
      </c>
      <c r="K620">
        <v>4.3612997533476463</v>
      </c>
      <c r="L620" s="1"/>
      <c r="M620" s="1"/>
      <c r="N620" s="1">
        <v>43021</v>
      </c>
      <c r="R620">
        <v>-1.5550083444460607E-3</v>
      </c>
      <c r="S620">
        <v>-1.5550083444460607E-3</v>
      </c>
      <c r="T620" t="s">
        <v>30</v>
      </c>
      <c r="U620" t="s">
        <v>30</v>
      </c>
      <c r="W620" t="s">
        <v>711</v>
      </c>
      <c r="Z620" t="s">
        <v>145</v>
      </c>
      <c r="AA620">
        <v>1.4721108066294488E-3</v>
      </c>
      <c r="AC620" t="s">
        <v>146</v>
      </c>
      <c r="AD620" t="s">
        <v>146</v>
      </c>
      <c r="AE620" t="s">
        <v>44</v>
      </c>
      <c r="AF620">
        <v>3.337704558122911</v>
      </c>
      <c r="AG620">
        <v>3.337704558122911</v>
      </c>
      <c r="AH620" t="s">
        <v>237</v>
      </c>
      <c r="AI620" t="s">
        <v>237</v>
      </c>
      <c r="AJ620">
        <v>-4.6036831069128708E-3</v>
      </c>
      <c r="AK620">
        <v>0</v>
      </c>
      <c r="AL620">
        <v>4.6036831069128708E-3</v>
      </c>
      <c r="AM620" t="s">
        <v>44</v>
      </c>
      <c r="AN620" t="s">
        <v>146</v>
      </c>
      <c r="AO620" t="s">
        <v>146</v>
      </c>
      <c r="AP620" t="s">
        <v>145</v>
      </c>
    </row>
    <row r="621" spans="1:43" x14ac:dyDescent="0.2">
      <c r="A621">
        <v>619</v>
      </c>
      <c r="B621">
        <v>517</v>
      </c>
      <c r="C621">
        <v>50</v>
      </c>
      <c r="D621">
        <v>1200000</v>
      </c>
      <c r="E621" t="s">
        <v>709</v>
      </c>
      <c r="F621" t="s">
        <v>151</v>
      </c>
      <c r="G621" t="s">
        <v>1707</v>
      </c>
      <c r="H621">
        <v>8.1139231055537303E-2</v>
      </c>
      <c r="I621">
        <v>1.232491597656221E-5</v>
      </c>
      <c r="J621">
        <v>8.3000000000000007</v>
      </c>
      <c r="L621" s="1">
        <v>46664</v>
      </c>
      <c r="M621" s="1">
        <v>43024</v>
      </c>
      <c r="N621" s="1"/>
      <c r="R621">
        <v>1.260756372406923E-3</v>
      </c>
      <c r="T621" t="s">
        <v>30</v>
      </c>
      <c r="V621">
        <v>1195235.196</v>
      </c>
      <c r="W621" t="s">
        <v>711</v>
      </c>
      <c r="X621" t="s">
        <v>712</v>
      </c>
      <c r="Y621">
        <v>1200000</v>
      </c>
      <c r="Z621" t="s">
        <v>145</v>
      </c>
      <c r="AA621">
        <v>2.5344651432936413E-3</v>
      </c>
      <c r="AB621">
        <v>99.4696</v>
      </c>
      <c r="AC621" t="s">
        <v>142</v>
      </c>
      <c r="AE621" t="s">
        <v>44</v>
      </c>
      <c r="AF621">
        <v>0</v>
      </c>
      <c r="AH621" t="s">
        <v>237</v>
      </c>
      <c r="AJ621">
        <v>9.7758109705466615E-3</v>
      </c>
      <c r="AK621">
        <v>9.7758109705466615E-3</v>
      </c>
      <c r="AL621">
        <v>0</v>
      </c>
      <c r="AN621" t="s">
        <v>146</v>
      </c>
      <c r="AQ621">
        <v>0</v>
      </c>
    </row>
    <row r="622" spans="1:43" x14ac:dyDescent="0.2">
      <c r="A622">
        <v>620</v>
      </c>
      <c r="B622">
        <v>502</v>
      </c>
      <c r="C622">
        <v>50</v>
      </c>
      <c r="D622">
        <v>1500000</v>
      </c>
      <c r="E622" t="s">
        <v>709</v>
      </c>
      <c r="F622" t="s">
        <v>151</v>
      </c>
      <c r="G622" t="s">
        <v>713</v>
      </c>
      <c r="H622">
        <v>2.6531105711385644E-2</v>
      </c>
      <c r="I622">
        <v>-2.5518462099046255E-5</v>
      </c>
      <c r="J622">
        <v>1.87</v>
      </c>
      <c r="L622" s="1">
        <v>43775</v>
      </c>
      <c r="M622" s="1">
        <v>43024</v>
      </c>
      <c r="N622" s="1"/>
      <c r="R622">
        <v>-1.7986255320198733E-3</v>
      </c>
      <c r="T622" t="s">
        <v>30</v>
      </c>
      <c r="V622">
        <v>1734659.83</v>
      </c>
      <c r="W622" t="s">
        <v>711</v>
      </c>
      <c r="X622" t="s">
        <v>712</v>
      </c>
      <c r="Y622">
        <v>1500000</v>
      </c>
      <c r="Z622" t="s">
        <v>145</v>
      </c>
      <c r="AA622">
        <v>-5.2475532347225464E-3</v>
      </c>
      <c r="AB622">
        <v>111.7551</v>
      </c>
      <c r="AC622" t="s">
        <v>142</v>
      </c>
      <c r="AE622" t="s">
        <v>44</v>
      </c>
      <c r="AF622">
        <v>0</v>
      </c>
      <c r="AH622" t="s">
        <v>237</v>
      </c>
      <c r="AJ622">
        <v>1.4187757064912107E-2</v>
      </c>
      <c r="AK622">
        <v>1.4187757064912107E-2</v>
      </c>
      <c r="AL622">
        <v>0</v>
      </c>
      <c r="AN622" t="s">
        <v>146</v>
      </c>
      <c r="AQ622">
        <v>0</v>
      </c>
    </row>
    <row r="623" spans="1:43" x14ac:dyDescent="0.2">
      <c r="A623">
        <v>621</v>
      </c>
      <c r="B623">
        <v>424</v>
      </c>
      <c r="C623">
        <v>50</v>
      </c>
      <c r="D623">
        <v>1129000</v>
      </c>
      <c r="E623" t="s">
        <v>714</v>
      </c>
      <c r="F623" t="s">
        <v>151</v>
      </c>
      <c r="G623" t="s">
        <v>715</v>
      </c>
      <c r="H623">
        <v>3.2049749637114315E-2</v>
      </c>
      <c r="I623">
        <v>-8.6028938242221292E-6</v>
      </c>
      <c r="J623">
        <v>3.3</v>
      </c>
      <c r="K623">
        <v>3.2454033816662959</v>
      </c>
      <c r="L623" s="1">
        <v>44323</v>
      </c>
      <c r="M623" s="1">
        <v>43024</v>
      </c>
      <c r="N623" s="1">
        <v>43021</v>
      </c>
      <c r="R623">
        <v>-2.5325844735760521E-3</v>
      </c>
      <c r="S623">
        <v>-2.5325844735760521E-3</v>
      </c>
      <c r="T623" t="s">
        <v>30</v>
      </c>
      <c r="U623" t="s">
        <v>30</v>
      </c>
      <c r="V623">
        <v>1187438.92</v>
      </c>
      <c r="W623" t="s">
        <v>716</v>
      </c>
      <c r="X623" t="s">
        <v>717</v>
      </c>
      <c r="Y623">
        <v>1129000</v>
      </c>
      <c r="Z623" t="s">
        <v>143</v>
      </c>
      <c r="AA623">
        <v>-1.7690777422264292E-3</v>
      </c>
      <c r="AB623">
        <v>103.40949999999999</v>
      </c>
      <c r="AC623" t="s">
        <v>55</v>
      </c>
      <c r="AD623" t="s">
        <v>146</v>
      </c>
      <c r="AE623" t="s">
        <v>175</v>
      </c>
      <c r="AF623">
        <v>0</v>
      </c>
      <c r="AG623">
        <v>2.896380748712351</v>
      </c>
      <c r="AH623" t="s">
        <v>237</v>
      </c>
      <c r="AI623" t="s">
        <v>237</v>
      </c>
      <c r="AJ623">
        <v>3.3968832684481785E-3</v>
      </c>
      <c r="AK623">
        <v>9.7120453445800961E-3</v>
      </c>
      <c r="AL623">
        <v>6.3151620761319176E-3</v>
      </c>
      <c r="AM623" t="s">
        <v>175</v>
      </c>
      <c r="AN623" t="s">
        <v>149</v>
      </c>
      <c r="AO623" t="s">
        <v>146</v>
      </c>
      <c r="AP623" t="s">
        <v>143</v>
      </c>
      <c r="AQ623">
        <v>0</v>
      </c>
    </row>
    <row r="624" spans="1:43" x14ac:dyDescent="0.2">
      <c r="A624">
        <v>622</v>
      </c>
      <c r="B624">
        <v>296</v>
      </c>
      <c r="C624">
        <v>50</v>
      </c>
      <c r="F624" t="s">
        <v>151</v>
      </c>
      <c r="G624" t="s">
        <v>718</v>
      </c>
      <c r="I624">
        <v>1.6311620542717152E-4</v>
      </c>
      <c r="J624">
        <v>10.731592421041794</v>
      </c>
      <c r="K624">
        <v>10.731592421041794</v>
      </c>
      <c r="L624" s="1"/>
      <c r="M624" s="1"/>
      <c r="N624" s="1">
        <v>43021</v>
      </c>
      <c r="R624">
        <v>-2.1299605775998109E-2</v>
      </c>
      <c r="S624">
        <v>-2.1299605775998109E-2</v>
      </c>
      <c r="T624" t="s">
        <v>30</v>
      </c>
      <c r="U624" t="s">
        <v>30</v>
      </c>
      <c r="W624" t="s">
        <v>719</v>
      </c>
      <c r="Z624" t="s">
        <v>147</v>
      </c>
      <c r="AA624">
        <v>3.3542811792604564E-2</v>
      </c>
      <c r="AC624" t="s">
        <v>54</v>
      </c>
      <c r="AD624" t="s">
        <v>54</v>
      </c>
      <c r="AE624" t="s">
        <v>177</v>
      </c>
      <c r="AF624">
        <v>4.7812184097109052</v>
      </c>
      <c r="AG624">
        <v>4.7812184097109052</v>
      </c>
      <c r="AH624" t="s">
        <v>237</v>
      </c>
      <c r="AI624" t="s">
        <v>237</v>
      </c>
      <c r="AJ624">
        <v>-7.6581795523644062E-3</v>
      </c>
      <c r="AK624">
        <v>0</v>
      </c>
      <c r="AL624">
        <v>7.6581795523644062E-3</v>
      </c>
      <c r="AM624" t="s">
        <v>177</v>
      </c>
      <c r="AN624" t="s">
        <v>54</v>
      </c>
      <c r="AO624" t="s">
        <v>54</v>
      </c>
      <c r="AP624" t="s">
        <v>147</v>
      </c>
    </row>
    <row r="625" spans="1:43" x14ac:dyDescent="0.2">
      <c r="A625">
        <v>623</v>
      </c>
      <c r="B625">
        <v>511</v>
      </c>
      <c r="C625">
        <v>50</v>
      </c>
      <c r="D625">
        <v>1500000</v>
      </c>
      <c r="E625" t="s">
        <v>720</v>
      </c>
      <c r="F625" t="s">
        <v>151</v>
      </c>
      <c r="G625" t="s">
        <v>721</v>
      </c>
      <c r="H625">
        <v>9.735905018843484E-2</v>
      </c>
      <c r="I625">
        <v>1.1496760064033166E-4</v>
      </c>
      <c r="J625">
        <v>7.25</v>
      </c>
      <c r="L625" s="1">
        <v>46459</v>
      </c>
      <c r="M625" s="1">
        <v>43024</v>
      </c>
      <c r="N625" s="1"/>
      <c r="R625">
        <v>8.5612493448648779E-3</v>
      </c>
      <c r="T625" t="s">
        <v>30</v>
      </c>
      <c r="V625">
        <v>1641870.5</v>
      </c>
      <c r="W625" t="s">
        <v>722</v>
      </c>
      <c r="X625" t="s">
        <v>723</v>
      </c>
      <c r="Y625">
        <v>1500000</v>
      </c>
      <c r="Z625" t="s">
        <v>145</v>
      </c>
      <c r="AA625">
        <v>2.3641652160966645E-2</v>
      </c>
      <c r="AB625">
        <v>108.8622</v>
      </c>
      <c r="AC625" t="s">
        <v>33</v>
      </c>
      <c r="AE625" t="s">
        <v>44</v>
      </c>
      <c r="AF625">
        <v>0</v>
      </c>
      <c r="AH625" t="s">
        <v>237</v>
      </c>
      <c r="AJ625">
        <v>1.3428834508749633E-2</v>
      </c>
      <c r="AK625">
        <v>1.3428834508749633E-2</v>
      </c>
      <c r="AL625">
        <v>0</v>
      </c>
      <c r="AN625" t="s">
        <v>148</v>
      </c>
      <c r="AQ625">
        <v>0</v>
      </c>
    </row>
    <row r="626" spans="1:43" x14ac:dyDescent="0.2">
      <c r="A626">
        <v>624</v>
      </c>
      <c r="B626">
        <v>503</v>
      </c>
      <c r="C626">
        <v>50</v>
      </c>
      <c r="D626">
        <v>250000</v>
      </c>
      <c r="E626" t="s">
        <v>724</v>
      </c>
      <c r="F626" t="s">
        <v>151</v>
      </c>
      <c r="G626" t="s">
        <v>725</v>
      </c>
      <c r="H626">
        <v>2.2631412455636317E-2</v>
      </c>
      <c r="I626">
        <v>-2.5573986236093139E-5</v>
      </c>
      <c r="J626">
        <v>10.63</v>
      </c>
      <c r="L626" s="1">
        <v>48384</v>
      </c>
      <c r="M626" s="1">
        <v>43024</v>
      </c>
      <c r="N626" s="1"/>
      <c r="R626">
        <v>-1.2012130229280759E-2</v>
      </c>
      <c r="T626" t="s">
        <v>30</v>
      </c>
      <c r="V626">
        <v>260302.88</v>
      </c>
      <c r="W626" t="s">
        <v>726</v>
      </c>
      <c r="X626" t="s">
        <v>727</v>
      </c>
      <c r="Y626">
        <v>250000</v>
      </c>
      <c r="Z626" t="s">
        <v>147</v>
      </c>
      <c r="AA626">
        <v>-5.258971080509438E-3</v>
      </c>
      <c r="AB626">
        <v>102.5774</v>
      </c>
      <c r="AC626" t="s">
        <v>142</v>
      </c>
      <c r="AE626" t="s">
        <v>175</v>
      </c>
      <c r="AF626">
        <v>0</v>
      </c>
      <c r="AH626" t="s">
        <v>237</v>
      </c>
      <c r="AJ626">
        <v>2.1290134012828142E-3</v>
      </c>
      <c r="AK626">
        <v>2.1290134012828142E-3</v>
      </c>
      <c r="AL626">
        <v>0</v>
      </c>
      <c r="AN626" t="s">
        <v>146</v>
      </c>
      <c r="AQ626">
        <v>0</v>
      </c>
    </row>
    <row r="627" spans="1:43" x14ac:dyDescent="0.2">
      <c r="A627">
        <v>625</v>
      </c>
      <c r="B627">
        <v>426</v>
      </c>
      <c r="C627">
        <v>50</v>
      </c>
      <c r="F627" t="s">
        <v>151</v>
      </c>
      <c r="G627" t="s">
        <v>1464</v>
      </c>
      <c r="I627">
        <v>4.8194741687657512E-5</v>
      </c>
      <c r="J627">
        <v>6.6600987742940978</v>
      </c>
      <c r="K627">
        <v>6.6600987742940978</v>
      </c>
      <c r="L627" s="1"/>
      <c r="M627" s="1"/>
      <c r="N627" s="1">
        <v>43021</v>
      </c>
      <c r="R627">
        <v>-2.5917094856380066E-2</v>
      </c>
      <c r="S627">
        <v>-2.5917094856380066E-2</v>
      </c>
      <c r="T627" t="s">
        <v>30</v>
      </c>
      <c r="U627" t="s">
        <v>30</v>
      </c>
      <c r="W627" t="s">
        <v>1465</v>
      </c>
      <c r="Z627" t="s">
        <v>145</v>
      </c>
      <c r="AA627">
        <v>9.9106471094563709E-3</v>
      </c>
      <c r="AC627" t="s">
        <v>148</v>
      </c>
      <c r="AD627" t="s">
        <v>148</v>
      </c>
      <c r="AE627" t="s">
        <v>43</v>
      </c>
      <c r="AF627">
        <v>3.6559133585268921</v>
      </c>
      <c r="AG627">
        <v>3.6559133585268921</v>
      </c>
      <c r="AH627" t="s">
        <v>237</v>
      </c>
      <c r="AI627" t="s">
        <v>237</v>
      </c>
      <c r="AJ627">
        <v>-1.8595734573928649E-3</v>
      </c>
      <c r="AK627">
        <v>0</v>
      </c>
      <c r="AL627">
        <v>1.8595734573928649E-3</v>
      </c>
      <c r="AM627" t="s">
        <v>43</v>
      </c>
      <c r="AN627" t="s">
        <v>148</v>
      </c>
      <c r="AO627" t="s">
        <v>148</v>
      </c>
      <c r="AP627" t="s">
        <v>145</v>
      </c>
    </row>
    <row r="628" spans="1:43" x14ac:dyDescent="0.2">
      <c r="A628">
        <v>626</v>
      </c>
      <c r="B628">
        <v>427</v>
      </c>
      <c r="C628">
        <v>50</v>
      </c>
      <c r="F628" t="s">
        <v>151</v>
      </c>
      <c r="G628" t="s">
        <v>1466</v>
      </c>
      <c r="I628">
        <v>3.0203566893285846E-4</v>
      </c>
      <c r="J628">
        <v>14.14760825466079</v>
      </c>
      <c r="K628">
        <v>14.14760825466079</v>
      </c>
      <c r="L628" s="1"/>
      <c r="M628" s="1"/>
      <c r="N628" s="1">
        <v>43021</v>
      </c>
      <c r="R628">
        <v>-4.9851407577455639E-2</v>
      </c>
      <c r="S628">
        <v>-4.9851407577455639E-2</v>
      </c>
      <c r="T628" t="s">
        <v>30</v>
      </c>
      <c r="U628" t="s">
        <v>30</v>
      </c>
      <c r="W628" t="s">
        <v>1467</v>
      </c>
      <c r="Z628" t="s">
        <v>145</v>
      </c>
      <c r="AA628">
        <v>6.2109865608611523E-2</v>
      </c>
      <c r="AC628" t="s">
        <v>148</v>
      </c>
      <c r="AD628" t="s">
        <v>148</v>
      </c>
      <c r="AE628" t="s">
        <v>43</v>
      </c>
      <c r="AF628">
        <v>5.0336984305324268</v>
      </c>
      <c r="AG628">
        <v>5.0336984305324268</v>
      </c>
      <c r="AH628" t="s">
        <v>237</v>
      </c>
      <c r="AI628" t="s">
        <v>237</v>
      </c>
      <c r="AJ628">
        <v>-6.05871897325219E-3</v>
      </c>
      <c r="AK628">
        <v>0</v>
      </c>
      <c r="AL628">
        <v>6.05871897325219E-3</v>
      </c>
      <c r="AM628" t="s">
        <v>43</v>
      </c>
      <c r="AN628" t="s">
        <v>148</v>
      </c>
      <c r="AO628" t="s">
        <v>148</v>
      </c>
      <c r="AP628" t="s">
        <v>145</v>
      </c>
    </row>
    <row r="629" spans="1:43" x14ac:dyDescent="0.2">
      <c r="A629">
        <v>627</v>
      </c>
      <c r="B629">
        <v>429</v>
      </c>
      <c r="C629">
        <v>50</v>
      </c>
      <c r="D629">
        <v>1450000</v>
      </c>
      <c r="E629" t="s">
        <v>728</v>
      </c>
      <c r="F629" t="s">
        <v>151</v>
      </c>
      <c r="G629" t="s">
        <v>729</v>
      </c>
      <c r="H629">
        <v>9.3608881268874997E-2</v>
      </c>
      <c r="I629">
        <v>-5.3160131888053863E-5</v>
      </c>
      <c r="J629">
        <v>7.4</v>
      </c>
      <c r="K629">
        <v>7.2351509133330412</v>
      </c>
      <c r="L629" s="1">
        <v>46407</v>
      </c>
      <c r="M629" s="1">
        <v>43024</v>
      </c>
      <c r="N629" s="1">
        <v>43021</v>
      </c>
      <c r="R629">
        <v>-4.9053290291971932E-3</v>
      </c>
      <c r="S629">
        <v>-4.9053290291971932E-3</v>
      </c>
      <c r="T629" t="s">
        <v>30</v>
      </c>
      <c r="U629" t="s">
        <v>30</v>
      </c>
      <c r="V629">
        <v>1546628.16</v>
      </c>
      <c r="W629" t="s">
        <v>730</v>
      </c>
      <c r="X629" t="s">
        <v>731</v>
      </c>
      <c r="Y629">
        <v>1450000</v>
      </c>
      <c r="Z629" t="s">
        <v>157</v>
      </c>
      <c r="AA629">
        <v>-1.0931717631128731E-2</v>
      </c>
      <c r="AB629">
        <v>105.39790000000001</v>
      </c>
      <c r="AC629" t="s">
        <v>142</v>
      </c>
      <c r="AD629" t="s">
        <v>146</v>
      </c>
      <c r="AE629" t="s">
        <v>175</v>
      </c>
      <c r="AF629">
        <v>0</v>
      </c>
      <c r="AG629">
        <v>4.5490695701726596</v>
      </c>
      <c r="AH629" t="s">
        <v>237</v>
      </c>
      <c r="AI629" t="s">
        <v>237</v>
      </c>
      <c r="AJ629">
        <v>1.083722041307269E-2</v>
      </c>
      <c r="AK629">
        <v>1.2649848820118242E-2</v>
      </c>
      <c r="AL629">
        <v>1.8126284070455515E-3</v>
      </c>
      <c r="AM629" t="s">
        <v>175</v>
      </c>
      <c r="AN629" t="s">
        <v>146</v>
      </c>
      <c r="AO629" t="s">
        <v>146</v>
      </c>
      <c r="AP629" t="s">
        <v>157</v>
      </c>
      <c r="AQ629">
        <v>0</v>
      </c>
    </row>
    <row r="630" spans="1:43" x14ac:dyDescent="0.2">
      <c r="A630">
        <v>628</v>
      </c>
      <c r="B630">
        <v>430</v>
      </c>
      <c r="C630">
        <v>50</v>
      </c>
      <c r="F630" t="s">
        <v>151</v>
      </c>
      <c r="G630" t="s">
        <v>732</v>
      </c>
      <c r="I630">
        <v>3.0029536363367017E-5</v>
      </c>
      <c r="J630">
        <v>6.389615341177441</v>
      </c>
      <c r="K630">
        <v>6.389615341177441</v>
      </c>
      <c r="L630" s="1"/>
      <c r="M630" s="1"/>
      <c r="N630" s="1">
        <v>43021</v>
      </c>
      <c r="R630">
        <v>-9.8680868423236083E-3</v>
      </c>
      <c r="S630">
        <v>-9.8680868423236083E-3</v>
      </c>
      <c r="T630" t="s">
        <v>30</v>
      </c>
      <c r="U630" t="s">
        <v>30</v>
      </c>
      <c r="W630" t="s">
        <v>733</v>
      </c>
      <c r="Z630" t="s">
        <v>147</v>
      </c>
      <c r="AA630">
        <v>6.1751993544585312E-3</v>
      </c>
      <c r="AC630" t="s">
        <v>54</v>
      </c>
      <c r="AD630" t="s">
        <v>54</v>
      </c>
      <c r="AE630" t="s">
        <v>180</v>
      </c>
      <c r="AF630">
        <v>3.2414325350285265</v>
      </c>
      <c r="AG630">
        <v>3.2414325350285265</v>
      </c>
      <c r="AH630" t="s">
        <v>237</v>
      </c>
      <c r="AI630" t="s">
        <v>237</v>
      </c>
      <c r="AJ630">
        <v>-3.0430960776076888E-3</v>
      </c>
      <c r="AK630">
        <v>0</v>
      </c>
      <c r="AL630">
        <v>3.0430960776076888E-3</v>
      </c>
      <c r="AM630" t="s">
        <v>180</v>
      </c>
      <c r="AN630" t="s">
        <v>54</v>
      </c>
      <c r="AO630" t="s">
        <v>54</v>
      </c>
      <c r="AP630" t="s">
        <v>147</v>
      </c>
    </row>
    <row r="631" spans="1:43" x14ac:dyDescent="0.2">
      <c r="A631">
        <v>629</v>
      </c>
      <c r="B631">
        <v>431</v>
      </c>
      <c r="C631">
        <v>50</v>
      </c>
      <c r="D631">
        <v>2000000</v>
      </c>
      <c r="E631" t="s">
        <v>734</v>
      </c>
      <c r="F631" t="s">
        <v>151</v>
      </c>
      <c r="G631" t="s">
        <v>735</v>
      </c>
      <c r="H631">
        <v>0.11932998399030971</v>
      </c>
      <c r="I631">
        <v>-1.4199853538613376E-5</v>
      </c>
      <c r="J631">
        <v>7.15</v>
      </c>
      <c r="K631">
        <v>6.8315841495169902</v>
      </c>
      <c r="L631" s="1">
        <v>46144</v>
      </c>
      <c r="M631" s="1">
        <v>43024</v>
      </c>
      <c r="N631" s="1">
        <v>43021</v>
      </c>
      <c r="R631">
        <v>-1.3143082900911741E-3</v>
      </c>
      <c r="S631">
        <v>-1.3143082900911741E-3</v>
      </c>
      <c r="T631" t="s">
        <v>30</v>
      </c>
      <c r="U631" t="s">
        <v>30</v>
      </c>
      <c r="V631">
        <v>2040535.33</v>
      </c>
      <c r="W631" t="s">
        <v>736</v>
      </c>
      <c r="X631" t="s">
        <v>737</v>
      </c>
      <c r="Y631">
        <v>2000000</v>
      </c>
      <c r="Z631" t="s">
        <v>145</v>
      </c>
      <c r="AA631">
        <v>-2.9200226518322193E-3</v>
      </c>
      <c r="AB631">
        <v>100.1476</v>
      </c>
      <c r="AC631" t="s">
        <v>142</v>
      </c>
      <c r="AD631" t="s">
        <v>146</v>
      </c>
      <c r="AE631" t="s">
        <v>88</v>
      </c>
      <c r="AF631">
        <v>0</v>
      </c>
      <c r="AG631">
        <v>4.0793347005226961</v>
      </c>
      <c r="AH631" t="s">
        <v>237</v>
      </c>
      <c r="AI631" t="s">
        <v>237</v>
      </c>
      <c r="AJ631">
        <v>1.0804050804266271E-2</v>
      </c>
      <c r="AK631">
        <v>1.6689508250392966E-2</v>
      </c>
      <c r="AL631">
        <v>5.8854574461266948E-3</v>
      </c>
      <c r="AM631" t="s">
        <v>88</v>
      </c>
      <c r="AN631" t="s">
        <v>146</v>
      </c>
      <c r="AO631" t="s">
        <v>146</v>
      </c>
      <c r="AP631" t="s">
        <v>145</v>
      </c>
      <c r="AQ631">
        <v>0</v>
      </c>
    </row>
    <row r="632" spans="1:43" x14ac:dyDescent="0.2">
      <c r="A632">
        <v>630</v>
      </c>
      <c r="B632">
        <v>500</v>
      </c>
      <c r="C632">
        <v>50</v>
      </c>
      <c r="D632">
        <v>400000</v>
      </c>
      <c r="E632" t="s">
        <v>369</v>
      </c>
      <c r="F632" t="s">
        <v>151</v>
      </c>
      <c r="G632" t="s">
        <v>738</v>
      </c>
      <c r="H632">
        <v>2.1477214031702184E-2</v>
      </c>
      <c r="I632">
        <v>-9.1570415923218097E-6</v>
      </c>
      <c r="J632">
        <v>6.28</v>
      </c>
      <c r="L632" s="1">
        <v>45685</v>
      </c>
      <c r="M632" s="1">
        <v>43024</v>
      </c>
      <c r="N632" s="1"/>
      <c r="R632">
        <v>-2.6775456590830134E-3</v>
      </c>
      <c r="T632" t="s">
        <v>30</v>
      </c>
      <c r="V632">
        <v>418137.27</v>
      </c>
      <c r="W632" t="s">
        <v>371</v>
      </c>
      <c r="X632" t="s">
        <v>739</v>
      </c>
      <c r="Y632">
        <v>400000</v>
      </c>
      <c r="Z632" t="s">
        <v>31</v>
      </c>
      <c r="AA632">
        <v>-1.8830313144173817E-3</v>
      </c>
      <c r="AB632">
        <v>103.5864</v>
      </c>
      <c r="AC632" t="s">
        <v>142</v>
      </c>
      <c r="AE632" t="s">
        <v>177</v>
      </c>
      <c r="AF632">
        <v>0</v>
      </c>
      <c r="AH632" t="s">
        <v>237</v>
      </c>
      <c r="AJ632">
        <v>3.4199385400799655E-3</v>
      </c>
      <c r="AK632">
        <v>3.4199385400799655E-3</v>
      </c>
      <c r="AL632">
        <v>0</v>
      </c>
      <c r="AN632" t="s">
        <v>146</v>
      </c>
      <c r="AQ632">
        <v>0</v>
      </c>
    </row>
    <row r="633" spans="1:43" x14ac:dyDescent="0.2">
      <c r="A633">
        <v>631</v>
      </c>
      <c r="B633">
        <v>501</v>
      </c>
      <c r="C633">
        <v>50</v>
      </c>
      <c r="D633">
        <v>1000000</v>
      </c>
      <c r="E633" t="s">
        <v>369</v>
      </c>
      <c r="F633" t="s">
        <v>151</v>
      </c>
      <c r="G633" t="s">
        <v>740</v>
      </c>
      <c r="H633">
        <v>2.0833877663115466E-2</v>
      </c>
      <c r="I633">
        <v>-1.6157229353410814E-5</v>
      </c>
      <c r="J633">
        <v>2.33</v>
      </c>
      <c r="L633" s="1">
        <v>43942</v>
      </c>
      <c r="M633" s="1">
        <v>43024</v>
      </c>
      <c r="N633" s="1"/>
      <c r="R633">
        <v>-1.806977318490101E-3</v>
      </c>
      <c r="T633" t="s">
        <v>30</v>
      </c>
      <c r="V633">
        <v>1093238.1200000001</v>
      </c>
      <c r="W633" t="s">
        <v>371</v>
      </c>
      <c r="X633" t="s">
        <v>739</v>
      </c>
      <c r="Y633">
        <v>1000000</v>
      </c>
      <c r="Z633" t="s">
        <v>31</v>
      </c>
      <c r="AA633">
        <v>-3.3225325581361675E-3</v>
      </c>
      <c r="AB633">
        <v>106.6502</v>
      </c>
      <c r="AC633" t="s">
        <v>142</v>
      </c>
      <c r="AE633" t="s">
        <v>177</v>
      </c>
      <c r="AF633">
        <v>0</v>
      </c>
      <c r="AH633" t="s">
        <v>237</v>
      </c>
      <c r="AJ633">
        <v>8.9415783961868944E-3</v>
      </c>
      <c r="AK633">
        <v>8.9415783961868944E-3</v>
      </c>
      <c r="AL633">
        <v>0</v>
      </c>
      <c r="AN633" t="s">
        <v>146</v>
      </c>
      <c r="AQ633">
        <v>0</v>
      </c>
    </row>
    <row r="634" spans="1:43" x14ac:dyDescent="0.2">
      <c r="A634">
        <v>632</v>
      </c>
      <c r="B634">
        <v>432</v>
      </c>
      <c r="C634">
        <v>50</v>
      </c>
      <c r="D634">
        <v>567000</v>
      </c>
      <c r="E634" t="s">
        <v>741</v>
      </c>
      <c r="F634" t="s">
        <v>151</v>
      </c>
      <c r="G634" t="s">
        <v>742</v>
      </c>
      <c r="H634">
        <v>2.885772356751419E-2</v>
      </c>
      <c r="I634">
        <v>1.9735328442441559E-6</v>
      </c>
      <c r="J634">
        <v>5.68</v>
      </c>
      <c r="K634">
        <v>5.5782958578036732</v>
      </c>
      <c r="L634" s="1">
        <v>45399</v>
      </c>
      <c r="M634" s="1">
        <v>43024</v>
      </c>
      <c r="N634" s="1">
        <v>43021</v>
      </c>
      <c r="R634">
        <v>-1.2935835972116149E-3</v>
      </c>
      <c r="S634">
        <v>-1.2935835972116149E-3</v>
      </c>
      <c r="T634" t="s">
        <v>30</v>
      </c>
      <c r="U634" t="s">
        <v>30</v>
      </c>
      <c r="V634">
        <v>621175.49</v>
      </c>
      <c r="W634" t="s">
        <v>743</v>
      </c>
      <c r="X634" t="s">
        <v>744</v>
      </c>
      <c r="Y634">
        <v>567000</v>
      </c>
      <c r="Z634" t="s">
        <v>143</v>
      </c>
      <c r="AA634">
        <v>4.0583239775376857E-4</v>
      </c>
      <c r="AB634">
        <v>107.13079999999999</v>
      </c>
      <c r="AC634" t="s">
        <v>54</v>
      </c>
      <c r="AD634" t="s">
        <v>148</v>
      </c>
      <c r="AE634" t="s">
        <v>41</v>
      </c>
      <c r="AF634">
        <v>0</v>
      </c>
      <c r="AG634">
        <v>3.5945026705436716</v>
      </c>
      <c r="AH634" t="s">
        <v>237</v>
      </c>
      <c r="AI634" t="s">
        <v>237</v>
      </c>
      <c r="AJ634">
        <v>-1.5256322424760226E-3</v>
      </c>
      <c r="AK634">
        <v>5.0805851351257382E-3</v>
      </c>
      <c r="AL634">
        <v>6.6062173776017608E-3</v>
      </c>
      <c r="AM634" t="s">
        <v>41</v>
      </c>
      <c r="AN634" t="s">
        <v>154</v>
      </c>
      <c r="AO634" t="s">
        <v>148</v>
      </c>
      <c r="AP634" t="s">
        <v>143</v>
      </c>
      <c r="AQ634">
        <v>0</v>
      </c>
    </row>
    <row r="635" spans="1:43" x14ac:dyDescent="0.2">
      <c r="A635">
        <v>633</v>
      </c>
      <c r="B635">
        <v>475</v>
      </c>
      <c r="C635">
        <v>50</v>
      </c>
      <c r="D635">
        <v>1600000</v>
      </c>
      <c r="E635" t="s">
        <v>741</v>
      </c>
      <c r="F635" t="s">
        <v>151</v>
      </c>
      <c r="G635" t="s">
        <v>745</v>
      </c>
      <c r="H635">
        <v>0.10454602280878358</v>
      </c>
      <c r="I635">
        <v>-1.4500855203191255E-5</v>
      </c>
      <c r="J635">
        <v>7.87</v>
      </c>
      <c r="K635">
        <v>7.7066720496050394</v>
      </c>
      <c r="L635" s="1">
        <v>46488</v>
      </c>
      <c r="M635" s="1">
        <v>43024</v>
      </c>
      <c r="N635" s="1">
        <v>43021</v>
      </c>
      <c r="R635">
        <v>-1.6122357036065732E-3</v>
      </c>
      <c r="S635">
        <v>-1.6122357036065732E-3</v>
      </c>
      <c r="T635" t="s">
        <v>30</v>
      </c>
      <c r="U635" t="s">
        <v>30</v>
      </c>
      <c r="V635">
        <v>1624177.02</v>
      </c>
      <c r="W635" t="s">
        <v>743</v>
      </c>
      <c r="X635" t="s">
        <v>744</v>
      </c>
      <c r="Y635">
        <v>1600000</v>
      </c>
      <c r="Z635" t="s">
        <v>143</v>
      </c>
      <c r="AA635">
        <v>-2.9819198873506383E-3</v>
      </c>
      <c r="AB635">
        <v>101.4503</v>
      </c>
      <c r="AC635" t="s">
        <v>54</v>
      </c>
      <c r="AD635" t="s">
        <v>148</v>
      </c>
      <c r="AE635" t="s">
        <v>41</v>
      </c>
      <c r="AF635">
        <v>0</v>
      </c>
      <c r="AG635">
        <v>4.1675772032481149</v>
      </c>
      <c r="AH635" t="s">
        <v>237</v>
      </c>
      <c r="AI635" t="s">
        <v>237</v>
      </c>
      <c r="AJ635">
        <v>8.9942526212220854E-3</v>
      </c>
      <c r="AK635">
        <v>1.32841197978124E-2</v>
      </c>
      <c r="AL635">
        <v>4.2898671765903146E-3</v>
      </c>
      <c r="AM635" t="s">
        <v>41</v>
      </c>
      <c r="AN635" t="s">
        <v>154</v>
      </c>
      <c r="AO635" t="s">
        <v>148</v>
      </c>
      <c r="AP635" t="s">
        <v>143</v>
      </c>
      <c r="AQ635">
        <v>0</v>
      </c>
    </row>
    <row r="636" spans="1:43" x14ac:dyDescent="0.2">
      <c r="A636">
        <v>634</v>
      </c>
      <c r="B636">
        <v>505</v>
      </c>
      <c r="C636">
        <v>50</v>
      </c>
      <c r="D636">
        <v>2000000</v>
      </c>
      <c r="E636" t="s">
        <v>746</v>
      </c>
      <c r="F636" t="s">
        <v>151</v>
      </c>
      <c r="G636" t="s">
        <v>747</v>
      </c>
      <c r="H636">
        <v>0.12438728121621834</v>
      </c>
      <c r="I636">
        <v>-8.9847365794510129E-5</v>
      </c>
      <c r="J636">
        <v>6.97</v>
      </c>
      <c r="L636" s="1">
        <v>46217</v>
      </c>
      <c r="M636" s="1">
        <v>43024</v>
      </c>
      <c r="N636" s="1"/>
      <c r="R636">
        <v>-5.0345673083662772E-3</v>
      </c>
      <c r="T636" t="s">
        <v>30</v>
      </c>
      <c r="V636">
        <v>2181944.88</v>
      </c>
      <c r="W636" t="s">
        <v>748</v>
      </c>
      <c r="X636" t="s">
        <v>749</v>
      </c>
      <c r="Y636">
        <v>2000000</v>
      </c>
      <c r="AA636">
        <v>-1.8475989390595089E-2</v>
      </c>
      <c r="AB636">
        <v>107.62779999999999</v>
      </c>
      <c r="AC636" t="s">
        <v>55</v>
      </c>
      <c r="AE636" t="s">
        <v>175</v>
      </c>
      <c r="AF636">
        <v>0</v>
      </c>
      <c r="AH636" t="s">
        <v>237</v>
      </c>
      <c r="AJ636">
        <v>1.7846094866028457E-2</v>
      </c>
      <c r="AK636">
        <v>1.7846094866028457E-2</v>
      </c>
      <c r="AL636">
        <v>0</v>
      </c>
      <c r="AN636" t="s">
        <v>149</v>
      </c>
      <c r="AQ636">
        <v>0</v>
      </c>
    </row>
    <row r="637" spans="1:43" x14ac:dyDescent="0.2">
      <c r="A637">
        <v>635</v>
      </c>
      <c r="B637">
        <v>512</v>
      </c>
      <c r="C637">
        <v>50</v>
      </c>
      <c r="D637">
        <v>270000</v>
      </c>
      <c r="E637" t="s">
        <v>746</v>
      </c>
      <c r="F637" t="s">
        <v>151</v>
      </c>
      <c r="G637" t="s">
        <v>1468</v>
      </c>
      <c r="H637">
        <v>1.6785171913705849E-2</v>
      </c>
      <c r="I637">
        <v>-6.7076163706681055E-6</v>
      </c>
      <c r="J637">
        <v>6.97</v>
      </c>
      <c r="L637" s="1">
        <v>46217</v>
      </c>
      <c r="M637" s="1">
        <v>43024</v>
      </c>
      <c r="N637" s="1"/>
      <c r="R637">
        <v>-2.7853206594435596E-3</v>
      </c>
      <c r="T637" t="s">
        <v>30</v>
      </c>
      <c r="V637">
        <v>294437.82</v>
      </c>
      <c r="W637" t="s">
        <v>748</v>
      </c>
      <c r="X637" t="s">
        <v>749</v>
      </c>
      <c r="Y637">
        <v>270000</v>
      </c>
      <c r="AA637">
        <v>-1.3793375888624911E-3</v>
      </c>
      <c r="AB637">
        <v>107.58159999999999</v>
      </c>
      <c r="AC637" t="s">
        <v>55</v>
      </c>
      <c r="AE637" t="s">
        <v>175</v>
      </c>
      <c r="AF637">
        <v>0</v>
      </c>
      <c r="AH637" t="s">
        <v>237</v>
      </c>
      <c r="AJ637">
        <v>2.408202570115617E-3</v>
      </c>
      <c r="AK637">
        <v>2.408202570115617E-3</v>
      </c>
      <c r="AL637">
        <v>0</v>
      </c>
      <c r="AN637" t="s">
        <v>149</v>
      </c>
      <c r="AQ637">
        <v>0</v>
      </c>
    </row>
    <row r="638" spans="1:43" x14ac:dyDescent="0.2">
      <c r="A638">
        <v>636</v>
      </c>
      <c r="B638">
        <v>309</v>
      </c>
      <c r="C638">
        <v>50</v>
      </c>
      <c r="D638">
        <v>800000</v>
      </c>
      <c r="E638" t="s">
        <v>750</v>
      </c>
      <c r="F638" t="s">
        <v>151</v>
      </c>
      <c r="G638" t="s">
        <v>751</v>
      </c>
      <c r="H638">
        <v>0.10241526109216281</v>
      </c>
      <c r="I638">
        <v>-1.6826845171853027E-4</v>
      </c>
      <c r="J638">
        <v>12.72</v>
      </c>
      <c r="K638">
        <v>12.402755531414307</v>
      </c>
      <c r="L638" s="1">
        <v>51150</v>
      </c>
      <c r="M638" s="1">
        <v>43024</v>
      </c>
      <c r="N638" s="1">
        <v>43021</v>
      </c>
      <c r="R638">
        <v>-4.4217477344178899E-2</v>
      </c>
      <c r="S638">
        <v>-4.4217477344178899E-2</v>
      </c>
      <c r="T638" t="s">
        <v>30</v>
      </c>
      <c r="U638" t="s">
        <v>30</v>
      </c>
      <c r="V638">
        <v>984414.82</v>
      </c>
      <c r="W638" t="s">
        <v>752</v>
      </c>
      <c r="X638" t="s">
        <v>753</v>
      </c>
      <c r="Y638">
        <v>800000</v>
      </c>
      <c r="Z638" t="s">
        <v>145</v>
      </c>
      <c r="AA638">
        <v>-3.4602306937232312E-2</v>
      </c>
      <c r="AB638">
        <v>121.3772</v>
      </c>
      <c r="AC638" t="s">
        <v>33</v>
      </c>
      <c r="AD638" t="s">
        <v>148</v>
      </c>
      <c r="AE638" t="s">
        <v>43</v>
      </c>
      <c r="AF638">
        <v>0</v>
      </c>
      <c r="AG638">
        <v>5.0143366570414019</v>
      </c>
      <c r="AH638" t="s">
        <v>237</v>
      </c>
      <c r="AI638" t="s">
        <v>237</v>
      </c>
      <c r="AJ638">
        <v>3.8054738041423414E-3</v>
      </c>
      <c r="AK638">
        <v>8.0515142368052517E-3</v>
      </c>
      <c r="AL638">
        <v>4.2460404326629102E-3</v>
      </c>
      <c r="AM638" t="s">
        <v>43</v>
      </c>
      <c r="AN638" t="s">
        <v>148</v>
      </c>
      <c r="AO638" t="s">
        <v>148</v>
      </c>
      <c r="AP638" t="s">
        <v>145</v>
      </c>
      <c r="AQ638">
        <v>0</v>
      </c>
    </row>
    <row r="639" spans="1:43" x14ac:dyDescent="0.2">
      <c r="A639">
        <v>637</v>
      </c>
      <c r="B639">
        <v>425</v>
      </c>
      <c r="C639">
        <v>50</v>
      </c>
      <c r="D639">
        <v>2000000</v>
      </c>
      <c r="E639" t="s">
        <v>754</v>
      </c>
      <c r="F639" t="s">
        <v>151</v>
      </c>
      <c r="G639" t="s">
        <v>755</v>
      </c>
      <c r="H639">
        <v>7.8140823697795542E-2</v>
      </c>
      <c r="I639">
        <v>-1.6637429341957162E-5</v>
      </c>
      <c r="J639">
        <v>4.43</v>
      </c>
      <c r="K639">
        <v>4.3419202602812064</v>
      </c>
      <c r="L639" s="1">
        <v>44875</v>
      </c>
      <c r="M639" s="1">
        <v>43024</v>
      </c>
      <c r="N639" s="1">
        <v>43021</v>
      </c>
      <c r="R639">
        <v>-1.108447511446304E-3</v>
      </c>
      <c r="S639">
        <v>-1.108447511446304E-3</v>
      </c>
      <c r="T639" t="s">
        <v>30</v>
      </c>
      <c r="U639" t="s">
        <v>30</v>
      </c>
      <c r="V639">
        <v>2156626</v>
      </c>
      <c r="W639" t="s">
        <v>756</v>
      </c>
      <c r="X639" t="s">
        <v>757</v>
      </c>
      <c r="Y639">
        <v>2000000</v>
      </c>
      <c r="Z639" t="s">
        <v>145</v>
      </c>
      <c r="AA639">
        <v>-3.4212796924042747E-3</v>
      </c>
      <c r="AB639">
        <v>105.55629999999999</v>
      </c>
      <c r="AC639" t="s">
        <v>146</v>
      </c>
      <c r="AD639" t="s">
        <v>146</v>
      </c>
      <c r="AE639" t="s">
        <v>41</v>
      </c>
      <c r="AF639">
        <v>0</v>
      </c>
      <c r="AG639">
        <v>4.0096178339923352</v>
      </c>
      <c r="AH639" t="s">
        <v>237</v>
      </c>
      <c r="AI639" t="s">
        <v>237</v>
      </c>
      <c r="AJ639">
        <v>1.5009668180181686E-2</v>
      </c>
      <c r="AK639">
        <v>1.7639012121398543E-2</v>
      </c>
      <c r="AL639">
        <v>2.6293439412168563E-3</v>
      </c>
      <c r="AM639" t="s">
        <v>41</v>
      </c>
      <c r="AN639" t="s">
        <v>154</v>
      </c>
      <c r="AO639" t="s">
        <v>146</v>
      </c>
      <c r="AP639" t="s">
        <v>145</v>
      </c>
      <c r="AQ639">
        <v>0</v>
      </c>
    </row>
    <row r="640" spans="1:43" x14ac:dyDescent="0.2">
      <c r="A640">
        <v>638</v>
      </c>
      <c r="B640">
        <v>358</v>
      </c>
      <c r="C640">
        <v>50</v>
      </c>
      <c r="D640">
        <v>1048000</v>
      </c>
      <c r="E640" t="s">
        <v>758</v>
      </c>
      <c r="F640" t="s">
        <v>151</v>
      </c>
      <c r="G640" t="s">
        <v>759</v>
      </c>
      <c r="H640">
        <v>7.6632651655333478E-2</v>
      </c>
      <c r="I640">
        <v>2.371362902962726E-5</v>
      </c>
      <c r="J640">
        <v>8.48</v>
      </c>
      <c r="K640">
        <v>6.9837132520569334</v>
      </c>
      <c r="L640" s="1">
        <v>46873</v>
      </c>
      <c r="M640" s="1">
        <v>43024</v>
      </c>
      <c r="N640" s="1">
        <v>43021</v>
      </c>
      <c r="R640">
        <v>-4.7705342866261142E-3</v>
      </c>
      <c r="S640">
        <v>-4.7705342866261142E-3</v>
      </c>
      <c r="T640" t="s">
        <v>30</v>
      </c>
      <c r="U640" t="s">
        <v>30</v>
      </c>
      <c r="V640">
        <v>1104888.82</v>
      </c>
      <c r="W640" t="s">
        <v>760</v>
      </c>
      <c r="X640" t="s">
        <v>761</v>
      </c>
      <c r="Y640">
        <v>1048000</v>
      </c>
      <c r="Z640" t="s">
        <v>147</v>
      </c>
      <c r="AA640">
        <v>4.8764118401195449E-3</v>
      </c>
      <c r="AB640">
        <v>103.4686</v>
      </c>
      <c r="AC640" t="s">
        <v>33</v>
      </c>
      <c r="AD640" t="s">
        <v>148</v>
      </c>
      <c r="AE640" t="s">
        <v>89</v>
      </c>
      <c r="AF640">
        <v>0</v>
      </c>
      <c r="AG640">
        <v>3.7942556173226505</v>
      </c>
      <c r="AH640" t="s">
        <v>237</v>
      </c>
      <c r="AI640" t="s">
        <v>237</v>
      </c>
      <c r="AJ640">
        <v>-4.9708539138072841E-3</v>
      </c>
      <c r="AK640">
        <v>9.0368692989780033E-3</v>
      </c>
      <c r="AL640">
        <v>1.4007723212785287E-2</v>
      </c>
      <c r="AM640" t="s">
        <v>89</v>
      </c>
      <c r="AN640" t="s">
        <v>148</v>
      </c>
      <c r="AO640" t="s">
        <v>148</v>
      </c>
      <c r="AP640" t="s">
        <v>147</v>
      </c>
      <c r="AQ640">
        <v>0</v>
      </c>
    </row>
    <row r="641" spans="1:43" x14ac:dyDescent="0.2">
      <c r="A641">
        <v>639</v>
      </c>
      <c r="B641">
        <v>434</v>
      </c>
      <c r="C641">
        <v>50</v>
      </c>
      <c r="D641">
        <v>2342000</v>
      </c>
      <c r="E641" t="s">
        <v>762</v>
      </c>
      <c r="F641" t="s">
        <v>151</v>
      </c>
      <c r="G641" t="s">
        <v>763</v>
      </c>
      <c r="H641">
        <v>7.8647816728363823E-2</v>
      </c>
      <c r="I641">
        <v>-6.9208291367921212E-6</v>
      </c>
      <c r="J641">
        <v>3.97</v>
      </c>
      <c r="K641">
        <v>7.4946137659825204E-2</v>
      </c>
      <c r="L641" s="1">
        <v>44640</v>
      </c>
      <c r="M641" s="1">
        <v>43024</v>
      </c>
      <c r="N641" s="1">
        <v>43021</v>
      </c>
      <c r="R641">
        <v>-6.6189486982428086E-4</v>
      </c>
      <c r="S641">
        <v>-6.6189486982428086E-4</v>
      </c>
      <c r="T641" t="s">
        <v>30</v>
      </c>
      <c r="U641" t="s">
        <v>30</v>
      </c>
      <c r="V641">
        <v>2422126.06</v>
      </c>
      <c r="W641" t="s">
        <v>764</v>
      </c>
      <c r="X641" t="s">
        <v>765</v>
      </c>
      <c r="Y641">
        <v>2342000</v>
      </c>
      <c r="Z641" t="s">
        <v>143</v>
      </c>
      <c r="AA641">
        <v>-1.4231821331071866E-3</v>
      </c>
      <c r="AB641">
        <v>103.00960000000001</v>
      </c>
      <c r="AC641" t="s">
        <v>142</v>
      </c>
      <c r="AD641" t="s">
        <v>146</v>
      </c>
      <c r="AE641" t="s">
        <v>175</v>
      </c>
      <c r="AF641">
        <v>0</v>
      </c>
      <c r="AG641">
        <v>4.8842560881348422</v>
      </c>
      <c r="AH641" t="s">
        <v>237</v>
      </c>
      <c r="AI641" t="s">
        <v>237</v>
      </c>
      <c r="AJ641">
        <v>1.0456085176531819E-2</v>
      </c>
      <c r="AK641">
        <v>1.9810533180948064E-2</v>
      </c>
      <c r="AL641">
        <v>9.3544480044162447E-3</v>
      </c>
      <c r="AM641" t="s">
        <v>175</v>
      </c>
      <c r="AN641" t="s">
        <v>146</v>
      </c>
      <c r="AO641" t="s">
        <v>146</v>
      </c>
      <c r="AP641" t="s">
        <v>143</v>
      </c>
      <c r="AQ641">
        <v>0</v>
      </c>
    </row>
    <row r="642" spans="1:43" x14ac:dyDescent="0.2">
      <c r="A642">
        <v>640</v>
      </c>
      <c r="B642">
        <v>435</v>
      </c>
      <c r="C642">
        <v>50</v>
      </c>
      <c r="D642">
        <v>2470000</v>
      </c>
      <c r="E642" t="s">
        <v>766</v>
      </c>
      <c r="F642" t="s">
        <v>151</v>
      </c>
      <c r="G642" t="s">
        <v>767</v>
      </c>
      <c r="H642">
        <v>0.10528099074329726</v>
      </c>
      <c r="I642">
        <v>-3.97473849345736E-5</v>
      </c>
      <c r="J642">
        <v>4.91</v>
      </c>
      <c r="K642">
        <v>4.8271953266226673</v>
      </c>
      <c r="L642" s="1">
        <v>45053</v>
      </c>
      <c r="M642" s="1">
        <v>43024</v>
      </c>
      <c r="N642" s="1">
        <v>43021</v>
      </c>
      <c r="R642">
        <v>-2.8391817130785546E-3</v>
      </c>
      <c r="S642">
        <v>-2.8391817130785546E-3</v>
      </c>
      <c r="T642" t="s">
        <v>30</v>
      </c>
      <c r="U642" t="s">
        <v>30</v>
      </c>
      <c r="V642">
        <v>2621615.8199999998</v>
      </c>
      <c r="W642" t="s">
        <v>768</v>
      </c>
      <c r="X642" t="s">
        <v>769</v>
      </c>
      <c r="Y642">
        <v>2470000</v>
      </c>
      <c r="Z642" t="s">
        <v>147</v>
      </c>
      <c r="AA642">
        <v>-8.1735536246512041E-3</v>
      </c>
      <c r="AB642">
        <v>104.206</v>
      </c>
      <c r="AC642" t="s">
        <v>142</v>
      </c>
      <c r="AD642" t="s">
        <v>146</v>
      </c>
      <c r="AE642" t="s">
        <v>175</v>
      </c>
      <c r="AF642">
        <v>0</v>
      </c>
      <c r="AG642">
        <v>3.4572527248973621</v>
      </c>
      <c r="AH642" t="s">
        <v>237</v>
      </c>
      <c r="AI642" t="s">
        <v>237</v>
      </c>
      <c r="AJ642">
        <v>1.3999591766697839E-2</v>
      </c>
      <c r="AK642">
        <v>2.1442156974194961E-2</v>
      </c>
      <c r="AL642">
        <v>7.4425652074971227E-3</v>
      </c>
      <c r="AM642" t="s">
        <v>175</v>
      </c>
      <c r="AN642" t="s">
        <v>146</v>
      </c>
      <c r="AO642" t="s">
        <v>146</v>
      </c>
      <c r="AP642" t="s">
        <v>147</v>
      </c>
      <c r="AQ642">
        <v>0</v>
      </c>
    </row>
    <row r="643" spans="1:43" x14ac:dyDescent="0.2">
      <c r="A643">
        <v>641</v>
      </c>
      <c r="B643">
        <v>62</v>
      </c>
      <c r="C643">
        <v>50</v>
      </c>
      <c r="D643">
        <v>1000000</v>
      </c>
      <c r="E643" t="s">
        <v>770</v>
      </c>
      <c r="F643" t="s">
        <v>151</v>
      </c>
      <c r="G643" t="s">
        <v>771</v>
      </c>
      <c r="H643">
        <v>3.7484118630132547E-2</v>
      </c>
      <c r="I643">
        <v>-1.7417926826315672E-4</v>
      </c>
      <c r="J643">
        <v>4.58</v>
      </c>
      <c r="L643" s="1">
        <v>44773</v>
      </c>
      <c r="M643" s="1">
        <v>43024</v>
      </c>
      <c r="N643" s="1"/>
      <c r="R643">
        <v>-2.1282107671166471E-2</v>
      </c>
      <c r="T643" t="s">
        <v>30</v>
      </c>
      <c r="V643">
        <v>1000650.47</v>
      </c>
      <c r="W643" t="s">
        <v>772</v>
      </c>
      <c r="X643" t="s">
        <v>773</v>
      </c>
      <c r="Y643">
        <v>1000000</v>
      </c>
      <c r="Z643" t="s">
        <v>774</v>
      </c>
      <c r="AA643">
        <v>-3.5817792586728618E-2</v>
      </c>
      <c r="AB643">
        <v>99.675299999999993</v>
      </c>
      <c r="AC643" t="s">
        <v>42</v>
      </c>
      <c r="AE643" t="s">
        <v>182</v>
      </c>
      <c r="AF643">
        <v>0</v>
      </c>
      <c r="AH643" t="s">
        <v>280</v>
      </c>
      <c r="AJ643">
        <v>8.1843053777581973E-3</v>
      </c>
      <c r="AK643">
        <v>8.1843053777581973E-3</v>
      </c>
      <c r="AL643">
        <v>0</v>
      </c>
      <c r="AN643" t="s">
        <v>142</v>
      </c>
      <c r="AQ643">
        <v>0</v>
      </c>
    </row>
    <row r="644" spans="1:43" x14ac:dyDescent="0.2">
      <c r="A644">
        <v>642</v>
      </c>
      <c r="B644">
        <v>428</v>
      </c>
      <c r="C644">
        <v>50</v>
      </c>
      <c r="D644">
        <v>1000000</v>
      </c>
      <c r="E644" t="s">
        <v>1469</v>
      </c>
      <c r="F644" t="s">
        <v>151</v>
      </c>
      <c r="G644" t="s">
        <v>1470</v>
      </c>
      <c r="H644">
        <v>6.589559093879345E-2</v>
      </c>
      <c r="I644">
        <v>-3.5970246788336358E-5</v>
      </c>
      <c r="J644">
        <v>6.98</v>
      </c>
      <c r="K644">
        <v>6.8356631666577714</v>
      </c>
      <c r="L644" s="1">
        <v>46244</v>
      </c>
      <c r="M644" s="1">
        <v>43024</v>
      </c>
      <c r="N644" s="1">
        <v>43021</v>
      </c>
      <c r="R644">
        <v>-2.3148355786360236E-2</v>
      </c>
      <c r="S644">
        <v>-2.3148355786360236E-2</v>
      </c>
      <c r="T644" t="s">
        <v>30</v>
      </c>
      <c r="U644" t="s">
        <v>30</v>
      </c>
      <c r="V644">
        <v>1154254.33</v>
      </c>
      <c r="W644" t="s">
        <v>1471</v>
      </c>
      <c r="X644" t="s">
        <v>1472</v>
      </c>
      <c r="Y644">
        <v>1000000</v>
      </c>
      <c r="Z644" t="s">
        <v>157</v>
      </c>
      <c r="AA644">
        <v>-7.3968323073418064E-3</v>
      </c>
      <c r="AB644">
        <v>114.2796</v>
      </c>
      <c r="AC644" t="s">
        <v>55</v>
      </c>
      <c r="AD644" t="s">
        <v>146</v>
      </c>
      <c r="AE644" t="s">
        <v>177</v>
      </c>
      <c r="AF644">
        <v>0</v>
      </c>
      <c r="AG644">
        <v>4.2352147521477113</v>
      </c>
      <c r="AH644" t="s">
        <v>237</v>
      </c>
      <c r="AI644" t="s">
        <v>237</v>
      </c>
      <c r="AJ644">
        <v>1.5539007228120797E-3</v>
      </c>
      <c r="AK644">
        <v>9.4406290743257095E-3</v>
      </c>
      <c r="AL644">
        <v>7.8867283515136298E-3</v>
      </c>
      <c r="AM644" t="s">
        <v>177</v>
      </c>
      <c r="AN644" t="s">
        <v>149</v>
      </c>
      <c r="AO644" t="s">
        <v>146</v>
      </c>
      <c r="AP644" t="s">
        <v>157</v>
      </c>
      <c r="AQ644">
        <v>0</v>
      </c>
    </row>
    <row r="645" spans="1:43" x14ac:dyDescent="0.2">
      <c r="A645">
        <v>643</v>
      </c>
      <c r="B645">
        <v>99</v>
      </c>
      <c r="C645">
        <v>6</v>
      </c>
      <c r="D645">
        <v>20000</v>
      </c>
      <c r="E645" t="s">
        <v>775</v>
      </c>
      <c r="F645" t="s">
        <v>29</v>
      </c>
      <c r="G645" t="s">
        <v>776</v>
      </c>
      <c r="H645">
        <v>4.5460496120821474E-2</v>
      </c>
      <c r="I645">
        <v>2.3334965729668493E-5</v>
      </c>
      <c r="J645">
        <v>4.66</v>
      </c>
      <c r="K645">
        <v>4.6756668882576999</v>
      </c>
      <c r="L645" s="1">
        <v>46371</v>
      </c>
      <c r="M645" s="1">
        <v>43024</v>
      </c>
      <c r="N645" s="1">
        <v>43021</v>
      </c>
      <c r="R645">
        <v>-1.4967484789654954E-2</v>
      </c>
      <c r="S645">
        <v>-1.4967484789654954E-2</v>
      </c>
      <c r="T645" t="s">
        <v>32</v>
      </c>
      <c r="U645" t="s">
        <v>32</v>
      </c>
      <c r="V645">
        <v>539719548</v>
      </c>
      <c r="W645" t="s">
        <v>777</v>
      </c>
      <c r="X645" t="s">
        <v>778</v>
      </c>
      <c r="Y645">
        <v>20000</v>
      </c>
      <c r="Z645" t="s">
        <v>31</v>
      </c>
      <c r="AA645">
        <v>7.3835653463317193E-3</v>
      </c>
      <c r="AB645">
        <v>114.99</v>
      </c>
      <c r="AC645" t="s">
        <v>33</v>
      </c>
      <c r="AD645" t="s">
        <v>33</v>
      </c>
      <c r="AE645" t="s">
        <v>1708</v>
      </c>
      <c r="AF645">
        <v>-2.4888208702300643E-3</v>
      </c>
      <c r="AG645">
        <v>2.11</v>
      </c>
      <c r="AH645" t="s">
        <v>237</v>
      </c>
      <c r="AI645" t="s">
        <v>237</v>
      </c>
      <c r="AJ645">
        <v>-1.5590438913154515E-3</v>
      </c>
      <c r="AK645">
        <v>9.755471270562548E-3</v>
      </c>
      <c r="AL645">
        <v>1.1314515161878E-2</v>
      </c>
      <c r="AM645" t="s">
        <v>1708</v>
      </c>
      <c r="AN645" t="s">
        <v>148</v>
      </c>
      <c r="AO645" t="s">
        <v>33</v>
      </c>
      <c r="AP645" t="s">
        <v>31</v>
      </c>
      <c r="AQ645">
        <v>-2.4279620497105871E-5</v>
      </c>
    </row>
    <row r="646" spans="1:43" x14ac:dyDescent="0.2">
      <c r="A646">
        <v>644</v>
      </c>
      <c r="B646">
        <v>102</v>
      </c>
      <c r="C646">
        <v>6</v>
      </c>
      <c r="D646">
        <v>34500</v>
      </c>
      <c r="E646" t="s">
        <v>420</v>
      </c>
      <c r="F646" t="s">
        <v>29</v>
      </c>
      <c r="G646" t="s">
        <v>779</v>
      </c>
      <c r="H646">
        <v>0.1485621647827772</v>
      </c>
      <c r="I646">
        <v>-3.421446123456275E-4</v>
      </c>
      <c r="J646">
        <v>8.15</v>
      </c>
      <c r="L646" s="1">
        <v>48458</v>
      </c>
      <c r="M646" s="1">
        <v>43024</v>
      </c>
      <c r="N646" s="1"/>
      <c r="R646">
        <v>-1.8769776239421981E-2</v>
      </c>
      <c r="T646" t="s">
        <v>32</v>
      </c>
      <c r="V646">
        <v>1008487464</v>
      </c>
      <c r="W646" t="s">
        <v>421</v>
      </c>
      <c r="X646" t="s">
        <v>422</v>
      </c>
      <c r="Y646">
        <v>34500</v>
      </c>
      <c r="Z646" t="s">
        <v>31</v>
      </c>
      <c r="AA646">
        <v>-0.10826015912838301</v>
      </c>
      <c r="AB646">
        <v>109.14</v>
      </c>
      <c r="AC646" t="s">
        <v>34</v>
      </c>
      <c r="AE646" t="s">
        <v>35</v>
      </c>
      <c r="AF646">
        <v>3.2111791297699359E-3</v>
      </c>
      <c r="AH646" t="s">
        <v>237</v>
      </c>
      <c r="AJ646">
        <v>1.8228486476414379E-2</v>
      </c>
      <c r="AK646">
        <v>1.8228486476414379E-2</v>
      </c>
      <c r="AL646">
        <v>0</v>
      </c>
      <c r="AN646" t="s">
        <v>54</v>
      </c>
      <c r="AQ646">
        <v>5.8534935340355372E-5</v>
      </c>
    </row>
    <row r="647" spans="1:43" x14ac:dyDescent="0.2">
      <c r="A647">
        <v>645</v>
      </c>
      <c r="B647">
        <v>96</v>
      </c>
      <c r="C647">
        <v>6</v>
      </c>
      <c r="F647" t="s">
        <v>29</v>
      </c>
      <c r="G647" t="s">
        <v>1709</v>
      </c>
      <c r="I647">
        <v>1.7358862924454117E-5</v>
      </c>
      <c r="J647">
        <v>1.1058512257602999</v>
      </c>
      <c r="K647">
        <v>1.1058512257602999</v>
      </c>
      <c r="L647" s="1"/>
      <c r="M647" s="1"/>
      <c r="N647" s="1">
        <v>43021</v>
      </c>
      <c r="R647">
        <v>-1.9353706235684085E-2</v>
      </c>
      <c r="S647">
        <v>-1.9353706235684085E-2</v>
      </c>
      <c r="T647" t="s">
        <v>32</v>
      </c>
      <c r="U647" t="s">
        <v>32</v>
      </c>
      <c r="W647" t="s">
        <v>319</v>
      </c>
      <c r="Z647" t="s">
        <v>31</v>
      </c>
      <c r="AA647">
        <v>5.4926285397438532E-3</v>
      </c>
      <c r="AC647" t="s">
        <v>36</v>
      </c>
      <c r="AD647" t="s">
        <v>36</v>
      </c>
      <c r="AE647" t="s">
        <v>178</v>
      </c>
      <c r="AF647">
        <v>1.46</v>
      </c>
      <c r="AG647">
        <v>1.46</v>
      </c>
      <c r="AH647" t="s">
        <v>237</v>
      </c>
      <c r="AI647" t="s">
        <v>237</v>
      </c>
      <c r="AJ647">
        <v>-8.9692706466982001E-4</v>
      </c>
      <c r="AK647">
        <v>0</v>
      </c>
      <c r="AL647">
        <v>8.9692706466982001E-4</v>
      </c>
      <c r="AM647" t="s">
        <v>178</v>
      </c>
      <c r="AN647" t="s">
        <v>36</v>
      </c>
      <c r="AO647" t="s">
        <v>36</v>
      </c>
      <c r="AP647" t="s">
        <v>31</v>
      </c>
    </row>
    <row r="648" spans="1:43" x14ac:dyDescent="0.2">
      <c r="A648">
        <v>646</v>
      </c>
      <c r="B648">
        <v>93</v>
      </c>
      <c r="C648">
        <v>6</v>
      </c>
      <c r="D648">
        <v>8000</v>
      </c>
      <c r="E648" t="s">
        <v>423</v>
      </c>
      <c r="F648" t="s">
        <v>29</v>
      </c>
      <c r="G648" t="s">
        <v>424</v>
      </c>
      <c r="H648">
        <v>1.2342836330360659E-3</v>
      </c>
      <c r="I648">
        <v>-8.2910876077700501E-6</v>
      </c>
      <c r="J648">
        <v>0.95</v>
      </c>
      <c r="L648" s="1">
        <v>43556</v>
      </c>
      <c r="M648" s="1">
        <v>43024</v>
      </c>
      <c r="N648" s="1"/>
      <c r="R648">
        <v>-6.3814612918483005E-3</v>
      </c>
      <c r="T648" t="s">
        <v>32</v>
      </c>
      <c r="V648">
        <v>71880528</v>
      </c>
      <c r="W648" t="s">
        <v>319</v>
      </c>
      <c r="X648" t="s">
        <v>425</v>
      </c>
      <c r="Y648">
        <v>8000</v>
      </c>
      <c r="Z648" t="s">
        <v>31</v>
      </c>
      <c r="AA648">
        <v>-2.6234359138697129E-3</v>
      </c>
      <c r="AB648">
        <v>100.96</v>
      </c>
      <c r="AC648" t="s">
        <v>36</v>
      </c>
      <c r="AE648" t="s">
        <v>178</v>
      </c>
      <c r="AF648">
        <v>-9.8882087023006646E-4</v>
      </c>
      <c r="AH648" t="s">
        <v>237</v>
      </c>
      <c r="AJ648">
        <v>1.2992459295116485E-3</v>
      </c>
      <c r="AK648">
        <v>1.2992459295116485E-3</v>
      </c>
      <c r="AL648">
        <v>0</v>
      </c>
      <c r="AN648" t="s">
        <v>150</v>
      </c>
      <c r="AQ648">
        <v>-1.2847214906625799E-6</v>
      </c>
    </row>
    <row r="649" spans="1:43" x14ac:dyDescent="0.2">
      <c r="A649">
        <v>647</v>
      </c>
      <c r="B649">
        <v>99</v>
      </c>
      <c r="C649">
        <v>6</v>
      </c>
      <c r="F649" t="s">
        <v>29</v>
      </c>
      <c r="G649" t="s">
        <v>1710</v>
      </c>
      <c r="I649">
        <v>1.3096208949659817E-5</v>
      </c>
      <c r="J649">
        <v>3.357790419324</v>
      </c>
      <c r="K649">
        <v>3.357790419324</v>
      </c>
      <c r="L649" s="1"/>
      <c r="M649" s="1"/>
      <c r="N649" s="1">
        <v>43021</v>
      </c>
      <c r="R649">
        <v>-1.4967484789654954E-2</v>
      </c>
      <c r="S649">
        <v>-1.4967484789654954E-2</v>
      </c>
      <c r="T649" t="s">
        <v>32</v>
      </c>
      <c r="U649" t="s">
        <v>32</v>
      </c>
      <c r="AA649">
        <v>4.1438550066557681E-3</v>
      </c>
      <c r="AC649" t="s">
        <v>36</v>
      </c>
      <c r="AD649" t="s">
        <v>36</v>
      </c>
      <c r="AF649">
        <v>2.04</v>
      </c>
      <c r="AG649">
        <v>2.04</v>
      </c>
      <c r="AH649" t="s">
        <v>237</v>
      </c>
      <c r="AI649" t="s">
        <v>237</v>
      </c>
      <c r="AJ649">
        <v>-8.7497726797167001E-4</v>
      </c>
      <c r="AK649">
        <v>0</v>
      </c>
      <c r="AL649">
        <v>8.7497726797167001E-4</v>
      </c>
      <c r="AN649" t="s">
        <v>36</v>
      </c>
      <c r="AO649" t="s">
        <v>36</v>
      </c>
    </row>
    <row r="650" spans="1:43" x14ac:dyDescent="0.2">
      <c r="A650">
        <v>648</v>
      </c>
      <c r="B650">
        <v>99</v>
      </c>
      <c r="C650">
        <v>6</v>
      </c>
      <c r="F650" t="s">
        <v>29</v>
      </c>
      <c r="G650" t="s">
        <v>1473</v>
      </c>
      <c r="I650">
        <v>2.9860983242512137E-5</v>
      </c>
      <c r="J650">
        <v>4.2450180296582998</v>
      </c>
      <c r="K650">
        <v>4.2450180296582998</v>
      </c>
      <c r="L650" s="1"/>
      <c r="M650" s="1"/>
      <c r="N650" s="1">
        <v>43021</v>
      </c>
      <c r="R650">
        <v>-1.4967484789654954E-2</v>
      </c>
      <c r="S650">
        <v>-1.4967484789654954E-2</v>
      </c>
      <c r="T650" t="s">
        <v>32</v>
      </c>
      <c r="U650" t="s">
        <v>32</v>
      </c>
      <c r="AA650">
        <v>9.4485041731379935E-3</v>
      </c>
      <c r="AC650" t="s">
        <v>33</v>
      </c>
      <c r="AD650" t="s">
        <v>33</v>
      </c>
      <c r="AF650">
        <v>2.12</v>
      </c>
      <c r="AG650">
        <v>2.12</v>
      </c>
      <c r="AH650" t="s">
        <v>237</v>
      </c>
      <c r="AI650" t="s">
        <v>237</v>
      </c>
      <c r="AJ650">
        <v>-1.9950568624028998E-3</v>
      </c>
      <c r="AK650">
        <v>0</v>
      </c>
      <c r="AL650">
        <v>1.9950568624028998E-3</v>
      </c>
      <c r="AN650" t="s">
        <v>33</v>
      </c>
      <c r="AO650" t="s">
        <v>33</v>
      </c>
    </row>
    <row r="651" spans="1:43" x14ac:dyDescent="0.2">
      <c r="A651">
        <v>649</v>
      </c>
      <c r="B651">
        <v>96</v>
      </c>
      <c r="C651">
        <v>6</v>
      </c>
      <c r="F651" t="s">
        <v>29</v>
      </c>
      <c r="G651" t="s">
        <v>478</v>
      </c>
      <c r="I651">
        <v>1.2863474585581505E-5</v>
      </c>
      <c r="J651">
        <v>1.5563283815011999</v>
      </c>
      <c r="K651">
        <v>1.5563283815011999</v>
      </c>
      <c r="L651" s="1"/>
      <c r="M651" s="1"/>
      <c r="N651" s="1">
        <v>43021</v>
      </c>
      <c r="R651">
        <v>-1.9353706235684085E-2</v>
      </c>
      <c r="S651">
        <v>-1.9353706235684085E-2</v>
      </c>
      <c r="T651" t="s">
        <v>32</v>
      </c>
      <c r="U651" t="s">
        <v>32</v>
      </c>
      <c r="W651" t="s">
        <v>479</v>
      </c>
      <c r="Z651" t="s">
        <v>31</v>
      </c>
      <c r="AA651">
        <v>4.0702140420442639E-3</v>
      </c>
      <c r="AC651" t="s">
        <v>33</v>
      </c>
      <c r="AD651" t="s">
        <v>33</v>
      </c>
      <c r="AE651" t="s">
        <v>44</v>
      </c>
      <c r="AF651">
        <v>1.86</v>
      </c>
      <c r="AG651">
        <v>1.86</v>
      </c>
      <c r="AH651" t="s">
        <v>237</v>
      </c>
      <c r="AI651" t="s">
        <v>237</v>
      </c>
      <c r="AJ651">
        <v>-6.6465174313041998E-4</v>
      </c>
      <c r="AK651">
        <v>0</v>
      </c>
      <c r="AL651">
        <v>6.6465174313041998E-4</v>
      </c>
      <c r="AM651" t="s">
        <v>44</v>
      </c>
      <c r="AN651" t="s">
        <v>33</v>
      </c>
      <c r="AO651" t="s">
        <v>33</v>
      </c>
      <c r="AP651" t="s">
        <v>31</v>
      </c>
    </row>
    <row r="652" spans="1:43" x14ac:dyDescent="0.2">
      <c r="A652">
        <v>650</v>
      </c>
      <c r="B652">
        <v>98</v>
      </c>
      <c r="C652">
        <v>6</v>
      </c>
      <c r="D652">
        <v>10000</v>
      </c>
      <c r="E652" t="s">
        <v>780</v>
      </c>
      <c r="F652" t="s">
        <v>29</v>
      </c>
      <c r="G652" t="s">
        <v>781</v>
      </c>
      <c r="H652">
        <v>2.0322437773885909E-2</v>
      </c>
      <c r="I652">
        <v>3.3571521657100072E-5</v>
      </c>
      <c r="J652">
        <v>3.85</v>
      </c>
      <c r="K652">
        <v>3.8588617359448998</v>
      </c>
      <c r="L652" s="1">
        <v>45656</v>
      </c>
      <c r="M652" s="1">
        <v>43024</v>
      </c>
      <c r="N652" s="1">
        <v>43021</v>
      </c>
      <c r="R652">
        <v>-2.7515108469385995E-2</v>
      </c>
      <c r="S652">
        <v>-2.7515108469385995E-2</v>
      </c>
      <c r="T652" t="s">
        <v>32</v>
      </c>
      <c r="U652" t="s">
        <v>32</v>
      </c>
      <c r="V652">
        <v>292035042</v>
      </c>
      <c r="W652" t="s">
        <v>1711</v>
      </c>
      <c r="X652" t="s">
        <v>783</v>
      </c>
      <c r="Y652">
        <v>10000</v>
      </c>
      <c r="Z652" t="s">
        <v>31</v>
      </c>
      <c r="AA652">
        <v>1.0622579300205829E-2</v>
      </c>
      <c r="AB652">
        <v>115</v>
      </c>
      <c r="AC652" t="s">
        <v>42</v>
      </c>
      <c r="AD652" t="s">
        <v>42</v>
      </c>
      <c r="AE652" t="s">
        <v>1708</v>
      </c>
      <c r="AF652">
        <v>-4.9888208702300665E-3</v>
      </c>
      <c r="AG652">
        <v>1.86</v>
      </c>
      <c r="AH652" t="s">
        <v>237</v>
      </c>
      <c r="AI652" t="s">
        <v>237</v>
      </c>
      <c r="AJ652">
        <v>-1.2201122773858077E-3</v>
      </c>
      <c r="AK652">
        <v>5.2785552659443923E-3</v>
      </c>
      <c r="AL652">
        <v>6.4986675433301999E-3</v>
      </c>
      <c r="AM652" t="s">
        <v>1708</v>
      </c>
      <c r="AN652" t="s">
        <v>142</v>
      </c>
      <c r="AO652" t="s">
        <v>42</v>
      </c>
      <c r="AP652" t="s">
        <v>31</v>
      </c>
      <c r="AQ652">
        <v>-2.6333766675406202E-5</v>
      </c>
    </row>
    <row r="653" spans="1:43" x14ac:dyDescent="0.2">
      <c r="A653">
        <v>651</v>
      </c>
      <c r="B653">
        <v>99</v>
      </c>
      <c r="C653">
        <v>6</v>
      </c>
      <c r="D653">
        <v>22000</v>
      </c>
      <c r="E653" t="s">
        <v>784</v>
      </c>
      <c r="F653" t="s">
        <v>29</v>
      </c>
      <c r="G653" t="s">
        <v>785</v>
      </c>
      <c r="H653">
        <v>5.4451740145179804E-2</v>
      </c>
      <c r="I653">
        <v>-1.0969926901807856E-4</v>
      </c>
      <c r="J653">
        <v>4.93</v>
      </c>
      <c r="K653">
        <v>4.9449825662776998</v>
      </c>
      <c r="L653" s="1">
        <v>46833</v>
      </c>
      <c r="M653" s="1">
        <v>43024</v>
      </c>
      <c r="N653" s="1">
        <v>43021</v>
      </c>
      <c r="R653">
        <v>-1.4967484789654954E-2</v>
      </c>
      <c r="S653">
        <v>-1.4967484789654954E-2</v>
      </c>
      <c r="T653" t="s">
        <v>32</v>
      </c>
      <c r="U653" t="s">
        <v>32</v>
      </c>
      <c r="V653">
        <v>611061241</v>
      </c>
      <c r="W653" t="s">
        <v>786</v>
      </c>
      <c r="X653" t="s">
        <v>787</v>
      </c>
      <c r="Y653">
        <v>22000</v>
      </c>
      <c r="Z653" t="s">
        <v>31</v>
      </c>
      <c r="AA653">
        <v>-3.4710645416118749E-2</v>
      </c>
      <c r="AB653">
        <v>108.85</v>
      </c>
      <c r="AC653" t="s">
        <v>34</v>
      </c>
      <c r="AD653" t="s">
        <v>33</v>
      </c>
      <c r="AE653" t="s">
        <v>178</v>
      </c>
      <c r="AF653">
        <v>-1.5888208702300663E-3</v>
      </c>
      <c r="AG653">
        <v>2.21</v>
      </c>
      <c r="AH653" t="s">
        <v>237</v>
      </c>
      <c r="AI653" t="s">
        <v>237</v>
      </c>
      <c r="AJ653">
        <v>7.3291719056163118E-3</v>
      </c>
      <c r="AK653">
        <v>1.1044977717075011E-2</v>
      </c>
      <c r="AL653">
        <v>3.7158058114587001E-3</v>
      </c>
      <c r="AM653" t="s">
        <v>178</v>
      </c>
      <c r="AN653" t="s">
        <v>54</v>
      </c>
      <c r="AO653" t="s">
        <v>33</v>
      </c>
      <c r="AP653" t="s">
        <v>31</v>
      </c>
      <c r="AQ653">
        <v>-1.754849110811481E-5</v>
      </c>
    </row>
    <row r="654" spans="1:43" x14ac:dyDescent="0.2">
      <c r="A654">
        <v>652</v>
      </c>
      <c r="B654">
        <v>99</v>
      </c>
      <c r="C654">
        <v>6</v>
      </c>
      <c r="D654">
        <v>20000</v>
      </c>
      <c r="E654" t="s">
        <v>788</v>
      </c>
      <c r="F654" t="s">
        <v>29</v>
      </c>
      <c r="G654" t="s">
        <v>789</v>
      </c>
      <c r="H654">
        <v>5.0309946495568886E-2</v>
      </c>
      <c r="I654">
        <v>-1.2235752544232994E-4</v>
      </c>
      <c r="J654">
        <v>4.7699999999999996</v>
      </c>
      <c r="K654">
        <v>4.8000749540278997</v>
      </c>
      <c r="L654" s="1">
        <v>46888</v>
      </c>
      <c r="M654" s="1">
        <v>43024</v>
      </c>
      <c r="N654" s="1">
        <v>43021</v>
      </c>
      <c r="R654">
        <v>-1.4967484789654954E-2</v>
      </c>
      <c r="S654">
        <v>-1.4967484789654954E-2</v>
      </c>
      <c r="T654" t="s">
        <v>32</v>
      </c>
      <c r="U654" t="s">
        <v>32</v>
      </c>
      <c r="V654">
        <v>583519495</v>
      </c>
      <c r="W654" t="s">
        <v>786</v>
      </c>
      <c r="X654" t="s">
        <v>790</v>
      </c>
      <c r="Y654">
        <v>20000</v>
      </c>
      <c r="Z654" t="s">
        <v>31</v>
      </c>
      <c r="AA654">
        <v>-3.8715925070772483E-2</v>
      </c>
      <c r="AB654">
        <v>107.63</v>
      </c>
      <c r="AC654" t="s">
        <v>34</v>
      </c>
      <c r="AD654" t="s">
        <v>34</v>
      </c>
      <c r="AE654" t="s">
        <v>178</v>
      </c>
      <c r="AF654">
        <v>2.1117912976993669E-4</v>
      </c>
      <c r="AG654">
        <v>2.21</v>
      </c>
      <c r="AH654" t="s">
        <v>237</v>
      </c>
      <c r="AI654" t="s">
        <v>237</v>
      </c>
      <c r="AJ654">
        <v>8.1748889116559885E-3</v>
      </c>
      <c r="AK654">
        <v>1.0547158594458888E-2</v>
      </c>
      <c r="AL654">
        <v>2.3722696828028999E-3</v>
      </c>
      <c r="AM654" t="s">
        <v>178</v>
      </c>
      <c r="AN654" t="s">
        <v>54</v>
      </c>
      <c r="AO654" t="s">
        <v>34</v>
      </c>
      <c r="AP654" t="s">
        <v>31</v>
      </c>
      <c r="AQ654">
        <v>2.2273397735233364E-6</v>
      </c>
    </row>
    <row r="655" spans="1:43" x14ac:dyDescent="0.2">
      <c r="A655">
        <v>653</v>
      </c>
      <c r="B655">
        <v>102</v>
      </c>
      <c r="C655">
        <v>6</v>
      </c>
      <c r="D655">
        <v>17500</v>
      </c>
      <c r="E655" t="s">
        <v>454</v>
      </c>
      <c r="F655" t="s">
        <v>29</v>
      </c>
      <c r="G655" t="s">
        <v>791</v>
      </c>
      <c r="H655">
        <v>5.5469903143002715E-2</v>
      </c>
      <c r="I655">
        <v>-5.069610000768903E-5</v>
      </c>
      <c r="J655">
        <v>5.88</v>
      </c>
      <c r="K655">
        <v>5.8911632491696997</v>
      </c>
      <c r="L655" s="1">
        <v>47421</v>
      </c>
      <c r="M655" s="1">
        <v>43024</v>
      </c>
      <c r="N655" s="1">
        <v>43021</v>
      </c>
      <c r="R655">
        <v>-1.8769776239421981E-2</v>
      </c>
      <c r="S655">
        <v>-1.8769776239421981E-2</v>
      </c>
      <c r="T655" t="s">
        <v>32</v>
      </c>
      <c r="U655" t="s">
        <v>32</v>
      </c>
      <c r="V655">
        <v>521915236</v>
      </c>
      <c r="W655" t="s">
        <v>456</v>
      </c>
      <c r="X655" t="s">
        <v>457</v>
      </c>
      <c r="Y655">
        <v>17500</v>
      </c>
      <c r="Z655" t="s">
        <v>31</v>
      </c>
      <c r="AA655">
        <v>-1.604107636357166E-2</v>
      </c>
      <c r="AB655">
        <v>109.72</v>
      </c>
      <c r="AC655" t="s">
        <v>34</v>
      </c>
      <c r="AD655" t="s">
        <v>34</v>
      </c>
      <c r="AE655" t="s">
        <v>177</v>
      </c>
      <c r="AF655">
        <v>2.3111791297699344E-3</v>
      </c>
      <c r="AG655">
        <v>2.59</v>
      </c>
      <c r="AH655" t="s">
        <v>237</v>
      </c>
      <c r="AI655" t="s">
        <v>237</v>
      </c>
      <c r="AJ655">
        <v>2.7009432270808055E-3</v>
      </c>
      <c r="AK655">
        <v>9.4336569971093052E-3</v>
      </c>
      <c r="AL655">
        <v>6.7327137700284997E-3</v>
      </c>
      <c r="AM655" t="s">
        <v>177</v>
      </c>
      <c r="AN655" t="s">
        <v>54</v>
      </c>
      <c r="AO655" t="s">
        <v>34</v>
      </c>
      <c r="AP655" t="s">
        <v>31</v>
      </c>
      <c r="AQ655">
        <v>2.1802871169127138E-5</v>
      </c>
    </row>
    <row r="656" spans="1:43" x14ac:dyDescent="0.2">
      <c r="A656">
        <v>654</v>
      </c>
      <c r="B656">
        <v>96</v>
      </c>
      <c r="C656">
        <v>6</v>
      </c>
      <c r="F656" t="s">
        <v>29</v>
      </c>
      <c r="G656" t="s">
        <v>455</v>
      </c>
      <c r="I656">
        <v>8.5737912638211025E-5</v>
      </c>
      <c r="J656">
        <v>2.7726949698713002</v>
      </c>
      <c r="K656">
        <v>2.7726949698713002</v>
      </c>
      <c r="L656" s="1"/>
      <c r="M656" s="1"/>
      <c r="N656" s="1">
        <v>43021</v>
      </c>
      <c r="R656">
        <v>-1.9353706235684085E-2</v>
      </c>
      <c r="S656">
        <v>-1.9353706235684085E-2</v>
      </c>
      <c r="T656" t="s">
        <v>32</v>
      </c>
      <c r="U656" t="s">
        <v>32</v>
      </c>
      <c r="W656" t="s">
        <v>456</v>
      </c>
      <c r="Z656" t="s">
        <v>31</v>
      </c>
      <c r="AA656">
        <v>2.7128879808785762E-2</v>
      </c>
      <c r="AC656" t="s">
        <v>34</v>
      </c>
      <c r="AD656" t="s">
        <v>34</v>
      </c>
      <c r="AE656" t="s">
        <v>177</v>
      </c>
      <c r="AF656">
        <v>2.2799999999999998</v>
      </c>
      <c r="AG656">
        <v>2.2799999999999998</v>
      </c>
      <c r="AH656" t="s">
        <v>237</v>
      </c>
      <c r="AI656" t="s">
        <v>237</v>
      </c>
      <c r="AJ656">
        <v>-4.4300513604019001E-3</v>
      </c>
      <c r="AK656">
        <v>0</v>
      </c>
      <c r="AL656">
        <v>4.4300513604019001E-3</v>
      </c>
      <c r="AM656" t="s">
        <v>177</v>
      </c>
      <c r="AN656" t="s">
        <v>34</v>
      </c>
      <c r="AO656" t="s">
        <v>34</v>
      </c>
      <c r="AP656" t="s">
        <v>31</v>
      </c>
    </row>
    <row r="657" spans="1:43" x14ac:dyDescent="0.2">
      <c r="A657">
        <v>655</v>
      </c>
      <c r="B657">
        <v>102</v>
      </c>
      <c r="C657">
        <v>6</v>
      </c>
      <c r="D657">
        <v>12500</v>
      </c>
      <c r="E657" t="s">
        <v>454</v>
      </c>
      <c r="F657" t="s">
        <v>29</v>
      </c>
      <c r="G657" t="s">
        <v>792</v>
      </c>
      <c r="H657">
        <v>5.4837901515834883E-2</v>
      </c>
      <c r="I657">
        <v>-3.6091134418923424E-5</v>
      </c>
      <c r="J657">
        <v>8.15</v>
      </c>
      <c r="K657">
        <v>8.1612485578947993</v>
      </c>
      <c r="L657" s="1">
        <v>48533</v>
      </c>
      <c r="M657" s="1">
        <v>43024</v>
      </c>
      <c r="N657" s="1">
        <v>43021</v>
      </c>
      <c r="R657">
        <v>-1.8769776239421981E-2</v>
      </c>
      <c r="S657">
        <v>-1.8769776239421981E-2</v>
      </c>
      <c r="T657" t="s">
        <v>32</v>
      </c>
      <c r="U657" t="s">
        <v>32</v>
      </c>
      <c r="V657">
        <v>372257205</v>
      </c>
      <c r="W657" t="s">
        <v>456</v>
      </c>
      <c r="X657" t="s">
        <v>457</v>
      </c>
      <c r="Y657">
        <v>12500</v>
      </c>
      <c r="Z657" t="s">
        <v>31</v>
      </c>
      <c r="AA657">
        <v>-1.1419826045279078E-2</v>
      </c>
      <c r="AB657">
        <v>109.86</v>
      </c>
      <c r="AC657" t="s">
        <v>34</v>
      </c>
      <c r="AD657" t="s">
        <v>34</v>
      </c>
      <c r="AE657" t="s">
        <v>177</v>
      </c>
      <c r="AF657">
        <v>4.3111791297699362E-3</v>
      </c>
      <c r="AG657">
        <v>2.79</v>
      </c>
      <c r="AH657" t="s">
        <v>237</v>
      </c>
      <c r="AI657" t="s">
        <v>237</v>
      </c>
      <c r="AJ657">
        <v>1.9228324279711743E-3</v>
      </c>
      <c r="AK657">
        <v>6.7285768731085742E-3</v>
      </c>
      <c r="AL657">
        <v>4.8057444451373998E-3</v>
      </c>
      <c r="AM657" t="s">
        <v>177</v>
      </c>
      <c r="AN657" t="s">
        <v>54</v>
      </c>
      <c r="AO657" t="s">
        <v>34</v>
      </c>
      <c r="AP657" t="s">
        <v>31</v>
      </c>
      <c r="AQ657">
        <v>2.900810018839834E-5</v>
      </c>
    </row>
    <row r="658" spans="1:43" x14ac:dyDescent="0.2">
      <c r="A658">
        <v>656</v>
      </c>
      <c r="B658">
        <v>96</v>
      </c>
      <c r="C658">
        <v>6</v>
      </c>
      <c r="F658" t="s">
        <v>29</v>
      </c>
      <c r="G658" t="s">
        <v>458</v>
      </c>
      <c r="I658">
        <v>2.9621235209355173E-5</v>
      </c>
      <c r="J658">
        <v>1.9172990618393</v>
      </c>
      <c r="K658">
        <v>1.9172990618393</v>
      </c>
      <c r="L658" s="1"/>
      <c r="M658" s="1"/>
      <c r="N658" s="1">
        <v>43021</v>
      </c>
      <c r="R658">
        <v>-1.9353706235684085E-2</v>
      </c>
      <c r="S658">
        <v>-1.9353706235684085E-2</v>
      </c>
      <c r="T658" t="s">
        <v>32</v>
      </c>
      <c r="U658" t="s">
        <v>32</v>
      </c>
      <c r="W658" t="s">
        <v>456</v>
      </c>
      <c r="Z658" t="s">
        <v>31</v>
      </c>
      <c r="AA658">
        <v>9.372643968757307E-3</v>
      </c>
      <c r="AC658" t="s">
        <v>34</v>
      </c>
      <c r="AD658" t="s">
        <v>34</v>
      </c>
      <c r="AE658" t="s">
        <v>177</v>
      </c>
      <c r="AF658">
        <v>2.23</v>
      </c>
      <c r="AG658">
        <v>2.23</v>
      </c>
      <c r="AH658" t="s">
        <v>237</v>
      </c>
      <c r="AI658" t="s">
        <v>237</v>
      </c>
      <c r="AJ658">
        <v>-1.5305200383139001E-3</v>
      </c>
      <c r="AK658">
        <v>0</v>
      </c>
      <c r="AL658">
        <v>1.5305200383139001E-3</v>
      </c>
      <c r="AM658" t="s">
        <v>177</v>
      </c>
      <c r="AN658" t="s">
        <v>34</v>
      </c>
      <c r="AO658" t="s">
        <v>34</v>
      </c>
      <c r="AP658" t="s">
        <v>31</v>
      </c>
    </row>
    <row r="659" spans="1:43" x14ac:dyDescent="0.2">
      <c r="A659">
        <v>657</v>
      </c>
      <c r="B659">
        <v>102</v>
      </c>
      <c r="C659">
        <v>6</v>
      </c>
      <c r="D659">
        <v>15000</v>
      </c>
      <c r="E659" t="s">
        <v>454</v>
      </c>
      <c r="F659" t="s">
        <v>29</v>
      </c>
      <c r="G659" t="s">
        <v>793</v>
      </c>
      <c r="H659">
        <v>5.7559524116327761E-2</v>
      </c>
      <c r="I659">
        <v>-5.3919110008829869E-5</v>
      </c>
      <c r="J659">
        <v>8.1199999999999992</v>
      </c>
      <c r="K659">
        <v>8.1328382969320998</v>
      </c>
      <c r="L659" s="1">
        <v>46341</v>
      </c>
      <c r="M659" s="1">
        <v>43024</v>
      </c>
      <c r="N659" s="1">
        <v>43021</v>
      </c>
      <c r="R659">
        <v>-1.8769776239421981E-2</v>
      </c>
      <c r="S659">
        <v>-1.8769776239421981E-2</v>
      </c>
      <c r="T659" t="s">
        <v>32</v>
      </c>
      <c r="U659" t="s">
        <v>32</v>
      </c>
      <c r="V659">
        <v>392176042</v>
      </c>
      <c r="W659" t="s">
        <v>456</v>
      </c>
      <c r="X659" t="s">
        <v>457</v>
      </c>
      <c r="Y659">
        <v>15000</v>
      </c>
      <c r="Z659" t="s">
        <v>31</v>
      </c>
      <c r="AA659">
        <v>-1.7060889515688172E-2</v>
      </c>
      <c r="AB659">
        <v>97.09</v>
      </c>
      <c r="AC659" t="s">
        <v>34</v>
      </c>
      <c r="AD659" t="s">
        <v>34</v>
      </c>
      <c r="AE659" t="s">
        <v>177</v>
      </c>
      <c r="AF659">
        <v>4.1111791297699339E-3</v>
      </c>
      <c r="AG659">
        <v>2.77</v>
      </c>
      <c r="AH659" t="s">
        <v>237</v>
      </c>
      <c r="AI659" t="s">
        <v>237</v>
      </c>
      <c r="AJ659">
        <v>2.8726559827380403E-3</v>
      </c>
      <c r="AK659">
        <v>7.0886113443753406E-3</v>
      </c>
      <c r="AL659">
        <v>4.2159553616373004E-3</v>
      </c>
      <c r="AM659" t="s">
        <v>177</v>
      </c>
      <c r="AN659" t="s">
        <v>54</v>
      </c>
      <c r="AO659" t="s">
        <v>34</v>
      </c>
      <c r="AP659" t="s">
        <v>31</v>
      </c>
      <c r="AQ659">
        <v>2.9142551018046295E-5</v>
      </c>
    </row>
    <row r="660" spans="1:43" x14ac:dyDescent="0.2">
      <c r="A660">
        <v>658</v>
      </c>
      <c r="B660">
        <v>102</v>
      </c>
      <c r="C660">
        <v>6</v>
      </c>
      <c r="D660">
        <v>25000</v>
      </c>
      <c r="E660" t="s">
        <v>794</v>
      </c>
      <c r="F660" t="s">
        <v>29</v>
      </c>
      <c r="G660" t="s">
        <v>795</v>
      </c>
      <c r="H660">
        <v>0.10592677151178503</v>
      </c>
      <c r="I660">
        <v>-1.5913908475432097E-4</v>
      </c>
      <c r="J660">
        <v>7.55</v>
      </c>
      <c r="K660">
        <v>7.5641022929075001</v>
      </c>
      <c r="L660" s="1">
        <v>48563</v>
      </c>
      <c r="M660" s="1">
        <v>43024</v>
      </c>
      <c r="N660" s="1">
        <v>43021</v>
      </c>
      <c r="R660">
        <v>-1.8769776239421981E-2</v>
      </c>
      <c r="S660">
        <v>-1.8769776239421981E-2</v>
      </c>
      <c r="T660" t="s">
        <v>32</v>
      </c>
      <c r="U660" t="s">
        <v>32</v>
      </c>
      <c r="V660">
        <v>776209007</v>
      </c>
      <c r="W660" t="s">
        <v>796</v>
      </c>
      <c r="X660" t="s">
        <v>797</v>
      </c>
      <c r="Y660">
        <v>25000</v>
      </c>
      <c r="Z660" t="s">
        <v>31</v>
      </c>
      <c r="AA660">
        <v>-5.0354212860275055E-2</v>
      </c>
      <c r="AB660">
        <v>114.66</v>
      </c>
      <c r="AC660" t="s">
        <v>34</v>
      </c>
      <c r="AD660" t="s">
        <v>34</v>
      </c>
      <c r="AE660" t="s">
        <v>38</v>
      </c>
      <c r="AF660">
        <v>4.2111791297699333E-3</v>
      </c>
      <c r="AG660">
        <v>2.78</v>
      </c>
      <c r="AH660" t="s">
        <v>237</v>
      </c>
      <c r="AI660" t="s">
        <v>237</v>
      </c>
      <c r="AJ660">
        <v>8.4784753278029333E-3</v>
      </c>
      <c r="AK660">
        <v>1.4030035961825832E-2</v>
      </c>
      <c r="AL660">
        <v>5.5515606340228998E-3</v>
      </c>
      <c r="AM660" t="s">
        <v>38</v>
      </c>
      <c r="AN660" t="s">
        <v>54</v>
      </c>
      <c r="AO660" t="s">
        <v>34</v>
      </c>
      <c r="AP660" t="s">
        <v>31</v>
      </c>
      <c r="AQ660">
        <v>5.9082994632362578E-5</v>
      </c>
    </row>
    <row r="661" spans="1:43" x14ac:dyDescent="0.2">
      <c r="A661">
        <v>659</v>
      </c>
      <c r="B661">
        <v>102</v>
      </c>
      <c r="C661">
        <v>6</v>
      </c>
      <c r="D661">
        <v>10000</v>
      </c>
      <c r="E661" t="s">
        <v>320</v>
      </c>
      <c r="F661" t="s">
        <v>29</v>
      </c>
      <c r="G661" t="s">
        <v>798</v>
      </c>
      <c r="H661">
        <v>1.7316521777261579E-2</v>
      </c>
      <c r="I661">
        <v>-5.9968125277542015E-5</v>
      </c>
      <c r="J661">
        <v>5.42</v>
      </c>
      <c r="L661" s="1">
        <v>47240</v>
      </c>
      <c r="M661" s="1">
        <v>43024</v>
      </c>
      <c r="N661" s="1"/>
      <c r="R661">
        <v>-1.8769776239421981E-2</v>
      </c>
      <c r="T661" t="s">
        <v>32</v>
      </c>
      <c r="V661">
        <v>176758892</v>
      </c>
      <c r="W661" t="s">
        <v>321</v>
      </c>
      <c r="X661" t="s">
        <v>799</v>
      </c>
      <c r="Y661">
        <v>10000</v>
      </c>
      <c r="Z661" t="s">
        <v>31</v>
      </c>
      <c r="AA661">
        <v>-1.897489701991642E-2</v>
      </c>
      <c r="AB661">
        <v>103.45</v>
      </c>
      <c r="AC661" t="s">
        <v>34</v>
      </c>
      <c r="AE661" t="s">
        <v>40</v>
      </c>
      <c r="AF661">
        <v>2.4111791297699338E-3</v>
      </c>
      <c r="AH661" t="s">
        <v>237</v>
      </c>
      <c r="AJ661">
        <v>3.1949302172069338E-3</v>
      </c>
      <c r="AK661">
        <v>3.1949302172069338E-3</v>
      </c>
      <c r="AL661">
        <v>0</v>
      </c>
      <c r="AN661" t="s">
        <v>54</v>
      </c>
      <c r="AQ661">
        <v>7.7035490608006796E-6</v>
      </c>
    </row>
    <row r="662" spans="1:43" x14ac:dyDescent="0.2">
      <c r="A662">
        <v>660</v>
      </c>
      <c r="B662">
        <v>107</v>
      </c>
      <c r="C662">
        <v>6</v>
      </c>
      <c r="D662">
        <v>200000000</v>
      </c>
      <c r="E662" t="s">
        <v>320</v>
      </c>
      <c r="F662" t="s">
        <v>29</v>
      </c>
      <c r="G662" t="s">
        <v>528</v>
      </c>
      <c r="H662">
        <v>4.1107719454626206E-3</v>
      </c>
      <c r="I662">
        <v>-2.5948318471316756E-6</v>
      </c>
      <c r="J662">
        <v>1.42</v>
      </c>
      <c r="K662">
        <v>1.4265451537353999</v>
      </c>
      <c r="L662" s="1">
        <v>43931</v>
      </c>
      <c r="M662" s="1">
        <v>43024</v>
      </c>
      <c r="N662" s="1">
        <v>43021</v>
      </c>
      <c r="R662">
        <v>-1.1244183189823643E-3</v>
      </c>
      <c r="S662">
        <v>-1.1244183189823643E-3</v>
      </c>
      <c r="T662" t="s">
        <v>39</v>
      </c>
      <c r="U662" t="s">
        <v>39</v>
      </c>
      <c r="V662">
        <v>160160322</v>
      </c>
      <c r="W662" t="s">
        <v>321</v>
      </c>
      <c r="X662" t="s">
        <v>529</v>
      </c>
      <c r="Y662">
        <v>200000000</v>
      </c>
      <c r="Z662" t="s">
        <v>31</v>
      </c>
      <c r="AA662">
        <v>-8.2104729563327067E-4</v>
      </c>
      <c r="AB662">
        <v>103.34</v>
      </c>
      <c r="AC662" t="s">
        <v>34</v>
      </c>
      <c r="AD662" t="s">
        <v>34</v>
      </c>
      <c r="AE662" t="s">
        <v>40</v>
      </c>
      <c r="AF662">
        <v>4.0399999999999998E-2</v>
      </c>
      <c r="AG662">
        <v>4.04</v>
      </c>
      <c r="AH662" t="s">
        <v>237</v>
      </c>
      <c r="AI662" t="s">
        <v>237</v>
      </c>
      <c r="AJ662">
        <v>2.3077103986353445E-3</v>
      </c>
      <c r="AK662">
        <v>2.8949098207483245E-3</v>
      </c>
      <c r="AL662">
        <v>5.8719942211297993E-4</v>
      </c>
      <c r="AM662" t="s">
        <v>40</v>
      </c>
      <c r="AN662" t="s">
        <v>54</v>
      </c>
      <c r="AO662" t="s">
        <v>34</v>
      </c>
      <c r="AP662" t="s">
        <v>31</v>
      </c>
      <c r="AQ662">
        <v>1.1695435675823231E-4</v>
      </c>
    </row>
    <row r="663" spans="1:43" x14ac:dyDescent="0.2">
      <c r="A663">
        <v>661</v>
      </c>
      <c r="B663">
        <v>99</v>
      </c>
      <c r="C663">
        <v>6</v>
      </c>
      <c r="D663">
        <v>20000</v>
      </c>
      <c r="E663" t="s">
        <v>320</v>
      </c>
      <c r="F663" t="s">
        <v>29</v>
      </c>
      <c r="G663" t="s">
        <v>800</v>
      </c>
      <c r="H663">
        <v>4.0221973171496589E-2</v>
      </c>
      <c r="I663">
        <v>-1.264415035955735E-4</v>
      </c>
      <c r="J663">
        <v>4.12</v>
      </c>
      <c r="K663">
        <v>4.1329740225415001</v>
      </c>
      <c r="L663" s="1">
        <v>45261</v>
      </c>
      <c r="M663" s="1">
        <v>43024</v>
      </c>
      <c r="N663" s="1">
        <v>43021</v>
      </c>
      <c r="R663">
        <v>-1.4967484789654954E-2</v>
      </c>
      <c r="S663">
        <v>-1.4967484789654954E-2</v>
      </c>
      <c r="T663" t="s">
        <v>32</v>
      </c>
      <c r="U663" t="s">
        <v>32</v>
      </c>
      <c r="V663">
        <v>540114765</v>
      </c>
      <c r="W663" t="s">
        <v>321</v>
      </c>
      <c r="X663" t="s">
        <v>529</v>
      </c>
      <c r="Y663">
        <v>20000</v>
      </c>
      <c r="Z663" t="s">
        <v>31</v>
      </c>
      <c r="AA663">
        <v>-4.0008162647497361E-2</v>
      </c>
      <c r="AB663">
        <v>100.36</v>
      </c>
      <c r="AC663" t="s">
        <v>34</v>
      </c>
      <c r="AD663" t="s">
        <v>34</v>
      </c>
      <c r="AE663" t="s">
        <v>40</v>
      </c>
      <c r="AF663">
        <v>5.1117912976993488E-4</v>
      </c>
      <c r="AG663">
        <v>2.41</v>
      </c>
      <c r="AH663" t="s">
        <v>237</v>
      </c>
      <c r="AI663" t="s">
        <v>237</v>
      </c>
      <c r="AJ663">
        <v>8.4477455880206283E-3</v>
      </c>
      <c r="AK663">
        <v>9.7626148474506281E-3</v>
      </c>
      <c r="AL663">
        <v>1.3148692594299998E-3</v>
      </c>
      <c r="AM663" t="s">
        <v>40</v>
      </c>
      <c r="AN663" t="s">
        <v>54</v>
      </c>
      <c r="AO663" t="s">
        <v>34</v>
      </c>
      <c r="AP663" t="s">
        <v>31</v>
      </c>
      <c r="AQ663">
        <v>4.9904449619988573E-6</v>
      </c>
    </row>
    <row r="664" spans="1:43" x14ac:dyDescent="0.2">
      <c r="A664">
        <v>662</v>
      </c>
      <c r="B664">
        <v>93</v>
      </c>
      <c r="C664">
        <v>6</v>
      </c>
      <c r="D664">
        <v>5000</v>
      </c>
      <c r="E664" t="s">
        <v>426</v>
      </c>
      <c r="F664" t="s">
        <v>29</v>
      </c>
      <c r="G664" t="s">
        <v>427</v>
      </c>
      <c r="H664">
        <v>1.0867735502507738E-3</v>
      </c>
      <c r="I664">
        <v>2.3079477155435078E-5</v>
      </c>
      <c r="J664">
        <v>0.45</v>
      </c>
      <c r="K664">
        <v>0.46575342465753</v>
      </c>
      <c r="L664" s="1">
        <v>43191</v>
      </c>
      <c r="M664" s="1">
        <v>43024</v>
      </c>
      <c r="N664" s="1">
        <v>43021</v>
      </c>
      <c r="R664">
        <v>-6.3814612918483005E-3</v>
      </c>
      <c r="S664">
        <v>-6.3814612918483005E-3</v>
      </c>
      <c r="T664" t="s">
        <v>32</v>
      </c>
      <c r="U664" t="s">
        <v>32</v>
      </c>
      <c r="V664">
        <v>133612300</v>
      </c>
      <c r="W664" t="s">
        <v>181</v>
      </c>
      <c r="X664" t="s">
        <v>428</v>
      </c>
      <c r="Y664">
        <v>5000</v>
      </c>
      <c r="Z664" t="s">
        <v>31</v>
      </c>
      <c r="AA664">
        <v>7.3027245769495255E-3</v>
      </c>
      <c r="AB664">
        <v>100.11</v>
      </c>
      <c r="AC664" t="s">
        <v>33</v>
      </c>
      <c r="AD664" t="s">
        <v>33</v>
      </c>
      <c r="AE664" t="s">
        <v>41</v>
      </c>
      <c r="AF664">
        <v>4.1111791297699339E-3</v>
      </c>
      <c r="AG664">
        <v>2.8</v>
      </c>
      <c r="AH664" t="s">
        <v>237</v>
      </c>
      <c r="AI664" t="s">
        <v>237</v>
      </c>
      <c r="AJ664">
        <v>-3.6166445426718918E-3</v>
      </c>
      <c r="AK664">
        <v>2.4150523338906083E-3</v>
      </c>
      <c r="AL664">
        <v>6.0316968765625001E-3</v>
      </c>
      <c r="AM664" t="s">
        <v>41</v>
      </c>
      <c r="AN664" t="s">
        <v>148</v>
      </c>
      <c r="AO664" t="s">
        <v>33</v>
      </c>
      <c r="AP664" t="s">
        <v>31</v>
      </c>
      <c r="AQ664">
        <v>9.9287127523932393E-6</v>
      </c>
    </row>
    <row r="665" spans="1:43" x14ac:dyDescent="0.2">
      <c r="A665">
        <v>663</v>
      </c>
      <c r="B665">
        <v>96</v>
      </c>
      <c r="C665">
        <v>6</v>
      </c>
      <c r="D665">
        <v>2500</v>
      </c>
      <c r="E665" t="s">
        <v>426</v>
      </c>
      <c r="F665" t="s">
        <v>29</v>
      </c>
      <c r="G665" t="s">
        <v>1474</v>
      </c>
      <c r="H665">
        <v>1.8462178706247809E-3</v>
      </c>
      <c r="I665">
        <v>1.4668607434168299E-4</v>
      </c>
      <c r="J665">
        <v>1.49</v>
      </c>
      <c r="K665">
        <v>1.5048734775421999</v>
      </c>
      <c r="L665" s="1">
        <v>43586</v>
      </c>
      <c r="M665" s="1">
        <v>43024</v>
      </c>
      <c r="N665" s="1">
        <v>43021</v>
      </c>
      <c r="R665">
        <v>-1.9353706235684085E-2</v>
      </c>
      <c r="S665">
        <v>-1.9353706235684085E-2</v>
      </c>
      <c r="T665" t="s">
        <v>32</v>
      </c>
      <c r="U665" t="s">
        <v>32</v>
      </c>
      <c r="V665">
        <v>68551439</v>
      </c>
      <c r="W665" t="s">
        <v>181</v>
      </c>
      <c r="X665" t="s">
        <v>428</v>
      </c>
      <c r="Y665">
        <v>2500</v>
      </c>
      <c r="Z665" t="s">
        <v>31</v>
      </c>
      <c r="AA665">
        <v>4.6413876405297615E-2</v>
      </c>
      <c r="AB665">
        <v>101.45</v>
      </c>
      <c r="AC665" t="s">
        <v>33</v>
      </c>
      <c r="AD665" t="s">
        <v>33</v>
      </c>
      <c r="AE665" t="s">
        <v>41</v>
      </c>
      <c r="AF665">
        <v>-3.4888208702300652E-3</v>
      </c>
      <c r="AG665">
        <v>2.1800000000000002</v>
      </c>
      <c r="AH665" t="s">
        <v>237</v>
      </c>
      <c r="AI665" t="s">
        <v>237</v>
      </c>
      <c r="AJ665">
        <v>-7.5792239768125297E-3</v>
      </c>
      <c r="AK665">
        <v>1.2390723963924704E-3</v>
      </c>
      <c r="AL665">
        <v>8.8182963732049997E-3</v>
      </c>
      <c r="AM665" t="s">
        <v>41</v>
      </c>
      <c r="AN665" t="s">
        <v>148</v>
      </c>
      <c r="AO665" t="s">
        <v>33</v>
      </c>
      <c r="AP665" t="s">
        <v>31</v>
      </c>
      <c r="AQ665">
        <v>-4.3229016362600308E-6</v>
      </c>
    </row>
    <row r="666" spans="1:43" x14ac:dyDescent="0.2">
      <c r="A666">
        <v>664</v>
      </c>
      <c r="B666">
        <v>99</v>
      </c>
      <c r="C666">
        <v>6</v>
      </c>
      <c r="D666">
        <v>20000</v>
      </c>
      <c r="E666" t="s">
        <v>426</v>
      </c>
      <c r="F666" t="s">
        <v>29</v>
      </c>
      <c r="G666" t="s">
        <v>801</v>
      </c>
      <c r="H666">
        <v>3.4419447356032591E-2</v>
      </c>
      <c r="I666">
        <v>-9.6073182735710718E-5</v>
      </c>
      <c r="J666">
        <v>3.45</v>
      </c>
      <c r="K666">
        <v>3.4610732295784001</v>
      </c>
      <c r="L666" s="1">
        <v>44356</v>
      </c>
      <c r="M666" s="1">
        <v>43024</v>
      </c>
      <c r="N666" s="1">
        <v>43021</v>
      </c>
      <c r="R666">
        <v>-1.4967484789654954E-2</v>
      </c>
      <c r="S666">
        <v>-1.4967484789654954E-2</v>
      </c>
      <c r="T666" t="s">
        <v>32</v>
      </c>
      <c r="U666" t="s">
        <v>32</v>
      </c>
      <c r="V666">
        <v>551956296</v>
      </c>
      <c r="W666" t="s">
        <v>181</v>
      </c>
      <c r="X666" t="s">
        <v>428</v>
      </c>
      <c r="Y666">
        <v>20000</v>
      </c>
      <c r="Z666" t="s">
        <v>31</v>
      </c>
      <c r="AA666">
        <v>-3.0399128542849846E-2</v>
      </c>
      <c r="AB666">
        <v>102.44</v>
      </c>
      <c r="AC666" t="s">
        <v>33</v>
      </c>
      <c r="AD666" t="s">
        <v>33</v>
      </c>
      <c r="AE666" t="s">
        <v>41</v>
      </c>
      <c r="AF666">
        <v>-7.888208702300642E-4</v>
      </c>
      <c r="AG666">
        <v>2.2999999999999998</v>
      </c>
      <c r="AH666" t="s">
        <v>237</v>
      </c>
      <c r="AI666" t="s">
        <v>237</v>
      </c>
      <c r="AJ666">
        <v>6.4187927421254787E-3</v>
      </c>
      <c r="AK666">
        <v>9.9766514075456791E-3</v>
      </c>
      <c r="AL666">
        <v>3.5578586654202E-3</v>
      </c>
      <c r="AM666" t="s">
        <v>41</v>
      </c>
      <c r="AN666" t="s">
        <v>148</v>
      </c>
      <c r="AO666" t="s">
        <v>33</v>
      </c>
      <c r="AP666" t="s">
        <v>31</v>
      </c>
      <c r="AQ666">
        <v>-7.8697908452821773E-6</v>
      </c>
    </row>
    <row r="667" spans="1:43" x14ac:dyDescent="0.2">
      <c r="A667">
        <v>665</v>
      </c>
      <c r="B667">
        <v>99</v>
      </c>
      <c r="C667">
        <v>6</v>
      </c>
      <c r="F667" t="s">
        <v>29</v>
      </c>
      <c r="G667" t="s">
        <v>1475</v>
      </c>
      <c r="I667">
        <v>3.9991017773066991E-5</v>
      </c>
      <c r="J667">
        <v>3.7962698375859998</v>
      </c>
      <c r="K667">
        <v>3.7962698375859998</v>
      </c>
      <c r="L667" s="1"/>
      <c r="M667" s="1"/>
      <c r="N667" s="1">
        <v>43021</v>
      </c>
      <c r="R667">
        <v>-1.4967484789654954E-2</v>
      </c>
      <c r="S667">
        <v>-1.4967484789654954E-2</v>
      </c>
      <c r="T667" t="s">
        <v>32</v>
      </c>
      <c r="U667" t="s">
        <v>32</v>
      </c>
      <c r="W667" t="s">
        <v>181</v>
      </c>
      <c r="Z667" t="s">
        <v>31</v>
      </c>
      <c r="AA667">
        <v>1.2653813012389976E-2</v>
      </c>
      <c r="AC667" t="s">
        <v>33</v>
      </c>
      <c r="AD667" t="s">
        <v>33</v>
      </c>
      <c r="AE667" t="s">
        <v>41</v>
      </c>
      <c r="AF667">
        <v>2.06</v>
      </c>
      <c r="AG667">
        <v>2.06</v>
      </c>
      <c r="AH667" t="s">
        <v>237</v>
      </c>
      <c r="AI667" t="s">
        <v>237</v>
      </c>
      <c r="AJ667">
        <v>-2.6718595899765003E-3</v>
      </c>
      <c r="AK667">
        <v>0</v>
      </c>
      <c r="AL667">
        <v>2.6718595899765003E-3</v>
      </c>
      <c r="AM667" t="s">
        <v>41</v>
      </c>
      <c r="AN667" t="s">
        <v>33</v>
      </c>
      <c r="AO667" t="s">
        <v>33</v>
      </c>
      <c r="AP667" t="s">
        <v>31</v>
      </c>
    </row>
    <row r="668" spans="1:43" x14ac:dyDescent="0.2">
      <c r="A668">
        <v>666</v>
      </c>
      <c r="B668">
        <v>96</v>
      </c>
      <c r="C668">
        <v>6</v>
      </c>
      <c r="F668" t="s">
        <v>29</v>
      </c>
      <c r="G668" t="s">
        <v>1476</v>
      </c>
      <c r="I668">
        <v>4.3930450328711537E-5</v>
      </c>
      <c r="J668">
        <v>1.5267954794042999</v>
      </c>
      <c r="K668">
        <v>1.5267954794042999</v>
      </c>
      <c r="L668" s="1"/>
      <c r="M668" s="1"/>
      <c r="N668" s="1">
        <v>43021</v>
      </c>
      <c r="R668">
        <v>-1.9353706235684085E-2</v>
      </c>
      <c r="S668">
        <v>-1.9353706235684085E-2</v>
      </c>
      <c r="T668" t="s">
        <v>32</v>
      </c>
      <c r="U668" t="s">
        <v>32</v>
      </c>
      <c r="W668" t="s">
        <v>181</v>
      </c>
      <c r="Z668" t="s">
        <v>31</v>
      </c>
      <c r="AA668">
        <v>1.390031399460853E-2</v>
      </c>
      <c r="AC668" t="s">
        <v>33</v>
      </c>
      <c r="AD668" t="s">
        <v>33</v>
      </c>
      <c r="AE668" t="s">
        <v>41</v>
      </c>
      <c r="AF668">
        <v>2.17</v>
      </c>
      <c r="AG668">
        <v>2.17</v>
      </c>
      <c r="AH668" t="s">
        <v>237</v>
      </c>
      <c r="AI668" t="s">
        <v>237</v>
      </c>
      <c r="AJ668">
        <v>-2.2698727465292E-3</v>
      </c>
      <c r="AK668">
        <v>0</v>
      </c>
      <c r="AL668">
        <v>2.2698727465292E-3</v>
      </c>
      <c r="AM668" t="s">
        <v>41</v>
      </c>
      <c r="AN668" t="s">
        <v>33</v>
      </c>
      <c r="AO668" t="s">
        <v>33</v>
      </c>
      <c r="AP668" t="s">
        <v>31</v>
      </c>
    </row>
    <row r="669" spans="1:43" x14ac:dyDescent="0.2">
      <c r="A669">
        <v>667</v>
      </c>
      <c r="B669">
        <v>99</v>
      </c>
      <c r="C669">
        <v>6</v>
      </c>
      <c r="F669" t="s">
        <v>29</v>
      </c>
      <c r="G669" t="s">
        <v>802</v>
      </c>
      <c r="I669">
        <v>2.6817721250658604E-5</v>
      </c>
      <c r="J669">
        <v>4.0568913930694004</v>
      </c>
      <c r="K669">
        <v>4.0568913930694004</v>
      </c>
      <c r="L669" s="1"/>
      <c r="M669" s="1"/>
      <c r="N669" s="1">
        <v>43021</v>
      </c>
      <c r="R669">
        <v>-1.4967484789654954E-2</v>
      </c>
      <c r="S669">
        <v>-1.4967484789654954E-2</v>
      </c>
      <c r="T669" t="s">
        <v>32</v>
      </c>
      <c r="U669" t="s">
        <v>32</v>
      </c>
      <c r="W669" t="s">
        <v>181</v>
      </c>
      <c r="Z669" t="s">
        <v>31</v>
      </c>
      <c r="AA669">
        <v>8.4855662351452539E-3</v>
      </c>
      <c r="AC669" t="s">
        <v>33</v>
      </c>
      <c r="AD669" t="s">
        <v>33</v>
      </c>
      <c r="AE669" t="s">
        <v>41</v>
      </c>
      <c r="AF669">
        <v>2.11</v>
      </c>
      <c r="AG669">
        <v>2.11</v>
      </c>
      <c r="AH669" t="s">
        <v>237</v>
      </c>
      <c r="AI669" t="s">
        <v>237</v>
      </c>
      <c r="AJ669">
        <v>-1.7917319862048001E-3</v>
      </c>
      <c r="AK669">
        <v>0</v>
      </c>
      <c r="AL669">
        <v>1.7917319862048001E-3</v>
      </c>
      <c r="AM669" t="s">
        <v>41</v>
      </c>
      <c r="AN669" t="s">
        <v>33</v>
      </c>
      <c r="AO669" t="s">
        <v>33</v>
      </c>
      <c r="AP669" t="s">
        <v>31</v>
      </c>
    </row>
    <row r="670" spans="1:43" x14ac:dyDescent="0.2">
      <c r="A670">
        <v>668</v>
      </c>
      <c r="B670">
        <v>99</v>
      </c>
      <c r="C670">
        <v>6</v>
      </c>
      <c r="F670" t="s">
        <v>29</v>
      </c>
      <c r="G670" t="s">
        <v>1477</v>
      </c>
      <c r="I670">
        <v>2.6724506500823478E-5</v>
      </c>
      <c r="J670">
        <v>4.9277982760148999</v>
      </c>
      <c r="K670">
        <v>4.9277982760148999</v>
      </c>
      <c r="L670" s="1"/>
      <c r="M670" s="1"/>
      <c r="N670" s="1">
        <v>43021</v>
      </c>
      <c r="R670">
        <v>-1.4967484789654954E-2</v>
      </c>
      <c r="S670">
        <v>-1.4967484789654954E-2</v>
      </c>
      <c r="T670" t="s">
        <v>32</v>
      </c>
      <c r="U670" t="s">
        <v>32</v>
      </c>
      <c r="W670" t="s">
        <v>181</v>
      </c>
      <c r="Z670" t="s">
        <v>31</v>
      </c>
      <c r="AA670">
        <v>8.4560715615887155E-3</v>
      </c>
      <c r="AC670" t="s">
        <v>33</v>
      </c>
      <c r="AD670" t="s">
        <v>33</v>
      </c>
      <c r="AE670" t="s">
        <v>41</v>
      </c>
      <c r="AF670">
        <v>2.35</v>
      </c>
      <c r="AG670">
        <v>2.35</v>
      </c>
      <c r="AH670" t="s">
        <v>237</v>
      </c>
      <c r="AI670" t="s">
        <v>237</v>
      </c>
      <c r="AJ670">
        <v>-1.7855041696313999E-3</v>
      </c>
      <c r="AK670">
        <v>0</v>
      </c>
      <c r="AL670">
        <v>1.7855041696313999E-3</v>
      </c>
      <c r="AM670" t="s">
        <v>41</v>
      </c>
      <c r="AN670" t="s">
        <v>33</v>
      </c>
      <c r="AO670" t="s">
        <v>33</v>
      </c>
      <c r="AP670" t="s">
        <v>31</v>
      </c>
    </row>
    <row r="671" spans="1:43" x14ac:dyDescent="0.2">
      <c r="A671">
        <v>669</v>
      </c>
      <c r="B671">
        <v>102</v>
      </c>
      <c r="C671">
        <v>6</v>
      </c>
      <c r="F671" t="s">
        <v>29</v>
      </c>
      <c r="G671" t="s">
        <v>1478</v>
      </c>
      <c r="I671">
        <v>3.3393371490682072E-5</v>
      </c>
      <c r="J671">
        <v>5.7734526892913998</v>
      </c>
      <c r="K671">
        <v>5.7734526892913998</v>
      </c>
      <c r="L671" s="1"/>
      <c r="M671" s="1"/>
      <c r="N671" s="1">
        <v>43021</v>
      </c>
      <c r="R671">
        <v>-1.8769776239421981E-2</v>
      </c>
      <c r="S671">
        <v>-1.8769776239421981E-2</v>
      </c>
      <c r="T671" t="s">
        <v>32</v>
      </c>
      <c r="U671" t="s">
        <v>32</v>
      </c>
      <c r="W671" t="s">
        <v>181</v>
      </c>
      <c r="Z671" t="s">
        <v>31</v>
      </c>
      <c r="AA671">
        <v>1.0566209669736015E-2</v>
      </c>
      <c r="AC671" t="s">
        <v>33</v>
      </c>
      <c r="AD671" t="s">
        <v>33</v>
      </c>
      <c r="AE671" t="s">
        <v>41</v>
      </c>
      <c r="AF671">
        <v>2.5</v>
      </c>
      <c r="AG671">
        <v>2.5</v>
      </c>
      <c r="AH671" t="s">
        <v>237</v>
      </c>
      <c r="AI671" t="s">
        <v>237</v>
      </c>
      <c r="AJ671">
        <v>-1.7791033342500001E-3</v>
      </c>
      <c r="AK671">
        <v>0</v>
      </c>
      <c r="AL671">
        <v>1.7791033342500001E-3</v>
      </c>
      <c r="AM671" t="s">
        <v>41</v>
      </c>
      <c r="AN671" t="s">
        <v>33</v>
      </c>
      <c r="AO671" t="s">
        <v>33</v>
      </c>
      <c r="AP671" t="s">
        <v>31</v>
      </c>
    </row>
    <row r="672" spans="1:43" x14ac:dyDescent="0.2">
      <c r="A672">
        <v>670</v>
      </c>
      <c r="B672">
        <v>102</v>
      </c>
      <c r="C672">
        <v>6</v>
      </c>
      <c r="D672">
        <v>2500</v>
      </c>
      <c r="E672" t="s">
        <v>426</v>
      </c>
      <c r="F672" t="s">
        <v>29</v>
      </c>
      <c r="G672" t="s">
        <v>803</v>
      </c>
      <c r="H672">
        <v>7.0697918583307899E-3</v>
      </c>
      <c r="I672">
        <v>1.0333034422233621E-5</v>
      </c>
      <c r="J672">
        <v>5.44</v>
      </c>
      <c r="K672">
        <v>5.4517918889825996</v>
      </c>
      <c r="L672" s="1">
        <v>45231</v>
      </c>
      <c r="M672" s="1">
        <v>43024</v>
      </c>
      <c r="N672" s="1">
        <v>43021</v>
      </c>
      <c r="R672">
        <v>-1.8769776239421981E-2</v>
      </c>
      <c r="S672">
        <v>-1.8769776239421981E-2</v>
      </c>
      <c r="T672" t="s">
        <v>32</v>
      </c>
      <c r="U672" t="s">
        <v>32</v>
      </c>
      <c r="V672">
        <v>71899790</v>
      </c>
      <c r="W672" t="s">
        <v>181</v>
      </c>
      <c r="X672" t="s">
        <v>428</v>
      </c>
      <c r="Y672">
        <v>2500</v>
      </c>
      <c r="Z672" t="s">
        <v>31</v>
      </c>
      <c r="AA672">
        <v>3.2695413297931094E-3</v>
      </c>
      <c r="AB672">
        <v>106.18</v>
      </c>
      <c r="AC672" t="s">
        <v>33</v>
      </c>
      <c r="AD672" t="s">
        <v>33</v>
      </c>
      <c r="AE672" t="s">
        <v>41</v>
      </c>
      <c r="AF672">
        <v>1.1179129769934432E-5</v>
      </c>
      <c r="AG672">
        <v>2.44</v>
      </c>
      <c r="AH672" t="s">
        <v>237</v>
      </c>
      <c r="AI672" t="s">
        <v>237</v>
      </c>
      <c r="AJ672">
        <v>-5.5051452347797559E-4</v>
      </c>
      <c r="AK672">
        <v>1.2995940916049244E-3</v>
      </c>
      <c r="AL672">
        <v>1.8501086150829E-3</v>
      </c>
      <c r="AM672" t="s">
        <v>41</v>
      </c>
      <c r="AN672" t="s">
        <v>148</v>
      </c>
      <c r="AO672" t="s">
        <v>33</v>
      </c>
      <c r="AP672" t="s">
        <v>31</v>
      </c>
      <c r="AQ672">
        <v>1.4528330998291506E-8</v>
      </c>
    </row>
    <row r="673" spans="1:43" x14ac:dyDescent="0.2">
      <c r="A673">
        <v>671</v>
      </c>
      <c r="B673">
        <v>102</v>
      </c>
      <c r="C673">
        <v>6</v>
      </c>
      <c r="F673" t="s">
        <v>29</v>
      </c>
      <c r="G673" t="s">
        <v>1479</v>
      </c>
      <c r="I673">
        <v>3.4847350791437429E-5</v>
      </c>
      <c r="J673">
        <v>6.2566834378892002</v>
      </c>
      <c r="K673">
        <v>6.2566834378892002</v>
      </c>
      <c r="L673" s="1"/>
      <c r="M673" s="1"/>
      <c r="N673" s="1">
        <v>43021</v>
      </c>
      <c r="R673">
        <v>-1.8769776239421981E-2</v>
      </c>
      <c r="S673">
        <v>-1.8769776239421981E-2</v>
      </c>
      <c r="T673" t="s">
        <v>32</v>
      </c>
      <c r="U673" t="s">
        <v>32</v>
      </c>
      <c r="AA673">
        <v>1.1026272534353445E-2</v>
      </c>
      <c r="AC673" t="s">
        <v>33</v>
      </c>
      <c r="AD673" t="s">
        <v>33</v>
      </c>
      <c r="AF673">
        <v>2.4900000000000002</v>
      </c>
      <c r="AG673">
        <v>2.4900000000000002</v>
      </c>
      <c r="AH673" t="s">
        <v>237</v>
      </c>
      <c r="AI673" t="s">
        <v>237</v>
      </c>
      <c r="AJ673">
        <v>-1.8565671932864001E-3</v>
      </c>
      <c r="AK673">
        <v>0</v>
      </c>
      <c r="AL673">
        <v>1.8565671932864001E-3</v>
      </c>
      <c r="AN673" t="s">
        <v>33</v>
      </c>
      <c r="AO673" t="s">
        <v>33</v>
      </c>
    </row>
    <row r="674" spans="1:43" x14ac:dyDescent="0.2">
      <c r="A674">
        <v>672</v>
      </c>
      <c r="B674">
        <v>102</v>
      </c>
      <c r="C674">
        <v>6</v>
      </c>
      <c r="F674" t="s">
        <v>29</v>
      </c>
      <c r="G674" t="s">
        <v>1480</v>
      </c>
      <c r="I674">
        <v>5.2289309001263054E-5</v>
      </c>
      <c r="J674">
        <v>6.0254370424725998</v>
      </c>
      <c r="K674">
        <v>6.0254370424725998</v>
      </c>
      <c r="L674" s="1"/>
      <c r="M674" s="1"/>
      <c r="N674" s="1">
        <v>43021</v>
      </c>
      <c r="R674">
        <v>-1.8769776239421981E-2</v>
      </c>
      <c r="S674">
        <v>-1.8769776239421981E-2</v>
      </c>
      <c r="T674" t="s">
        <v>32</v>
      </c>
      <c r="U674" t="s">
        <v>32</v>
      </c>
      <c r="W674" t="s">
        <v>181</v>
      </c>
      <c r="Z674" t="s">
        <v>31</v>
      </c>
      <c r="AA674">
        <v>1.6545193783356886E-2</v>
      </c>
      <c r="AC674" t="s">
        <v>33</v>
      </c>
      <c r="AD674" t="s">
        <v>33</v>
      </c>
      <c r="AE674" t="s">
        <v>41</v>
      </c>
      <c r="AF674">
        <v>2.35</v>
      </c>
      <c r="AG674">
        <v>2.35</v>
      </c>
      <c r="AH674" t="s">
        <v>237</v>
      </c>
      <c r="AI674" t="s">
        <v>237</v>
      </c>
      <c r="AJ674">
        <v>-2.7858248459798002E-3</v>
      </c>
      <c r="AK674">
        <v>0</v>
      </c>
      <c r="AL674">
        <v>2.7858248459798002E-3</v>
      </c>
      <c r="AM674" t="s">
        <v>41</v>
      </c>
      <c r="AN674" t="s">
        <v>33</v>
      </c>
      <c r="AO674" t="s">
        <v>33</v>
      </c>
      <c r="AP674" t="s">
        <v>31</v>
      </c>
    </row>
    <row r="675" spans="1:43" x14ac:dyDescent="0.2">
      <c r="A675">
        <v>673</v>
      </c>
      <c r="B675">
        <v>102</v>
      </c>
      <c r="C675">
        <v>6</v>
      </c>
      <c r="D675">
        <v>20000</v>
      </c>
      <c r="E675" t="s">
        <v>426</v>
      </c>
      <c r="F675" t="s">
        <v>29</v>
      </c>
      <c r="G675" t="s">
        <v>804</v>
      </c>
      <c r="H675">
        <v>7.0650074684195124E-2</v>
      </c>
      <c r="I675">
        <v>-1.4285535466700806E-4</v>
      </c>
      <c r="J675">
        <v>6.8</v>
      </c>
      <c r="K675">
        <v>6.8127686411393</v>
      </c>
      <c r="L675" s="1">
        <v>45839</v>
      </c>
      <c r="M675" s="1">
        <v>43024</v>
      </c>
      <c r="N675" s="1">
        <v>43021</v>
      </c>
      <c r="R675">
        <v>-1.8769776239421981E-2</v>
      </c>
      <c r="S675">
        <v>-1.8769776239421981E-2</v>
      </c>
      <c r="T675" t="s">
        <v>32</v>
      </c>
      <c r="U675" t="s">
        <v>32</v>
      </c>
      <c r="V675">
        <v>574809062</v>
      </c>
      <c r="W675" t="s">
        <v>181</v>
      </c>
      <c r="X675" t="s">
        <v>428</v>
      </c>
      <c r="Y675">
        <v>20000</v>
      </c>
      <c r="Z675" t="s">
        <v>31</v>
      </c>
      <c r="AA675">
        <v>-4.5201773959161189E-2</v>
      </c>
      <c r="AB675">
        <v>106.72</v>
      </c>
      <c r="AC675" t="s">
        <v>33</v>
      </c>
      <c r="AD675" t="s">
        <v>33</v>
      </c>
      <c r="AE675" t="s">
        <v>41</v>
      </c>
      <c r="AF675">
        <v>1.5111791297699358E-3</v>
      </c>
      <c r="AG675">
        <v>2.5099999999999998</v>
      </c>
      <c r="AH675" t="s">
        <v>237</v>
      </c>
      <c r="AI675" t="s">
        <v>237</v>
      </c>
      <c r="AJ675">
        <v>7.6109247571620135E-3</v>
      </c>
      <c r="AK675">
        <v>1.0389716865322814E-2</v>
      </c>
      <c r="AL675">
        <v>2.7787921081608002E-3</v>
      </c>
      <c r="AM675" t="s">
        <v>41</v>
      </c>
      <c r="AN675" t="s">
        <v>148</v>
      </c>
      <c r="AO675" t="s">
        <v>33</v>
      </c>
      <c r="AP675" t="s">
        <v>31</v>
      </c>
      <c r="AQ675">
        <v>1.5700723291094554E-5</v>
      </c>
    </row>
    <row r="676" spans="1:43" x14ac:dyDescent="0.2">
      <c r="A676">
        <v>674</v>
      </c>
      <c r="B676">
        <v>102</v>
      </c>
      <c r="C676">
        <v>6</v>
      </c>
      <c r="F676" t="s">
        <v>29</v>
      </c>
      <c r="G676" t="s">
        <v>1481</v>
      </c>
      <c r="I676">
        <v>4.9995200192298677E-5</v>
      </c>
      <c r="J676">
        <v>7.5821841655683997</v>
      </c>
      <c r="K676">
        <v>7.5821841655683997</v>
      </c>
      <c r="L676" s="1"/>
      <c r="M676" s="1"/>
      <c r="N676" s="1">
        <v>43021</v>
      </c>
      <c r="R676">
        <v>-1.8769776239421981E-2</v>
      </c>
      <c r="S676">
        <v>-1.8769776239421981E-2</v>
      </c>
      <c r="T676" t="s">
        <v>32</v>
      </c>
      <c r="U676" t="s">
        <v>32</v>
      </c>
      <c r="AA676">
        <v>1.5819300182362755E-2</v>
      </c>
      <c r="AC676" t="s">
        <v>33</v>
      </c>
      <c r="AD676" t="s">
        <v>33</v>
      </c>
      <c r="AF676">
        <v>2.58</v>
      </c>
      <c r="AG676">
        <v>2.58</v>
      </c>
      <c r="AH676" t="s">
        <v>237</v>
      </c>
      <c r="AI676" t="s">
        <v>237</v>
      </c>
      <c r="AJ676">
        <v>-2.6636012893587E-3</v>
      </c>
      <c r="AK676">
        <v>0</v>
      </c>
      <c r="AL676">
        <v>2.6636012893587E-3</v>
      </c>
      <c r="AN676" t="s">
        <v>33</v>
      </c>
      <c r="AO676" t="s">
        <v>33</v>
      </c>
    </row>
    <row r="677" spans="1:43" x14ac:dyDescent="0.2">
      <c r="A677">
        <v>675</v>
      </c>
      <c r="B677">
        <v>93</v>
      </c>
      <c r="C677">
        <v>6</v>
      </c>
      <c r="D677">
        <v>3500</v>
      </c>
      <c r="E677" t="s">
        <v>426</v>
      </c>
      <c r="F677" t="s">
        <v>29</v>
      </c>
      <c r="G677" t="s">
        <v>429</v>
      </c>
      <c r="H677">
        <v>8.1125630015283878E-4</v>
      </c>
      <c r="I677">
        <v>1.6701364295795757E-5</v>
      </c>
      <c r="J677">
        <v>0.48</v>
      </c>
      <c r="K677">
        <v>0.48767123287670999</v>
      </c>
      <c r="L677" s="1">
        <v>43199</v>
      </c>
      <c r="M677" s="1">
        <v>43024</v>
      </c>
      <c r="N677" s="1">
        <v>43021</v>
      </c>
      <c r="R677">
        <v>-6.3814612918483005E-3</v>
      </c>
      <c r="S677">
        <v>-6.3814612918483005E-3</v>
      </c>
      <c r="T677" t="s">
        <v>32</v>
      </c>
      <c r="U677" t="s">
        <v>32</v>
      </c>
      <c r="V677">
        <v>93505410</v>
      </c>
      <c r="W677" t="s">
        <v>181</v>
      </c>
      <c r="X677" t="s">
        <v>428</v>
      </c>
      <c r="Y677">
        <v>3500</v>
      </c>
      <c r="Z677" t="s">
        <v>31</v>
      </c>
      <c r="AA677">
        <v>5.2845852048590642E-3</v>
      </c>
      <c r="AB677">
        <v>100.15</v>
      </c>
      <c r="AC677" t="s">
        <v>33</v>
      </c>
      <c r="AD677" t="s">
        <v>33</v>
      </c>
      <c r="AE677" t="s">
        <v>41</v>
      </c>
      <c r="AF677">
        <v>3.3111791297699353E-3</v>
      </c>
      <c r="AG677">
        <v>2.72</v>
      </c>
      <c r="AH677" t="s">
        <v>237</v>
      </c>
      <c r="AI677" t="s">
        <v>237</v>
      </c>
      <c r="AJ677">
        <v>-2.6171692551250191E-3</v>
      </c>
      <c r="AK677">
        <v>1.690117291985081E-3</v>
      </c>
      <c r="AL677">
        <v>4.3072865471100999E-3</v>
      </c>
      <c r="AM677" t="s">
        <v>41</v>
      </c>
      <c r="AN677" t="s">
        <v>148</v>
      </c>
      <c r="AO677" t="s">
        <v>33</v>
      </c>
      <c r="AP677" t="s">
        <v>31</v>
      </c>
      <c r="AQ677">
        <v>5.5962811040842799E-6</v>
      </c>
    </row>
    <row r="678" spans="1:43" x14ac:dyDescent="0.2">
      <c r="A678">
        <v>676</v>
      </c>
      <c r="B678">
        <v>96</v>
      </c>
      <c r="C678">
        <v>6</v>
      </c>
      <c r="D678">
        <v>10000</v>
      </c>
      <c r="E678" t="s">
        <v>426</v>
      </c>
      <c r="F678" t="s">
        <v>29</v>
      </c>
      <c r="G678" t="s">
        <v>805</v>
      </c>
      <c r="H678">
        <v>9.7561046031129726E-3</v>
      </c>
      <c r="I678">
        <v>6.704861996408428E-6</v>
      </c>
      <c r="J678">
        <v>1.97</v>
      </c>
      <c r="K678">
        <v>1.9803751646973</v>
      </c>
      <c r="L678" s="1">
        <v>43770</v>
      </c>
      <c r="M678" s="1">
        <v>43024</v>
      </c>
      <c r="N678" s="1">
        <v>43021</v>
      </c>
      <c r="R678">
        <v>-1.9353706235684085E-2</v>
      </c>
      <c r="S678">
        <v>-1.9353706235684085E-2</v>
      </c>
      <c r="T678" t="s">
        <v>32</v>
      </c>
      <c r="U678" t="s">
        <v>32</v>
      </c>
      <c r="V678">
        <v>273987100</v>
      </c>
      <c r="W678" t="s">
        <v>181</v>
      </c>
      <c r="X678" t="s">
        <v>428</v>
      </c>
      <c r="Y678">
        <v>10000</v>
      </c>
      <c r="Z678" t="s">
        <v>31</v>
      </c>
      <c r="AA678">
        <v>2.1215281505931349E-3</v>
      </c>
      <c r="AB678">
        <v>101.38</v>
      </c>
      <c r="AC678" t="s">
        <v>33</v>
      </c>
      <c r="AD678" t="s">
        <v>33</v>
      </c>
      <c r="AE678" t="s">
        <v>41</v>
      </c>
      <c r="AF678">
        <v>-7.888208702300642E-4</v>
      </c>
      <c r="AG678">
        <v>2.2799999999999998</v>
      </c>
      <c r="AH678" t="s">
        <v>237</v>
      </c>
      <c r="AI678" t="s">
        <v>237</v>
      </c>
      <c r="AJ678">
        <v>-3.4643814031061915E-4</v>
      </c>
      <c r="AK678">
        <v>4.9523373619862806E-3</v>
      </c>
      <c r="AL678">
        <v>5.2987755022968997E-3</v>
      </c>
      <c r="AM678" t="s">
        <v>41</v>
      </c>
      <c r="AN678" t="s">
        <v>148</v>
      </c>
      <c r="AO678" t="s">
        <v>33</v>
      </c>
      <c r="AP678" t="s">
        <v>31</v>
      </c>
      <c r="AQ678">
        <v>-3.9065070675548787E-6</v>
      </c>
    </row>
    <row r="679" spans="1:43" x14ac:dyDescent="0.2">
      <c r="A679">
        <v>677</v>
      </c>
      <c r="B679">
        <v>96</v>
      </c>
      <c r="C679">
        <v>6</v>
      </c>
      <c r="F679" t="s">
        <v>29</v>
      </c>
      <c r="G679" t="s">
        <v>1482</v>
      </c>
      <c r="I679">
        <v>1.0282451175499937E-4</v>
      </c>
      <c r="J679">
        <v>2.4439800599900998</v>
      </c>
      <c r="K679">
        <v>2.4439800599900998</v>
      </c>
      <c r="L679" s="1"/>
      <c r="M679" s="1"/>
      <c r="N679" s="1">
        <v>43021</v>
      </c>
      <c r="R679">
        <v>-1.9353706235684085E-2</v>
      </c>
      <c r="S679">
        <v>-1.9353706235684085E-2</v>
      </c>
      <c r="T679" t="s">
        <v>32</v>
      </c>
      <c r="U679" t="s">
        <v>32</v>
      </c>
      <c r="W679" t="s">
        <v>181</v>
      </c>
      <c r="Z679" t="s">
        <v>31</v>
      </c>
      <c r="AA679">
        <v>3.2535359620537899E-2</v>
      </c>
      <c r="AC679" t="s">
        <v>33</v>
      </c>
      <c r="AD679" t="s">
        <v>33</v>
      </c>
      <c r="AE679" t="s">
        <v>41</v>
      </c>
      <c r="AF679">
        <v>2.33</v>
      </c>
      <c r="AG679">
        <v>2.33</v>
      </c>
      <c r="AH679" t="s">
        <v>237</v>
      </c>
      <c r="AI679" t="s">
        <v>237</v>
      </c>
      <c r="AJ679">
        <v>-5.3129106385531996E-3</v>
      </c>
      <c r="AK679">
        <v>0</v>
      </c>
      <c r="AL679">
        <v>5.3129106385531996E-3</v>
      </c>
      <c r="AM679" t="s">
        <v>41</v>
      </c>
      <c r="AN679" t="s">
        <v>33</v>
      </c>
      <c r="AO679" t="s">
        <v>33</v>
      </c>
      <c r="AP679" t="s">
        <v>31</v>
      </c>
    </row>
    <row r="680" spans="1:43" x14ac:dyDescent="0.2">
      <c r="A680">
        <v>678</v>
      </c>
      <c r="B680">
        <v>99</v>
      </c>
      <c r="C680">
        <v>6</v>
      </c>
      <c r="F680" t="s">
        <v>29</v>
      </c>
      <c r="G680" t="s">
        <v>1483</v>
      </c>
      <c r="I680">
        <v>3.9871981579787095E-5</v>
      </c>
      <c r="J680">
        <v>3.5215054999583999</v>
      </c>
      <c r="K680">
        <v>3.5215054999583999</v>
      </c>
      <c r="L680" s="1"/>
      <c r="M680" s="1"/>
      <c r="N680" s="1">
        <v>43021</v>
      </c>
      <c r="R680">
        <v>-1.4967484789654954E-2</v>
      </c>
      <c r="S680">
        <v>-1.4967484789654954E-2</v>
      </c>
      <c r="T680" t="s">
        <v>32</v>
      </c>
      <c r="U680" t="s">
        <v>32</v>
      </c>
      <c r="W680" t="s">
        <v>181</v>
      </c>
      <c r="Z680" t="s">
        <v>31</v>
      </c>
      <c r="AA680">
        <v>1.2616148011213513E-2</v>
      </c>
      <c r="AC680" t="s">
        <v>33</v>
      </c>
      <c r="AD680" t="s">
        <v>33</v>
      </c>
      <c r="AE680" t="s">
        <v>41</v>
      </c>
      <c r="AF680">
        <v>2.2999999999999998</v>
      </c>
      <c r="AG680">
        <v>2.2999999999999998</v>
      </c>
      <c r="AH680" t="s">
        <v>237</v>
      </c>
      <c r="AI680" t="s">
        <v>237</v>
      </c>
      <c r="AJ680">
        <v>-2.6639066042241999E-3</v>
      </c>
      <c r="AK680">
        <v>0</v>
      </c>
      <c r="AL680">
        <v>2.6639066042241999E-3</v>
      </c>
      <c r="AM680" t="s">
        <v>41</v>
      </c>
      <c r="AN680" t="s">
        <v>33</v>
      </c>
      <c r="AO680" t="s">
        <v>33</v>
      </c>
      <c r="AP680" t="s">
        <v>31</v>
      </c>
    </row>
    <row r="681" spans="1:43" x14ac:dyDescent="0.2">
      <c r="A681">
        <v>679</v>
      </c>
      <c r="B681">
        <v>99</v>
      </c>
      <c r="C681">
        <v>6</v>
      </c>
      <c r="F681" t="s">
        <v>29</v>
      </c>
      <c r="G681" t="s">
        <v>1484</v>
      </c>
      <c r="I681">
        <v>4.0006471312120844E-5</v>
      </c>
      <c r="J681">
        <v>4.2406769623700002</v>
      </c>
      <c r="K681">
        <v>4.2406769623700002</v>
      </c>
      <c r="L681" s="1"/>
      <c r="M681" s="1"/>
      <c r="N681" s="1">
        <v>43021</v>
      </c>
      <c r="R681">
        <v>-1.4967484789654954E-2</v>
      </c>
      <c r="S681">
        <v>-1.4967484789654954E-2</v>
      </c>
      <c r="T681" t="s">
        <v>32</v>
      </c>
      <c r="U681" t="s">
        <v>32</v>
      </c>
      <c r="AA681">
        <v>1.26587027652509E-2</v>
      </c>
      <c r="AC681" t="s">
        <v>33</v>
      </c>
      <c r="AD681" t="s">
        <v>33</v>
      </c>
      <c r="AF681">
        <v>2.13</v>
      </c>
      <c r="AG681">
        <v>2.13</v>
      </c>
      <c r="AH681" t="s">
        <v>237</v>
      </c>
      <c r="AI681" t="s">
        <v>237</v>
      </c>
      <c r="AJ681">
        <v>-2.6728920639874001E-3</v>
      </c>
      <c r="AK681">
        <v>0</v>
      </c>
      <c r="AL681">
        <v>2.6728920639874001E-3</v>
      </c>
      <c r="AN681" t="s">
        <v>33</v>
      </c>
      <c r="AO681" t="s">
        <v>33</v>
      </c>
    </row>
    <row r="682" spans="1:43" x14ac:dyDescent="0.2">
      <c r="A682">
        <v>680</v>
      </c>
      <c r="B682">
        <v>99</v>
      </c>
      <c r="C682">
        <v>6</v>
      </c>
      <c r="F682" t="s">
        <v>29</v>
      </c>
      <c r="G682" t="s">
        <v>1485</v>
      </c>
      <c r="I682">
        <v>3.9805607195450423E-5</v>
      </c>
      <c r="J682">
        <v>4.6799361423872998</v>
      </c>
      <c r="K682">
        <v>4.6799361423872998</v>
      </c>
      <c r="L682" s="1"/>
      <c r="M682" s="1"/>
      <c r="N682" s="1">
        <v>43021</v>
      </c>
      <c r="R682">
        <v>-1.4967484789654954E-2</v>
      </c>
      <c r="S682">
        <v>-1.4967484789654954E-2</v>
      </c>
      <c r="T682" t="s">
        <v>32</v>
      </c>
      <c r="U682" t="s">
        <v>32</v>
      </c>
      <c r="AA682">
        <v>1.2595146068902998E-2</v>
      </c>
      <c r="AC682" t="s">
        <v>33</v>
      </c>
      <c r="AD682" t="s">
        <v>33</v>
      </c>
      <c r="AF682">
        <v>2.33</v>
      </c>
      <c r="AG682">
        <v>2.33</v>
      </c>
      <c r="AH682" t="s">
        <v>237</v>
      </c>
      <c r="AI682" t="s">
        <v>237</v>
      </c>
      <c r="AJ682">
        <v>-2.6594720325330001E-3</v>
      </c>
      <c r="AK682">
        <v>0</v>
      </c>
      <c r="AL682">
        <v>2.6594720325330001E-3</v>
      </c>
      <c r="AN682" t="s">
        <v>33</v>
      </c>
      <c r="AO682" t="s">
        <v>33</v>
      </c>
    </row>
    <row r="683" spans="1:43" x14ac:dyDescent="0.2">
      <c r="A683">
        <v>681</v>
      </c>
      <c r="B683">
        <v>107</v>
      </c>
      <c r="C683">
        <v>6</v>
      </c>
      <c r="F683" t="s">
        <v>29</v>
      </c>
      <c r="G683" t="s">
        <v>1486</v>
      </c>
      <c r="I683">
        <v>3.7895708436401599E-6</v>
      </c>
      <c r="J683">
        <v>1.1771947654184001</v>
      </c>
      <c r="K683">
        <v>1.1771947654184001</v>
      </c>
      <c r="L683" s="1"/>
      <c r="M683" s="1"/>
      <c r="N683" s="1">
        <v>43021</v>
      </c>
      <c r="R683">
        <v>-1.1244183189823643E-3</v>
      </c>
      <c r="S683">
        <v>-1.1244183189823643E-3</v>
      </c>
      <c r="T683" t="s">
        <v>39</v>
      </c>
      <c r="U683" t="s">
        <v>39</v>
      </c>
      <c r="W683" t="s">
        <v>181</v>
      </c>
      <c r="Z683" t="s">
        <v>31</v>
      </c>
      <c r="AA683">
        <v>1.1990822820449048E-3</v>
      </c>
      <c r="AC683" t="s">
        <v>33</v>
      </c>
      <c r="AD683" t="s">
        <v>33</v>
      </c>
      <c r="AE683" t="s">
        <v>41</v>
      </c>
      <c r="AF683">
        <v>3.53</v>
      </c>
      <c r="AG683">
        <v>3.53</v>
      </c>
      <c r="AH683" t="s">
        <v>237</v>
      </c>
      <c r="AI683" t="s">
        <v>237</v>
      </c>
      <c r="AJ683">
        <v>-3.3702500036373001E-3</v>
      </c>
      <c r="AK683">
        <v>0</v>
      </c>
      <c r="AL683">
        <v>3.3702500036373001E-3</v>
      </c>
      <c r="AM683" t="s">
        <v>41</v>
      </c>
      <c r="AN683" t="s">
        <v>33</v>
      </c>
      <c r="AO683" t="s">
        <v>33</v>
      </c>
      <c r="AP683" t="s">
        <v>31</v>
      </c>
    </row>
    <row r="684" spans="1:43" x14ac:dyDescent="0.2">
      <c r="A684">
        <v>682</v>
      </c>
      <c r="B684">
        <v>107</v>
      </c>
      <c r="C684">
        <v>6</v>
      </c>
      <c r="F684" t="s">
        <v>29</v>
      </c>
      <c r="G684" t="s">
        <v>530</v>
      </c>
      <c r="I684">
        <v>2.4881394694878849E-6</v>
      </c>
      <c r="J684">
        <v>2.0828694413933002</v>
      </c>
      <c r="K684">
        <v>2.0828694413933002</v>
      </c>
      <c r="L684" s="1"/>
      <c r="M684" s="1"/>
      <c r="N684" s="1">
        <v>43021</v>
      </c>
      <c r="R684">
        <v>-1.1244183189823643E-3</v>
      </c>
      <c r="S684">
        <v>-1.1244183189823643E-3</v>
      </c>
      <c r="T684" t="s">
        <v>39</v>
      </c>
      <c r="U684" t="s">
        <v>39</v>
      </c>
      <c r="W684" t="s">
        <v>181</v>
      </c>
      <c r="Z684" t="s">
        <v>31</v>
      </c>
      <c r="AA684">
        <v>7.8728807989605421E-4</v>
      </c>
      <c r="AC684" t="s">
        <v>33</v>
      </c>
      <c r="AD684" t="s">
        <v>33</v>
      </c>
      <c r="AE684" t="s">
        <v>41</v>
      </c>
      <c r="AF684">
        <v>4.0999999999999996</v>
      </c>
      <c r="AG684">
        <v>4.0999999999999996</v>
      </c>
      <c r="AH684" t="s">
        <v>237</v>
      </c>
      <c r="AI684" t="s">
        <v>237</v>
      </c>
      <c r="AJ684">
        <v>-2.2128236684544E-3</v>
      </c>
      <c r="AK684">
        <v>0</v>
      </c>
      <c r="AL684">
        <v>2.2128236684544E-3</v>
      </c>
      <c r="AM684" t="s">
        <v>41</v>
      </c>
      <c r="AN684" t="s">
        <v>33</v>
      </c>
      <c r="AO684" t="s">
        <v>33</v>
      </c>
      <c r="AP684" t="s">
        <v>31</v>
      </c>
    </row>
    <row r="685" spans="1:43" x14ac:dyDescent="0.2">
      <c r="A685">
        <v>683</v>
      </c>
      <c r="B685">
        <v>110</v>
      </c>
      <c r="C685">
        <v>6</v>
      </c>
      <c r="F685" t="s">
        <v>29</v>
      </c>
      <c r="G685" t="s">
        <v>1487</v>
      </c>
      <c r="I685">
        <v>2.0191587743166203E-6</v>
      </c>
      <c r="J685">
        <v>3.1460681883467001</v>
      </c>
      <c r="K685">
        <v>3.1460681883467001</v>
      </c>
      <c r="L685" s="1"/>
      <c r="M685" s="1"/>
      <c r="N685" s="1">
        <v>43021</v>
      </c>
      <c r="R685">
        <v>-1.2005087764610177E-3</v>
      </c>
      <c r="S685">
        <v>-1.2005087764610177E-3</v>
      </c>
      <c r="T685" t="s">
        <v>39</v>
      </c>
      <c r="U685" t="s">
        <v>39</v>
      </c>
      <c r="AA685">
        <v>6.3889490678920426E-4</v>
      </c>
      <c r="AC685" t="s">
        <v>33</v>
      </c>
      <c r="AD685" t="s">
        <v>33</v>
      </c>
      <c r="AF685">
        <v>4.25</v>
      </c>
      <c r="AG685">
        <v>4.25</v>
      </c>
      <c r="AH685" t="s">
        <v>237</v>
      </c>
      <c r="AI685" t="s">
        <v>237</v>
      </c>
      <c r="AJ685">
        <v>-1.6819192111771999E-3</v>
      </c>
      <c r="AK685">
        <v>0</v>
      </c>
      <c r="AL685">
        <v>1.6819192111771999E-3</v>
      </c>
      <c r="AN685" t="s">
        <v>33</v>
      </c>
      <c r="AO685" t="s">
        <v>33</v>
      </c>
    </row>
    <row r="686" spans="1:43" x14ac:dyDescent="0.2">
      <c r="A686">
        <v>684</v>
      </c>
      <c r="B686">
        <v>110</v>
      </c>
      <c r="C686">
        <v>6</v>
      </c>
      <c r="F686" t="s">
        <v>29</v>
      </c>
      <c r="G686" t="s">
        <v>1488</v>
      </c>
      <c r="I686">
        <v>2.0218762185509119E-6</v>
      </c>
      <c r="J686">
        <v>3.5662053622381999</v>
      </c>
      <c r="K686">
        <v>3.5662053622381999</v>
      </c>
      <c r="L686" s="1"/>
      <c r="M686" s="1"/>
      <c r="N686" s="1">
        <v>43021</v>
      </c>
      <c r="R686">
        <v>-1.2005087764610177E-3</v>
      </c>
      <c r="S686">
        <v>-1.2005087764610177E-3</v>
      </c>
      <c r="T686" t="s">
        <v>39</v>
      </c>
      <c r="U686" t="s">
        <v>39</v>
      </c>
      <c r="AA686">
        <v>6.3975475065232998E-4</v>
      </c>
      <c r="AC686" t="s">
        <v>33</v>
      </c>
      <c r="AD686" t="s">
        <v>33</v>
      </c>
      <c r="AF686">
        <v>4.3600000000000003</v>
      </c>
      <c r="AG686">
        <v>4.3600000000000003</v>
      </c>
      <c r="AH686" t="s">
        <v>237</v>
      </c>
      <c r="AI686" t="s">
        <v>237</v>
      </c>
      <c r="AJ686">
        <v>-1.6841827883268001E-3</v>
      </c>
      <c r="AK686">
        <v>0</v>
      </c>
      <c r="AL686">
        <v>1.6841827883268001E-3</v>
      </c>
      <c r="AN686" t="s">
        <v>33</v>
      </c>
      <c r="AO686" t="s">
        <v>33</v>
      </c>
    </row>
    <row r="687" spans="1:43" x14ac:dyDescent="0.2">
      <c r="A687">
        <v>685</v>
      </c>
      <c r="B687">
        <v>99</v>
      </c>
      <c r="C687">
        <v>6</v>
      </c>
      <c r="F687" t="s">
        <v>29</v>
      </c>
      <c r="G687" t="s">
        <v>1489</v>
      </c>
      <c r="I687">
        <v>3.8077085092144243E-5</v>
      </c>
      <c r="J687">
        <v>4.2926653547117999</v>
      </c>
      <c r="K687">
        <v>4.2926653547117999</v>
      </c>
      <c r="L687" s="1"/>
      <c r="M687" s="1"/>
      <c r="N687" s="1">
        <v>43021</v>
      </c>
      <c r="R687">
        <v>-1.4967484789654954E-2</v>
      </c>
      <c r="S687">
        <v>-1.4967484789654954E-2</v>
      </c>
      <c r="T687" t="s">
        <v>32</v>
      </c>
      <c r="U687" t="s">
        <v>32</v>
      </c>
      <c r="AA687">
        <v>1.204821336498592E-2</v>
      </c>
      <c r="AC687" t="s">
        <v>36</v>
      </c>
      <c r="AD687" t="s">
        <v>36</v>
      </c>
      <c r="AF687">
        <v>2.36</v>
      </c>
      <c r="AG687">
        <v>2.36</v>
      </c>
      <c r="AH687" t="s">
        <v>237</v>
      </c>
      <c r="AI687" t="s">
        <v>237</v>
      </c>
      <c r="AJ687">
        <v>-2.5439868907341E-3</v>
      </c>
      <c r="AK687">
        <v>0</v>
      </c>
      <c r="AL687">
        <v>2.5439868907341E-3</v>
      </c>
      <c r="AN687" t="s">
        <v>36</v>
      </c>
      <c r="AO687" t="s">
        <v>36</v>
      </c>
    </row>
    <row r="688" spans="1:43" x14ac:dyDescent="0.2">
      <c r="A688">
        <v>686</v>
      </c>
      <c r="B688">
        <v>102</v>
      </c>
      <c r="C688">
        <v>6</v>
      </c>
      <c r="F688" t="s">
        <v>29</v>
      </c>
      <c r="G688" t="s">
        <v>1490</v>
      </c>
      <c r="I688">
        <v>4.5743922338314589E-5</v>
      </c>
      <c r="J688">
        <v>8.6421781438875005</v>
      </c>
      <c r="K688">
        <v>8.6421781438875005</v>
      </c>
      <c r="L688" s="1"/>
      <c r="M688" s="1"/>
      <c r="N688" s="1">
        <v>43021</v>
      </c>
      <c r="R688">
        <v>-1.8769776239421981E-2</v>
      </c>
      <c r="S688">
        <v>-1.8769776239421981E-2</v>
      </c>
      <c r="T688" t="s">
        <v>32</v>
      </c>
      <c r="U688" t="s">
        <v>32</v>
      </c>
      <c r="AA688">
        <v>1.4474126240221709E-2</v>
      </c>
      <c r="AC688" t="s">
        <v>36</v>
      </c>
      <c r="AD688" t="s">
        <v>36</v>
      </c>
      <c r="AF688">
        <v>2.65</v>
      </c>
      <c r="AG688">
        <v>2.65</v>
      </c>
      <c r="AH688" t="s">
        <v>237</v>
      </c>
      <c r="AI688" t="s">
        <v>237</v>
      </c>
      <c r="AJ688">
        <v>-2.4371053631549997E-3</v>
      </c>
      <c r="AK688">
        <v>0</v>
      </c>
      <c r="AL688">
        <v>2.4371053631549997E-3</v>
      </c>
      <c r="AN688" t="s">
        <v>36</v>
      </c>
      <c r="AO688" t="s">
        <v>36</v>
      </c>
    </row>
    <row r="689" spans="1:43" x14ac:dyDescent="0.2">
      <c r="A689">
        <v>687</v>
      </c>
      <c r="B689">
        <v>93</v>
      </c>
      <c r="C689">
        <v>6</v>
      </c>
      <c r="D689">
        <v>5000</v>
      </c>
      <c r="E689" t="s">
        <v>505</v>
      </c>
      <c r="F689" t="s">
        <v>29</v>
      </c>
      <c r="G689" t="s">
        <v>806</v>
      </c>
      <c r="H689">
        <v>1.6635233203695712E-3</v>
      </c>
      <c r="I689">
        <v>3.8944227397166918E-5</v>
      </c>
      <c r="J689">
        <v>0.7</v>
      </c>
      <c r="K689">
        <v>0.71506849315068</v>
      </c>
      <c r="L689" s="1">
        <v>43282</v>
      </c>
      <c r="M689" s="1">
        <v>43024</v>
      </c>
      <c r="N689" s="1">
        <v>43021</v>
      </c>
      <c r="R689">
        <v>-6.3814612918483005E-3</v>
      </c>
      <c r="S689">
        <v>-6.3814612918483005E-3</v>
      </c>
      <c r="T689" t="s">
        <v>32</v>
      </c>
      <c r="U689" t="s">
        <v>32</v>
      </c>
      <c r="V689">
        <v>131477291</v>
      </c>
      <c r="W689" t="s">
        <v>206</v>
      </c>
      <c r="X689" t="s">
        <v>507</v>
      </c>
      <c r="Y689">
        <v>5000</v>
      </c>
      <c r="Z689" t="s">
        <v>31</v>
      </c>
      <c r="AA689">
        <v>1.2322591392700923E-2</v>
      </c>
      <c r="AB689">
        <v>98.64</v>
      </c>
      <c r="AC689" t="s">
        <v>36</v>
      </c>
      <c r="AD689" t="s">
        <v>36</v>
      </c>
      <c r="AE689" t="s">
        <v>41</v>
      </c>
      <c r="AF689">
        <v>-3.8888208702300663E-3</v>
      </c>
      <c r="AG689">
        <v>2</v>
      </c>
      <c r="AH689" t="s">
        <v>237</v>
      </c>
      <c r="AI689" t="s">
        <v>237</v>
      </c>
      <c r="AJ689">
        <v>-6.1027130959666557E-3</v>
      </c>
      <c r="AK689">
        <v>2.3764618862422448E-3</v>
      </c>
      <c r="AL689">
        <v>8.4791749822089001E-3</v>
      </c>
      <c r="AM689" t="s">
        <v>41</v>
      </c>
      <c r="AN689" t="s">
        <v>150</v>
      </c>
      <c r="AO689" t="s">
        <v>36</v>
      </c>
      <c r="AP689" t="s">
        <v>31</v>
      </c>
      <c r="AQ689">
        <v>-9.2416345805251514E-6</v>
      </c>
    </row>
    <row r="690" spans="1:43" x14ac:dyDescent="0.2">
      <c r="A690">
        <v>688</v>
      </c>
      <c r="B690">
        <v>104</v>
      </c>
      <c r="C690">
        <v>6</v>
      </c>
      <c r="F690" t="s">
        <v>29</v>
      </c>
      <c r="G690" t="s">
        <v>517</v>
      </c>
      <c r="I690">
        <v>1.5023601475818659E-6</v>
      </c>
      <c r="J690">
        <v>0.53585674984108</v>
      </c>
      <c r="K690">
        <v>0.53585674984108</v>
      </c>
      <c r="L690" s="1"/>
      <c r="M690" s="1"/>
      <c r="N690" s="1">
        <v>43021</v>
      </c>
      <c r="R690">
        <v>-1.9931808645445555E-4</v>
      </c>
      <c r="S690">
        <v>-1.9931808645445555E-4</v>
      </c>
      <c r="T690" t="s">
        <v>39</v>
      </c>
      <c r="U690" t="s">
        <v>39</v>
      </c>
      <c r="W690" t="s">
        <v>206</v>
      </c>
      <c r="Z690" t="s">
        <v>31</v>
      </c>
      <c r="AA690">
        <v>4.7537135695432887E-4</v>
      </c>
      <c r="AC690" t="s">
        <v>36</v>
      </c>
      <c r="AD690" t="s">
        <v>36</v>
      </c>
      <c r="AE690" t="s">
        <v>41</v>
      </c>
      <c r="AF690">
        <v>4.99</v>
      </c>
      <c r="AG690">
        <v>4.99</v>
      </c>
      <c r="AH690" t="s">
        <v>237</v>
      </c>
      <c r="AI690" t="s">
        <v>237</v>
      </c>
      <c r="AJ690">
        <v>-7.5375003558703999E-3</v>
      </c>
      <c r="AK690">
        <v>0</v>
      </c>
      <c r="AL690">
        <v>7.5375003558703999E-3</v>
      </c>
      <c r="AM690" t="s">
        <v>41</v>
      </c>
      <c r="AN690" t="s">
        <v>36</v>
      </c>
      <c r="AO690" t="s">
        <v>36</v>
      </c>
      <c r="AP690" t="s">
        <v>31</v>
      </c>
    </row>
    <row r="691" spans="1:43" x14ac:dyDescent="0.2">
      <c r="A691">
        <v>689</v>
      </c>
      <c r="B691">
        <v>107</v>
      </c>
      <c r="C691">
        <v>6</v>
      </c>
      <c r="F691" t="s">
        <v>29</v>
      </c>
      <c r="G691" t="s">
        <v>1491</v>
      </c>
      <c r="I691">
        <v>1.845138752036462E-5</v>
      </c>
      <c r="J691">
        <v>1.9557454883401</v>
      </c>
      <c r="K691">
        <v>1.9557454883401</v>
      </c>
      <c r="L691" s="1"/>
      <c r="M691" s="1"/>
      <c r="N691" s="1">
        <v>43021</v>
      </c>
      <c r="R691">
        <v>-1.1244183189823643E-3</v>
      </c>
      <c r="S691">
        <v>-1.1244183189823643E-3</v>
      </c>
      <c r="T691" t="s">
        <v>39</v>
      </c>
      <c r="U691" t="s">
        <v>39</v>
      </c>
      <c r="AA691">
        <v>5.8383212156976763E-3</v>
      </c>
      <c r="AC691" t="s">
        <v>36</v>
      </c>
      <c r="AD691" t="s">
        <v>36</v>
      </c>
      <c r="AF691">
        <v>4.05</v>
      </c>
      <c r="AG691">
        <v>4.05</v>
      </c>
      <c r="AH691" t="s">
        <v>237</v>
      </c>
      <c r="AI691" t="s">
        <v>237</v>
      </c>
      <c r="AJ691">
        <v>-1.6409717992734E-2</v>
      </c>
      <c r="AK691">
        <v>0</v>
      </c>
      <c r="AL691">
        <v>1.6409717992734E-2</v>
      </c>
      <c r="AN691" t="s">
        <v>36</v>
      </c>
      <c r="AO691" t="s">
        <v>36</v>
      </c>
    </row>
    <row r="692" spans="1:43" x14ac:dyDescent="0.2">
      <c r="A692">
        <v>690</v>
      </c>
      <c r="B692">
        <v>99</v>
      </c>
      <c r="C692">
        <v>6</v>
      </c>
      <c r="F692" t="s">
        <v>29</v>
      </c>
      <c r="G692" t="s">
        <v>1712</v>
      </c>
      <c r="I692">
        <v>3.8388066259546297E-5</v>
      </c>
      <c r="J692">
        <v>4.3315344876264996</v>
      </c>
      <c r="K692">
        <v>4.3315344876264996</v>
      </c>
      <c r="L692" s="1"/>
      <c r="M692" s="1"/>
      <c r="N692" s="1">
        <v>43021</v>
      </c>
      <c r="R692">
        <v>-1.4967484789654954E-2</v>
      </c>
      <c r="S692">
        <v>-1.4967484789654954E-2</v>
      </c>
      <c r="T692" t="s">
        <v>32</v>
      </c>
      <c r="U692" t="s">
        <v>32</v>
      </c>
      <c r="AA692">
        <v>1.2146612899726707E-2</v>
      </c>
      <c r="AC692" t="s">
        <v>36</v>
      </c>
      <c r="AD692" t="s">
        <v>36</v>
      </c>
      <c r="AF692">
        <v>2.36</v>
      </c>
      <c r="AG692">
        <v>2.36</v>
      </c>
      <c r="AH692" t="s">
        <v>237</v>
      </c>
      <c r="AI692" t="s">
        <v>237</v>
      </c>
      <c r="AJ692">
        <v>-2.5647640067140002E-3</v>
      </c>
      <c r="AK692">
        <v>0</v>
      </c>
      <c r="AL692">
        <v>2.5647640067140002E-3</v>
      </c>
      <c r="AN692" t="s">
        <v>36</v>
      </c>
      <c r="AO692" t="s">
        <v>36</v>
      </c>
    </row>
    <row r="693" spans="1:43" x14ac:dyDescent="0.2">
      <c r="A693">
        <v>691</v>
      </c>
      <c r="B693">
        <v>102</v>
      </c>
      <c r="C693">
        <v>6</v>
      </c>
      <c r="F693" t="s">
        <v>29</v>
      </c>
      <c r="G693" t="s">
        <v>1492</v>
      </c>
      <c r="I693">
        <v>4.7895772592936643E-5</v>
      </c>
      <c r="J693">
        <v>5.2303946828144001</v>
      </c>
      <c r="K693">
        <v>5.2303946828144001</v>
      </c>
      <c r="L693" s="1"/>
      <c r="M693" s="1"/>
      <c r="N693" s="1">
        <v>43021</v>
      </c>
      <c r="R693">
        <v>-1.8769776239421981E-2</v>
      </c>
      <c r="S693">
        <v>-1.8769776239421981E-2</v>
      </c>
      <c r="T693" t="s">
        <v>32</v>
      </c>
      <c r="U693" t="s">
        <v>32</v>
      </c>
      <c r="AA693">
        <v>1.5155006904654045E-2</v>
      </c>
      <c r="AC693" t="s">
        <v>36</v>
      </c>
      <c r="AD693" t="s">
        <v>36</v>
      </c>
      <c r="AF693">
        <v>2.39</v>
      </c>
      <c r="AG693">
        <v>2.39</v>
      </c>
      <c r="AH693" t="s">
        <v>237</v>
      </c>
      <c r="AI693" t="s">
        <v>237</v>
      </c>
      <c r="AJ693">
        <v>-2.5517497908335001E-3</v>
      </c>
      <c r="AK693">
        <v>0</v>
      </c>
      <c r="AL693">
        <v>2.5517497908335001E-3</v>
      </c>
      <c r="AN693" t="s">
        <v>36</v>
      </c>
      <c r="AO693" t="s">
        <v>36</v>
      </c>
    </row>
    <row r="694" spans="1:43" x14ac:dyDescent="0.2">
      <c r="A694">
        <v>692</v>
      </c>
      <c r="B694">
        <v>99</v>
      </c>
      <c r="C694">
        <v>6</v>
      </c>
      <c r="D694">
        <v>20000</v>
      </c>
      <c r="E694" t="s">
        <v>505</v>
      </c>
      <c r="F694" t="s">
        <v>29</v>
      </c>
      <c r="G694" t="s">
        <v>506</v>
      </c>
      <c r="H694">
        <v>3.5108723008778209E-2</v>
      </c>
      <c r="I694">
        <v>-1.5714060759779456E-5</v>
      </c>
      <c r="J694">
        <v>3.62</v>
      </c>
      <c r="K694">
        <v>3.6277121402971</v>
      </c>
      <c r="L694" s="1">
        <v>44409</v>
      </c>
      <c r="M694" s="1">
        <v>43024</v>
      </c>
      <c r="N694" s="1">
        <v>43021</v>
      </c>
      <c r="R694">
        <v>-1.4967484789654954E-2</v>
      </c>
      <c r="S694">
        <v>-1.4967484789654954E-2</v>
      </c>
      <c r="T694" t="s">
        <v>32</v>
      </c>
      <c r="U694" t="s">
        <v>32</v>
      </c>
      <c r="V694">
        <v>536569962</v>
      </c>
      <c r="W694" t="s">
        <v>206</v>
      </c>
      <c r="X694" t="s">
        <v>507</v>
      </c>
      <c r="Y694">
        <v>20000</v>
      </c>
      <c r="Z694" t="s">
        <v>31</v>
      </c>
      <c r="AA694">
        <v>-4.9721861956086534E-3</v>
      </c>
      <c r="AB694">
        <v>100.09</v>
      </c>
      <c r="AC694" t="s">
        <v>36</v>
      </c>
      <c r="AD694" t="s">
        <v>36</v>
      </c>
      <c r="AE694" t="s">
        <v>41</v>
      </c>
      <c r="AF694">
        <v>2.3111791297699344E-3</v>
      </c>
      <c r="AG694">
        <v>2.6</v>
      </c>
      <c r="AH694" t="s">
        <v>237</v>
      </c>
      <c r="AI694" t="s">
        <v>237</v>
      </c>
      <c r="AJ694">
        <v>1.0498798549399904E-3</v>
      </c>
      <c r="AK694">
        <v>9.6985422676182896E-3</v>
      </c>
      <c r="AL694">
        <v>8.6486624126782992E-3</v>
      </c>
      <c r="AM694" t="s">
        <v>41</v>
      </c>
      <c r="AN694" t="s">
        <v>150</v>
      </c>
      <c r="AO694" t="s">
        <v>36</v>
      </c>
      <c r="AP694" t="s">
        <v>31</v>
      </c>
      <c r="AQ694">
        <v>2.2415068478110963E-5</v>
      </c>
    </row>
    <row r="695" spans="1:43" x14ac:dyDescent="0.2">
      <c r="A695">
        <v>693</v>
      </c>
      <c r="B695">
        <v>99</v>
      </c>
      <c r="C695">
        <v>6</v>
      </c>
      <c r="D695">
        <v>30000</v>
      </c>
      <c r="E695" t="s">
        <v>505</v>
      </c>
      <c r="F695" t="s">
        <v>29</v>
      </c>
      <c r="G695" t="s">
        <v>807</v>
      </c>
      <c r="H695">
        <v>6.5682838475542724E-2</v>
      </c>
      <c r="I695">
        <v>-8.8793659538546188E-5</v>
      </c>
      <c r="J695">
        <v>4.51</v>
      </c>
      <c r="K695">
        <v>4.5238700597325003</v>
      </c>
      <c r="L695" s="1">
        <v>44774</v>
      </c>
      <c r="M695" s="1">
        <v>43024</v>
      </c>
      <c r="N695" s="1">
        <v>43021</v>
      </c>
      <c r="R695">
        <v>-1.4967484789654954E-2</v>
      </c>
      <c r="S695">
        <v>-1.4967484789654954E-2</v>
      </c>
      <c r="T695" t="s">
        <v>32</v>
      </c>
      <c r="U695" t="s">
        <v>32</v>
      </c>
      <c r="V695">
        <v>805740631</v>
      </c>
      <c r="W695" t="s">
        <v>206</v>
      </c>
      <c r="X695" t="s">
        <v>507</v>
      </c>
      <c r="Y695">
        <v>30000</v>
      </c>
      <c r="Z695" t="s">
        <v>31</v>
      </c>
      <c r="AA695">
        <v>-2.8095768176304946E-2</v>
      </c>
      <c r="AB695">
        <v>100.2</v>
      </c>
      <c r="AC695" t="s">
        <v>36</v>
      </c>
      <c r="AD695" t="s">
        <v>36</v>
      </c>
      <c r="AE695" t="s">
        <v>41</v>
      </c>
      <c r="AF695">
        <v>2.1111791297699356E-3</v>
      </c>
      <c r="AG695">
        <v>2.6</v>
      </c>
      <c r="AH695" t="s">
        <v>237</v>
      </c>
      <c r="AI695" t="s">
        <v>237</v>
      </c>
      <c r="AJ695">
        <v>5.9324369315489484E-3</v>
      </c>
      <c r="AK695">
        <v>1.4563822278390849E-2</v>
      </c>
      <c r="AL695">
        <v>8.6313853468419008E-3</v>
      </c>
      <c r="AM695" t="s">
        <v>41</v>
      </c>
      <c r="AN695" t="s">
        <v>150</v>
      </c>
      <c r="AO695" t="s">
        <v>36</v>
      </c>
      <c r="AP695" t="s">
        <v>31</v>
      </c>
      <c r="AQ695">
        <v>3.0746837643817197E-5</v>
      </c>
    </row>
    <row r="696" spans="1:43" x14ac:dyDescent="0.2">
      <c r="A696">
        <v>694</v>
      </c>
      <c r="B696">
        <v>96</v>
      </c>
      <c r="C696">
        <v>6</v>
      </c>
      <c r="F696" t="s">
        <v>29</v>
      </c>
      <c r="G696" t="s">
        <v>1493</v>
      </c>
      <c r="I696">
        <v>3.3160148070779665E-4</v>
      </c>
      <c r="J696">
        <v>1.9375587846575</v>
      </c>
      <c r="K696">
        <v>1.9375587846575</v>
      </c>
      <c r="L696" s="1"/>
      <c r="M696" s="1"/>
      <c r="N696" s="1">
        <v>43021</v>
      </c>
      <c r="R696">
        <v>-1.9353706235684085E-2</v>
      </c>
      <c r="S696">
        <v>-1.9353706235684085E-2</v>
      </c>
      <c r="T696" t="s">
        <v>32</v>
      </c>
      <c r="U696" t="s">
        <v>32</v>
      </c>
      <c r="W696" t="s">
        <v>206</v>
      </c>
      <c r="Z696" t="s">
        <v>31</v>
      </c>
      <c r="AA696">
        <v>0.10492413959851814</v>
      </c>
      <c r="AC696" t="s">
        <v>36</v>
      </c>
      <c r="AD696" t="s">
        <v>36</v>
      </c>
      <c r="AE696" t="s">
        <v>41</v>
      </c>
      <c r="AF696">
        <v>2.1</v>
      </c>
      <c r="AG696">
        <v>2.1</v>
      </c>
      <c r="AH696" t="s">
        <v>237</v>
      </c>
      <c r="AI696" t="s">
        <v>237</v>
      </c>
      <c r="AJ696">
        <v>-1.7133745685174999E-2</v>
      </c>
      <c r="AK696">
        <v>0</v>
      </c>
      <c r="AL696">
        <v>1.7133745685174999E-2</v>
      </c>
      <c r="AM696" t="s">
        <v>41</v>
      </c>
      <c r="AN696" t="s">
        <v>36</v>
      </c>
      <c r="AO696" t="s">
        <v>36</v>
      </c>
      <c r="AP696" t="s">
        <v>31</v>
      </c>
    </row>
    <row r="697" spans="1:43" x14ac:dyDescent="0.2">
      <c r="A697">
        <v>695</v>
      </c>
      <c r="B697">
        <v>102</v>
      </c>
      <c r="C697">
        <v>6</v>
      </c>
      <c r="D697">
        <v>30000</v>
      </c>
      <c r="E697" t="s">
        <v>505</v>
      </c>
      <c r="F697" t="s">
        <v>29</v>
      </c>
      <c r="G697" t="s">
        <v>808</v>
      </c>
      <c r="H697">
        <v>9.17130604239971E-2</v>
      </c>
      <c r="I697">
        <v>4.7849150870435193E-5</v>
      </c>
      <c r="J697">
        <v>6.52</v>
      </c>
      <c r="K697">
        <v>6.5304576407723003</v>
      </c>
      <c r="L697" s="1">
        <v>45566</v>
      </c>
      <c r="M697" s="1">
        <v>43024</v>
      </c>
      <c r="N697" s="1">
        <v>43021</v>
      </c>
      <c r="R697">
        <v>-1.8769776239421981E-2</v>
      </c>
      <c r="S697">
        <v>-1.8769776239421981E-2</v>
      </c>
      <c r="T697" t="s">
        <v>32</v>
      </c>
      <c r="U697" t="s">
        <v>32</v>
      </c>
      <c r="V697">
        <v>778221964</v>
      </c>
      <c r="W697" t="s">
        <v>206</v>
      </c>
      <c r="X697" t="s">
        <v>507</v>
      </c>
      <c r="Y697">
        <v>30000</v>
      </c>
      <c r="Z697" t="s">
        <v>31</v>
      </c>
      <c r="AA697">
        <v>1.5140255028065243E-2</v>
      </c>
      <c r="AB697">
        <v>97.22</v>
      </c>
      <c r="AC697" t="s">
        <v>36</v>
      </c>
      <c r="AD697" t="s">
        <v>36</v>
      </c>
      <c r="AE697" t="s">
        <v>41</v>
      </c>
      <c r="AF697">
        <v>9.1117912976993592E-4</v>
      </c>
      <c r="AG697">
        <v>2.4900000000000002</v>
      </c>
      <c r="AH697" t="s">
        <v>237</v>
      </c>
      <c r="AI697" t="s">
        <v>237</v>
      </c>
      <c r="AJ697">
        <v>-2.5492659187879973E-3</v>
      </c>
      <c r="AK697">
        <v>1.4066420310429003E-2</v>
      </c>
      <c r="AL697">
        <v>1.6615686229217001E-2</v>
      </c>
      <c r="AM697" t="s">
        <v>41</v>
      </c>
      <c r="AN697" t="s">
        <v>150</v>
      </c>
      <c r="AO697" t="s">
        <v>36</v>
      </c>
      <c r="AP697" t="s">
        <v>31</v>
      </c>
      <c r="AQ697">
        <v>1.2817028617434851E-5</v>
      </c>
    </row>
    <row r="698" spans="1:43" x14ac:dyDescent="0.2">
      <c r="A698">
        <v>696</v>
      </c>
      <c r="B698">
        <v>102</v>
      </c>
      <c r="C698">
        <v>6</v>
      </c>
      <c r="F698" t="s">
        <v>29</v>
      </c>
      <c r="G698" t="s">
        <v>1494</v>
      </c>
      <c r="I698">
        <v>4.9611553889717915E-5</v>
      </c>
      <c r="J698">
        <v>5.2483581435115001</v>
      </c>
      <c r="K698">
        <v>5.2483581435115001</v>
      </c>
      <c r="L698" s="1"/>
      <c r="M698" s="1"/>
      <c r="N698" s="1">
        <v>43021</v>
      </c>
      <c r="R698">
        <v>-1.8769776239421981E-2</v>
      </c>
      <c r="S698">
        <v>-1.8769776239421981E-2</v>
      </c>
      <c r="T698" t="s">
        <v>32</v>
      </c>
      <c r="U698" t="s">
        <v>32</v>
      </c>
      <c r="AA698">
        <v>1.5697908208712582E-2</v>
      </c>
      <c r="AC698" t="s">
        <v>36</v>
      </c>
      <c r="AD698" t="s">
        <v>36</v>
      </c>
      <c r="AF698">
        <v>2.2200000000000002</v>
      </c>
      <c r="AG698">
        <v>2.2200000000000002</v>
      </c>
      <c r="AH698" t="s">
        <v>237</v>
      </c>
      <c r="AI698" t="s">
        <v>237</v>
      </c>
      <c r="AJ698">
        <v>-2.6431617115136004E-3</v>
      </c>
      <c r="AK698">
        <v>0</v>
      </c>
      <c r="AL698">
        <v>2.6431617115136004E-3</v>
      </c>
      <c r="AN698" t="s">
        <v>36</v>
      </c>
      <c r="AO698" t="s">
        <v>36</v>
      </c>
    </row>
    <row r="699" spans="1:43" x14ac:dyDescent="0.2">
      <c r="A699">
        <v>697</v>
      </c>
      <c r="B699">
        <v>102</v>
      </c>
      <c r="C699">
        <v>6</v>
      </c>
      <c r="F699" t="s">
        <v>29</v>
      </c>
      <c r="G699" t="s">
        <v>1713</v>
      </c>
      <c r="I699">
        <v>4.9406182217375026E-5</v>
      </c>
      <c r="J699">
        <v>6.1068374185624998</v>
      </c>
      <c r="K699">
        <v>6.1068374185624998</v>
      </c>
      <c r="L699" s="1"/>
      <c r="M699" s="1"/>
      <c r="N699" s="1">
        <v>43021</v>
      </c>
      <c r="R699">
        <v>-1.8769776239421981E-2</v>
      </c>
      <c r="S699">
        <v>-1.8769776239421981E-2</v>
      </c>
      <c r="T699" t="s">
        <v>32</v>
      </c>
      <c r="U699" t="s">
        <v>32</v>
      </c>
      <c r="AA699">
        <v>1.5632925247923351E-2</v>
      </c>
      <c r="AC699" t="s">
        <v>36</v>
      </c>
      <c r="AD699" t="s">
        <v>36</v>
      </c>
      <c r="AF699">
        <v>2.33</v>
      </c>
      <c r="AG699">
        <v>2.33</v>
      </c>
      <c r="AH699" t="s">
        <v>237</v>
      </c>
      <c r="AI699" t="s">
        <v>237</v>
      </c>
      <c r="AJ699">
        <v>-2.6322200961356001E-3</v>
      </c>
      <c r="AK699">
        <v>0</v>
      </c>
      <c r="AL699">
        <v>2.6322200961356001E-3</v>
      </c>
      <c r="AN699" t="s">
        <v>36</v>
      </c>
      <c r="AO699" t="s">
        <v>36</v>
      </c>
    </row>
    <row r="700" spans="1:43" x14ac:dyDescent="0.2">
      <c r="A700">
        <v>698</v>
      </c>
      <c r="B700">
        <v>99</v>
      </c>
      <c r="C700">
        <v>6</v>
      </c>
      <c r="F700" t="s">
        <v>29</v>
      </c>
      <c r="G700" t="s">
        <v>1495</v>
      </c>
      <c r="I700">
        <v>3.850611506476637E-5</v>
      </c>
      <c r="J700">
        <v>3.9614824075567001</v>
      </c>
      <c r="K700">
        <v>3.9614824075567001</v>
      </c>
      <c r="L700" s="1"/>
      <c r="M700" s="1"/>
      <c r="N700" s="1">
        <v>43021</v>
      </c>
      <c r="R700">
        <v>-1.4967484789654954E-2</v>
      </c>
      <c r="S700">
        <v>-1.4967484789654954E-2</v>
      </c>
      <c r="T700" t="s">
        <v>32</v>
      </c>
      <c r="U700" t="s">
        <v>32</v>
      </c>
      <c r="AA700">
        <v>1.2183965475149203E-2</v>
      </c>
      <c r="AC700" t="s">
        <v>36</v>
      </c>
      <c r="AD700" t="s">
        <v>36</v>
      </c>
      <c r="AF700">
        <v>2.2599999999999998</v>
      </c>
      <c r="AG700">
        <v>2.2599999999999998</v>
      </c>
      <c r="AH700" t="s">
        <v>237</v>
      </c>
      <c r="AI700" t="s">
        <v>237</v>
      </c>
      <c r="AJ700">
        <v>-2.5726510235962001E-3</v>
      </c>
      <c r="AK700">
        <v>0</v>
      </c>
      <c r="AL700">
        <v>2.5726510235962001E-3</v>
      </c>
      <c r="AN700" t="s">
        <v>36</v>
      </c>
      <c r="AO700" t="s">
        <v>36</v>
      </c>
    </row>
    <row r="701" spans="1:43" x14ac:dyDescent="0.2">
      <c r="A701">
        <v>699</v>
      </c>
      <c r="B701">
        <v>107</v>
      </c>
      <c r="C701">
        <v>6</v>
      </c>
      <c r="D701">
        <v>70000000</v>
      </c>
      <c r="E701" t="s">
        <v>809</v>
      </c>
      <c r="F701" t="s">
        <v>29</v>
      </c>
      <c r="G701" t="s">
        <v>810</v>
      </c>
      <c r="H701">
        <v>9.0637448480504815E-4</v>
      </c>
      <c r="I701">
        <v>-9.4365192090092461E-7</v>
      </c>
      <c r="J701">
        <v>1.08</v>
      </c>
      <c r="L701" s="1">
        <v>44013</v>
      </c>
      <c r="M701" s="1">
        <v>43024</v>
      </c>
      <c r="N701" s="1"/>
      <c r="R701">
        <v>-1.1244183189823643E-3</v>
      </c>
      <c r="T701" t="s">
        <v>39</v>
      </c>
      <c r="V701">
        <v>46430548</v>
      </c>
      <c r="W701" t="s">
        <v>811</v>
      </c>
      <c r="X701" t="s">
        <v>507</v>
      </c>
      <c r="Y701">
        <v>70000000</v>
      </c>
      <c r="Z701" t="s">
        <v>31</v>
      </c>
      <c r="AA701">
        <v>-2.9858692328417708E-4</v>
      </c>
      <c r="AB701">
        <v>100.22</v>
      </c>
      <c r="AC701" t="s">
        <v>33</v>
      </c>
      <c r="AE701" t="s">
        <v>41</v>
      </c>
      <c r="AF701">
        <v>6.7799999999999999E-2</v>
      </c>
      <c r="AH701" t="s">
        <v>237</v>
      </c>
      <c r="AJ701">
        <v>8.3923563407874819E-4</v>
      </c>
      <c r="AK701">
        <v>8.3923563407874819E-4</v>
      </c>
      <c r="AL701">
        <v>0</v>
      </c>
      <c r="AN701" t="s">
        <v>148</v>
      </c>
      <c r="AQ701">
        <v>5.6900175990539125E-5</v>
      </c>
    </row>
    <row r="702" spans="1:43" x14ac:dyDescent="0.2">
      <c r="A702">
        <v>700</v>
      </c>
      <c r="B702">
        <v>107</v>
      </c>
      <c r="C702">
        <v>6</v>
      </c>
      <c r="D702">
        <v>200000000</v>
      </c>
      <c r="E702" t="s">
        <v>809</v>
      </c>
      <c r="F702" t="s">
        <v>29</v>
      </c>
      <c r="G702" t="s">
        <v>812</v>
      </c>
      <c r="H702">
        <v>5.2654888331398744E-3</v>
      </c>
      <c r="I702">
        <v>-3.1732458732111253E-6</v>
      </c>
      <c r="J702">
        <v>1.45</v>
      </c>
      <c r="K702">
        <v>1.4621661201916001</v>
      </c>
      <c r="L702" s="1">
        <v>43922</v>
      </c>
      <c r="M702" s="1">
        <v>43024</v>
      </c>
      <c r="N702" s="1">
        <v>43021</v>
      </c>
      <c r="R702">
        <v>-1.1244183189823643E-3</v>
      </c>
      <c r="S702">
        <v>-1.1244183189823643E-3</v>
      </c>
      <c r="T702" t="s">
        <v>39</v>
      </c>
      <c r="U702" t="s">
        <v>39</v>
      </c>
      <c r="V702">
        <v>200904927</v>
      </c>
      <c r="W702" t="s">
        <v>811</v>
      </c>
      <c r="X702" t="s">
        <v>507</v>
      </c>
      <c r="Y702">
        <v>200000000</v>
      </c>
      <c r="Z702" t="s">
        <v>31</v>
      </c>
      <c r="AA702">
        <v>-1.0040669669826277E-3</v>
      </c>
      <c r="AB702">
        <v>100.22</v>
      </c>
      <c r="AC702" t="s">
        <v>33</v>
      </c>
      <c r="AD702" t="s">
        <v>33</v>
      </c>
      <c r="AE702" t="s">
        <v>41</v>
      </c>
      <c r="AF702">
        <v>5.6399999999999999E-2</v>
      </c>
      <c r="AG702">
        <v>5.65</v>
      </c>
      <c r="AH702" t="s">
        <v>237</v>
      </c>
      <c r="AI702" t="s">
        <v>237</v>
      </c>
      <c r="AJ702">
        <v>2.8221221760981428E-3</v>
      </c>
      <c r="AK702">
        <v>3.6313716090619827E-3</v>
      </c>
      <c r="AL702">
        <v>8.0924943296383997E-4</v>
      </c>
      <c r="AM702" t="s">
        <v>41</v>
      </c>
      <c r="AN702" t="s">
        <v>148</v>
      </c>
      <c r="AO702" t="s">
        <v>33</v>
      </c>
      <c r="AP702" t="s">
        <v>31</v>
      </c>
      <c r="AQ702">
        <v>2.0480935875109583E-4</v>
      </c>
    </row>
    <row r="703" spans="1:43" x14ac:dyDescent="0.2">
      <c r="A703">
        <v>701</v>
      </c>
      <c r="B703">
        <v>96</v>
      </c>
      <c r="C703">
        <v>6</v>
      </c>
      <c r="D703">
        <v>4000</v>
      </c>
      <c r="E703" t="s">
        <v>466</v>
      </c>
      <c r="F703" t="s">
        <v>29</v>
      </c>
      <c r="G703" t="s">
        <v>813</v>
      </c>
      <c r="H703">
        <v>4.8843292429490044E-3</v>
      </c>
      <c r="I703">
        <v>-2.4970644979199655E-6</v>
      </c>
      <c r="J703">
        <v>2.42</v>
      </c>
      <c r="K703">
        <v>2.4272176421995999</v>
      </c>
      <c r="L703" s="1">
        <v>43952</v>
      </c>
      <c r="M703" s="1">
        <v>43024</v>
      </c>
      <c r="N703" s="1">
        <v>43021</v>
      </c>
      <c r="R703">
        <v>-1.9353706235684085E-2</v>
      </c>
      <c r="S703">
        <v>-1.9353706235684085E-2</v>
      </c>
      <c r="T703" t="s">
        <v>32</v>
      </c>
      <c r="U703" t="s">
        <v>32</v>
      </c>
      <c r="V703">
        <v>111663043</v>
      </c>
      <c r="W703" t="s">
        <v>250</v>
      </c>
      <c r="X703" t="s">
        <v>814</v>
      </c>
      <c r="Y703">
        <v>4000</v>
      </c>
      <c r="Z703" t="s">
        <v>31</v>
      </c>
      <c r="AA703">
        <v>-7.9011210506967392E-4</v>
      </c>
      <c r="AB703">
        <v>103.04</v>
      </c>
      <c r="AC703" t="s">
        <v>33</v>
      </c>
      <c r="AD703" t="s">
        <v>33</v>
      </c>
      <c r="AE703" t="s">
        <v>41</v>
      </c>
      <c r="AF703">
        <v>-1.0888208702300659E-3</v>
      </c>
      <c r="AG703">
        <v>2.27</v>
      </c>
      <c r="AH703" t="s">
        <v>237</v>
      </c>
      <c r="AI703" t="s">
        <v>237</v>
      </c>
      <c r="AJ703">
        <v>1.2902254831769194E-4</v>
      </c>
      <c r="AK703">
        <v>2.018317868987192E-3</v>
      </c>
      <c r="AL703">
        <v>1.8892953206695001E-3</v>
      </c>
      <c r="AM703" t="s">
        <v>41</v>
      </c>
      <c r="AN703" t="s">
        <v>148</v>
      </c>
      <c r="AO703" t="s">
        <v>33</v>
      </c>
      <c r="AP703" t="s">
        <v>31</v>
      </c>
      <c r="AQ703">
        <v>-2.1975866185115265E-6</v>
      </c>
    </row>
    <row r="704" spans="1:43" x14ac:dyDescent="0.2">
      <c r="A704">
        <v>702</v>
      </c>
      <c r="B704">
        <v>107</v>
      </c>
      <c r="C704">
        <v>6</v>
      </c>
      <c r="F704" t="s">
        <v>29</v>
      </c>
      <c r="G704" t="s">
        <v>1496</v>
      </c>
      <c r="I704">
        <v>1.8868902125425385E-6</v>
      </c>
      <c r="J704">
        <v>1.2632222361020999</v>
      </c>
      <c r="K704">
        <v>1.2632222361020999</v>
      </c>
      <c r="L704" s="1"/>
      <c r="M704" s="1"/>
      <c r="N704" s="1">
        <v>43021</v>
      </c>
      <c r="R704">
        <v>-1.1244183189823643E-3</v>
      </c>
      <c r="S704">
        <v>-1.1244183189823643E-3</v>
      </c>
      <c r="T704" t="s">
        <v>39</v>
      </c>
      <c r="U704" t="s">
        <v>39</v>
      </c>
      <c r="W704" t="s">
        <v>250</v>
      </c>
      <c r="Z704" t="s">
        <v>31</v>
      </c>
      <c r="AA704">
        <v>5.9704296749612173E-4</v>
      </c>
      <c r="AC704" t="s">
        <v>33</v>
      </c>
      <c r="AD704" t="s">
        <v>33</v>
      </c>
      <c r="AE704" t="s">
        <v>41</v>
      </c>
      <c r="AF704">
        <v>3.42</v>
      </c>
      <c r="AG704">
        <v>3.42</v>
      </c>
      <c r="AH704" t="s">
        <v>237</v>
      </c>
      <c r="AI704" t="s">
        <v>237</v>
      </c>
      <c r="AJ704">
        <v>-1.6781034075025001E-3</v>
      </c>
      <c r="AK704">
        <v>0</v>
      </c>
      <c r="AL704">
        <v>1.6781034075025001E-3</v>
      </c>
      <c r="AM704" t="s">
        <v>41</v>
      </c>
      <c r="AN704" t="s">
        <v>33</v>
      </c>
      <c r="AO704" t="s">
        <v>33</v>
      </c>
      <c r="AP704" t="s">
        <v>31</v>
      </c>
    </row>
    <row r="705" spans="1:43" x14ac:dyDescent="0.2">
      <c r="A705">
        <v>703</v>
      </c>
      <c r="B705">
        <v>99</v>
      </c>
      <c r="C705">
        <v>6</v>
      </c>
      <c r="F705" t="s">
        <v>29</v>
      </c>
      <c r="G705" t="s">
        <v>1497</v>
      </c>
      <c r="I705">
        <v>6.6949055157224246E-5</v>
      </c>
      <c r="J705">
        <v>4.1324157071701002</v>
      </c>
      <c r="K705">
        <v>4.1324157071701002</v>
      </c>
      <c r="L705" s="1"/>
      <c r="M705" s="1"/>
      <c r="N705" s="1">
        <v>43021</v>
      </c>
      <c r="R705">
        <v>-1.4967484789654954E-2</v>
      </c>
      <c r="S705">
        <v>-1.4967484789654954E-2</v>
      </c>
      <c r="T705" t="s">
        <v>32</v>
      </c>
      <c r="U705" t="s">
        <v>32</v>
      </c>
      <c r="W705" t="s">
        <v>250</v>
      </c>
      <c r="Z705" t="s">
        <v>31</v>
      </c>
      <c r="AA705">
        <v>2.1183777570328337E-2</v>
      </c>
      <c r="AC705" t="s">
        <v>33</v>
      </c>
      <c r="AD705" t="s">
        <v>33</v>
      </c>
      <c r="AE705" t="s">
        <v>41</v>
      </c>
      <c r="AF705">
        <v>2.12</v>
      </c>
      <c r="AG705">
        <v>2.12</v>
      </c>
      <c r="AH705" t="s">
        <v>237</v>
      </c>
      <c r="AI705" t="s">
        <v>237</v>
      </c>
      <c r="AJ705">
        <v>-4.4729663065030999E-3</v>
      </c>
      <c r="AK705">
        <v>0</v>
      </c>
      <c r="AL705">
        <v>4.4729663065030999E-3</v>
      </c>
      <c r="AM705" t="s">
        <v>41</v>
      </c>
      <c r="AN705" t="s">
        <v>33</v>
      </c>
      <c r="AO705" t="s">
        <v>33</v>
      </c>
      <c r="AP705" t="s">
        <v>31</v>
      </c>
    </row>
    <row r="706" spans="1:43" x14ac:dyDescent="0.2">
      <c r="A706">
        <v>704</v>
      </c>
      <c r="B706">
        <v>99</v>
      </c>
      <c r="C706">
        <v>6</v>
      </c>
      <c r="F706" t="s">
        <v>29</v>
      </c>
      <c r="G706" t="s">
        <v>1498</v>
      </c>
      <c r="I706">
        <v>5.1594892763162612E-5</v>
      </c>
      <c r="J706">
        <v>3.1571517808916001</v>
      </c>
      <c r="K706">
        <v>3.1571517808916001</v>
      </c>
      <c r="L706" s="1"/>
      <c r="M706" s="1"/>
      <c r="N706" s="1">
        <v>43021</v>
      </c>
      <c r="R706">
        <v>-1.4967484789654954E-2</v>
      </c>
      <c r="S706">
        <v>-1.4967484789654954E-2</v>
      </c>
      <c r="T706" t="s">
        <v>32</v>
      </c>
      <c r="U706" t="s">
        <v>32</v>
      </c>
      <c r="W706" t="s">
        <v>250</v>
      </c>
      <c r="Z706" t="s">
        <v>31</v>
      </c>
      <c r="AA706">
        <v>1.6325469112193149E-2</v>
      </c>
      <c r="AC706" t="s">
        <v>33</v>
      </c>
      <c r="AD706" t="s">
        <v>33</v>
      </c>
      <c r="AE706" t="s">
        <v>41</v>
      </c>
      <c r="AF706">
        <v>2.3199999999999998</v>
      </c>
      <c r="AG706">
        <v>2.3199999999999998</v>
      </c>
      <c r="AH706" t="s">
        <v>237</v>
      </c>
      <c r="AI706" t="s">
        <v>237</v>
      </c>
      <c r="AJ706">
        <v>-3.4471317985786997E-3</v>
      </c>
      <c r="AK706">
        <v>0</v>
      </c>
      <c r="AL706">
        <v>3.4471317985786997E-3</v>
      </c>
      <c r="AM706" t="s">
        <v>41</v>
      </c>
      <c r="AN706" t="s">
        <v>33</v>
      </c>
      <c r="AO706" t="s">
        <v>33</v>
      </c>
      <c r="AP706" t="s">
        <v>31</v>
      </c>
    </row>
    <row r="707" spans="1:43" x14ac:dyDescent="0.2">
      <c r="A707">
        <v>705</v>
      </c>
      <c r="B707">
        <v>96</v>
      </c>
      <c r="C707">
        <v>6</v>
      </c>
      <c r="F707" t="s">
        <v>29</v>
      </c>
      <c r="G707" t="s">
        <v>467</v>
      </c>
      <c r="I707">
        <v>8.4589424638907898E-5</v>
      </c>
      <c r="J707">
        <v>1.3589931503488999</v>
      </c>
      <c r="K707">
        <v>1.3589931503488999</v>
      </c>
      <c r="L707" s="1"/>
      <c r="M707" s="1"/>
      <c r="N707" s="1">
        <v>43021</v>
      </c>
      <c r="R707">
        <v>-1.9353706235684085E-2</v>
      </c>
      <c r="S707">
        <v>-1.9353706235684085E-2</v>
      </c>
      <c r="T707" t="s">
        <v>32</v>
      </c>
      <c r="U707" t="s">
        <v>32</v>
      </c>
      <c r="W707" t="s">
        <v>250</v>
      </c>
      <c r="Z707" t="s">
        <v>31</v>
      </c>
      <c r="AA707">
        <v>2.6765479395407358E-2</v>
      </c>
      <c r="AC707" t="s">
        <v>33</v>
      </c>
      <c r="AD707" t="s">
        <v>33</v>
      </c>
      <c r="AE707" t="s">
        <v>41</v>
      </c>
      <c r="AF707">
        <v>2.0499999999999998</v>
      </c>
      <c r="AG707">
        <v>2.0499999999999998</v>
      </c>
      <c r="AH707" t="s">
        <v>237</v>
      </c>
      <c r="AI707" t="s">
        <v>237</v>
      </c>
      <c r="AJ707">
        <v>-4.3707093416011002E-3</v>
      </c>
      <c r="AK707">
        <v>0</v>
      </c>
      <c r="AL707">
        <v>4.3707093416011002E-3</v>
      </c>
      <c r="AM707" t="s">
        <v>41</v>
      </c>
      <c r="AN707" t="s">
        <v>33</v>
      </c>
      <c r="AO707" t="s">
        <v>33</v>
      </c>
      <c r="AP707" t="s">
        <v>31</v>
      </c>
    </row>
    <row r="708" spans="1:43" x14ac:dyDescent="0.2">
      <c r="A708">
        <v>706</v>
      </c>
      <c r="B708">
        <v>102</v>
      </c>
      <c r="C708">
        <v>6</v>
      </c>
      <c r="D708">
        <v>11000</v>
      </c>
      <c r="E708" t="s">
        <v>466</v>
      </c>
      <c r="F708" t="s">
        <v>29</v>
      </c>
      <c r="G708" t="s">
        <v>815</v>
      </c>
      <c r="H708">
        <v>3.2189191467731672E-2</v>
      </c>
      <c r="I708">
        <v>-1.9936972161981362E-5</v>
      </c>
      <c r="J708">
        <v>5.84</v>
      </c>
      <c r="K708">
        <v>5.8502789626556</v>
      </c>
      <c r="L708" s="1">
        <v>45352</v>
      </c>
      <c r="M708" s="1">
        <v>43024</v>
      </c>
      <c r="N708" s="1">
        <v>43021</v>
      </c>
      <c r="R708">
        <v>-1.8769776239421981E-2</v>
      </c>
      <c r="S708">
        <v>-1.8769776239421981E-2</v>
      </c>
      <c r="T708" t="s">
        <v>32</v>
      </c>
      <c r="U708" t="s">
        <v>32</v>
      </c>
      <c r="V708">
        <v>304941909</v>
      </c>
      <c r="W708" t="s">
        <v>250</v>
      </c>
      <c r="X708" t="s">
        <v>468</v>
      </c>
      <c r="Y708">
        <v>11000</v>
      </c>
      <c r="Z708" t="s">
        <v>31</v>
      </c>
      <c r="AA708">
        <v>-6.3083845278086486E-3</v>
      </c>
      <c r="AB708">
        <v>103.6</v>
      </c>
      <c r="AC708" t="s">
        <v>33</v>
      </c>
      <c r="AD708" t="s">
        <v>33</v>
      </c>
      <c r="AE708" t="s">
        <v>41</v>
      </c>
      <c r="AF708">
        <v>4.1117912976993548E-4</v>
      </c>
      <c r="AG708">
        <v>2.48</v>
      </c>
      <c r="AH708" t="s">
        <v>237</v>
      </c>
      <c r="AI708" t="s">
        <v>237</v>
      </c>
      <c r="AJ708">
        <v>1.0621848607927425E-3</v>
      </c>
      <c r="AK708">
        <v>5.5118478540636421E-3</v>
      </c>
      <c r="AL708">
        <v>4.4496629932708996E-3</v>
      </c>
      <c r="AM708" t="s">
        <v>41</v>
      </c>
      <c r="AN708" t="s">
        <v>148</v>
      </c>
      <c r="AO708" t="s">
        <v>33</v>
      </c>
      <c r="AP708" t="s">
        <v>31</v>
      </c>
      <c r="AQ708">
        <v>2.2663568040581747E-6</v>
      </c>
    </row>
    <row r="709" spans="1:43" x14ac:dyDescent="0.2">
      <c r="A709">
        <v>707</v>
      </c>
      <c r="B709">
        <v>102</v>
      </c>
      <c r="C709">
        <v>6</v>
      </c>
      <c r="F709" t="s">
        <v>29</v>
      </c>
      <c r="G709" t="s">
        <v>1714</v>
      </c>
      <c r="I709">
        <v>3.5504460046015305E-5</v>
      </c>
      <c r="J709">
        <v>7.4106401072411003</v>
      </c>
      <c r="K709">
        <v>7.4106401072411003</v>
      </c>
      <c r="L709" s="1"/>
      <c r="M709" s="1"/>
      <c r="N709" s="1">
        <v>43021</v>
      </c>
      <c r="R709">
        <v>-1.8769776239421981E-2</v>
      </c>
      <c r="S709">
        <v>-1.8769776239421981E-2</v>
      </c>
      <c r="T709" t="s">
        <v>32</v>
      </c>
      <c r="U709" t="s">
        <v>32</v>
      </c>
      <c r="AA709">
        <v>1.1234192664901844E-2</v>
      </c>
      <c r="AC709" t="s">
        <v>33</v>
      </c>
      <c r="AD709" t="s">
        <v>33</v>
      </c>
      <c r="AF709">
        <v>2.4300000000000002</v>
      </c>
      <c r="AG709">
        <v>2.4300000000000002</v>
      </c>
      <c r="AH709" t="s">
        <v>237</v>
      </c>
      <c r="AI709" t="s">
        <v>237</v>
      </c>
      <c r="AJ709">
        <v>-1.8915760951611999E-3</v>
      </c>
      <c r="AK709">
        <v>0</v>
      </c>
      <c r="AL709">
        <v>1.8915760951611999E-3</v>
      </c>
      <c r="AN709" t="s">
        <v>33</v>
      </c>
      <c r="AO709" t="s">
        <v>33</v>
      </c>
    </row>
    <row r="710" spans="1:43" x14ac:dyDescent="0.2">
      <c r="A710">
        <v>708</v>
      </c>
      <c r="B710">
        <v>107</v>
      </c>
      <c r="C710">
        <v>6</v>
      </c>
      <c r="D710">
        <v>220000000</v>
      </c>
      <c r="E710" t="s">
        <v>466</v>
      </c>
      <c r="F710" t="s">
        <v>29</v>
      </c>
      <c r="G710" t="s">
        <v>533</v>
      </c>
      <c r="H710">
        <v>1.2366749546944583E-2</v>
      </c>
      <c r="I710">
        <v>-3.1851393873833434E-6</v>
      </c>
      <c r="J710">
        <v>2.95</v>
      </c>
      <c r="K710">
        <v>2.9588887234968002</v>
      </c>
      <c r="L710" s="1">
        <v>44197</v>
      </c>
      <c r="M710" s="1">
        <v>43024</v>
      </c>
      <c r="N710" s="1">
        <v>43021</v>
      </c>
      <c r="R710">
        <v>-1.1244183189823643E-3</v>
      </c>
      <c r="S710">
        <v>-1.1244183189823643E-3</v>
      </c>
      <c r="T710" t="s">
        <v>39</v>
      </c>
      <c r="U710" t="s">
        <v>39</v>
      </c>
      <c r="V710">
        <v>231928139</v>
      </c>
      <c r="W710" t="s">
        <v>250</v>
      </c>
      <c r="X710" t="s">
        <v>468</v>
      </c>
      <c r="Y710">
        <v>220000000</v>
      </c>
      <c r="Z710" t="s">
        <v>31</v>
      </c>
      <c r="AA710">
        <v>-1.0078302696634816E-3</v>
      </c>
      <c r="AB710">
        <v>103.76</v>
      </c>
      <c r="AC710" t="s">
        <v>33</v>
      </c>
      <c r="AD710" t="s">
        <v>33</v>
      </c>
      <c r="AE710" t="s">
        <v>41</v>
      </c>
      <c r="AF710">
        <v>4.2500000000000003E-2</v>
      </c>
      <c r="AG710">
        <v>4.25</v>
      </c>
      <c r="AH710" t="s">
        <v>237</v>
      </c>
      <c r="AI710" t="s">
        <v>237</v>
      </c>
      <c r="AJ710">
        <v>2.8326996577803889E-3</v>
      </c>
      <c r="AK710">
        <v>4.1921184904896887E-3</v>
      </c>
      <c r="AL710">
        <v>1.3594188327092998E-3</v>
      </c>
      <c r="AM710" t="s">
        <v>41</v>
      </c>
      <c r="AN710" t="s">
        <v>148</v>
      </c>
      <c r="AO710" t="s">
        <v>33</v>
      </c>
      <c r="AP710" t="s">
        <v>31</v>
      </c>
      <c r="AQ710">
        <v>1.7816503584581179E-4</v>
      </c>
    </row>
    <row r="711" spans="1:43" x14ac:dyDescent="0.2">
      <c r="A711">
        <v>709</v>
      </c>
      <c r="B711">
        <v>110</v>
      </c>
      <c r="C711">
        <v>6</v>
      </c>
      <c r="F711" t="s">
        <v>29</v>
      </c>
      <c r="G711" t="s">
        <v>1499</v>
      </c>
      <c r="I711">
        <v>1.4501851858106027E-6</v>
      </c>
      <c r="J711">
        <v>4.5367047196256998</v>
      </c>
      <c r="K711">
        <v>4.5367047196256998</v>
      </c>
      <c r="L711" s="1"/>
      <c r="M711" s="1"/>
      <c r="N711" s="1">
        <v>43021</v>
      </c>
      <c r="R711">
        <v>-1.2005087764610177E-3</v>
      </c>
      <c r="S711">
        <v>-1.2005087764610177E-3</v>
      </c>
      <c r="T711" t="s">
        <v>39</v>
      </c>
      <c r="U711" t="s">
        <v>39</v>
      </c>
      <c r="AA711">
        <v>4.5886234450736896E-4</v>
      </c>
      <c r="AC711" t="s">
        <v>33</v>
      </c>
      <c r="AD711" t="s">
        <v>33</v>
      </c>
      <c r="AF711">
        <v>4.6100000000000003</v>
      </c>
      <c r="AG711">
        <v>4.6100000000000003</v>
      </c>
      <c r="AH711" t="s">
        <v>237</v>
      </c>
      <c r="AI711" t="s">
        <v>237</v>
      </c>
      <c r="AJ711">
        <v>-1.2079754969269E-3</v>
      </c>
      <c r="AK711">
        <v>0</v>
      </c>
      <c r="AL711">
        <v>1.2079754969269E-3</v>
      </c>
      <c r="AN711" t="s">
        <v>33</v>
      </c>
      <c r="AO711" t="s">
        <v>33</v>
      </c>
    </row>
    <row r="712" spans="1:43" x14ac:dyDescent="0.2">
      <c r="A712">
        <v>710</v>
      </c>
      <c r="B712">
        <v>102</v>
      </c>
      <c r="C712">
        <v>6</v>
      </c>
      <c r="F712" t="s">
        <v>29</v>
      </c>
      <c r="G712" t="s">
        <v>1500</v>
      </c>
      <c r="I712">
        <v>3.3475731209143663E-5</v>
      </c>
      <c r="J712">
        <v>7.4711843163675002</v>
      </c>
      <c r="K712">
        <v>7.4711843163675002</v>
      </c>
      <c r="L712" s="1"/>
      <c r="M712" s="1"/>
      <c r="N712" s="1">
        <v>43021</v>
      </c>
      <c r="R712">
        <v>-1.8769776239421981E-2</v>
      </c>
      <c r="S712">
        <v>-1.8769776239421981E-2</v>
      </c>
      <c r="T712" t="s">
        <v>32</v>
      </c>
      <c r="U712" t="s">
        <v>32</v>
      </c>
      <c r="AA712">
        <v>1.0592269633577893E-2</v>
      </c>
      <c r="AC712" t="s">
        <v>33</v>
      </c>
      <c r="AD712" t="s">
        <v>33</v>
      </c>
      <c r="AF712">
        <v>2.56</v>
      </c>
      <c r="AG712">
        <v>2.56</v>
      </c>
      <c r="AH712" t="s">
        <v>237</v>
      </c>
      <c r="AI712" t="s">
        <v>237</v>
      </c>
      <c r="AJ712">
        <v>-1.7834912245163002E-3</v>
      </c>
      <c r="AK712">
        <v>0</v>
      </c>
      <c r="AL712">
        <v>1.7834912245163002E-3</v>
      </c>
      <c r="AN712" t="s">
        <v>33</v>
      </c>
      <c r="AO712" t="s">
        <v>33</v>
      </c>
    </row>
    <row r="713" spans="1:43" x14ac:dyDescent="0.2">
      <c r="A713">
        <v>711</v>
      </c>
      <c r="B713">
        <v>102</v>
      </c>
      <c r="C713">
        <v>6</v>
      </c>
      <c r="F713" t="s">
        <v>29</v>
      </c>
      <c r="G713" t="s">
        <v>1501</v>
      </c>
      <c r="I713">
        <v>8.3300611757643409E-5</v>
      </c>
      <c r="J713">
        <v>8.2427502765336005</v>
      </c>
      <c r="K713">
        <v>8.2427502765336005</v>
      </c>
      <c r="L713" s="1"/>
      <c r="M713" s="1"/>
      <c r="N713" s="1">
        <v>43021</v>
      </c>
      <c r="R713">
        <v>-1.8769776239421981E-2</v>
      </c>
      <c r="S713">
        <v>-1.8769776239421981E-2</v>
      </c>
      <c r="T713" t="s">
        <v>32</v>
      </c>
      <c r="U713" t="s">
        <v>32</v>
      </c>
      <c r="AA713">
        <v>2.635767789107896E-2</v>
      </c>
      <c r="AC713" t="s">
        <v>33</v>
      </c>
      <c r="AD713" t="s">
        <v>33</v>
      </c>
      <c r="AF713">
        <v>2.67</v>
      </c>
      <c r="AG713">
        <v>2.67</v>
      </c>
      <c r="AH713" t="s">
        <v>237</v>
      </c>
      <c r="AI713" t="s">
        <v>237</v>
      </c>
      <c r="AJ713">
        <v>-4.4380183703356E-3</v>
      </c>
      <c r="AK713">
        <v>0</v>
      </c>
      <c r="AL713">
        <v>4.4380183703356E-3</v>
      </c>
      <c r="AN713" t="s">
        <v>33</v>
      </c>
      <c r="AO713" t="s">
        <v>33</v>
      </c>
    </row>
    <row r="714" spans="1:43" x14ac:dyDescent="0.2">
      <c r="A714">
        <v>712</v>
      </c>
      <c r="B714">
        <v>92</v>
      </c>
      <c r="C714">
        <v>6</v>
      </c>
      <c r="D714">
        <v>3000</v>
      </c>
      <c r="E714" t="s">
        <v>417</v>
      </c>
      <c r="F714" t="s">
        <v>29</v>
      </c>
      <c r="G714" t="s">
        <v>816</v>
      </c>
      <c r="H714">
        <v>4.1171347832262141E-6</v>
      </c>
      <c r="I714">
        <v>-6.6153079274490559E-7</v>
      </c>
      <c r="J714">
        <v>0.04</v>
      </c>
      <c r="L714" s="1">
        <v>43040</v>
      </c>
      <c r="M714" s="1">
        <v>43024</v>
      </c>
      <c r="N714" s="1"/>
      <c r="R714">
        <v>-6.4270987235110688E-3</v>
      </c>
      <c r="T714" t="s">
        <v>32</v>
      </c>
      <c r="V714">
        <v>5694492</v>
      </c>
      <c r="W714" t="s">
        <v>216</v>
      </c>
      <c r="X714" t="s">
        <v>419</v>
      </c>
      <c r="Y714">
        <v>3000</v>
      </c>
      <c r="Z714" t="s">
        <v>31</v>
      </c>
      <c r="AA714">
        <v>-2.093191776421789E-4</v>
      </c>
      <c r="AB714">
        <v>99.94</v>
      </c>
      <c r="AC714" t="s">
        <v>42</v>
      </c>
      <c r="AE714" t="s">
        <v>41</v>
      </c>
      <c r="AF714">
        <v>2.1311179129769937E-2</v>
      </c>
      <c r="AH714" t="s">
        <v>237</v>
      </c>
      <c r="AJ714">
        <v>1.0292836958065536E-4</v>
      </c>
      <c r="AK714">
        <v>1.0292836958065536E-4</v>
      </c>
      <c r="AL714">
        <v>0</v>
      </c>
      <c r="AN714" t="s">
        <v>142</v>
      </c>
      <c r="AQ714">
        <v>2.1935249216685092E-6</v>
      </c>
    </row>
    <row r="715" spans="1:43" x14ac:dyDescent="0.2">
      <c r="A715">
        <v>713</v>
      </c>
      <c r="B715">
        <v>95</v>
      </c>
      <c r="C715">
        <v>6</v>
      </c>
      <c r="F715" t="s">
        <v>29</v>
      </c>
      <c r="G715" t="s">
        <v>1502</v>
      </c>
      <c r="I715">
        <v>3.0727859026273013E-5</v>
      </c>
      <c r="J715">
        <v>2.5121353664816</v>
      </c>
      <c r="K715">
        <v>2.5121353664816</v>
      </c>
      <c r="L715" s="1"/>
      <c r="M715" s="1"/>
      <c r="N715" s="1">
        <v>43021</v>
      </c>
      <c r="R715">
        <v>-1.7076343737775217E-2</v>
      </c>
      <c r="S715">
        <v>-1.7076343737775217E-2</v>
      </c>
      <c r="T715" t="s">
        <v>32</v>
      </c>
      <c r="U715" t="s">
        <v>32</v>
      </c>
      <c r="W715" t="s">
        <v>216</v>
      </c>
      <c r="Z715" t="s">
        <v>31</v>
      </c>
      <c r="AA715">
        <v>9.7227978691605699E-3</v>
      </c>
      <c r="AC715" t="s">
        <v>42</v>
      </c>
      <c r="AD715" t="s">
        <v>42</v>
      </c>
      <c r="AE715" t="s">
        <v>41</v>
      </c>
      <c r="AF715">
        <v>2.21</v>
      </c>
      <c r="AG715">
        <v>2.21</v>
      </c>
      <c r="AH715" t="s">
        <v>237</v>
      </c>
      <c r="AI715" t="s">
        <v>237</v>
      </c>
      <c r="AJ715">
        <v>-1.7994401786548E-3</v>
      </c>
      <c r="AK715">
        <v>0</v>
      </c>
      <c r="AL715">
        <v>1.7994401786548E-3</v>
      </c>
      <c r="AM715" t="s">
        <v>41</v>
      </c>
      <c r="AN715" t="s">
        <v>42</v>
      </c>
      <c r="AO715" t="s">
        <v>42</v>
      </c>
      <c r="AP715" t="s">
        <v>31</v>
      </c>
    </row>
    <row r="716" spans="1:43" x14ac:dyDescent="0.2">
      <c r="A716">
        <v>714</v>
      </c>
      <c r="B716">
        <v>98</v>
      </c>
      <c r="C716">
        <v>6</v>
      </c>
      <c r="F716" t="s">
        <v>29</v>
      </c>
      <c r="G716" t="s">
        <v>1503</v>
      </c>
      <c r="I716">
        <v>2.0218624024990887E-4</v>
      </c>
      <c r="J716">
        <v>3.3075854279477999</v>
      </c>
      <c r="K716">
        <v>3.3075854279477999</v>
      </c>
      <c r="L716" s="1"/>
      <c r="M716" s="1"/>
      <c r="N716" s="1">
        <v>43021</v>
      </c>
      <c r="R716">
        <v>-2.7515108469385995E-2</v>
      </c>
      <c r="S716">
        <v>-2.7515108469385995E-2</v>
      </c>
      <c r="T716" t="s">
        <v>32</v>
      </c>
      <c r="U716" t="s">
        <v>32</v>
      </c>
      <c r="W716" t="s">
        <v>216</v>
      </c>
      <c r="Z716" t="s">
        <v>31</v>
      </c>
      <c r="AA716">
        <v>6.3975037902724824E-2</v>
      </c>
      <c r="AC716" t="s">
        <v>42</v>
      </c>
      <c r="AD716" t="s">
        <v>42</v>
      </c>
      <c r="AE716" t="s">
        <v>41</v>
      </c>
      <c r="AF716">
        <v>2.2999999999999998</v>
      </c>
      <c r="AG716">
        <v>2.2999999999999998</v>
      </c>
      <c r="AH716" t="s">
        <v>237</v>
      </c>
      <c r="AI716" t="s">
        <v>237</v>
      </c>
      <c r="AJ716">
        <v>-7.3481898308656998E-3</v>
      </c>
      <c r="AK716">
        <v>0</v>
      </c>
      <c r="AL716">
        <v>7.3481898308656998E-3</v>
      </c>
      <c r="AM716" t="s">
        <v>41</v>
      </c>
      <c r="AN716" t="s">
        <v>42</v>
      </c>
      <c r="AO716" t="s">
        <v>42</v>
      </c>
      <c r="AP716" t="s">
        <v>31</v>
      </c>
    </row>
    <row r="717" spans="1:43" x14ac:dyDescent="0.2">
      <c r="A717">
        <v>715</v>
      </c>
      <c r="B717">
        <v>98</v>
      </c>
      <c r="C717">
        <v>6</v>
      </c>
      <c r="D717">
        <v>4000</v>
      </c>
      <c r="E717" t="s">
        <v>417</v>
      </c>
      <c r="F717" t="s">
        <v>29</v>
      </c>
      <c r="G717" t="s">
        <v>817</v>
      </c>
      <c r="H717">
        <v>8.4503238178801447E-3</v>
      </c>
      <c r="I717">
        <v>6.8549599723807342E-5</v>
      </c>
      <c r="J717">
        <v>4.17</v>
      </c>
      <c r="K717">
        <v>4.1796261503623997</v>
      </c>
      <c r="L717" s="1">
        <v>44652</v>
      </c>
      <c r="M717" s="1">
        <v>43024</v>
      </c>
      <c r="N717" s="1">
        <v>43021</v>
      </c>
      <c r="R717">
        <v>-2.7515108469385995E-2</v>
      </c>
      <c r="S717">
        <v>-2.7515108469385995E-2</v>
      </c>
      <c r="T717" t="s">
        <v>32</v>
      </c>
      <c r="U717" t="s">
        <v>32</v>
      </c>
      <c r="V717">
        <v>112113314</v>
      </c>
      <c r="W717" t="s">
        <v>216</v>
      </c>
      <c r="X717" t="s">
        <v>419</v>
      </c>
      <c r="Y717">
        <v>4000</v>
      </c>
      <c r="Z717" t="s">
        <v>31</v>
      </c>
      <c r="AA717">
        <v>2.1690216085558604E-2</v>
      </c>
      <c r="AB717">
        <v>104.97</v>
      </c>
      <c r="AC717" t="s">
        <v>42</v>
      </c>
      <c r="AD717" t="s">
        <v>42</v>
      </c>
      <c r="AE717" t="s">
        <v>41</v>
      </c>
      <c r="AF717">
        <v>-2.8882087023006375E-4</v>
      </c>
      <c r="AG717">
        <v>2.34</v>
      </c>
      <c r="AH717" t="s">
        <v>237</v>
      </c>
      <c r="AI717" t="s">
        <v>237</v>
      </c>
      <c r="AJ717">
        <v>-2.4913439756226057E-3</v>
      </c>
      <c r="AK717">
        <v>2.0264565510503944E-3</v>
      </c>
      <c r="AL717">
        <v>4.5178005266730001E-3</v>
      </c>
      <c r="AM717" t="s">
        <v>41</v>
      </c>
      <c r="AN717" t="s">
        <v>142</v>
      </c>
      <c r="AO717" t="s">
        <v>42</v>
      </c>
      <c r="AP717" t="s">
        <v>31</v>
      </c>
      <c r="AQ717">
        <v>-5.8528294455778856E-7</v>
      </c>
    </row>
    <row r="718" spans="1:43" x14ac:dyDescent="0.2">
      <c r="A718">
        <v>716</v>
      </c>
      <c r="B718">
        <v>98</v>
      </c>
      <c r="C718">
        <v>6</v>
      </c>
      <c r="F718" t="s">
        <v>29</v>
      </c>
      <c r="G718" t="s">
        <v>1504</v>
      </c>
      <c r="I718">
        <v>1.2687920781902297E-4</v>
      </c>
      <c r="J718">
        <v>4.3433029659343001</v>
      </c>
      <c r="K718">
        <v>4.3433029659343001</v>
      </c>
      <c r="L718" s="1"/>
      <c r="M718" s="1"/>
      <c r="N718" s="1">
        <v>43021</v>
      </c>
      <c r="R718">
        <v>-2.7515108469385995E-2</v>
      </c>
      <c r="S718">
        <v>-2.7515108469385995E-2</v>
      </c>
      <c r="T718" t="s">
        <v>32</v>
      </c>
      <c r="U718" t="s">
        <v>32</v>
      </c>
      <c r="W718" t="s">
        <v>216</v>
      </c>
      <c r="Z718" t="s">
        <v>31</v>
      </c>
      <c r="AA718">
        <v>4.0146659432692786E-2</v>
      </c>
      <c r="AC718" t="s">
        <v>42</v>
      </c>
      <c r="AD718" t="s">
        <v>42</v>
      </c>
      <c r="AE718" t="s">
        <v>41</v>
      </c>
      <c r="AF718">
        <v>2.31</v>
      </c>
      <c r="AG718">
        <v>2.31</v>
      </c>
      <c r="AH718" t="s">
        <v>237</v>
      </c>
      <c r="AI718" t="s">
        <v>237</v>
      </c>
      <c r="AJ718">
        <v>-4.6112559563482002E-3</v>
      </c>
      <c r="AK718">
        <v>0</v>
      </c>
      <c r="AL718">
        <v>4.6112559563482002E-3</v>
      </c>
      <c r="AM718" t="s">
        <v>41</v>
      </c>
      <c r="AN718" t="s">
        <v>42</v>
      </c>
      <c r="AO718" t="s">
        <v>42</v>
      </c>
      <c r="AP718" t="s">
        <v>31</v>
      </c>
    </row>
    <row r="719" spans="1:43" x14ac:dyDescent="0.2">
      <c r="A719">
        <v>717</v>
      </c>
      <c r="B719">
        <v>92</v>
      </c>
      <c r="C719">
        <v>6</v>
      </c>
      <c r="D719">
        <v>8000</v>
      </c>
      <c r="E719" t="s">
        <v>417</v>
      </c>
      <c r="F719" t="s">
        <v>29</v>
      </c>
      <c r="G719" t="s">
        <v>418</v>
      </c>
      <c r="H719">
        <v>1.7451114873950125E-3</v>
      </c>
      <c r="I719">
        <v>2.8724225877008237E-6</v>
      </c>
      <c r="J719">
        <v>0.45</v>
      </c>
      <c r="K719">
        <v>0.46575342465753</v>
      </c>
      <c r="L719" s="1">
        <v>43191</v>
      </c>
      <c r="M719" s="1">
        <v>43024</v>
      </c>
      <c r="N719" s="1">
        <v>43021</v>
      </c>
      <c r="R719">
        <v>-6.4270987235110688E-3</v>
      </c>
      <c r="S719">
        <v>-6.4270987235110688E-3</v>
      </c>
      <c r="T719" t="s">
        <v>32</v>
      </c>
      <c r="U719" t="s">
        <v>32</v>
      </c>
      <c r="V719">
        <v>214551007</v>
      </c>
      <c r="W719" t="s">
        <v>216</v>
      </c>
      <c r="X719" t="s">
        <v>419</v>
      </c>
      <c r="Y719">
        <v>8000</v>
      </c>
      <c r="Z719" t="s">
        <v>31</v>
      </c>
      <c r="AA719">
        <v>9.088815524422708E-4</v>
      </c>
      <c r="AB719">
        <v>100.45</v>
      </c>
      <c r="AC719" t="s">
        <v>42</v>
      </c>
      <c r="AD719" t="s">
        <v>42</v>
      </c>
      <c r="AE719" t="s">
        <v>41</v>
      </c>
      <c r="AF719">
        <v>1.6111791297699352E-3</v>
      </c>
      <c r="AG719">
        <v>2.4900000000000002</v>
      </c>
      <c r="AH719" t="s">
        <v>237</v>
      </c>
      <c r="AI719" t="s">
        <v>237</v>
      </c>
      <c r="AJ719">
        <v>-4.4692367602712718E-4</v>
      </c>
      <c r="AK719">
        <v>3.8780255275444723E-3</v>
      </c>
      <c r="AL719">
        <v>4.3249492035715995E-3</v>
      </c>
      <c r="AM719" t="s">
        <v>41</v>
      </c>
      <c r="AN719" t="s">
        <v>142</v>
      </c>
      <c r="AO719" t="s">
        <v>42</v>
      </c>
      <c r="AP719" t="s">
        <v>31</v>
      </c>
      <c r="AQ719">
        <v>6.2481937946946965E-6</v>
      </c>
    </row>
    <row r="720" spans="1:43" x14ac:dyDescent="0.2">
      <c r="A720">
        <v>718</v>
      </c>
      <c r="B720">
        <v>101</v>
      </c>
      <c r="C720">
        <v>6</v>
      </c>
      <c r="F720" t="s">
        <v>29</v>
      </c>
      <c r="G720" t="s">
        <v>1505</v>
      </c>
      <c r="I720">
        <v>1.1438121188441339E-4</v>
      </c>
      <c r="J720">
        <v>5.0105004327850997</v>
      </c>
      <c r="K720">
        <v>5.0105004327850997</v>
      </c>
      <c r="L720" s="1"/>
      <c r="M720" s="1"/>
      <c r="N720" s="1">
        <v>43021</v>
      </c>
      <c r="R720">
        <v>-2.4503300094715318E-2</v>
      </c>
      <c r="S720">
        <v>-2.4503300094715318E-2</v>
      </c>
      <c r="T720" t="s">
        <v>32</v>
      </c>
      <c r="U720" t="s">
        <v>32</v>
      </c>
      <c r="W720" t="s">
        <v>216</v>
      </c>
      <c r="Z720" t="s">
        <v>31</v>
      </c>
      <c r="AA720">
        <v>3.619208882177255E-2</v>
      </c>
      <c r="AC720" t="s">
        <v>42</v>
      </c>
      <c r="AD720" t="s">
        <v>42</v>
      </c>
      <c r="AE720" t="s">
        <v>41</v>
      </c>
      <c r="AF720">
        <v>2.38</v>
      </c>
      <c r="AG720">
        <v>2.38</v>
      </c>
      <c r="AH720" t="s">
        <v>237</v>
      </c>
      <c r="AI720" t="s">
        <v>237</v>
      </c>
      <c r="AJ720">
        <v>-4.6679921252355001E-3</v>
      </c>
      <c r="AK720">
        <v>0</v>
      </c>
      <c r="AL720">
        <v>4.6679921252355001E-3</v>
      </c>
      <c r="AM720" t="s">
        <v>41</v>
      </c>
      <c r="AN720" t="s">
        <v>42</v>
      </c>
      <c r="AO720" t="s">
        <v>42</v>
      </c>
      <c r="AP720" t="s">
        <v>31</v>
      </c>
    </row>
    <row r="721" spans="1:43" x14ac:dyDescent="0.2">
      <c r="A721">
        <v>719</v>
      </c>
      <c r="B721">
        <v>92</v>
      </c>
      <c r="C721">
        <v>6</v>
      </c>
      <c r="F721" t="s">
        <v>29</v>
      </c>
      <c r="G721" t="s">
        <v>1506</v>
      </c>
      <c r="I721">
        <v>2.8227300700048163E-5</v>
      </c>
      <c r="J721">
        <v>0.62435127268093005</v>
      </c>
      <c r="K721">
        <v>0.62435127268093005</v>
      </c>
      <c r="L721" s="1"/>
      <c r="M721" s="1"/>
      <c r="N721" s="1">
        <v>43021</v>
      </c>
      <c r="R721">
        <v>-6.4270987235110688E-3</v>
      </c>
      <c r="S721">
        <v>-6.4270987235110688E-3</v>
      </c>
      <c r="T721" t="s">
        <v>32</v>
      </c>
      <c r="U721" t="s">
        <v>32</v>
      </c>
      <c r="W721" t="s">
        <v>216</v>
      </c>
      <c r="Z721" t="s">
        <v>31</v>
      </c>
      <c r="AA721">
        <v>8.931580259591905E-3</v>
      </c>
      <c r="AC721" t="s">
        <v>42</v>
      </c>
      <c r="AD721" t="s">
        <v>42</v>
      </c>
      <c r="AE721" t="s">
        <v>41</v>
      </c>
      <c r="AF721">
        <v>2.2999999999999998</v>
      </c>
      <c r="AG721">
        <v>2.2999999999999998</v>
      </c>
      <c r="AH721" t="s">
        <v>237</v>
      </c>
      <c r="AI721" t="s">
        <v>237</v>
      </c>
      <c r="AJ721">
        <v>-4.3919195759028005E-3</v>
      </c>
      <c r="AK721">
        <v>0</v>
      </c>
      <c r="AL721">
        <v>4.3919195759028005E-3</v>
      </c>
      <c r="AM721" t="s">
        <v>41</v>
      </c>
      <c r="AN721" t="s">
        <v>42</v>
      </c>
      <c r="AO721" t="s">
        <v>42</v>
      </c>
      <c r="AP721" t="s">
        <v>31</v>
      </c>
    </row>
    <row r="722" spans="1:43" x14ac:dyDescent="0.2">
      <c r="A722">
        <v>720</v>
      </c>
      <c r="B722">
        <v>92</v>
      </c>
      <c r="C722">
        <v>6</v>
      </c>
      <c r="F722" t="s">
        <v>29</v>
      </c>
      <c r="G722" t="s">
        <v>1507</v>
      </c>
      <c r="I722">
        <v>2.8062477998261584E-5</v>
      </c>
      <c r="J722">
        <v>0.95856329201338997</v>
      </c>
      <c r="K722">
        <v>0.95856329201338997</v>
      </c>
      <c r="L722" s="1"/>
      <c r="M722" s="1"/>
      <c r="N722" s="1">
        <v>43021</v>
      </c>
      <c r="R722">
        <v>-6.4270987235110688E-3</v>
      </c>
      <c r="S722">
        <v>-6.4270987235110688E-3</v>
      </c>
      <c r="T722" t="s">
        <v>32</v>
      </c>
      <c r="U722" t="s">
        <v>32</v>
      </c>
      <c r="W722" t="s">
        <v>216</v>
      </c>
      <c r="Z722" t="s">
        <v>31</v>
      </c>
      <c r="AA722">
        <v>8.8794276572140545E-3</v>
      </c>
      <c r="AC722" t="s">
        <v>42</v>
      </c>
      <c r="AD722" t="s">
        <v>42</v>
      </c>
      <c r="AE722" t="s">
        <v>41</v>
      </c>
      <c r="AF722">
        <v>1.99</v>
      </c>
      <c r="AG722">
        <v>1.99</v>
      </c>
      <c r="AH722" t="s">
        <v>237</v>
      </c>
      <c r="AI722" t="s">
        <v>237</v>
      </c>
      <c r="AJ722">
        <v>-4.3662746140191999E-3</v>
      </c>
      <c r="AK722">
        <v>0</v>
      </c>
      <c r="AL722">
        <v>4.3662746140191999E-3</v>
      </c>
      <c r="AM722" t="s">
        <v>41</v>
      </c>
      <c r="AN722" t="s">
        <v>42</v>
      </c>
      <c r="AO722" t="s">
        <v>42</v>
      </c>
      <c r="AP722" t="s">
        <v>31</v>
      </c>
    </row>
    <row r="723" spans="1:43" x14ac:dyDescent="0.2">
      <c r="A723">
        <v>721</v>
      </c>
      <c r="B723">
        <v>95</v>
      </c>
      <c r="C723">
        <v>6</v>
      </c>
      <c r="F723" t="s">
        <v>29</v>
      </c>
      <c r="G723" t="s">
        <v>449</v>
      </c>
      <c r="I723">
        <v>5.9621523760327681E-5</v>
      </c>
      <c r="J723">
        <v>1.4439072019745001</v>
      </c>
      <c r="K723">
        <v>1.4439072019745001</v>
      </c>
      <c r="L723" s="1"/>
      <c r="M723" s="1"/>
      <c r="N723" s="1">
        <v>43021</v>
      </c>
      <c r="R723">
        <v>-1.7076343737775217E-2</v>
      </c>
      <c r="S723">
        <v>-1.7076343737775217E-2</v>
      </c>
      <c r="T723" t="s">
        <v>32</v>
      </c>
      <c r="U723" t="s">
        <v>32</v>
      </c>
      <c r="W723" t="s">
        <v>216</v>
      </c>
      <c r="Z723" t="s">
        <v>31</v>
      </c>
      <c r="AA723">
        <v>1.8865226623090595E-2</v>
      </c>
      <c r="AC723" t="s">
        <v>42</v>
      </c>
      <c r="AD723" t="s">
        <v>42</v>
      </c>
      <c r="AE723" t="s">
        <v>41</v>
      </c>
      <c r="AF723">
        <v>1.92</v>
      </c>
      <c r="AG723">
        <v>1.92</v>
      </c>
      <c r="AH723" t="s">
        <v>237</v>
      </c>
      <c r="AI723" t="s">
        <v>237</v>
      </c>
      <c r="AJ723">
        <v>-3.4914689394800998E-3</v>
      </c>
      <c r="AK723">
        <v>0</v>
      </c>
      <c r="AL723">
        <v>3.4914689394800998E-3</v>
      </c>
      <c r="AM723" t="s">
        <v>41</v>
      </c>
      <c r="AN723" t="s">
        <v>42</v>
      </c>
      <c r="AO723" t="s">
        <v>42</v>
      </c>
      <c r="AP723" t="s">
        <v>31</v>
      </c>
    </row>
    <row r="724" spans="1:43" x14ac:dyDescent="0.2">
      <c r="A724">
        <v>722</v>
      </c>
      <c r="B724">
        <v>95</v>
      </c>
      <c r="C724">
        <v>6</v>
      </c>
      <c r="F724" t="s">
        <v>29</v>
      </c>
      <c r="G724" t="s">
        <v>1508</v>
      </c>
      <c r="I724">
        <v>6.0577761637060732E-5</v>
      </c>
      <c r="J724">
        <v>1.9800609535395</v>
      </c>
      <c r="K724">
        <v>1.9800609535395</v>
      </c>
      <c r="L724" s="1"/>
      <c r="M724" s="1"/>
      <c r="N724" s="1">
        <v>43021</v>
      </c>
      <c r="R724">
        <v>-1.7076343737775217E-2</v>
      </c>
      <c r="S724">
        <v>-1.7076343737775217E-2</v>
      </c>
      <c r="T724" t="s">
        <v>32</v>
      </c>
      <c r="U724" t="s">
        <v>32</v>
      </c>
      <c r="W724" t="s">
        <v>216</v>
      </c>
      <c r="Z724" t="s">
        <v>31</v>
      </c>
      <c r="AA724">
        <v>1.9167795948937909E-2</v>
      </c>
      <c r="AC724" t="s">
        <v>42</v>
      </c>
      <c r="AD724" t="s">
        <v>42</v>
      </c>
      <c r="AE724" t="s">
        <v>41</v>
      </c>
      <c r="AF724">
        <v>2.1</v>
      </c>
      <c r="AG724">
        <v>2.1</v>
      </c>
      <c r="AH724" t="s">
        <v>237</v>
      </c>
      <c r="AI724" t="s">
        <v>237</v>
      </c>
      <c r="AJ724">
        <v>-3.5474667509213E-3</v>
      </c>
      <c r="AK724">
        <v>0</v>
      </c>
      <c r="AL724">
        <v>3.5474667509213E-3</v>
      </c>
      <c r="AM724" t="s">
        <v>41</v>
      </c>
      <c r="AN724" t="s">
        <v>42</v>
      </c>
      <c r="AO724" t="s">
        <v>42</v>
      </c>
      <c r="AP724" t="s">
        <v>31</v>
      </c>
    </row>
    <row r="725" spans="1:43" x14ac:dyDescent="0.2">
      <c r="A725">
        <v>723</v>
      </c>
      <c r="B725">
        <v>101</v>
      </c>
      <c r="C725">
        <v>6</v>
      </c>
      <c r="F725" t="s">
        <v>29</v>
      </c>
      <c r="G725" t="s">
        <v>1509</v>
      </c>
      <c r="I725">
        <v>8.7197733935853036E-5</v>
      </c>
      <c r="J725">
        <v>5.9361336089155996</v>
      </c>
      <c r="K725">
        <v>5.9361336089155996</v>
      </c>
      <c r="L725" s="1"/>
      <c r="M725" s="1"/>
      <c r="N725" s="1">
        <v>43021</v>
      </c>
      <c r="R725">
        <v>-2.4503300094715318E-2</v>
      </c>
      <c r="S725">
        <v>-2.4503300094715318E-2</v>
      </c>
      <c r="T725" t="s">
        <v>32</v>
      </c>
      <c r="U725" t="s">
        <v>32</v>
      </c>
      <c r="W725" t="s">
        <v>216</v>
      </c>
      <c r="Z725" t="s">
        <v>31</v>
      </c>
      <c r="AA725">
        <v>2.7590791176900709E-2</v>
      </c>
      <c r="AC725" t="s">
        <v>42</v>
      </c>
      <c r="AD725" t="s">
        <v>42</v>
      </c>
      <c r="AE725" t="s">
        <v>41</v>
      </c>
      <c r="AF725">
        <v>2.42</v>
      </c>
      <c r="AG725">
        <v>2.42</v>
      </c>
      <c r="AH725" t="s">
        <v>237</v>
      </c>
      <c r="AI725" t="s">
        <v>237</v>
      </c>
      <c r="AJ725">
        <v>-3.5586118440699001E-3</v>
      </c>
      <c r="AK725">
        <v>0</v>
      </c>
      <c r="AL725">
        <v>3.5586118440699001E-3</v>
      </c>
      <c r="AM725" t="s">
        <v>41</v>
      </c>
      <c r="AN725" t="s">
        <v>42</v>
      </c>
      <c r="AO725" t="s">
        <v>42</v>
      </c>
      <c r="AP725" t="s">
        <v>31</v>
      </c>
    </row>
    <row r="726" spans="1:43" x14ac:dyDescent="0.2">
      <c r="A726">
        <v>724</v>
      </c>
      <c r="B726">
        <v>101</v>
      </c>
      <c r="C726">
        <v>6</v>
      </c>
      <c r="D726">
        <v>11000</v>
      </c>
      <c r="E726" t="s">
        <v>417</v>
      </c>
      <c r="F726" t="s">
        <v>29</v>
      </c>
      <c r="G726" t="s">
        <v>818</v>
      </c>
      <c r="H726">
        <v>3.3995413263708182E-2</v>
      </c>
      <c r="I726">
        <v>-2.5520614306363204E-5</v>
      </c>
      <c r="J726">
        <v>6.17</v>
      </c>
      <c r="K726">
        <v>6.1839882667061001</v>
      </c>
      <c r="L726" s="1">
        <v>45505</v>
      </c>
      <c r="M726" s="1">
        <v>43024</v>
      </c>
      <c r="N726" s="1">
        <v>43021</v>
      </c>
      <c r="R726">
        <v>-2.4503300094715318E-2</v>
      </c>
      <c r="S726">
        <v>-2.4503300094715318E-2</v>
      </c>
      <c r="T726" t="s">
        <v>32</v>
      </c>
      <c r="U726" t="s">
        <v>32</v>
      </c>
      <c r="V726">
        <v>304828139</v>
      </c>
      <c r="W726" t="s">
        <v>216</v>
      </c>
      <c r="X726" t="s">
        <v>419</v>
      </c>
      <c r="Y726">
        <v>11000</v>
      </c>
      <c r="Z726" t="s">
        <v>31</v>
      </c>
      <c r="AA726">
        <v>-8.0751403534303733E-3</v>
      </c>
      <c r="AB726">
        <v>103.29</v>
      </c>
      <c r="AC726" t="s">
        <v>42</v>
      </c>
      <c r="AD726" t="s">
        <v>42</v>
      </c>
      <c r="AE726" t="s">
        <v>41</v>
      </c>
      <c r="AF726">
        <v>1.2111791297699341E-3</v>
      </c>
      <c r="AG726">
        <v>2.48</v>
      </c>
      <c r="AH726" t="s">
        <v>237</v>
      </c>
      <c r="AI726" t="s">
        <v>237</v>
      </c>
      <c r="AJ726">
        <v>1.0415174367418081E-3</v>
      </c>
      <c r="AK726">
        <v>5.5097914527890085E-3</v>
      </c>
      <c r="AL726">
        <v>4.4682740160472004E-3</v>
      </c>
      <c r="AM726" t="s">
        <v>41</v>
      </c>
      <c r="AN726" t="s">
        <v>142</v>
      </c>
      <c r="AO726" t="s">
        <v>42</v>
      </c>
      <c r="AP726" t="s">
        <v>31</v>
      </c>
      <c r="AQ726">
        <v>6.6733444170028128E-6</v>
      </c>
    </row>
    <row r="727" spans="1:43" x14ac:dyDescent="0.2">
      <c r="A727">
        <v>725</v>
      </c>
      <c r="B727">
        <v>95</v>
      </c>
      <c r="C727">
        <v>6</v>
      </c>
      <c r="F727" t="s">
        <v>29</v>
      </c>
      <c r="G727" t="s">
        <v>1510</v>
      </c>
      <c r="I727">
        <v>7.4964954701362991E-5</v>
      </c>
      <c r="J727">
        <v>1.7566399339459999</v>
      </c>
      <c r="K727">
        <v>1.7566399339459999</v>
      </c>
      <c r="L727" s="1"/>
      <c r="M727" s="1"/>
      <c r="N727" s="1">
        <v>43021</v>
      </c>
      <c r="R727">
        <v>-1.7076343737775217E-2</v>
      </c>
      <c r="S727">
        <v>-1.7076343737775217E-2</v>
      </c>
      <c r="T727" t="s">
        <v>32</v>
      </c>
      <c r="U727" t="s">
        <v>32</v>
      </c>
      <c r="W727" t="s">
        <v>216</v>
      </c>
      <c r="Z727" t="s">
        <v>31</v>
      </c>
      <c r="AA727">
        <v>2.3720139473724193E-2</v>
      </c>
      <c r="AC727" t="s">
        <v>42</v>
      </c>
      <c r="AD727" t="s">
        <v>42</v>
      </c>
      <c r="AE727" t="s">
        <v>41</v>
      </c>
      <c r="AF727">
        <v>2.15</v>
      </c>
      <c r="AG727">
        <v>2.15</v>
      </c>
      <c r="AH727" t="s">
        <v>237</v>
      </c>
      <c r="AI727" t="s">
        <v>237</v>
      </c>
      <c r="AJ727">
        <v>-4.3899886212486004E-3</v>
      </c>
      <c r="AK727">
        <v>0</v>
      </c>
      <c r="AL727">
        <v>4.3899886212486004E-3</v>
      </c>
      <c r="AM727" t="s">
        <v>41</v>
      </c>
      <c r="AN727" t="s">
        <v>42</v>
      </c>
      <c r="AO727" t="s">
        <v>42</v>
      </c>
      <c r="AP727" t="s">
        <v>31</v>
      </c>
    </row>
    <row r="728" spans="1:43" x14ac:dyDescent="0.2">
      <c r="A728">
        <v>726</v>
      </c>
      <c r="B728">
        <v>101</v>
      </c>
      <c r="C728">
        <v>6</v>
      </c>
      <c r="D728">
        <v>10000</v>
      </c>
      <c r="E728" t="s">
        <v>417</v>
      </c>
      <c r="F728" t="s">
        <v>29</v>
      </c>
      <c r="G728" t="s">
        <v>819</v>
      </c>
      <c r="H728">
        <v>3.4247894285397672E-2</v>
      </c>
      <c r="I728">
        <v>-1.3427922678264124E-5</v>
      </c>
      <c r="J728">
        <v>6.74</v>
      </c>
      <c r="K728">
        <v>6.7464031580955997</v>
      </c>
      <c r="L728" s="1">
        <v>45778</v>
      </c>
      <c r="M728" s="1">
        <v>43024</v>
      </c>
      <c r="N728" s="1">
        <v>43021</v>
      </c>
      <c r="R728">
        <v>-2.4503300094715318E-2</v>
      </c>
      <c r="S728">
        <v>-2.4503300094715318E-2</v>
      </c>
      <c r="T728" t="s">
        <v>32</v>
      </c>
      <c r="U728" t="s">
        <v>32</v>
      </c>
      <c r="V728">
        <v>281121377</v>
      </c>
      <c r="W728" t="s">
        <v>216</v>
      </c>
      <c r="X728" t="s">
        <v>419</v>
      </c>
      <c r="Y728">
        <v>10000</v>
      </c>
      <c r="Z728" t="s">
        <v>31</v>
      </c>
      <c r="AA728">
        <v>-4.2488146633271832E-3</v>
      </c>
      <c r="AB728">
        <v>104.01</v>
      </c>
      <c r="AC728" t="s">
        <v>42</v>
      </c>
      <c r="AD728" t="s">
        <v>42</v>
      </c>
      <c r="AE728" t="s">
        <v>41</v>
      </c>
      <c r="AF728">
        <v>6.1117912976993427E-4</v>
      </c>
      <c r="AG728">
        <v>2.41</v>
      </c>
      <c r="AH728" t="s">
        <v>237</v>
      </c>
      <c r="AI728" t="s">
        <v>237</v>
      </c>
      <c r="AJ728">
        <v>5.4800466167249668E-4</v>
      </c>
      <c r="AK728">
        <v>5.0812899533230968E-3</v>
      </c>
      <c r="AL728">
        <v>4.5332852916506001E-3</v>
      </c>
      <c r="AM728" t="s">
        <v>41</v>
      </c>
      <c r="AN728" t="s">
        <v>142</v>
      </c>
      <c r="AO728" t="s">
        <v>42</v>
      </c>
      <c r="AP728" t="s">
        <v>31</v>
      </c>
      <c r="AQ728">
        <v>3.1055783717807204E-6</v>
      </c>
    </row>
    <row r="729" spans="1:43" x14ac:dyDescent="0.2">
      <c r="A729">
        <v>727</v>
      </c>
      <c r="B729">
        <v>101</v>
      </c>
      <c r="C729">
        <v>6</v>
      </c>
      <c r="D729">
        <v>15000</v>
      </c>
      <c r="E729" t="s">
        <v>417</v>
      </c>
      <c r="F729" t="s">
        <v>29</v>
      </c>
      <c r="G729" t="s">
        <v>820</v>
      </c>
      <c r="H729">
        <v>5.4028416084094276E-2</v>
      </c>
      <c r="I729">
        <v>-7.4883988476565365E-5</v>
      </c>
      <c r="J729">
        <v>7.15</v>
      </c>
      <c r="K729">
        <v>7.1660880009549004</v>
      </c>
      <c r="L729" s="1">
        <v>45931</v>
      </c>
      <c r="M729" s="1">
        <v>43024</v>
      </c>
      <c r="N729" s="1">
        <v>43021</v>
      </c>
      <c r="R729">
        <v>-2.4503300094715318E-2</v>
      </c>
      <c r="S729">
        <v>-2.4503300094715318E-2</v>
      </c>
      <c r="T729" t="s">
        <v>32</v>
      </c>
      <c r="U729" t="s">
        <v>32</v>
      </c>
      <c r="V729">
        <v>418057566</v>
      </c>
      <c r="W729" t="s">
        <v>216</v>
      </c>
      <c r="X729" t="s">
        <v>419</v>
      </c>
      <c r="Y729">
        <v>15000</v>
      </c>
      <c r="Z729" t="s">
        <v>31</v>
      </c>
      <c r="AA729">
        <v>-2.3694520434100794E-2</v>
      </c>
      <c r="AB729">
        <v>104.41</v>
      </c>
      <c r="AC729" t="s">
        <v>42</v>
      </c>
      <c r="AD729" t="s">
        <v>42</v>
      </c>
      <c r="AE729" t="s">
        <v>41</v>
      </c>
      <c r="AF729">
        <v>4.1117912976993548E-4</v>
      </c>
      <c r="AG729">
        <v>2.38</v>
      </c>
      <c r="AH729" t="s">
        <v>237</v>
      </c>
      <c r="AI729" t="s">
        <v>237</v>
      </c>
      <c r="AJ729">
        <v>3.0560776788068544E-3</v>
      </c>
      <c r="AK729">
        <v>7.5564218299432545E-3</v>
      </c>
      <c r="AL729">
        <v>4.5003441511364001E-3</v>
      </c>
      <c r="AM729" t="s">
        <v>41</v>
      </c>
      <c r="AN729" t="s">
        <v>142</v>
      </c>
      <c r="AO729" t="s">
        <v>42</v>
      </c>
      <c r="AP729" t="s">
        <v>31</v>
      </c>
      <c r="AQ729">
        <v>3.107042952210611E-6</v>
      </c>
    </row>
    <row r="730" spans="1:43" x14ac:dyDescent="0.2">
      <c r="A730">
        <v>728</v>
      </c>
      <c r="B730">
        <v>101</v>
      </c>
      <c r="C730">
        <v>6</v>
      </c>
      <c r="F730" t="s">
        <v>29</v>
      </c>
      <c r="G730" t="s">
        <v>1511</v>
      </c>
      <c r="I730">
        <v>1.1106123459812035E-4</v>
      </c>
      <c r="J730">
        <v>7.7038719409076002</v>
      </c>
      <c r="K730">
        <v>7.7038719409076002</v>
      </c>
      <c r="L730" s="1"/>
      <c r="M730" s="1"/>
      <c r="N730" s="1">
        <v>43021</v>
      </c>
      <c r="R730">
        <v>-2.4503300094715318E-2</v>
      </c>
      <c r="S730">
        <v>-2.4503300094715318E-2</v>
      </c>
      <c r="T730" t="s">
        <v>32</v>
      </c>
      <c r="U730" t="s">
        <v>32</v>
      </c>
      <c r="AA730">
        <v>3.5141593632464635E-2</v>
      </c>
      <c r="AC730" t="s">
        <v>42</v>
      </c>
      <c r="AD730" t="s">
        <v>42</v>
      </c>
      <c r="AF730">
        <v>2.42</v>
      </c>
      <c r="AG730">
        <v>2.42</v>
      </c>
      <c r="AH730" t="s">
        <v>237</v>
      </c>
      <c r="AI730" t="s">
        <v>237</v>
      </c>
      <c r="AJ730">
        <v>-4.5325010985795E-3</v>
      </c>
      <c r="AK730">
        <v>0</v>
      </c>
      <c r="AL730">
        <v>4.5325010985795E-3</v>
      </c>
      <c r="AN730" t="s">
        <v>42</v>
      </c>
      <c r="AO730" t="s">
        <v>42</v>
      </c>
    </row>
    <row r="731" spans="1:43" x14ac:dyDescent="0.2">
      <c r="A731">
        <v>729</v>
      </c>
      <c r="B731">
        <v>104</v>
      </c>
      <c r="C731">
        <v>6</v>
      </c>
      <c r="D731">
        <v>100000000</v>
      </c>
      <c r="E731" t="s">
        <v>440</v>
      </c>
      <c r="F731" t="s">
        <v>29</v>
      </c>
      <c r="G731" t="s">
        <v>522</v>
      </c>
      <c r="H731">
        <v>4.752791002021601E-4</v>
      </c>
      <c r="I731">
        <v>-1.457411088986E-7</v>
      </c>
      <c r="J731">
        <v>0.65</v>
      </c>
      <c r="L731" s="1">
        <v>43358</v>
      </c>
      <c r="M731" s="1">
        <v>43024</v>
      </c>
      <c r="N731" s="1"/>
      <c r="R731">
        <v>-1.9931808645445555E-4</v>
      </c>
      <c r="T731" t="s">
        <v>39</v>
      </c>
      <c r="V731">
        <v>40453421</v>
      </c>
      <c r="W731" t="s">
        <v>442</v>
      </c>
      <c r="X731" t="s">
        <v>443</v>
      </c>
      <c r="Y731">
        <v>100000000</v>
      </c>
      <c r="Z731" t="s">
        <v>31</v>
      </c>
      <c r="AA731">
        <v>-4.611487386208164E-5</v>
      </c>
      <c r="AB731">
        <v>100.7</v>
      </c>
      <c r="AC731" t="s">
        <v>34</v>
      </c>
      <c r="AE731" t="s">
        <v>41</v>
      </c>
      <c r="AF731">
        <v>4.1000000000000002E-2</v>
      </c>
      <c r="AH731" t="s">
        <v>237</v>
      </c>
      <c r="AJ731">
        <v>7.3119861569563094E-4</v>
      </c>
      <c r="AK731">
        <v>7.3119861569563094E-4</v>
      </c>
      <c r="AL731">
        <v>0</v>
      </c>
      <c r="AN731" t="s">
        <v>54</v>
      </c>
      <c r="AQ731">
        <v>2.9979143243520871E-5</v>
      </c>
    </row>
    <row r="732" spans="1:43" x14ac:dyDescent="0.2">
      <c r="A732">
        <v>730</v>
      </c>
      <c r="B732">
        <v>93</v>
      </c>
      <c r="C732">
        <v>6</v>
      </c>
      <c r="D732">
        <v>6000</v>
      </c>
      <c r="E732" t="s">
        <v>440</v>
      </c>
      <c r="F732" t="s">
        <v>29</v>
      </c>
      <c r="G732" t="s">
        <v>441</v>
      </c>
      <c r="H732">
        <v>2.0125992596099411E-3</v>
      </c>
      <c r="I732">
        <v>-1.510979326023928E-5</v>
      </c>
      <c r="J732">
        <v>0.85</v>
      </c>
      <c r="L732" s="1">
        <v>43617</v>
      </c>
      <c r="M732" s="1">
        <v>43024</v>
      </c>
      <c r="N732" s="1"/>
      <c r="R732">
        <v>-6.3814612918483005E-3</v>
      </c>
      <c r="T732" t="s">
        <v>32</v>
      </c>
      <c r="V732">
        <v>130996073</v>
      </c>
      <c r="W732" t="s">
        <v>442</v>
      </c>
      <c r="X732" t="s">
        <v>443</v>
      </c>
      <c r="Y732">
        <v>6000</v>
      </c>
      <c r="Z732" t="s">
        <v>31</v>
      </c>
      <c r="AA732">
        <v>-4.7809860618177238E-3</v>
      </c>
      <c r="AB732">
        <v>100.95</v>
      </c>
      <c r="AC732" t="s">
        <v>34</v>
      </c>
      <c r="AE732" t="s">
        <v>41</v>
      </c>
      <c r="AF732">
        <v>2.4111791297699338E-3</v>
      </c>
      <c r="AH732" t="s">
        <v>237</v>
      </c>
      <c r="AJ732">
        <v>2.367763834835225E-3</v>
      </c>
      <c r="AK732">
        <v>2.367763834835225E-3</v>
      </c>
      <c r="AL732">
        <v>0</v>
      </c>
      <c r="AN732" t="s">
        <v>54</v>
      </c>
      <c r="AQ732">
        <v>5.709102742778719E-6</v>
      </c>
    </row>
    <row r="733" spans="1:43" x14ac:dyDescent="0.2">
      <c r="A733">
        <v>731</v>
      </c>
      <c r="B733">
        <v>96</v>
      </c>
      <c r="C733">
        <v>6</v>
      </c>
      <c r="D733">
        <v>20000</v>
      </c>
      <c r="E733" t="s">
        <v>440</v>
      </c>
      <c r="F733" t="s">
        <v>29</v>
      </c>
      <c r="G733" t="s">
        <v>821</v>
      </c>
      <c r="H733">
        <v>2.9901068309468981E-2</v>
      </c>
      <c r="I733">
        <v>-1.3242383123322863E-4</v>
      </c>
      <c r="J733">
        <v>2.93</v>
      </c>
      <c r="K733">
        <v>2.9447692896333999</v>
      </c>
      <c r="L733" s="1">
        <v>44166</v>
      </c>
      <c r="M733" s="1">
        <v>43024</v>
      </c>
      <c r="N733" s="1">
        <v>43021</v>
      </c>
      <c r="R733">
        <v>-1.9353706235684085E-2</v>
      </c>
      <c r="S733">
        <v>-1.9353706235684085E-2</v>
      </c>
      <c r="T733" t="s">
        <v>32</v>
      </c>
      <c r="U733" t="s">
        <v>32</v>
      </c>
      <c r="V733">
        <v>564597536</v>
      </c>
      <c r="W733" t="s">
        <v>442</v>
      </c>
      <c r="X733" t="s">
        <v>443</v>
      </c>
      <c r="Y733">
        <v>20000</v>
      </c>
      <c r="Z733" t="s">
        <v>31</v>
      </c>
      <c r="AA733">
        <v>-4.1901069093022297E-2</v>
      </c>
      <c r="AB733">
        <v>104.34</v>
      </c>
      <c r="AC733" t="s">
        <v>34</v>
      </c>
      <c r="AD733" t="s">
        <v>34</v>
      </c>
      <c r="AE733" t="s">
        <v>41</v>
      </c>
      <c r="AF733">
        <v>1.4111791297699364E-3</v>
      </c>
      <c r="AG733">
        <v>2.52</v>
      </c>
      <c r="AH733" t="s">
        <v>237</v>
      </c>
      <c r="AI733" t="s">
        <v>237</v>
      </c>
      <c r="AJ733">
        <v>6.8422982978354543E-3</v>
      </c>
      <c r="AK733">
        <v>1.0205142767736854E-2</v>
      </c>
      <c r="AL733">
        <v>3.3628444699013997E-3</v>
      </c>
      <c r="AM733" t="s">
        <v>41</v>
      </c>
      <c r="AN733" t="s">
        <v>54</v>
      </c>
      <c r="AO733" t="s">
        <v>34</v>
      </c>
      <c r="AP733" t="s">
        <v>31</v>
      </c>
      <c r="AQ733">
        <v>1.4401284490152854E-5</v>
      </c>
    </row>
    <row r="734" spans="1:43" x14ac:dyDescent="0.2">
      <c r="A734">
        <v>732</v>
      </c>
      <c r="B734">
        <v>107</v>
      </c>
      <c r="C734">
        <v>6</v>
      </c>
      <c r="D734">
        <v>250000000</v>
      </c>
      <c r="E734" t="s">
        <v>440</v>
      </c>
      <c r="F734" t="s">
        <v>29</v>
      </c>
      <c r="G734" t="s">
        <v>532</v>
      </c>
      <c r="H734">
        <v>5.7328823167878936E-3</v>
      </c>
      <c r="I734">
        <v>-5.198514433521262E-6</v>
      </c>
      <c r="J734">
        <v>1.24</v>
      </c>
      <c r="L734" s="1">
        <v>43862</v>
      </c>
      <c r="M734" s="1">
        <v>43024</v>
      </c>
      <c r="N734" s="1"/>
      <c r="R734">
        <v>-1.1244183189823643E-3</v>
      </c>
      <c r="T734" t="s">
        <v>39</v>
      </c>
      <c r="V734">
        <v>255782740</v>
      </c>
      <c r="W734" t="s">
        <v>442</v>
      </c>
      <c r="X734" t="s">
        <v>443</v>
      </c>
      <c r="Y734">
        <v>250000000</v>
      </c>
      <c r="Z734" t="s">
        <v>31</v>
      </c>
      <c r="AA734">
        <v>-1.6448951101287156E-3</v>
      </c>
      <c r="AB734">
        <v>101.18</v>
      </c>
      <c r="AC734" t="s">
        <v>34</v>
      </c>
      <c r="AE734" t="s">
        <v>41</v>
      </c>
      <c r="AF734">
        <v>4.4999999999999998E-2</v>
      </c>
      <c r="AH734" t="s">
        <v>237</v>
      </c>
      <c r="AJ734">
        <v>4.6232921909579788E-3</v>
      </c>
      <c r="AK734">
        <v>4.6232921909579788E-3</v>
      </c>
      <c r="AL734">
        <v>0</v>
      </c>
      <c r="AN734" t="s">
        <v>54</v>
      </c>
      <c r="AQ734">
        <v>2.0804814859310905E-4</v>
      </c>
    </row>
    <row r="735" spans="1:43" x14ac:dyDescent="0.2">
      <c r="A735">
        <v>733</v>
      </c>
      <c r="B735">
        <v>107</v>
      </c>
      <c r="C735">
        <v>6</v>
      </c>
      <c r="D735">
        <v>300000000</v>
      </c>
      <c r="E735" t="s">
        <v>440</v>
      </c>
      <c r="F735" t="s">
        <v>29</v>
      </c>
      <c r="G735" t="s">
        <v>822</v>
      </c>
      <c r="H735">
        <v>9.0266108057100187E-3</v>
      </c>
      <c r="I735">
        <v>-6.2268015633524573E-6</v>
      </c>
      <c r="J735">
        <v>1.63</v>
      </c>
      <c r="L735" s="1">
        <v>44014</v>
      </c>
      <c r="M735" s="1">
        <v>43024</v>
      </c>
      <c r="N735" s="1"/>
      <c r="R735">
        <v>-1.1244183189823643E-3</v>
      </c>
      <c r="T735" t="s">
        <v>39</v>
      </c>
      <c r="V735">
        <v>306377598</v>
      </c>
      <c r="W735" t="s">
        <v>442</v>
      </c>
      <c r="X735" t="s">
        <v>443</v>
      </c>
      <c r="Y735">
        <v>300000000</v>
      </c>
      <c r="Z735" t="s">
        <v>31</v>
      </c>
      <c r="AA735">
        <v>-1.970261999707961E-3</v>
      </c>
      <c r="AB735">
        <v>100.66</v>
      </c>
      <c r="AC735" t="s">
        <v>34</v>
      </c>
      <c r="AE735" t="s">
        <v>41</v>
      </c>
      <c r="AF735">
        <v>4.6699999999999998E-2</v>
      </c>
      <c r="AH735" t="s">
        <v>237</v>
      </c>
      <c r="AJ735">
        <v>5.5377980403128954E-3</v>
      </c>
      <c r="AK735">
        <v>5.5377980403128954E-3</v>
      </c>
      <c r="AL735">
        <v>0</v>
      </c>
      <c r="AN735" t="s">
        <v>54</v>
      </c>
      <c r="AQ735">
        <v>2.5861516848261221E-4</v>
      </c>
    </row>
    <row r="736" spans="1:43" x14ac:dyDescent="0.2">
      <c r="A736">
        <v>734</v>
      </c>
      <c r="B736">
        <v>99</v>
      </c>
      <c r="C736">
        <v>6</v>
      </c>
      <c r="D736">
        <v>10000</v>
      </c>
      <c r="E736" t="s">
        <v>440</v>
      </c>
      <c r="F736" t="s">
        <v>29</v>
      </c>
      <c r="G736" t="s">
        <v>823</v>
      </c>
      <c r="H736">
        <v>2.3873661450726068E-2</v>
      </c>
      <c r="I736">
        <v>-4.2394643290158326E-5</v>
      </c>
      <c r="J736">
        <v>4.97</v>
      </c>
      <c r="K736">
        <v>4.9796512779192996</v>
      </c>
      <c r="L736" s="1">
        <v>45417</v>
      </c>
      <c r="M736" s="1">
        <v>43024</v>
      </c>
      <c r="N736" s="1">
        <v>43021</v>
      </c>
      <c r="R736">
        <v>-1.4967484789654954E-2</v>
      </c>
      <c r="S736">
        <v>-1.4967484789654954E-2</v>
      </c>
      <c r="T736" t="s">
        <v>32</v>
      </c>
      <c r="U736" t="s">
        <v>32</v>
      </c>
      <c r="V736">
        <v>265755668</v>
      </c>
      <c r="W736" t="s">
        <v>442</v>
      </c>
      <c r="X736" t="s">
        <v>443</v>
      </c>
      <c r="Y736">
        <v>10000</v>
      </c>
      <c r="Z736" t="s">
        <v>31</v>
      </c>
      <c r="AA736">
        <v>-1.341435949354422E-2</v>
      </c>
      <c r="AB736">
        <v>98.69</v>
      </c>
      <c r="AC736" t="s">
        <v>34</v>
      </c>
      <c r="AD736" t="s">
        <v>34</v>
      </c>
      <c r="AE736" t="s">
        <v>41</v>
      </c>
      <c r="AF736">
        <v>1.6111791297699352E-3</v>
      </c>
      <c r="AG736">
        <v>2.52</v>
      </c>
      <c r="AH736" t="s">
        <v>237</v>
      </c>
      <c r="AI736" t="s">
        <v>237</v>
      </c>
      <c r="AJ736">
        <v>2.8324493985429099E-3</v>
      </c>
      <c r="AK736">
        <v>4.8035536118161103E-3</v>
      </c>
      <c r="AL736">
        <v>1.9711042132732003E-3</v>
      </c>
      <c r="AM736" t="s">
        <v>41</v>
      </c>
      <c r="AN736" t="s">
        <v>54</v>
      </c>
      <c r="AO736" t="s">
        <v>34</v>
      </c>
      <c r="AP736" t="s">
        <v>31</v>
      </c>
      <c r="AQ736">
        <v>7.7393853280891097E-6</v>
      </c>
    </row>
    <row r="737" spans="1:43" x14ac:dyDescent="0.2">
      <c r="A737">
        <v>735</v>
      </c>
      <c r="B737">
        <v>89</v>
      </c>
      <c r="C737">
        <v>6</v>
      </c>
      <c r="D737">
        <v>5000</v>
      </c>
      <c r="E737" t="s">
        <v>325</v>
      </c>
      <c r="F737" t="s">
        <v>29</v>
      </c>
      <c r="G737" t="s">
        <v>824</v>
      </c>
      <c r="H737">
        <v>8.8590902978479911E-3</v>
      </c>
      <c r="I737">
        <v>2.1293949806093232E-6</v>
      </c>
      <c r="J737">
        <v>3.33</v>
      </c>
      <c r="K737">
        <v>3.3439106901761</v>
      </c>
      <c r="L737" s="1">
        <v>44378</v>
      </c>
      <c r="M737" s="1">
        <v>43024</v>
      </c>
      <c r="N737" s="1">
        <v>43021</v>
      </c>
      <c r="R737">
        <v>-1.1711705840867699E-2</v>
      </c>
      <c r="S737">
        <v>-1.1711705840867699E-2</v>
      </c>
      <c r="T737" t="s">
        <v>32</v>
      </c>
      <c r="U737" t="s">
        <v>32</v>
      </c>
      <c r="V737">
        <v>147185419</v>
      </c>
      <c r="W737" t="s">
        <v>325</v>
      </c>
      <c r="X737" t="s">
        <v>825</v>
      </c>
      <c r="Y737">
        <v>5000</v>
      </c>
      <c r="Z737" t="s">
        <v>31</v>
      </c>
      <c r="AA737">
        <v>6.7377544795318902E-4</v>
      </c>
      <c r="AB737">
        <v>108.46</v>
      </c>
      <c r="AC737" t="s">
        <v>142</v>
      </c>
      <c r="AD737" t="s">
        <v>142</v>
      </c>
      <c r="AE737" t="s">
        <v>44</v>
      </c>
      <c r="AF737">
        <v>1.3211179129769934E-2</v>
      </c>
      <c r="AG737">
        <v>3.71</v>
      </c>
      <c r="AH737" t="s">
        <v>237</v>
      </c>
      <c r="AI737" t="s">
        <v>237</v>
      </c>
      <c r="AJ737">
        <v>-1.8181766256277149E-4</v>
      </c>
      <c r="AK737">
        <v>2.6603874768312283E-3</v>
      </c>
      <c r="AL737">
        <v>2.8422051393939998E-3</v>
      </c>
      <c r="AM737" t="s">
        <v>44</v>
      </c>
      <c r="AN737" t="s">
        <v>146</v>
      </c>
      <c r="AO737" t="s">
        <v>142</v>
      </c>
      <c r="AP737" t="s">
        <v>31</v>
      </c>
      <c r="AQ737">
        <v>3.5146855511014019E-5</v>
      </c>
    </row>
    <row r="738" spans="1:43" x14ac:dyDescent="0.2">
      <c r="A738">
        <v>736</v>
      </c>
      <c r="B738">
        <v>89</v>
      </c>
      <c r="C738">
        <v>6</v>
      </c>
      <c r="D738">
        <v>20000</v>
      </c>
      <c r="E738" t="s">
        <v>325</v>
      </c>
      <c r="F738" t="s">
        <v>29</v>
      </c>
      <c r="G738" t="s">
        <v>826</v>
      </c>
      <c r="H738">
        <v>3.7142831390833103E-2</v>
      </c>
      <c r="I738">
        <v>-9.1039893913067246E-5</v>
      </c>
      <c r="J738">
        <v>3.5</v>
      </c>
      <c r="K738">
        <v>3.5138663573689</v>
      </c>
      <c r="L738" s="1">
        <v>44440</v>
      </c>
      <c r="M738" s="1">
        <v>43024</v>
      </c>
      <c r="N738" s="1">
        <v>43021</v>
      </c>
      <c r="R738">
        <v>-1.1711705840867699E-2</v>
      </c>
      <c r="S738">
        <v>-1.1711705840867699E-2</v>
      </c>
      <c r="T738" t="s">
        <v>32</v>
      </c>
      <c r="U738" t="s">
        <v>32</v>
      </c>
      <c r="V738">
        <v>587119975</v>
      </c>
      <c r="W738" t="s">
        <v>325</v>
      </c>
      <c r="X738" t="s">
        <v>825</v>
      </c>
      <c r="Y738">
        <v>20000</v>
      </c>
      <c r="Z738" t="s">
        <v>31</v>
      </c>
      <c r="AA738">
        <v>-2.8806513522134449E-2</v>
      </c>
      <c r="AB738">
        <v>109.28</v>
      </c>
      <c r="AC738" t="s">
        <v>142</v>
      </c>
      <c r="AD738" t="s">
        <v>142</v>
      </c>
      <c r="AE738" t="s">
        <v>44</v>
      </c>
      <c r="AF738">
        <v>1.2211179129769933E-2</v>
      </c>
      <c r="AG738">
        <v>3.59</v>
      </c>
      <c r="AH738" t="s">
        <v>237</v>
      </c>
      <c r="AI738" t="s">
        <v>237</v>
      </c>
      <c r="AJ738">
        <v>7.7734102230766298E-3</v>
      </c>
      <c r="AK738">
        <v>1.061223754023803E-2</v>
      </c>
      <c r="AL738">
        <v>2.8388273171613999E-3</v>
      </c>
      <c r="AM738" t="s">
        <v>44</v>
      </c>
      <c r="AN738" t="s">
        <v>146</v>
      </c>
      <c r="AO738" t="s">
        <v>142</v>
      </c>
      <c r="AP738" t="s">
        <v>31</v>
      </c>
      <c r="AQ738">
        <v>1.2958793357151563E-4</v>
      </c>
    </row>
    <row r="739" spans="1:43" x14ac:dyDescent="0.2">
      <c r="A739">
        <v>737</v>
      </c>
      <c r="B739">
        <v>93</v>
      </c>
      <c r="C739">
        <v>6</v>
      </c>
      <c r="F739" t="s">
        <v>29</v>
      </c>
      <c r="G739" t="s">
        <v>434</v>
      </c>
      <c r="I739">
        <v>1.1205876473479581E-5</v>
      </c>
      <c r="J739">
        <v>0.55597016415043998</v>
      </c>
      <c r="K739">
        <v>0.55597016415043998</v>
      </c>
      <c r="L739" s="1"/>
      <c r="M739" s="1"/>
      <c r="N739" s="1">
        <v>43021</v>
      </c>
      <c r="R739">
        <v>-6.3814612918483005E-3</v>
      </c>
      <c r="S739">
        <v>-6.3814612918483005E-3</v>
      </c>
      <c r="T739" t="s">
        <v>32</v>
      </c>
      <c r="U739" t="s">
        <v>32</v>
      </c>
      <c r="W739" t="s">
        <v>327</v>
      </c>
      <c r="Z739" t="s">
        <v>31</v>
      </c>
      <c r="AA739">
        <v>3.5457228505658988E-3</v>
      </c>
      <c r="AC739" t="s">
        <v>34</v>
      </c>
      <c r="AD739" t="s">
        <v>34</v>
      </c>
      <c r="AE739" t="s">
        <v>35</v>
      </c>
      <c r="AF739">
        <v>2.4500000000000002</v>
      </c>
      <c r="AG739">
        <v>2.4500000000000002</v>
      </c>
      <c r="AH739" t="s">
        <v>237</v>
      </c>
      <c r="AI739" t="s">
        <v>237</v>
      </c>
      <c r="AJ739">
        <v>-1.7560047708499E-3</v>
      </c>
      <c r="AK739">
        <v>0</v>
      </c>
      <c r="AL739">
        <v>1.7560047708499E-3</v>
      </c>
      <c r="AM739" t="s">
        <v>35</v>
      </c>
      <c r="AN739" t="s">
        <v>34</v>
      </c>
      <c r="AO739" t="s">
        <v>34</v>
      </c>
      <c r="AP739" t="s">
        <v>31</v>
      </c>
    </row>
    <row r="740" spans="1:43" x14ac:dyDescent="0.2">
      <c r="A740">
        <v>738</v>
      </c>
      <c r="B740">
        <v>102</v>
      </c>
      <c r="C740">
        <v>6</v>
      </c>
      <c r="F740" t="s">
        <v>29</v>
      </c>
      <c r="G740" t="s">
        <v>827</v>
      </c>
      <c r="I740">
        <v>8.1399883494090276E-5</v>
      </c>
      <c r="J740">
        <v>8.7112908962677</v>
      </c>
      <c r="K740">
        <v>8.7112908962677</v>
      </c>
      <c r="L740" s="1"/>
      <c r="M740" s="1"/>
      <c r="N740" s="1">
        <v>43021</v>
      </c>
      <c r="R740">
        <v>-1.8769776239421981E-2</v>
      </c>
      <c r="S740">
        <v>-1.8769776239421981E-2</v>
      </c>
      <c r="T740" t="s">
        <v>32</v>
      </c>
      <c r="U740" t="s">
        <v>32</v>
      </c>
      <c r="W740" t="s">
        <v>327</v>
      </c>
      <c r="Z740" t="s">
        <v>31</v>
      </c>
      <c r="AA740">
        <v>2.5756256337597917E-2</v>
      </c>
      <c r="AC740" t="s">
        <v>34</v>
      </c>
      <c r="AD740" t="s">
        <v>34</v>
      </c>
      <c r="AE740" t="s">
        <v>35</v>
      </c>
      <c r="AF740">
        <v>2.84</v>
      </c>
      <c r="AG740">
        <v>2.84</v>
      </c>
      <c r="AH740" t="s">
        <v>237</v>
      </c>
      <c r="AI740" t="s">
        <v>237</v>
      </c>
      <c r="AJ740">
        <v>-4.3367530041795001E-3</v>
      </c>
      <c r="AK740">
        <v>0</v>
      </c>
      <c r="AL740">
        <v>4.3367530041795001E-3</v>
      </c>
      <c r="AM740" t="s">
        <v>35</v>
      </c>
      <c r="AN740" t="s">
        <v>34</v>
      </c>
      <c r="AO740" t="s">
        <v>34</v>
      </c>
      <c r="AP740" t="s">
        <v>31</v>
      </c>
    </row>
    <row r="741" spans="1:43" x14ac:dyDescent="0.2">
      <c r="A741">
        <v>739</v>
      </c>
      <c r="B741">
        <v>102</v>
      </c>
      <c r="C741">
        <v>6</v>
      </c>
      <c r="D741">
        <v>27000</v>
      </c>
      <c r="E741" t="s">
        <v>326</v>
      </c>
      <c r="F741" t="s">
        <v>29</v>
      </c>
      <c r="G741" t="s">
        <v>828</v>
      </c>
      <c r="H741">
        <v>8.9740028047646511E-2</v>
      </c>
      <c r="I741">
        <v>-2.3100056120213682E-4</v>
      </c>
      <c r="J741">
        <v>5.82</v>
      </c>
      <c r="K741">
        <v>5.6876595831015004</v>
      </c>
      <c r="L741" s="1">
        <v>47406</v>
      </c>
      <c r="M741" s="1">
        <v>43024</v>
      </c>
      <c r="N741" s="1">
        <v>43021</v>
      </c>
      <c r="R741">
        <v>-1.8769776239421981E-2</v>
      </c>
      <c r="S741">
        <v>-1.8769776239421981E-2</v>
      </c>
      <c r="T741" t="s">
        <v>32</v>
      </c>
      <c r="U741" t="s">
        <v>32</v>
      </c>
      <c r="V741">
        <v>853066937</v>
      </c>
      <c r="W741" t="s">
        <v>327</v>
      </c>
      <c r="X741" t="s">
        <v>435</v>
      </c>
      <c r="Y741">
        <v>27000</v>
      </c>
      <c r="Z741" t="s">
        <v>31</v>
      </c>
      <c r="AA741">
        <v>-7.309236098456047E-2</v>
      </c>
      <c r="AB741">
        <v>118.48</v>
      </c>
      <c r="AC741" t="s">
        <v>34</v>
      </c>
      <c r="AD741" t="s">
        <v>34</v>
      </c>
      <c r="AE741" t="s">
        <v>35</v>
      </c>
      <c r="AF741">
        <v>2.211179129769935E-3</v>
      </c>
      <c r="AG741">
        <v>2.68</v>
      </c>
      <c r="AH741" t="s">
        <v>237</v>
      </c>
      <c r="AI741" t="s">
        <v>237</v>
      </c>
      <c r="AJ741">
        <v>1.2307049282610442E-2</v>
      </c>
      <c r="AK741">
        <v>1.5419248805437543E-2</v>
      </c>
      <c r="AL741">
        <v>3.1121995228270997E-3</v>
      </c>
      <c r="AM741" t="s">
        <v>35</v>
      </c>
      <c r="AN741" t="s">
        <v>54</v>
      </c>
      <c r="AO741" t="s">
        <v>34</v>
      </c>
      <c r="AP741" t="s">
        <v>31</v>
      </c>
      <c r="AQ741">
        <v>3.4094721155313494E-5</v>
      </c>
    </row>
    <row r="742" spans="1:43" x14ac:dyDescent="0.2">
      <c r="A742">
        <v>740</v>
      </c>
      <c r="B742">
        <v>102</v>
      </c>
      <c r="C742">
        <v>6</v>
      </c>
      <c r="F742" t="s">
        <v>29</v>
      </c>
      <c r="G742" t="s">
        <v>829</v>
      </c>
      <c r="I742">
        <v>8.5810953924243097E-5</v>
      </c>
      <c r="J742">
        <v>8.0663436618130007</v>
      </c>
      <c r="K742">
        <v>8.0663436618130007</v>
      </c>
      <c r="L742" s="1"/>
      <c r="M742" s="1"/>
      <c r="N742" s="1">
        <v>43021</v>
      </c>
      <c r="R742">
        <v>-1.8769776239421981E-2</v>
      </c>
      <c r="S742">
        <v>-1.8769776239421981E-2</v>
      </c>
      <c r="T742" t="s">
        <v>32</v>
      </c>
      <c r="U742" t="s">
        <v>32</v>
      </c>
      <c r="W742" t="s">
        <v>327</v>
      </c>
      <c r="Z742" t="s">
        <v>31</v>
      </c>
      <c r="AA742">
        <v>2.7151991267985905E-2</v>
      </c>
      <c r="AC742" t="s">
        <v>34</v>
      </c>
      <c r="AD742" t="s">
        <v>34</v>
      </c>
      <c r="AE742" t="s">
        <v>35</v>
      </c>
      <c r="AF742">
        <v>2.75</v>
      </c>
      <c r="AG742">
        <v>2.75</v>
      </c>
      <c r="AH742" t="s">
        <v>237</v>
      </c>
      <c r="AI742" t="s">
        <v>237</v>
      </c>
      <c r="AJ742">
        <v>-4.5717622218647003E-3</v>
      </c>
      <c r="AK742">
        <v>0</v>
      </c>
      <c r="AL742">
        <v>4.5717622218647003E-3</v>
      </c>
      <c r="AM742" t="s">
        <v>35</v>
      </c>
      <c r="AN742" t="s">
        <v>34</v>
      </c>
      <c r="AO742" t="s">
        <v>34</v>
      </c>
      <c r="AP742" t="s">
        <v>31</v>
      </c>
    </row>
    <row r="743" spans="1:43" x14ac:dyDescent="0.2">
      <c r="A743">
        <v>741</v>
      </c>
      <c r="B743">
        <v>112</v>
      </c>
      <c r="C743">
        <v>6</v>
      </c>
      <c r="D743">
        <v>600000000</v>
      </c>
      <c r="E743" t="s">
        <v>326</v>
      </c>
      <c r="F743" t="s">
        <v>29</v>
      </c>
      <c r="G743" t="s">
        <v>830</v>
      </c>
      <c r="H743">
        <v>0.10055702041227646</v>
      </c>
      <c r="I743">
        <v>-1.436705846506147E-5</v>
      </c>
      <c r="J743">
        <v>8.8800000000000008</v>
      </c>
      <c r="K743">
        <v>8.8939594032522002</v>
      </c>
      <c r="L743" s="1">
        <v>48000</v>
      </c>
      <c r="M743" s="1">
        <v>43024</v>
      </c>
      <c r="N743" s="1">
        <v>43021</v>
      </c>
      <c r="R743">
        <v>-1.5117073097449655E-3</v>
      </c>
      <c r="S743">
        <v>-1.5117073097449655E-3</v>
      </c>
      <c r="T743" t="s">
        <v>39</v>
      </c>
      <c r="U743" t="s">
        <v>39</v>
      </c>
      <c r="V743">
        <v>626497474</v>
      </c>
      <c r="W743" t="s">
        <v>327</v>
      </c>
      <c r="X743" t="s">
        <v>435</v>
      </c>
      <c r="Y743">
        <v>600000000</v>
      </c>
      <c r="Z743" t="s">
        <v>31</v>
      </c>
      <c r="AA743">
        <v>-4.5459726078139256E-3</v>
      </c>
      <c r="AB743">
        <v>101.8</v>
      </c>
      <c r="AC743" t="s">
        <v>34</v>
      </c>
      <c r="AD743" t="s">
        <v>34</v>
      </c>
      <c r="AE743" t="s">
        <v>35</v>
      </c>
      <c r="AF743">
        <v>6.7799999999999999E-2</v>
      </c>
      <c r="AG743">
        <v>6.76</v>
      </c>
      <c r="AH743" t="s">
        <v>237</v>
      </c>
      <c r="AI743" t="s">
        <v>237</v>
      </c>
      <c r="AJ743">
        <v>9.5038625350599669E-3</v>
      </c>
      <c r="AK743">
        <v>1.1323988785166267E-2</v>
      </c>
      <c r="AL743">
        <v>1.8201262501063001E-3</v>
      </c>
      <c r="AM743" t="s">
        <v>35</v>
      </c>
      <c r="AN743" t="s">
        <v>54</v>
      </c>
      <c r="AO743" t="s">
        <v>34</v>
      </c>
      <c r="AP743" t="s">
        <v>31</v>
      </c>
      <c r="AQ743">
        <v>7.6776643963427291E-4</v>
      </c>
    </row>
    <row r="744" spans="1:43" x14ac:dyDescent="0.2">
      <c r="A744">
        <v>742</v>
      </c>
      <c r="B744">
        <v>110</v>
      </c>
      <c r="C744">
        <v>6</v>
      </c>
      <c r="F744" t="s">
        <v>29</v>
      </c>
      <c r="G744" t="s">
        <v>534</v>
      </c>
      <c r="I744">
        <v>2.0555596611633028E-6</v>
      </c>
      <c r="J744">
        <v>3.8804228366284002</v>
      </c>
      <c r="K744">
        <v>3.8804228366284002</v>
      </c>
      <c r="L744" s="1"/>
      <c r="M744" s="1"/>
      <c r="N744" s="1">
        <v>43021</v>
      </c>
      <c r="R744">
        <v>-1.2005087764610177E-3</v>
      </c>
      <c r="S744">
        <v>-1.2005087764610177E-3</v>
      </c>
      <c r="T744" t="s">
        <v>39</v>
      </c>
      <c r="U744" t="s">
        <v>39</v>
      </c>
      <c r="W744" t="s">
        <v>327</v>
      </c>
      <c r="Z744" t="s">
        <v>31</v>
      </c>
      <c r="AA744">
        <v>6.5041274357587628E-4</v>
      </c>
      <c r="AC744" t="s">
        <v>34</v>
      </c>
      <c r="AD744" t="s">
        <v>34</v>
      </c>
      <c r="AE744" t="s">
        <v>35</v>
      </c>
      <c r="AF744">
        <v>4.6500000000000004</v>
      </c>
      <c r="AG744">
        <v>4.6500000000000004</v>
      </c>
      <c r="AH744" t="s">
        <v>237</v>
      </c>
      <c r="AI744" t="s">
        <v>237</v>
      </c>
      <c r="AJ744">
        <v>-1.7122404279482999E-3</v>
      </c>
      <c r="AK744">
        <v>0</v>
      </c>
      <c r="AL744">
        <v>1.7122404279482999E-3</v>
      </c>
      <c r="AM744" t="s">
        <v>35</v>
      </c>
      <c r="AN744" t="s">
        <v>34</v>
      </c>
      <c r="AO744" t="s">
        <v>34</v>
      </c>
      <c r="AP744" t="s">
        <v>31</v>
      </c>
    </row>
    <row r="745" spans="1:43" x14ac:dyDescent="0.2">
      <c r="A745">
        <v>743</v>
      </c>
      <c r="B745">
        <v>102</v>
      </c>
      <c r="C745">
        <v>6</v>
      </c>
      <c r="F745" t="s">
        <v>29</v>
      </c>
      <c r="G745" t="s">
        <v>1715</v>
      </c>
      <c r="I745">
        <v>3.629079608651E-5</v>
      </c>
      <c r="J745">
        <v>6.2936628033969999</v>
      </c>
      <c r="K745">
        <v>6.2936628033969999</v>
      </c>
      <c r="L745" s="1"/>
      <c r="M745" s="1"/>
      <c r="N745" s="1">
        <v>43021</v>
      </c>
      <c r="R745">
        <v>-1.8769776239421981E-2</v>
      </c>
      <c r="S745">
        <v>-1.8769776239421981E-2</v>
      </c>
      <c r="T745" t="s">
        <v>32</v>
      </c>
      <c r="U745" t="s">
        <v>32</v>
      </c>
      <c r="AA745">
        <v>1.1483002267042658E-2</v>
      </c>
      <c r="AC745" t="s">
        <v>36</v>
      </c>
      <c r="AD745" t="s">
        <v>36</v>
      </c>
      <c r="AF745">
        <v>2.34</v>
      </c>
      <c r="AG745">
        <v>2.34</v>
      </c>
      <c r="AH745" t="s">
        <v>237</v>
      </c>
      <c r="AI745" t="s">
        <v>237</v>
      </c>
      <c r="AJ745">
        <v>-1.9334698306253E-3</v>
      </c>
      <c r="AK745">
        <v>0</v>
      </c>
      <c r="AL745">
        <v>1.9334698306253E-3</v>
      </c>
      <c r="AN745" t="s">
        <v>36</v>
      </c>
      <c r="AO745" t="s">
        <v>36</v>
      </c>
    </row>
    <row r="746" spans="1:43" x14ac:dyDescent="0.2">
      <c r="A746">
        <v>744</v>
      </c>
      <c r="B746">
        <v>102</v>
      </c>
      <c r="C746">
        <v>6</v>
      </c>
      <c r="D746">
        <v>11500</v>
      </c>
      <c r="E746" t="s">
        <v>831</v>
      </c>
      <c r="F746" t="s">
        <v>29</v>
      </c>
      <c r="G746" t="s">
        <v>832</v>
      </c>
      <c r="H746">
        <v>5.6686825006287321E-2</v>
      </c>
      <c r="I746">
        <v>-1.1502692119905767E-4</v>
      </c>
      <c r="J746">
        <v>9.25</v>
      </c>
      <c r="L746" s="1">
        <v>49035</v>
      </c>
      <c r="M746" s="1">
        <v>43024</v>
      </c>
      <c r="N746" s="1"/>
      <c r="R746">
        <v>-1.8769776239421981E-2</v>
      </c>
      <c r="T746" t="s">
        <v>32</v>
      </c>
      <c r="V746">
        <v>339047303</v>
      </c>
      <c r="W746" t="s">
        <v>833</v>
      </c>
      <c r="X746" t="s">
        <v>834</v>
      </c>
      <c r="Y746">
        <v>11500</v>
      </c>
      <c r="Z746" t="s">
        <v>31</v>
      </c>
      <c r="AA746">
        <v>-3.639640182461315E-2</v>
      </c>
      <c r="AB746">
        <v>110.41</v>
      </c>
      <c r="AC746" t="s">
        <v>34</v>
      </c>
      <c r="AE746" t="s">
        <v>41</v>
      </c>
      <c r="AF746">
        <v>4.2111791297699333E-3</v>
      </c>
      <c r="AH746" t="s">
        <v>237</v>
      </c>
      <c r="AJ746">
        <v>6.1283054060851157E-3</v>
      </c>
      <c r="AK746">
        <v>6.1283054060851157E-3</v>
      </c>
      <c r="AL746">
        <v>0</v>
      </c>
      <c r="AN746" t="s">
        <v>54</v>
      </c>
      <c r="AQ746">
        <v>2.5807391826961897E-5</v>
      </c>
    </row>
    <row r="747" spans="1:43" x14ac:dyDescent="0.2">
      <c r="A747">
        <v>745</v>
      </c>
      <c r="B747">
        <v>99</v>
      </c>
      <c r="C747">
        <v>6</v>
      </c>
      <c r="D747">
        <v>20000</v>
      </c>
      <c r="E747" t="s">
        <v>831</v>
      </c>
      <c r="F747" t="s">
        <v>29</v>
      </c>
      <c r="G747" t="s">
        <v>835</v>
      </c>
      <c r="H747">
        <v>4.128987547013422E-2</v>
      </c>
      <c r="I747">
        <v>-1.148833851654752E-4</v>
      </c>
      <c r="J747">
        <v>4.42</v>
      </c>
      <c r="K747">
        <v>4.4295800122326998</v>
      </c>
      <c r="L747" s="1">
        <v>44696</v>
      </c>
      <c r="M747" s="1">
        <v>43024</v>
      </c>
      <c r="N747" s="1">
        <v>43021</v>
      </c>
      <c r="R747">
        <v>-1.4967484789654954E-2</v>
      </c>
      <c r="S747">
        <v>-1.4967484789654954E-2</v>
      </c>
      <c r="T747" t="s">
        <v>32</v>
      </c>
      <c r="U747" t="s">
        <v>32</v>
      </c>
      <c r="V747">
        <v>516822244</v>
      </c>
      <c r="W747" t="s">
        <v>833</v>
      </c>
      <c r="X747" t="s">
        <v>836</v>
      </c>
      <c r="Y747">
        <v>20000</v>
      </c>
      <c r="Z747" t="s">
        <v>31</v>
      </c>
      <c r="AA747">
        <v>-3.6350984672696707E-2</v>
      </c>
      <c r="AB747">
        <v>96.09</v>
      </c>
      <c r="AC747" t="s">
        <v>34</v>
      </c>
      <c r="AD747" t="s">
        <v>34</v>
      </c>
      <c r="AE747" t="s">
        <v>41</v>
      </c>
      <c r="AF747">
        <v>6.1117912976993427E-4</v>
      </c>
      <c r="AG747">
        <v>2.4300000000000002</v>
      </c>
      <c r="AH747" t="s">
        <v>237</v>
      </c>
      <c r="AI747" t="s">
        <v>237</v>
      </c>
      <c r="AJ747">
        <v>7.6755304434903398E-3</v>
      </c>
      <c r="AK747">
        <v>9.3416007850982401E-3</v>
      </c>
      <c r="AL747">
        <v>1.6660703416078999E-3</v>
      </c>
      <c r="AM747" t="s">
        <v>41</v>
      </c>
      <c r="AN747" t="s">
        <v>54</v>
      </c>
      <c r="AO747" t="s">
        <v>34</v>
      </c>
      <c r="AP747" t="s">
        <v>31</v>
      </c>
      <c r="AQ747">
        <v>5.7093914384944771E-6</v>
      </c>
    </row>
    <row r="748" spans="1:43" x14ac:dyDescent="0.2">
      <c r="A748">
        <v>746</v>
      </c>
      <c r="B748">
        <v>102</v>
      </c>
      <c r="C748">
        <v>6</v>
      </c>
      <c r="D748">
        <v>2000</v>
      </c>
      <c r="E748" t="s">
        <v>837</v>
      </c>
      <c r="F748" t="s">
        <v>29</v>
      </c>
      <c r="G748" t="s">
        <v>838</v>
      </c>
      <c r="H748">
        <v>8.5223648866776663E-3</v>
      </c>
      <c r="I748">
        <v>8.2561322738959077E-5</v>
      </c>
      <c r="J748">
        <v>7.59</v>
      </c>
      <c r="K748">
        <v>7.6050034617740998</v>
      </c>
      <c r="L748" s="1">
        <v>47341</v>
      </c>
      <c r="M748" s="1">
        <v>43024</v>
      </c>
      <c r="N748" s="1">
        <v>43021</v>
      </c>
      <c r="R748">
        <v>-1.8769776239421981E-2</v>
      </c>
      <c r="S748">
        <v>-1.8769776239421981E-2</v>
      </c>
      <c r="T748" t="s">
        <v>32</v>
      </c>
      <c r="U748" t="s">
        <v>32</v>
      </c>
      <c r="V748">
        <v>62120972</v>
      </c>
      <c r="W748" t="s">
        <v>839</v>
      </c>
      <c r="X748" t="s">
        <v>840</v>
      </c>
      <c r="Y748">
        <v>2000</v>
      </c>
      <c r="Z748" t="s">
        <v>31</v>
      </c>
      <c r="AA748">
        <v>2.6123754737194013E-2</v>
      </c>
      <c r="AB748">
        <v>115.55</v>
      </c>
      <c r="AC748" t="s">
        <v>34</v>
      </c>
      <c r="AD748" t="s">
        <v>34</v>
      </c>
      <c r="AE748" t="s">
        <v>178</v>
      </c>
      <c r="AF748">
        <v>2.9111791297699342E-3</v>
      </c>
      <c r="AG748">
        <v>2.61</v>
      </c>
      <c r="AH748" t="s">
        <v>237</v>
      </c>
      <c r="AI748" t="s">
        <v>237</v>
      </c>
      <c r="AJ748">
        <v>-4.3986311656479061E-3</v>
      </c>
      <c r="AK748">
        <v>1.1228412235411945E-3</v>
      </c>
      <c r="AL748">
        <v>5.5214723891891006E-3</v>
      </c>
      <c r="AM748" t="s">
        <v>178</v>
      </c>
      <c r="AN748" t="s">
        <v>54</v>
      </c>
      <c r="AO748" t="s">
        <v>34</v>
      </c>
      <c r="AP748" t="s">
        <v>31</v>
      </c>
      <c r="AQ748">
        <v>3.2687919360184627E-6</v>
      </c>
    </row>
    <row r="749" spans="1:43" x14ac:dyDescent="0.2">
      <c r="A749">
        <v>747</v>
      </c>
      <c r="B749">
        <v>102</v>
      </c>
      <c r="C749">
        <v>6</v>
      </c>
      <c r="D749">
        <v>28000</v>
      </c>
      <c r="E749" t="s">
        <v>841</v>
      </c>
      <c r="F749" t="s">
        <v>29</v>
      </c>
      <c r="G749" t="s">
        <v>842</v>
      </c>
      <c r="H749">
        <v>0.11225837751518143</v>
      </c>
      <c r="I749">
        <v>-2.3629400122376703E-4</v>
      </c>
      <c r="J749">
        <v>7.1</v>
      </c>
      <c r="K749">
        <v>7.1106390108257003</v>
      </c>
      <c r="L749" s="1">
        <v>47922</v>
      </c>
      <c r="M749" s="1">
        <v>43024</v>
      </c>
      <c r="N749" s="1">
        <v>43021</v>
      </c>
      <c r="R749">
        <v>-1.8769776239421981E-2</v>
      </c>
      <c r="S749">
        <v>-1.8769776239421981E-2</v>
      </c>
      <c r="T749" t="s">
        <v>32</v>
      </c>
      <c r="U749" t="s">
        <v>32</v>
      </c>
      <c r="V749">
        <v>874742658</v>
      </c>
      <c r="W749" t="s">
        <v>843</v>
      </c>
      <c r="X749" t="s">
        <v>844</v>
      </c>
      <c r="Y749">
        <v>28000</v>
      </c>
      <c r="Z749" t="s">
        <v>31</v>
      </c>
      <c r="AA749">
        <v>-7.4767292105496361E-2</v>
      </c>
      <c r="AB749">
        <v>114.18</v>
      </c>
      <c r="AC749" t="s">
        <v>34</v>
      </c>
      <c r="AD749" t="s">
        <v>34</v>
      </c>
      <c r="AE749" t="s">
        <v>41</v>
      </c>
      <c r="AF749">
        <v>1.7111791297699346E-3</v>
      </c>
      <c r="AG749">
        <v>2.5299999999999998</v>
      </c>
      <c r="AH749" t="s">
        <v>237</v>
      </c>
      <c r="AI749" t="s">
        <v>237</v>
      </c>
      <c r="AJ749">
        <v>1.2589068628718173E-2</v>
      </c>
      <c r="AK749">
        <v>1.5811039086645273E-2</v>
      </c>
      <c r="AL749">
        <v>3.2219704579271001E-3</v>
      </c>
      <c r="AM749" t="s">
        <v>41</v>
      </c>
      <c r="AN749" t="s">
        <v>54</v>
      </c>
      <c r="AO749" t="s">
        <v>34</v>
      </c>
      <c r="AP749" t="s">
        <v>31</v>
      </c>
      <c r="AQ749">
        <v>2.705552010504408E-5</v>
      </c>
    </row>
    <row r="750" spans="1:43" x14ac:dyDescent="0.2">
      <c r="A750">
        <v>748</v>
      </c>
      <c r="B750">
        <v>98</v>
      </c>
      <c r="C750">
        <v>6</v>
      </c>
      <c r="F750" t="s">
        <v>29</v>
      </c>
      <c r="G750" t="s">
        <v>1512</v>
      </c>
      <c r="I750">
        <v>6.8958420069342672E-5</v>
      </c>
      <c r="J750">
        <v>4.3128081704931001</v>
      </c>
      <c r="K750">
        <v>4.3128081704931001</v>
      </c>
      <c r="L750" s="1"/>
      <c r="M750" s="1"/>
      <c r="N750" s="1">
        <v>43021</v>
      </c>
      <c r="R750">
        <v>-2.7515108469385995E-2</v>
      </c>
      <c r="S750">
        <v>-2.7515108469385995E-2</v>
      </c>
      <c r="T750" t="s">
        <v>32</v>
      </c>
      <c r="U750" t="s">
        <v>32</v>
      </c>
      <c r="W750" t="s">
        <v>229</v>
      </c>
      <c r="Z750" t="s">
        <v>31</v>
      </c>
      <c r="AA750">
        <v>2.1819573538710214E-2</v>
      </c>
      <c r="AC750" t="s">
        <v>42</v>
      </c>
      <c r="AD750" t="s">
        <v>42</v>
      </c>
      <c r="AE750" t="s">
        <v>41</v>
      </c>
      <c r="AF750">
        <v>2.36</v>
      </c>
      <c r="AG750">
        <v>2.36</v>
      </c>
      <c r="AH750" t="s">
        <v>237</v>
      </c>
      <c r="AI750" t="s">
        <v>237</v>
      </c>
      <c r="AJ750">
        <v>-2.5062020070198E-3</v>
      </c>
      <c r="AK750">
        <v>0</v>
      </c>
      <c r="AL750">
        <v>2.5062020070198E-3</v>
      </c>
      <c r="AM750" t="s">
        <v>41</v>
      </c>
      <c r="AN750" t="s">
        <v>42</v>
      </c>
      <c r="AO750" t="s">
        <v>42</v>
      </c>
      <c r="AP750" t="s">
        <v>31</v>
      </c>
    </row>
    <row r="751" spans="1:43" x14ac:dyDescent="0.2">
      <c r="A751">
        <v>749</v>
      </c>
      <c r="B751">
        <v>92</v>
      </c>
      <c r="C751">
        <v>6</v>
      </c>
      <c r="F751" t="s">
        <v>29</v>
      </c>
      <c r="G751" t="s">
        <v>1513</v>
      </c>
      <c r="I751">
        <v>1.1211033988472669E-5</v>
      </c>
      <c r="J751">
        <v>5.2054794520548002E-2</v>
      </c>
      <c r="K751">
        <v>5.2054794520548002E-2</v>
      </c>
      <c r="L751" s="1"/>
      <c r="M751" s="1"/>
      <c r="N751" s="1">
        <v>43021</v>
      </c>
      <c r="R751">
        <v>-6.4270987235110688E-3</v>
      </c>
      <c r="S751">
        <v>-6.4270987235110688E-3</v>
      </c>
      <c r="T751" t="s">
        <v>32</v>
      </c>
      <c r="U751" t="s">
        <v>32</v>
      </c>
      <c r="AA751">
        <v>3.5473547727815692E-3</v>
      </c>
      <c r="AC751" t="s">
        <v>42</v>
      </c>
      <c r="AD751" t="s">
        <v>42</v>
      </c>
      <c r="AF751">
        <v>5.07</v>
      </c>
      <c r="AG751">
        <v>5.07</v>
      </c>
      <c r="AH751" t="s">
        <v>237</v>
      </c>
      <c r="AI751" t="s">
        <v>237</v>
      </c>
      <c r="AJ751">
        <v>-1.7443382264319999E-3</v>
      </c>
      <c r="AK751">
        <v>0</v>
      </c>
      <c r="AL751">
        <v>1.7443382264319999E-3</v>
      </c>
      <c r="AN751" t="s">
        <v>42</v>
      </c>
      <c r="AO751" t="s">
        <v>42</v>
      </c>
    </row>
    <row r="752" spans="1:43" x14ac:dyDescent="0.2">
      <c r="A752">
        <v>750</v>
      </c>
      <c r="B752">
        <v>92</v>
      </c>
      <c r="C752">
        <v>6</v>
      </c>
      <c r="D752">
        <v>1000</v>
      </c>
      <c r="E752" t="s">
        <v>407</v>
      </c>
      <c r="F752" t="s">
        <v>29</v>
      </c>
      <c r="G752" t="s">
        <v>408</v>
      </c>
      <c r="H752">
        <v>3.8232706235327528E-4</v>
      </c>
      <c r="I752">
        <v>1.3724147882199128E-5</v>
      </c>
      <c r="J752">
        <v>0.78</v>
      </c>
      <c r="K752">
        <v>0.79183132830337</v>
      </c>
      <c r="L752" s="1">
        <v>43313</v>
      </c>
      <c r="M752" s="1">
        <v>43024</v>
      </c>
      <c r="N752" s="1">
        <v>43021</v>
      </c>
      <c r="R752">
        <v>-6.4270987235110688E-3</v>
      </c>
      <c r="S752">
        <v>-6.4270987235110688E-3</v>
      </c>
      <c r="T752" t="s">
        <v>32</v>
      </c>
      <c r="U752" t="s">
        <v>32</v>
      </c>
      <c r="V752">
        <v>27118167</v>
      </c>
      <c r="W752" t="s">
        <v>229</v>
      </c>
      <c r="X752" t="s">
        <v>409</v>
      </c>
      <c r="Y752">
        <v>1000</v>
      </c>
      <c r="Z752" t="s">
        <v>31</v>
      </c>
      <c r="AA752">
        <v>4.3425451695478842E-3</v>
      </c>
      <c r="AB752">
        <v>101.01</v>
      </c>
      <c r="AC752" t="s">
        <v>42</v>
      </c>
      <c r="AD752" t="s">
        <v>42</v>
      </c>
      <c r="AE752" t="s">
        <v>41</v>
      </c>
      <c r="AF752">
        <v>-2.788820870230066E-3</v>
      </c>
      <c r="AG752">
        <v>2.08</v>
      </c>
      <c r="AH752" t="s">
        <v>237</v>
      </c>
      <c r="AI752" t="s">
        <v>237</v>
      </c>
      <c r="AJ752">
        <v>-2.1353566317558826E-3</v>
      </c>
      <c r="AK752">
        <v>4.9016290045291702E-4</v>
      </c>
      <c r="AL752">
        <v>2.6255195322087998E-3</v>
      </c>
      <c r="AM752" t="s">
        <v>41</v>
      </c>
      <c r="AN752" t="s">
        <v>142</v>
      </c>
      <c r="AO752" t="s">
        <v>42</v>
      </c>
      <c r="AP752" t="s">
        <v>31</v>
      </c>
      <c r="AQ752">
        <v>-1.3669765265955973E-6</v>
      </c>
    </row>
    <row r="753" spans="1:43" x14ac:dyDescent="0.2">
      <c r="A753">
        <v>751</v>
      </c>
      <c r="B753">
        <v>95</v>
      </c>
      <c r="C753">
        <v>6</v>
      </c>
      <c r="F753" t="s">
        <v>29</v>
      </c>
      <c r="G753" t="s">
        <v>1514</v>
      </c>
      <c r="I753">
        <v>4.5104768374086194E-5</v>
      </c>
      <c r="J753">
        <v>1.9185565491908001</v>
      </c>
      <c r="K753">
        <v>1.9185565491908001</v>
      </c>
      <c r="L753" s="1"/>
      <c r="M753" s="1"/>
      <c r="N753" s="1">
        <v>43021</v>
      </c>
      <c r="R753">
        <v>-1.7076343737775217E-2</v>
      </c>
      <c r="S753">
        <v>-1.7076343737775217E-2</v>
      </c>
      <c r="T753" t="s">
        <v>32</v>
      </c>
      <c r="U753" t="s">
        <v>32</v>
      </c>
      <c r="AA753">
        <v>1.4271887457618862E-2</v>
      </c>
      <c r="AC753" t="s">
        <v>42</v>
      </c>
      <c r="AD753" t="s">
        <v>42</v>
      </c>
      <c r="AF753">
        <v>2.15</v>
      </c>
      <c r="AG753">
        <v>2.15</v>
      </c>
      <c r="AH753" t="s">
        <v>237</v>
      </c>
      <c r="AI753" t="s">
        <v>237</v>
      </c>
      <c r="AJ753">
        <v>-2.6413598289374003E-3</v>
      </c>
      <c r="AK753">
        <v>0</v>
      </c>
      <c r="AL753">
        <v>2.6413598289374003E-3</v>
      </c>
      <c r="AN753" t="s">
        <v>42</v>
      </c>
      <c r="AO753" t="s">
        <v>42</v>
      </c>
    </row>
    <row r="754" spans="1:43" x14ac:dyDescent="0.2">
      <c r="A754">
        <v>752</v>
      </c>
      <c r="B754">
        <v>95</v>
      </c>
      <c r="C754">
        <v>6</v>
      </c>
      <c r="F754" t="s">
        <v>29</v>
      </c>
      <c r="G754" t="s">
        <v>1515</v>
      </c>
      <c r="I754">
        <v>4.5669316240597171E-5</v>
      </c>
      <c r="J754">
        <v>2.0540072887854</v>
      </c>
      <c r="K754">
        <v>2.0540072887854</v>
      </c>
      <c r="L754" s="1"/>
      <c r="M754" s="1"/>
      <c r="N754" s="1">
        <v>43021</v>
      </c>
      <c r="R754">
        <v>-1.7076343737775217E-2</v>
      </c>
      <c r="S754">
        <v>-1.7076343737775217E-2</v>
      </c>
      <c r="T754" t="s">
        <v>32</v>
      </c>
      <c r="U754" t="s">
        <v>32</v>
      </c>
      <c r="AA754">
        <v>1.4450519648975209E-2</v>
      </c>
      <c r="AC754" t="s">
        <v>42</v>
      </c>
      <c r="AD754" t="s">
        <v>42</v>
      </c>
      <c r="AF754">
        <v>2.21</v>
      </c>
      <c r="AG754">
        <v>2.21</v>
      </c>
      <c r="AH754" t="s">
        <v>237</v>
      </c>
      <c r="AI754" t="s">
        <v>237</v>
      </c>
      <c r="AJ754">
        <v>-2.6744200598146999E-3</v>
      </c>
      <c r="AK754">
        <v>0</v>
      </c>
      <c r="AL754">
        <v>2.6744200598146999E-3</v>
      </c>
      <c r="AN754" t="s">
        <v>42</v>
      </c>
      <c r="AO754" t="s">
        <v>42</v>
      </c>
    </row>
    <row r="755" spans="1:43" x14ac:dyDescent="0.2">
      <c r="A755">
        <v>753</v>
      </c>
      <c r="B755">
        <v>95</v>
      </c>
      <c r="C755">
        <v>6</v>
      </c>
      <c r="F755" t="s">
        <v>29</v>
      </c>
      <c r="G755" t="s">
        <v>1516</v>
      </c>
      <c r="I755">
        <v>6.1392982663565168E-5</v>
      </c>
      <c r="J755">
        <v>2.6773581562278999</v>
      </c>
      <c r="K755">
        <v>2.6773581562278999</v>
      </c>
      <c r="L755" s="1"/>
      <c r="M755" s="1"/>
      <c r="N755" s="1">
        <v>43021</v>
      </c>
      <c r="R755">
        <v>-1.7076343737775217E-2</v>
      </c>
      <c r="S755">
        <v>-1.7076343737775217E-2</v>
      </c>
      <c r="T755" t="s">
        <v>32</v>
      </c>
      <c r="U755" t="s">
        <v>32</v>
      </c>
      <c r="AA755">
        <v>1.9425745233742134E-2</v>
      </c>
      <c r="AC755" t="s">
        <v>42</v>
      </c>
      <c r="AD755" t="s">
        <v>42</v>
      </c>
      <c r="AF755">
        <v>2.15</v>
      </c>
      <c r="AG755">
        <v>2.15</v>
      </c>
      <c r="AH755" t="s">
        <v>237</v>
      </c>
      <c r="AI755" t="s">
        <v>237</v>
      </c>
      <c r="AJ755">
        <v>-3.595206538725E-3</v>
      </c>
      <c r="AK755">
        <v>0</v>
      </c>
      <c r="AL755">
        <v>3.595206538725E-3</v>
      </c>
      <c r="AN755" t="s">
        <v>42</v>
      </c>
      <c r="AO755" t="s">
        <v>42</v>
      </c>
    </row>
    <row r="756" spans="1:43" x14ac:dyDescent="0.2">
      <c r="A756">
        <v>754</v>
      </c>
      <c r="B756">
        <v>95</v>
      </c>
      <c r="C756">
        <v>6</v>
      </c>
      <c r="D756">
        <v>2000</v>
      </c>
      <c r="E756" t="s">
        <v>407</v>
      </c>
      <c r="F756" t="s">
        <v>29</v>
      </c>
      <c r="G756" t="s">
        <v>845</v>
      </c>
      <c r="H756">
        <v>2.8418376396961878E-3</v>
      </c>
      <c r="I756">
        <v>2.86432551896067E-5</v>
      </c>
      <c r="J756">
        <v>2.83</v>
      </c>
      <c r="K756">
        <v>2.8441396836494</v>
      </c>
      <c r="L756" s="1">
        <v>44105</v>
      </c>
      <c r="M756" s="1">
        <v>43024</v>
      </c>
      <c r="N756" s="1">
        <v>43021</v>
      </c>
      <c r="R756">
        <v>-1.7076343737775217E-2</v>
      </c>
      <c r="S756">
        <v>-1.7076343737775217E-2</v>
      </c>
      <c r="T756" t="s">
        <v>32</v>
      </c>
      <c r="U756" t="s">
        <v>32</v>
      </c>
      <c r="V756">
        <v>55556224</v>
      </c>
      <c r="W756" t="s">
        <v>229</v>
      </c>
      <c r="X756" t="s">
        <v>409</v>
      </c>
      <c r="Y756">
        <v>2000</v>
      </c>
      <c r="Z756" t="s">
        <v>31</v>
      </c>
      <c r="AA756">
        <v>9.0631950727583406E-3</v>
      </c>
      <c r="AB756">
        <v>104.03</v>
      </c>
      <c r="AC756" t="s">
        <v>42</v>
      </c>
      <c r="AD756" t="s">
        <v>42</v>
      </c>
      <c r="AE756" t="s">
        <v>41</v>
      </c>
      <c r="AF756">
        <v>-1.9888208702300639E-3</v>
      </c>
      <c r="AG756">
        <v>2.2000000000000002</v>
      </c>
      <c r="AH756" t="s">
        <v>237</v>
      </c>
      <c r="AI756" t="s">
        <v>237</v>
      </c>
      <c r="AJ756">
        <v>-1.6773646413689768E-3</v>
      </c>
      <c r="AK756">
        <v>1.0041829115534232E-3</v>
      </c>
      <c r="AL756">
        <v>2.6815475529224E-3</v>
      </c>
      <c r="AM756" t="s">
        <v>41</v>
      </c>
      <c r="AN756" t="s">
        <v>142</v>
      </c>
      <c r="AO756" t="s">
        <v>42</v>
      </c>
      <c r="AP756" t="s">
        <v>31</v>
      </c>
      <c r="AQ756">
        <v>-1.9971399320258382E-6</v>
      </c>
    </row>
    <row r="757" spans="1:43" x14ac:dyDescent="0.2">
      <c r="A757">
        <v>755</v>
      </c>
      <c r="B757">
        <v>98</v>
      </c>
      <c r="C757">
        <v>6</v>
      </c>
      <c r="F757" t="s">
        <v>29</v>
      </c>
      <c r="G757" t="s">
        <v>1517</v>
      </c>
      <c r="I757">
        <v>5.0220970739320731E-5</v>
      </c>
      <c r="J757">
        <v>3.3208050054944001</v>
      </c>
      <c r="K757">
        <v>3.3208050054944001</v>
      </c>
      <c r="L757" s="1"/>
      <c r="M757" s="1"/>
      <c r="N757" s="1">
        <v>43021</v>
      </c>
      <c r="R757">
        <v>-2.7515108469385995E-2</v>
      </c>
      <c r="S757">
        <v>-2.7515108469385995E-2</v>
      </c>
      <c r="T757" t="s">
        <v>32</v>
      </c>
      <c r="U757" t="s">
        <v>32</v>
      </c>
      <c r="W757" t="s">
        <v>229</v>
      </c>
      <c r="Z757" t="s">
        <v>31</v>
      </c>
      <c r="AA757">
        <v>1.5890737681201458E-2</v>
      </c>
      <c r="AC757" t="s">
        <v>42</v>
      </c>
      <c r="AD757" t="s">
        <v>42</v>
      </c>
      <c r="AE757" t="s">
        <v>41</v>
      </c>
      <c r="AF757">
        <v>2.2400000000000002</v>
      </c>
      <c r="AG757">
        <v>2.2400000000000002</v>
      </c>
      <c r="AH757" t="s">
        <v>237</v>
      </c>
      <c r="AI757" t="s">
        <v>237</v>
      </c>
      <c r="AJ757">
        <v>-1.8252143470631E-3</v>
      </c>
      <c r="AK757">
        <v>0</v>
      </c>
      <c r="AL757">
        <v>1.8252143470631E-3</v>
      </c>
      <c r="AM757" t="s">
        <v>41</v>
      </c>
      <c r="AN757" t="s">
        <v>42</v>
      </c>
      <c r="AO757" t="s">
        <v>42</v>
      </c>
      <c r="AP757" t="s">
        <v>31</v>
      </c>
    </row>
    <row r="758" spans="1:43" x14ac:dyDescent="0.2">
      <c r="A758">
        <v>756</v>
      </c>
      <c r="B758">
        <v>98</v>
      </c>
      <c r="C758">
        <v>6</v>
      </c>
      <c r="F758" t="s">
        <v>29</v>
      </c>
      <c r="G758" t="s">
        <v>1518</v>
      </c>
      <c r="I758">
        <v>7.4696553927974119E-5</v>
      </c>
      <c r="J758">
        <v>3.4993313507061998</v>
      </c>
      <c r="K758">
        <v>3.4993313507061998</v>
      </c>
      <c r="L758" s="1"/>
      <c r="M758" s="1"/>
      <c r="N758" s="1">
        <v>43021</v>
      </c>
      <c r="R758">
        <v>-2.7515108469385995E-2</v>
      </c>
      <c r="S758">
        <v>-2.7515108469385995E-2</v>
      </c>
      <c r="T758" t="s">
        <v>32</v>
      </c>
      <c r="U758" t="s">
        <v>32</v>
      </c>
      <c r="W758" t="s">
        <v>229</v>
      </c>
      <c r="Z758" t="s">
        <v>31</v>
      </c>
      <c r="AA758">
        <v>2.3635213073048014E-2</v>
      </c>
      <c r="AC758" t="s">
        <v>42</v>
      </c>
      <c r="AD758" t="s">
        <v>42</v>
      </c>
      <c r="AE758" t="s">
        <v>41</v>
      </c>
      <c r="AF758">
        <v>2.1800000000000002</v>
      </c>
      <c r="AG758">
        <v>2.1800000000000002</v>
      </c>
      <c r="AH758" t="s">
        <v>237</v>
      </c>
      <c r="AI758" t="s">
        <v>237</v>
      </c>
      <c r="AJ758">
        <v>-2.7147468457586997E-3</v>
      </c>
      <c r="AK758">
        <v>0</v>
      </c>
      <c r="AL758">
        <v>2.7147468457586997E-3</v>
      </c>
      <c r="AM758" t="s">
        <v>41</v>
      </c>
      <c r="AN758" t="s">
        <v>42</v>
      </c>
      <c r="AO758" t="s">
        <v>42</v>
      </c>
      <c r="AP758" t="s">
        <v>31</v>
      </c>
    </row>
    <row r="759" spans="1:43" x14ac:dyDescent="0.2">
      <c r="A759">
        <v>757</v>
      </c>
      <c r="B759">
        <v>98</v>
      </c>
      <c r="C759">
        <v>6</v>
      </c>
      <c r="F759" t="s">
        <v>29</v>
      </c>
      <c r="G759" t="s">
        <v>846</v>
      </c>
      <c r="I759">
        <v>5.0061761310542549E-5</v>
      </c>
      <c r="J759">
        <v>3.5728598000149998</v>
      </c>
      <c r="K759">
        <v>3.5728598000149998</v>
      </c>
      <c r="L759" s="1"/>
      <c r="M759" s="1"/>
      <c r="N759" s="1">
        <v>43021</v>
      </c>
      <c r="R759">
        <v>-2.7515108469385995E-2</v>
      </c>
      <c r="S759">
        <v>-2.7515108469385995E-2</v>
      </c>
      <c r="T759" t="s">
        <v>32</v>
      </c>
      <c r="U759" t="s">
        <v>32</v>
      </c>
      <c r="W759" t="s">
        <v>229</v>
      </c>
      <c r="Z759" t="s">
        <v>31</v>
      </c>
      <c r="AA759">
        <v>1.5840361210339913E-2</v>
      </c>
      <c r="AC759" t="s">
        <v>42</v>
      </c>
      <c r="AD759" t="s">
        <v>42</v>
      </c>
      <c r="AE759" t="s">
        <v>41</v>
      </c>
      <c r="AF759">
        <v>2.2400000000000002</v>
      </c>
      <c r="AG759">
        <v>2.2400000000000002</v>
      </c>
      <c r="AH759" t="s">
        <v>237</v>
      </c>
      <c r="AI759" t="s">
        <v>237</v>
      </c>
      <c r="AJ759">
        <v>-1.8194280922513E-3</v>
      </c>
      <c r="AK759">
        <v>0</v>
      </c>
      <c r="AL759">
        <v>1.8194280922513E-3</v>
      </c>
      <c r="AM759" t="s">
        <v>41</v>
      </c>
      <c r="AN759" t="s">
        <v>42</v>
      </c>
      <c r="AO759" t="s">
        <v>42</v>
      </c>
      <c r="AP759" t="s">
        <v>31</v>
      </c>
    </row>
    <row r="760" spans="1:43" x14ac:dyDescent="0.2">
      <c r="A760">
        <v>758</v>
      </c>
      <c r="B760">
        <v>98</v>
      </c>
      <c r="C760">
        <v>6</v>
      </c>
      <c r="F760" t="s">
        <v>29</v>
      </c>
      <c r="G760" t="s">
        <v>1519</v>
      </c>
      <c r="I760">
        <v>7.6029169776828474E-5</v>
      </c>
      <c r="J760">
        <v>4.4409707666687002</v>
      </c>
      <c r="K760">
        <v>4.4409707666687002</v>
      </c>
      <c r="L760" s="1"/>
      <c r="M760" s="1"/>
      <c r="N760" s="1">
        <v>43021</v>
      </c>
      <c r="R760">
        <v>-2.7515108469385995E-2</v>
      </c>
      <c r="S760">
        <v>-2.7515108469385995E-2</v>
      </c>
      <c r="T760" t="s">
        <v>32</v>
      </c>
      <c r="U760" t="s">
        <v>32</v>
      </c>
      <c r="AA760">
        <v>2.4056874553744487E-2</v>
      </c>
      <c r="AC760" t="s">
        <v>42</v>
      </c>
      <c r="AD760" t="s">
        <v>42</v>
      </c>
      <c r="AF760">
        <v>2.16</v>
      </c>
      <c r="AG760">
        <v>2.16</v>
      </c>
      <c r="AH760" t="s">
        <v>237</v>
      </c>
      <c r="AI760" t="s">
        <v>237</v>
      </c>
      <c r="AJ760">
        <v>-2.7631789953298002E-3</v>
      </c>
      <c r="AK760">
        <v>0</v>
      </c>
      <c r="AL760">
        <v>2.7631789953298002E-3</v>
      </c>
      <c r="AN760" t="s">
        <v>42</v>
      </c>
      <c r="AO760" t="s">
        <v>42</v>
      </c>
    </row>
    <row r="761" spans="1:43" x14ac:dyDescent="0.2">
      <c r="A761">
        <v>759</v>
      </c>
      <c r="B761">
        <v>98</v>
      </c>
      <c r="C761">
        <v>6</v>
      </c>
      <c r="F761" t="s">
        <v>29</v>
      </c>
      <c r="G761" t="s">
        <v>1520</v>
      </c>
      <c r="I761">
        <v>7.6292269688183617E-5</v>
      </c>
      <c r="J761">
        <v>4.6967544570464002</v>
      </c>
      <c r="K761">
        <v>4.6967544570464002</v>
      </c>
      <c r="L761" s="1"/>
      <c r="M761" s="1"/>
      <c r="N761" s="1">
        <v>43021</v>
      </c>
      <c r="R761">
        <v>-2.7515108469385995E-2</v>
      </c>
      <c r="S761">
        <v>-2.7515108469385995E-2</v>
      </c>
      <c r="T761" t="s">
        <v>32</v>
      </c>
      <c r="U761" t="s">
        <v>32</v>
      </c>
      <c r="AA761">
        <v>2.4140123674853541E-2</v>
      </c>
      <c r="AC761" t="s">
        <v>42</v>
      </c>
      <c r="AD761" t="s">
        <v>42</v>
      </c>
      <c r="AF761">
        <v>2.29</v>
      </c>
      <c r="AG761">
        <v>2.29</v>
      </c>
      <c r="AH761" t="s">
        <v>237</v>
      </c>
      <c r="AI761" t="s">
        <v>237</v>
      </c>
      <c r="AJ761">
        <v>-2.7727410114725998E-3</v>
      </c>
      <c r="AK761">
        <v>0</v>
      </c>
      <c r="AL761">
        <v>2.7727410114725998E-3</v>
      </c>
      <c r="AN761" t="s">
        <v>42</v>
      </c>
      <c r="AO761" t="s">
        <v>42</v>
      </c>
    </row>
    <row r="762" spans="1:43" x14ac:dyDescent="0.2">
      <c r="A762">
        <v>760</v>
      </c>
      <c r="B762">
        <v>101</v>
      </c>
      <c r="C762">
        <v>6</v>
      </c>
      <c r="F762" t="s">
        <v>29</v>
      </c>
      <c r="G762" t="s">
        <v>1521</v>
      </c>
      <c r="I762">
        <v>4.5687359442606137E-5</v>
      </c>
      <c r="J762">
        <v>5.0280489498567</v>
      </c>
      <c r="K762">
        <v>5.0280489498567</v>
      </c>
      <c r="L762" s="1"/>
      <c r="M762" s="1"/>
      <c r="N762" s="1">
        <v>43021</v>
      </c>
      <c r="R762">
        <v>-2.4503300094715318E-2</v>
      </c>
      <c r="S762">
        <v>-2.4503300094715318E-2</v>
      </c>
      <c r="T762" t="s">
        <v>32</v>
      </c>
      <c r="U762" t="s">
        <v>32</v>
      </c>
      <c r="W762" t="s">
        <v>229</v>
      </c>
      <c r="Z762" t="s">
        <v>31</v>
      </c>
      <c r="AA762">
        <v>1.4456228813609672E-2</v>
      </c>
      <c r="AC762" t="s">
        <v>42</v>
      </c>
      <c r="AD762" t="s">
        <v>42</v>
      </c>
      <c r="AE762" t="s">
        <v>41</v>
      </c>
      <c r="AF762">
        <v>2.27</v>
      </c>
      <c r="AG762">
        <v>2.27</v>
      </c>
      <c r="AH762" t="s">
        <v>237</v>
      </c>
      <c r="AI762" t="s">
        <v>237</v>
      </c>
      <c r="AJ762">
        <v>-1.8645390321306E-3</v>
      </c>
      <c r="AK762">
        <v>0</v>
      </c>
      <c r="AL762">
        <v>1.8645390321306E-3</v>
      </c>
      <c r="AM762" t="s">
        <v>41</v>
      </c>
      <c r="AN762" t="s">
        <v>42</v>
      </c>
      <c r="AO762" t="s">
        <v>42</v>
      </c>
      <c r="AP762" t="s">
        <v>31</v>
      </c>
    </row>
    <row r="763" spans="1:43" x14ac:dyDescent="0.2">
      <c r="A763">
        <v>761</v>
      </c>
      <c r="B763">
        <v>101</v>
      </c>
      <c r="C763">
        <v>6</v>
      </c>
      <c r="F763" t="s">
        <v>29</v>
      </c>
      <c r="G763" t="s">
        <v>1522</v>
      </c>
      <c r="I763">
        <v>6.8498511683738207E-5</v>
      </c>
      <c r="J763">
        <v>5.5229484545215</v>
      </c>
      <c r="K763">
        <v>5.5229484545215</v>
      </c>
      <c r="L763" s="1"/>
      <c r="M763" s="1"/>
      <c r="N763" s="1">
        <v>43021</v>
      </c>
      <c r="R763">
        <v>-2.4503300094715318E-2</v>
      </c>
      <c r="S763">
        <v>-2.4503300094715318E-2</v>
      </c>
      <c r="T763" t="s">
        <v>32</v>
      </c>
      <c r="U763" t="s">
        <v>32</v>
      </c>
      <c r="AA763">
        <v>2.1674050992940237E-2</v>
      </c>
      <c r="AC763" t="s">
        <v>42</v>
      </c>
      <c r="AD763" t="s">
        <v>42</v>
      </c>
      <c r="AF763">
        <v>2.33</v>
      </c>
      <c r="AG763">
        <v>2.33</v>
      </c>
      <c r="AH763" t="s">
        <v>237</v>
      </c>
      <c r="AI763" t="s">
        <v>237</v>
      </c>
      <c r="AJ763">
        <v>-2.7954810747516999E-3</v>
      </c>
      <c r="AK763">
        <v>0</v>
      </c>
      <c r="AL763">
        <v>2.7954810747516999E-3</v>
      </c>
      <c r="AN763" t="s">
        <v>42</v>
      </c>
      <c r="AO763" t="s">
        <v>42</v>
      </c>
    </row>
    <row r="764" spans="1:43" x14ac:dyDescent="0.2">
      <c r="A764">
        <v>762</v>
      </c>
      <c r="B764">
        <v>101</v>
      </c>
      <c r="C764">
        <v>6</v>
      </c>
      <c r="F764" t="s">
        <v>29</v>
      </c>
      <c r="G764" t="s">
        <v>1523</v>
      </c>
      <c r="I764">
        <v>6.8776473040906637E-5</v>
      </c>
      <c r="J764">
        <v>6.0964449345693996</v>
      </c>
      <c r="K764">
        <v>6.0964449345693996</v>
      </c>
      <c r="L764" s="1"/>
      <c r="M764" s="1"/>
      <c r="N764" s="1">
        <v>43021</v>
      </c>
      <c r="R764">
        <v>-2.4503300094715318E-2</v>
      </c>
      <c r="S764">
        <v>-2.4503300094715318E-2</v>
      </c>
      <c r="T764" t="s">
        <v>32</v>
      </c>
      <c r="U764" t="s">
        <v>32</v>
      </c>
      <c r="W764" t="s">
        <v>229</v>
      </c>
      <c r="Z764" t="s">
        <v>31</v>
      </c>
      <c r="AA764">
        <v>2.1762002518911361E-2</v>
      </c>
      <c r="AC764" t="s">
        <v>42</v>
      </c>
      <c r="AD764" t="s">
        <v>42</v>
      </c>
      <c r="AE764" t="s">
        <v>41</v>
      </c>
      <c r="AF764">
        <v>2.29</v>
      </c>
      <c r="AG764">
        <v>2.29</v>
      </c>
      <c r="AH764" t="s">
        <v>237</v>
      </c>
      <c r="AI764" t="s">
        <v>237</v>
      </c>
      <c r="AJ764">
        <v>-2.8068249082800001E-3</v>
      </c>
      <c r="AK764">
        <v>0</v>
      </c>
      <c r="AL764">
        <v>2.8068249082800001E-3</v>
      </c>
      <c r="AM764" t="s">
        <v>41</v>
      </c>
      <c r="AN764" t="s">
        <v>42</v>
      </c>
      <c r="AO764" t="s">
        <v>42</v>
      </c>
      <c r="AP764" t="s">
        <v>31</v>
      </c>
    </row>
    <row r="765" spans="1:43" x14ac:dyDescent="0.2">
      <c r="A765">
        <v>763</v>
      </c>
      <c r="B765">
        <v>101</v>
      </c>
      <c r="C765">
        <v>6</v>
      </c>
      <c r="F765" t="s">
        <v>29</v>
      </c>
      <c r="G765" t="s">
        <v>1524</v>
      </c>
      <c r="I765">
        <v>4.6169384355571531E-5</v>
      </c>
      <c r="J765">
        <v>6.3271437465530997</v>
      </c>
      <c r="K765">
        <v>6.3271437465530997</v>
      </c>
      <c r="L765" s="1"/>
      <c r="M765" s="1"/>
      <c r="N765" s="1">
        <v>43021</v>
      </c>
      <c r="R765">
        <v>-2.4503300094715318E-2</v>
      </c>
      <c r="S765">
        <v>-2.4503300094715318E-2</v>
      </c>
      <c r="T765" t="s">
        <v>32</v>
      </c>
      <c r="U765" t="s">
        <v>32</v>
      </c>
      <c r="AA765">
        <v>1.4608749390870037E-2</v>
      </c>
      <c r="AC765" t="s">
        <v>42</v>
      </c>
      <c r="AD765" t="s">
        <v>42</v>
      </c>
      <c r="AF765">
        <v>2.3199999999999998</v>
      </c>
      <c r="AG765">
        <v>2.3199999999999998</v>
      </c>
      <c r="AH765" t="s">
        <v>237</v>
      </c>
      <c r="AI765" t="s">
        <v>237</v>
      </c>
      <c r="AJ765">
        <v>-1.8842108686220999E-3</v>
      </c>
      <c r="AK765">
        <v>0</v>
      </c>
      <c r="AL765">
        <v>1.8842108686220999E-3</v>
      </c>
      <c r="AN765" t="s">
        <v>42</v>
      </c>
      <c r="AO765" t="s">
        <v>42</v>
      </c>
    </row>
    <row r="766" spans="1:43" x14ac:dyDescent="0.2">
      <c r="A766">
        <v>764</v>
      </c>
      <c r="B766">
        <v>101</v>
      </c>
      <c r="C766">
        <v>6</v>
      </c>
      <c r="F766" t="s">
        <v>29</v>
      </c>
      <c r="G766" t="s">
        <v>1716</v>
      </c>
      <c r="I766">
        <v>6.899929786331059E-5</v>
      </c>
      <c r="J766">
        <v>6.8823995598963004</v>
      </c>
      <c r="K766">
        <v>6.8823995598963004</v>
      </c>
      <c r="L766" s="1"/>
      <c r="M766" s="1"/>
      <c r="N766" s="1">
        <v>43021</v>
      </c>
      <c r="R766">
        <v>-2.4503300094715318E-2</v>
      </c>
      <c r="S766">
        <v>-2.4503300094715318E-2</v>
      </c>
      <c r="T766" t="s">
        <v>32</v>
      </c>
      <c r="U766" t="s">
        <v>32</v>
      </c>
      <c r="AA766">
        <v>2.1832507942234632E-2</v>
      </c>
      <c r="AC766" t="s">
        <v>42</v>
      </c>
      <c r="AD766" t="s">
        <v>42</v>
      </c>
      <c r="AF766">
        <v>2.4</v>
      </c>
      <c r="AG766">
        <v>2.4</v>
      </c>
      <c r="AH766" t="s">
        <v>237</v>
      </c>
      <c r="AI766" t="s">
        <v>237</v>
      </c>
      <c r="AJ766">
        <v>-2.8159185740941001E-3</v>
      </c>
      <c r="AK766">
        <v>0</v>
      </c>
      <c r="AL766">
        <v>2.8159185740941001E-3</v>
      </c>
      <c r="AN766" t="s">
        <v>42</v>
      </c>
      <c r="AO766" t="s">
        <v>42</v>
      </c>
    </row>
    <row r="767" spans="1:43" x14ac:dyDescent="0.2">
      <c r="A767">
        <v>765</v>
      </c>
      <c r="B767">
        <v>101</v>
      </c>
      <c r="C767">
        <v>6</v>
      </c>
      <c r="D767">
        <v>2000</v>
      </c>
      <c r="E767" t="s">
        <v>407</v>
      </c>
      <c r="F767" t="s">
        <v>29</v>
      </c>
      <c r="G767" t="s">
        <v>847</v>
      </c>
      <c r="H767">
        <v>8.0569908897595056E-3</v>
      </c>
      <c r="I767">
        <v>4.3373045129741625E-5</v>
      </c>
      <c r="J767">
        <v>7.63</v>
      </c>
      <c r="K767">
        <v>7.6446545895537001</v>
      </c>
      <c r="L767" s="1">
        <v>46235</v>
      </c>
      <c r="M767" s="1">
        <v>43024</v>
      </c>
      <c r="N767" s="1">
        <v>43021</v>
      </c>
      <c r="R767">
        <v>-2.4503300094715318E-2</v>
      </c>
      <c r="S767">
        <v>-2.4503300094715318E-2</v>
      </c>
      <c r="T767" t="s">
        <v>32</v>
      </c>
      <c r="U767" t="s">
        <v>32</v>
      </c>
      <c r="V767">
        <v>58420898</v>
      </c>
      <c r="W767" t="s">
        <v>229</v>
      </c>
      <c r="X767" t="s">
        <v>409</v>
      </c>
      <c r="Y767">
        <v>2000</v>
      </c>
      <c r="Z767" t="s">
        <v>31</v>
      </c>
      <c r="AA767">
        <v>1.3723941860247661E-2</v>
      </c>
      <c r="AB767">
        <v>108.76</v>
      </c>
      <c r="AC767" t="s">
        <v>42</v>
      </c>
      <c r="AD767" t="s">
        <v>42</v>
      </c>
      <c r="AE767" t="s">
        <v>41</v>
      </c>
      <c r="AF767">
        <v>1.0111791297699353E-3</v>
      </c>
      <c r="AG767">
        <v>2.46</v>
      </c>
      <c r="AH767" t="s">
        <v>237</v>
      </c>
      <c r="AI767" t="s">
        <v>237</v>
      </c>
      <c r="AJ767">
        <v>-1.7700899455210927E-3</v>
      </c>
      <c r="AK767">
        <v>1.0559621087496075E-3</v>
      </c>
      <c r="AL767">
        <v>2.8260520542707003E-3</v>
      </c>
      <c r="AM767" t="s">
        <v>41</v>
      </c>
      <c r="AN767" t="s">
        <v>142</v>
      </c>
      <c r="AO767" t="s">
        <v>42</v>
      </c>
      <c r="AP767" t="s">
        <v>31</v>
      </c>
      <c r="AQ767">
        <v>1.0677668461954539E-6</v>
      </c>
    </row>
    <row r="768" spans="1:43" x14ac:dyDescent="0.2">
      <c r="A768">
        <v>766</v>
      </c>
      <c r="B768">
        <v>101</v>
      </c>
      <c r="C768">
        <v>6</v>
      </c>
      <c r="F768" t="s">
        <v>29</v>
      </c>
      <c r="G768" t="s">
        <v>1525</v>
      </c>
      <c r="I768">
        <v>4.6118200117622771E-5</v>
      </c>
      <c r="J768">
        <v>7.8437111845161001</v>
      </c>
      <c r="K768">
        <v>7.8437111845161001</v>
      </c>
      <c r="L768" s="1"/>
      <c r="M768" s="1"/>
      <c r="N768" s="1">
        <v>43021</v>
      </c>
      <c r="R768">
        <v>-2.4503300094715318E-2</v>
      </c>
      <c r="S768">
        <v>-2.4503300094715318E-2</v>
      </c>
      <c r="T768" t="s">
        <v>32</v>
      </c>
      <c r="U768" t="s">
        <v>32</v>
      </c>
      <c r="AA768">
        <v>1.4592553859666992E-2</v>
      </c>
      <c r="AC768" t="s">
        <v>42</v>
      </c>
      <c r="AD768" t="s">
        <v>42</v>
      </c>
      <c r="AF768">
        <v>2.59</v>
      </c>
      <c r="AG768">
        <v>2.59</v>
      </c>
      <c r="AH768" t="s">
        <v>237</v>
      </c>
      <c r="AI768" t="s">
        <v>237</v>
      </c>
      <c r="AJ768">
        <v>-1.8821219974190001E-3</v>
      </c>
      <c r="AK768">
        <v>0</v>
      </c>
      <c r="AL768">
        <v>1.8821219974190001E-3</v>
      </c>
      <c r="AN768" t="s">
        <v>42</v>
      </c>
      <c r="AO768" t="s">
        <v>42</v>
      </c>
    </row>
    <row r="769" spans="1:43" x14ac:dyDescent="0.2">
      <c r="A769">
        <v>767</v>
      </c>
      <c r="B769">
        <v>95</v>
      </c>
      <c r="C769">
        <v>6</v>
      </c>
      <c r="F769" t="s">
        <v>29</v>
      </c>
      <c r="G769" t="s">
        <v>1526</v>
      </c>
      <c r="I769">
        <v>2.985249933887445E-5</v>
      </c>
      <c r="J769">
        <v>2.2438576345575001</v>
      </c>
      <c r="K769">
        <v>2.2438576345575001</v>
      </c>
      <c r="L769" s="1"/>
      <c r="M769" s="1"/>
      <c r="N769" s="1">
        <v>43021</v>
      </c>
      <c r="R769">
        <v>-1.7076343737775217E-2</v>
      </c>
      <c r="S769">
        <v>-1.7076343737775217E-2</v>
      </c>
      <c r="T769" t="s">
        <v>32</v>
      </c>
      <c r="U769" t="s">
        <v>32</v>
      </c>
      <c r="AA769">
        <v>9.4458197270742388E-3</v>
      </c>
      <c r="AC769" t="s">
        <v>42</v>
      </c>
      <c r="AD769" t="s">
        <v>42</v>
      </c>
      <c r="AF769">
        <v>1.97</v>
      </c>
      <c r="AG769">
        <v>1.97</v>
      </c>
      <c r="AH769" t="s">
        <v>237</v>
      </c>
      <c r="AI769" t="s">
        <v>237</v>
      </c>
      <c r="AJ769">
        <v>-1.7481786380791002E-3</v>
      </c>
      <c r="AK769">
        <v>0</v>
      </c>
      <c r="AL769">
        <v>1.7481786380791002E-3</v>
      </c>
      <c r="AN769" t="s">
        <v>42</v>
      </c>
      <c r="AO769" t="s">
        <v>42</v>
      </c>
    </row>
    <row r="770" spans="1:43" x14ac:dyDescent="0.2">
      <c r="A770">
        <v>768</v>
      </c>
      <c r="B770">
        <v>98</v>
      </c>
      <c r="C770">
        <v>6</v>
      </c>
      <c r="F770" t="s">
        <v>29</v>
      </c>
      <c r="G770" t="s">
        <v>1527</v>
      </c>
      <c r="I770">
        <v>4.7877750774651333E-5</v>
      </c>
      <c r="J770">
        <v>3.1808975546851999</v>
      </c>
      <c r="K770">
        <v>3.1808975546851999</v>
      </c>
      <c r="L770" s="1"/>
      <c r="M770" s="1"/>
      <c r="N770" s="1">
        <v>43021</v>
      </c>
      <c r="R770">
        <v>-2.7515108469385995E-2</v>
      </c>
      <c r="S770">
        <v>-2.7515108469385995E-2</v>
      </c>
      <c r="T770" t="s">
        <v>32</v>
      </c>
      <c r="U770" t="s">
        <v>32</v>
      </c>
      <c r="AA770">
        <v>1.5149304506179977E-2</v>
      </c>
      <c r="AC770" t="s">
        <v>42</v>
      </c>
      <c r="AD770" t="s">
        <v>42</v>
      </c>
      <c r="AF770">
        <v>2.2599999999999998</v>
      </c>
      <c r="AG770">
        <v>2.2599999999999998</v>
      </c>
      <c r="AH770" t="s">
        <v>237</v>
      </c>
      <c r="AI770" t="s">
        <v>237</v>
      </c>
      <c r="AJ770">
        <v>-1.7400531358225E-3</v>
      </c>
      <c r="AK770">
        <v>0</v>
      </c>
      <c r="AL770">
        <v>1.7400531358225E-3</v>
      </c>
      <c r="AN770" t="s">
        <v>42</v>
      </c>
      <c r="AO770" t="s">
        <v>42</v>
      </c>
    </row>
    <row r="771" spans="1:43" x14ac:dyDescent="0.2">
      <c r="A771">
        <v>769</v>
      </c>
      <c r="B771">
        <v>98</v>
      </c>
      <c r="C771">
        <v>6</v>
      </c>
      <c r="F771" t="s">
        <v>29</v>
      </c>
      <c r="G771" t="s">
        <v>1528</v>
      </c>
      <c r="I771">
        <v>4.8472192596984232E-5</v>
      </c>
      <c r="J771">
        <v>3.4696015654034</v>
      </c>
      <c r="K771">
        <v>3.4696015654034</v>
      </c>
      <c r="L771" s="1"/>
      <c r="M771" s="1"/>
      <c r="N771" s="1">
        <v>43021</v>
      </c>
      <c r="R771">
        <v>-2.7515108469385995E-2</v>
      </c>
      <c r="S771">
        <v>-2.7515108469385995E-2</v>
      </c>
      <c r="T771" t="s">
        <v>32</v>
      </c>
      <c r="U771" t="s">
        <v>32</v>
      </c>
      <c r="AA771">
        <v>1.5337395634773626E-2</v>
      </c>
      <c r="AC771" t="s">
        <v>42</v>
      </c>
      <c r="AD771" t="s">
        <v>42</v>
      </c>
      <c r="AF771">
        <v>2.0499999999999998</v>
      </c>
      <c r="AG771">
        <v>2.0499999999999998</v>
      </c>
      <c r="AH771" t="s">
        <v>237</v>
      </c>
      <c r="AI771" t="s">
        <v>237</v>
      </c>
      <c r="AJ771">
        <v>-1.7616573327674E-3</v>
      </c>
      <c r="AK771">
        <v>0</v>
      </c>
      <c r="AL771">
        <v>1.7616573327674E-3</v>
      </c>
      <c r="AN771" t="s">
        <v>42</v>
      </c>
      <c r="AO771" t="s">
        <v>42</v>
      </c>
    </row>
    <row r="772" spans="1:43" x14ac:dyDescent="0.2">
      <c r="A772">
        <v>770</v>
      </c>
      <c r="B772">
        <v>101</v>
      </c>
      <c r="C772">
        <v>6</v>
      </c>
      <c r="F772" t="s">
        <v>29</v>
      </c>
      <c r="G772" t="s">
        <v>1529</v>
      </c>
      <c r="I772">
        <v>4.2874341767518193E-5</v>
      </c>
      <c r="J772">
        <v>6.3234156573110001</v>
      </c>
      <c r="K772">
        <v>6.3234156573110001</v>
      </c>
      <c r="L772" s="1"/>
      <c r="M772" s="1"/>
      <c r="N772" s="1">
        <v>43021</v>
      </c>
      <c r="R772">
        <v>-2.4503300094715318E-2</v>
      </c>
      <c r="S772">
        <v>-2.4503300094715318E-2</v>
      </c>
      <c r="T772" t="s">
        <v>32</v>
      </c>
      <c r="U772" t="s">
        <v>32</v>
      </c>
      <c r="AA772">
        <v>1.3566143948475697E-2</v>
      </c>
      <c r="AC772" t="s">
        <v>42</v>
      </c>
      <c r="AD772" t="s">
        <v>42</v>
      </c>
      <c r="AF772">
        <v>2.46</v>
      </c>
      <c r="AG772">
        <v>2.46</v>
      </c>
      <c r="AH772" t="s">
        <v>237</v>
      </c>
      <c r="AI772" t="s">
        <v>237</v>
      </c>
      <c r="AJ772">
        <v>-1.7497374476822E-3</v>
      </c>
      <c r="AK772">
        <v>0</v>
      </c>
      <c r="AL772">
        <v>1.7497374476822E-3</v>
      </c>
      <c r="AN772" t="s">
        <v>42</v>
      </c>
      <c r="AO772" t="s">
        <v>42</v>
      </c>
    </row>
    <row r="773" spans="1:43" x14ac:dyDescent="0.2">
      <c r="A773">
        <v>771</v>
      </c>
      <c r="B773">
        <v>101</v>
      </c>
      <c r="C773">
        <v>6</v>
      </c>
      <c r="F773" t="s">
        <v>29</v>
      </c>
      <c r="G773" t="s">
        <v>1530</v>
      </c>
      <c r="I773">
        <v>6.5652161013639705E-5</v>
      </c>
      <c r="J773">
        <v>7.1708424815517997</v>
      </c>
      <c r="K773">
        <v>7.1708424815517997</v>
      </c>
      <c r="L773" s="1"/>
      <c r="M773" s="1"/>
      <c r="N773" s="1">
        <v>43021</v>
      </c>
      <c r="R773">
        <v>-2.4503300094715318E-2</v>
      </c>
      <c r="S773">
        <v>-2.4503300094715318E-2</v>
      </c>
      <c r="T773" t="s">
        <v>32</v>
      </c>
      <c r="U773" t="s">
        <v>32</v>
      </c>
      <c r="AA773">
        <v>2.0773419022243708E-2</v>
      </c>
      <c r="AC773" t="s">
        <v>42</v>
      </c>
      <c r="AD773" t="s">
        <v>42</v>
      </c>
      <c r="AF773">
        <v>2.5499999999999998</v>
      </c>
      <c r="AG773">
        <v>2.5499999999999998</v>
      </c>
      <c r="AH773" t="s">
        <v>237</v>
      </c>
      <c r="AI773" t="s">
        <v>237</v>
      </c>
      <c r="AJ773">
        <v>-2.6793191431304002E-3</v>
      </c>
      <c r="AK773">
        <v>0</v>
      </c>
      <c r="AL773">
        <v>2.6793191431304002E-3</v>
      </c>
      <c r="AN773" t="s">
        <v>42</v>
      </c>
      <c r="AO773" t="s">
        <v>42</v>
      </c>
    </row>
    <row r="774" spans="1:43" x14ac:dyDescent="0.2">
      <c r="A774">
        <v>772</v>
      </c>
      <c r="B774">
        <v>101</v>
      </c>
      <c r="C774">
        <v>6</v>
      </c>
      <c r="F774" t="s">
        <v>29</v>
      </c>
      <c r="G774" t="s">
        <v>1531</v>
      </c>
      <c r="I774">
        <v>6.5053910674289385E-5</v>
      </c>
      <c r="J774">
        <v>8.2034986023232008</v>
      </c>
      <c r="K774">
        <v>8.2034986023232008</v>
      </c>
      <c r="L774" s="1"/>
      <c r="M774" s="1"/>
      <c r="N774" s="1">
        <v>43021</v>
      </c>
      <c r="R774">
        <v>-2.4503300094715318E-2</v>
      </c>
      <c r="S774">
        <v>-2.4503300094715318E-2</v>
      </c>
      <c r="T774" t="s">
        <v>32</v>
      </c>
      <c r="U774" t="s">
        <v>32</v>
      </c>
      <c r="W774" t="s">
        <v>229</v>
      </c>
      <c r="Z774" t="s">
        <v>31</v>
      </c>
      <c r="AA774">
        <v>2.0584122816488321E-2</v>
      </c>
      <c r="AC774" t="s">
        <v>42</v>
      </c>
      <c r="AD774" t="s">
        <v>42</v>
      </c>
      <c r="AE774" t="s">
        <v>41</v>
      </c>
      <c r="AF774">
        <v>2.61</v>
      </c>
      <c r="AG774">
        <v>2.61</v>
      </c>
      <c r="AH774" t="s">
        <v>237</v>
      </c>
      <c r="AI774" t="s">
        <v>237</v>
      </c>
      <c r="AJ774">
        <v>-2.6549040505903002E-3</v>
      </c>
      <c r="AK774">
        <v>0</v>
      </c>
      <c r="AL774">
        <v>2.6549040505903002E-3</v>
      </c>
      <c r="AM774" t="s">
        <v>41</v>
      </c>
      <c r="AN774" t="s">
        <v>42</v>
      </c>
      <c r="AO774" t="s">
        <v>42</v>
      </c>
      <c r="AP774" t="s">
        <v>31</v>
      </c>
    </row>
    <row r="775" spans="1:43" x14ac:dyDescent="0.2">
      <c r="A775">
        <v>773</v>
      </c>
      <c r="B775">
        <v>110</v>
      </c>
      <c r="C775">
        <v>6</v>
      </c>
      <c r="D775">
        <v>280000000</v>
      </c>
      <c r="E775" t="s">
        <v>848</v>
      </c>
      <c r="F775" t="s">
        <v>29</v>
      </c>
      <c r="G775" t="s">
        <v>849</v>
      </c>
      <c r="H775">
        <v>1.6365738110180109E-2</v>
      </c>
      <c r="I775">
        <v>-6.2174722261182814E-6</v>
      </c>
      <c r="J775">
        <v>3.16</v>
      </c>
      <c r="L775" s="1">
        <v>44621</v>
      </c>
      <c r="M775" s="1">
        <v>43024</v>
      </c>
      <c r="N775" s="1"/>
      <c r="R775">
        <v>-1.2005087764610177E-3</v>
      </c>
      <c r="T775" t="s">
        <v>39</v>
      </c>
      <c r="V775">
        <v>286528884</v>
      </c>
      <c r="W775" t="s">
        <v>850</v>
      </c>
      <c r="X775" t="s">
        <v>851</v>
      </c>
      <c r="Y775">
        <v>280000000</v>
      </c>
      <c r="Z775" t="s">
        <v>31</v>
      </c>
      <c r="AA775">
        <v>-1.9673100446074257E-3</v>
      </c>
      <c r="AB775">
        <v>101.59</v>
      </c>
      <c r="AC775" t="s">
        <v>33</v>
      </c>
      <c r="AE775" t="s">
        <v>41</v>
      </c>
      <c r="AF775">
        <v>5.4699999999999999E-2</v>
      </c>
      <c r="AH775" t="s">
        <v>237</v>
      </c>
      <c r="AJ775">
        <v>5.1790310475253506E-3</v>
      </c>
      <c r="AK775">
        <v>5.1790310475253506E-3</v>
      </c>
      <c r="AL775">
        <v>0</v>
      </c>
      <c r="AN775" t="s">
        <v>148</v>
      </c>
      <c r="AQ775">
        <v>2.8329299829963668E-4</v>
      </c>
    </row>
    <row r="776" spans="1:43" x14ac:dyDescent="0.2">
      <c r="A776">
        <v>774</v>
      </c>
      <c r="B776">
        <v>92</v>
      </c>
      <c r="C776">
        <v>6</v>
      </c>
      <c r="F776" t="s">
        <v>29</v>
      </c>
      <c r="G776" t="s">
        <v>410</v>
      </c>
      <c r="I776">
        <v>2.2530880100610167E-5</v>
      </c>
      <c r="J776">
        <v>0.62512634701184</v>
      </c>
      <c r="K776">
        <v>0.62512634701184</v>
      </c>
      <c r="L776" s="1"/>
      <c r="M776" s="1"/>
      <c r="N776" s="1">
        <v>43021</v>
      </c>
      <c r="R776">
        <v>-6.4270987235110688E-3</v>
      </c>
      <c r="S776">
        <v>-6.4270987235110688E-3</v>
      </c>
      <c r="T776" t="s">
        <v>32</v>
      </c>
      <c r="U776" t="s">
        <v>32</v>
      </c>
      <c r="W776" t="s">
        <v>229</v>
      </c>
      <c r="Z776" t="s">
        <v>31</v>
      </c>
      <c r="AA776">
        <v>7.1291394836594654E-3</v>
      </c>
      <c r="AC776" t="s">
        <v>42</v>
      </c>
      <c r="AD776" t="s">
        <v>42</v>
      </c>
      <c r="AE776" t="s">
        <v>41</v>
      </c>
      <c r="AF776">
        <v>2.1</v>
      </c>
      <c r="AG776">
        <v>2.1</v>
      </c>
      <c r="AH776" t="s">
        <v>237</v>
      </c>
      <c r="AI776" t="s">
        <v>237</v>
      </c>
      <c r="AJ776">
        <v>-3.5056066617102999E-3</v>
      </c>
      <c r="AK776">
        <v>0</v>
      </c>
      <c r="AL776">
        <v>3.5056066617102999E-3</v>
      </c>
      <c r="AM776" t="s">
        <v>41</v>
      </c>
      <c r="AN776" t="s">
        <v>42</v>
      </c>
      <c r="AO776" t="s">
        <v>42</v>
      </c>
      <c r="AP776" t="s">
        <v>31</v>
      </c>
    </row>
    <row r="777" spans="1:43" x14ac:dyDescent="0.2">
      <c r="A777">
        <v>775</v>
      </c>
      <c r="B777">
        <v>95</v>
      </c>
      <c r="C777">
        <v>6</v>
      </c>
      <c r="F777" t="s">
        <v>29</v>
      </c>
      <c r="G777" t="s">
        <v>1532</v>
      </c>
      <c r="I777">
        <v>6.0140042351740133E-5</v>
      </c>
      <c r="J777">
        <v>1.7542465250379999</v>
      </c>
      <c r="K777">
        <v>1.7542465250379999</v>
      </c>
      <c r="L777" s="1"/>
      <c r="M777" s="1"/>
      <c r="N777" s="1">
        <v>43021</v>
      </c>
      <c r="R777">
        <v>-1.7076343737775217E-2</v>
      </c>
      <c r="S777">
        <v>-1.7076343737775217E-2</v>
      </c>
      <c r="T777" t="s">
        <v>32</v>
      </c>
      <c r="U777" t="s">
        <v>32</v>
      </c>
      <c r="W777" t="s">
        <v>229</v>
      </c>
      <c r="Z777" t="s">
        <v>31</v>
      </c>
      <c r="AA777">
        <v>1.9029294397919769E-2</v>
      </c>
      <c r="AC777" t="s">
        <v>42</v>
      </c>
      <c r="AD777" t="s">
        <v>42</v>
      </c>
      <c r="AE777" t="s">
        <v>41</v>
      </c>
      <c r="AF777">
        <v>2.19</v>
      </c>
      <c r="AG777">
        <v>2.19</v>
      </c>
      <c r="AH777" t="s">
        <v>237</v>
      </c>
      <c r="AI777" t="s">
        <v>237</v>
      </c>
      <c r="AJ777">
        <v>-3.5218336709106003E-3</v>
      </c>
      <c r="AK777">
        <v>0</v>
      </c>
      <c r="AL777">
        <v>3.5218336709106003E-3</v>
      </c>
      <c r="AM777" t="s">
        <v>41</v>
      </c>
      <c r="AN777" t="s">
        <v>42</v>
      </c>
      <c r="AO777" t="s">
        <v>42</v>
      </c>
      <c r="AP777" t="s">
        <v>31</v>
      </c>
    </row>
    <row r="778" spans="1:43" x14ac:dyDescent="0.2">
      <c r="A778">
        <v>776</v>
      </c>
      <c r="B778">
        <v>98</v>
      </c>
      <c r="C778">
        <v>6</v>
      </c>
      <c r="F778" t="s">
        <v>29</v>
      </c>
      <c r="G778" t="s">
        <v>1533</v>
      </c>
      <c r="I778">
        <v>1.0057527027252489E-4</v>
      </c>
      <c r="J778">
        <v>4.2804894772401001</v>
      </c>
      <c r="K778">
        <v>4.2804894772401001</v>
      </c>
      <c r="L778" s="1"/>
      <c r="M778" s="1"/>
      <c r="N778" s="1">
        <v>43021</v>
      </c>
      <c r="R778">
        <v>-2.7515108469385995E-2</v>
      </c>
      <c r="S778">
        <v>-2.7515108469385995E-2</v>
      </c>
      <c r="T778" t="s">
        <v>32</v>
      </c>
      <c r="U778" t="s">
        <v>32</v>
      </c>
      <c r="W778" t="s">
        <v>229</v>
      </c>
      <c r="Z778" t="s">
        <v>31</v>
      </c>
      <c r="AA778">
        <v>3.1823662776500311E-2</v>
      </c>
      <c r="AC778" t="s">
        <v>42</v>
      </c>
      <c r="AD778" t="s">
        <v>42</v>
      </c>
      <c r="AE778" t="s">
        <v>41</v>
      </c>
      <c r="AF778">
        <v>2.3199999999999998</v>
      </c>
      <c r="AG778">
        <v>2.3199999999999998</v>
      </c>
      <c r="AH778" t="s">
        <v>237</v>
      </c>
      <c r="AI778" t="s">
        <v>237</v>
      </c>
      <c r="AJ778">
        <v>-3.6552743517049E-3</v>
      </c>
      <c r="AK778">
        <v>0</v>
      </c>
      <c r="AL778">
        <v>3.6552743517049E-3</v>
      </c>
      <c r="AM778" t="s">
        <v>41</v>
      </c>
      <c r="AN778" t="s">
        <v>42</v>
      </c>
      <c r="AO778" t="s">
        <v>42</v>
      </c>
      <c r="AP778" t="s">
        <v>31</v>
      </c>
    </row>
    <row r="779" spans="1:43" x14ac:dyDescent="0.2">
      <c r="A779">
        <v>777</v>
      </c>
      <c r="B779">
        <v>92</v>
      </c>
      <c r="C779">
        <v>6</v>
      </c>
      <c r="D779">
        <v>4000</v>
      </c>
      <c r="E779" t="s">
        <v>407</v>
      </c>
      <c r="F779" t="s">
        <v>29</v>
      </c>
      <c r="G779" t="s">
        <v>446</v>
      </c>
      <c r="H779">
        <v>1.8526376246303159E-3</v>
      </c>
      <c r="I779">
        <v>9.8277281373593934E-6</v>
      </c>
      <c r="J779">
        <v>0.95</v>
      </c>
      <c r="K779">
        <v>0.95933027785665004</v>
      </c>
      <c r="L779" s="1">
        <v>43374</v>
      </c>
      <c r="M779" s="1">
        <v>43024</v>
      </c>
      <c r="N779" s="1">
        <v>43021</v>
      </c>
      <c r="R779">
        <v>-6.4270987235110688E-3</v>
      </c>
      <c r="S779">
        <v>-6.4270987235110688E-3</v>
      </c>
      <c r="T779" t="s">
        <v>32</v>
      </c>
      <c r="U779" t="s">
        <v>32</v>
      </c>
      <c r="V779">
        <v>107891385</v>
      </c>
      <c r="W779" t="s">
        <v>229</v>
      </c>
      <c r="X779" t="s">
        <v>409</v>
      </c>
      <c r="Y779">
        <v>4000</v>
      </c>
      <c r="Z779" t="s">
        <v>31</v>
      </c>
      <c r="AA779">
        <v>3.1096541451491075E-3</v>
      </c>
      <c r="AB779">
        <v>101.04</v>
      </c>
      <c r="AC779" t="s">
        <v>42</v>
      </c>
      <c r="AD779" t="s">
        <v>42</v>
      </c>
      <c r="AE779" t="s">
        <v>41</v>
      </c>
      <c r="AF779">
        <v>-2.788820870230066E-3</v>
      </c>
      <c r="AG779">
        <v>2.09</v>
      </c>
      <c r="AH779" t="s">
        <v>237</v>
      </c>
      <c r="AI779" t="s">
        <v>237</v>
      </c>
      <c r="AJ779">
        <v>-1.5291080097164884E-3</v>
      </c>
      <c r="AK779">
        <v>1.9501448680319115E-3</v>
      </c>
      <c r="AL779">
        <v>3.4792528777484E-3</v>
      </c>
      <c r="AM779" t="s">
        <v>41</v>
      </c>
      <c r="AN779" t="s">
        <v>142</v>
      </c>
      <c r="AO779" t="s">
        <v>42</v>
      </c>
      <c r="AP779" t="s">
        <v>31</v>
      </c>
      <c r="AQ779">
        <v>-5.4386047079394529E-6</v>
      </c>
    </row>
    <row r="780" spans="1:43" x14ac:dyDescent="0.2">
      <c r="A780">
        <v>778</v>
      </c>
      <c r="B780">
        <v>98</v>
      </c>
      <c r="C780">
        <v>6</v>
      </c>
      <c r="F780" t="s">
        <v>29</v>
      </c>
      <c r="G780" t="s">
        <v>1534</v>
      </c>
      <c r="I780">
        <v>9.9269290063139958E-5</v>
      </c>
      <c r="J780">
        <v>3.6688084402209</v>
      </c>
      <c r="K780">
        <v>3.6688084402209</v>
      </c>
      <c r="L780" s="1"/>
      <c r="M780" s="1"/>
      <c r="N780" s="1">
        <v>43021</v>
      </c>
      <c r="R780">
        <v>-2.7515108469385995E-2</v>
      </c>
      <c r="S780">
        <v>-2.7515108469385995E-2</v>
      </c>
      <c r="T780" t="s">
        <v>32</v>
      </c>
      <c r="U780" t="s">
        <v>32</v>
      </c>
      <c r="W780" t="s">
        <v>229</v>
      </c>
      <c r="Z780" t="s">
        <v>31</v>
      </c>
      <c r="AA780">
        <v>3.1410429248381187E-2</v>
      </c>
      <c r="AC780" t="s">
        <v>42</v>
      </c>
      <c r="AD780" t="s">
        <v>42</v>
      </c>
      <c r="AE780" t="s">
        <v>41</v>
      </c>
      <c r="AF780">
        <v>2.16</v>
      </c>
      <c r="AG780">
        <v>2.16</v>
      </c>
      <c r="AH780" t="s">
        <v>237</v>
      </c>
      <c r="AI780" t="s">
        <v>237</v>
      </c>
      <c r="AJ780">
        <v>-3.6078102390033999E-3</v>
      </c>
      <c r="AK780">
        <v>0</v>
      </c>
      <c r="AL780">
        <v>3.6078102390033999E-3</v>
      </c>
      <c r="AM780" t="s">
        <v>41</v>
      </c>
      <c r="AN780" t="s">
        <v>42</v>
      </c>
      <c r="AO780" t="s">
        <v>42</v>
      </c>
      <c r="AP780" t="s">
        <v>31</v>
      </c>
    </row>
    <row r="781" spans="1:43" x14ac:dyDescent="0.2">
      <c r="A781">
        <v>779</v>
      </c>
      <c r="B781">
        <v>98</v>
      </c>
      <c r="C781">
        <v>6</v>
      </c>
      <c r="F781" t="s">
        <v>29</v>
      </c>
      <c r="G781" t="s">
        <v>1535</v>
      </c>
      <c r="I781">
        <v>9.968712143897534E-5</v>
      </c>
      <c r="J781">
        <v>3.8575392199032001</v>
      </c>
      <c r="K781">
        <v>3.8575392199032001</v>
      </c>
      <c r="L781" s="1"/>
      <c r="M781" s="1"/>
      <c r="N781" s="1">
        <v>43021</v>
      </c>
      <c r="R781">
        <v>-2.7515108469385995E-2</v>
      </c>
      <c r="S781">
        <v>-2.7515108469385995E-2</v>
      </c>
      <c r="T781" t="s">
        <v>32</v>
      </c>
      <c r="U781" t="s">
        <v>32</v>
      </c>
      <c r="W781" t="s">
        <v>229</v>
      </c>
      <c r="Z781" t="s">
        <v>31</v>
      </c>
      <c r="AA781">
        <v>3.154263793910602E-2</v>
      </c>
      <c r="AC781" t="s">
        <v>42</v>
      </c>
      <c r="AD781" t="s">
        <v>42</v>
      </c>
      <c r="AE781" t="s">
        <v>41</v>
      </c>
      <c r="AF781">
        <v>2.27</v>
      </c>
      <c r="AG781">
        <v>2.27</v>
      </c>
      <c r="AH781" t="s">
        <v>237</v>
      </c>
      <c r="AI781" t="s">
        <v>237</v>
      </c>
      <c r="AJ781">
        <v>-3.6229957643049001E-3</v>
      </c>
      <c r="AK781">
        <v>0</v>
      </c>
      <c r="AL781">
        <v>3.6229957643049001E-3</v>
      </c>
      <c r="AM781" t="s">
        <v>41</v>
      </c>
      <c r="AN781" t="s">
        <v>42</v>
      </c>
      <c r="AO781" t="s">
        <v>42</v>
      </c>
      <c r="AP781" t="s">
        <v>31</v>
      </c>
    </row>
    <row r="782" spans="1:43" x14ac:dyDescent="0.2">
      <c r="A782">
        <v>780</v>
      </c>
      <c r="B782">
        <v>98</v>
      </c>
      <c r="C782">
        <v>6</v>
      </c>
      <c r="F782" t="s">
        <v>29</v>
      </c>
      <c r="G782" t="s">
        <v>1536</v>
      </c>
      <c r="I782">
        <v>9.9319238987812303E-5</v>
      </c>
      <c r="J782">
        <v>4.6229994917420001</v>
      </c>
      <c r="K782">
        <v>4.6229994917420001</v>
      </c>
      <c r="L782" s="1"/>
      <c r="M782" s="1"/>
      <c r="N782" s="1">
        <v>43021</v>
      </c>
      <c r="R782">
        <v>-2.7515108469385995E-2</v>
      </c>
      <c r="S782">
        <v>-2.7515108469385995E-2</v>
      </c>
      <c r="T782" t="s">
        <v>32</v>
      </c>
      <c r="U782" t="s">
        <v>32</v>
      </c>
      <c r="W782" t="s">
        <v>229</v>
      </c>
      <c r="Z782" t="s">
        <v>31</v>
      </c>
      <c r="AA782">
        <v>3.1426233906231116E-2</v>
      </c>
      <c r="AC782" t="s">
        <v>42</v>
      </c>
      <c r="AD782" t="s">
        <v>42</v>
      </c>
      <c r="AE782" t="s">
        <v>41</v>
      </c>
      <c r="AF782">
        <v>2.33</v>
      </c>
      <c r="AG782">
        <v>2.33</v>
      </c>
      <c r="AH782" t="s">
        <v>237</v>
      </c>
      <c r="AI782" t="s">
        <v>237</v>
      </c>
      <c r="AJ782">
        <v>-3.6096255661981999E-3</v>
      </c>
      <c r="AK782">
        <v>0</v>
      </c>
      <c r="AL782">
        <v>3.6096255661981999E-3</v>
      </c>
      <c r="AM782" t="s">
        <v>41</v>
      </c>
      <c r="AN782" t="s">
        <v>42</v>
      </c>
      <c r="AO782" t="s">
        <v>42</v>
      </c>
      <c r="AP782" t="s">
        <v>31</v>
      </c>
    </row>
    <row r="783" spans="1:43" x14ac:dyDescent="0.2">
      <c r="A783">
        <v>781</v>
      </c>
      <c r="B783">
        <v>101</v>
      </c>
      <c r="C783">
        <v>6</v>
      </c>
      <c r="F783" t="s">
        <v>29</v>
      </c>
      <c r="G783" t="s">
        <v>1537</v>
      </c>
      <c r="I783">
        <v>8.8970903350680931E-5</v>
      </c>
      <c r="J783">
        <v>5.4683017843197002</v>
      </c>
      <c r="K783">
        <v>5.4683017843197002</v>
      </c>
      <c r="L783" s="1"/>
      <c r="M783" s="1"/>
      <c r="N783" s="1">
        <v>43021</v>
      </c>
      <c r="R783">
        <v>-2.4503300094715318E-2</v>
      </c>
      <c r="S783">
        <v>-2.4503300094715318E-2</v>
      </c>
      <c r="T783" t="s">
        <v>32</v>
      </c>
      <c r="U783" t="s">
        <v>32</v>
      </c>
      <c r="W783" t="s">
        <v>229</v>
      </c>
      <c r="Z783" t="s">
        <v>31</v>
      </c>
      <c r="AA783">
        <v>2.8151851021434901E-2</v>
      </c>
      <c r="AC783" t="s">
        <v>42</v>
      </c>
      <c r="AD783" t="s">
        <v>42</v>
      </c>
      <c r="AE783" t="s">
        <v>41</v>
      </c>
      <c r="AF783">
        <v>2.4</v>
      </c>
      <c r="AG783">
        <v>2.4</v>
      </c>
      <c r="AH783" t="s">
        <v>237</v>
      </c>
      <c r="AI783" t="s">
        <v>237</v>
      </c>
      <c r="AJ783">
        <v>-3.6309763585627998E-3</v>
      </c>
      <c r="AK783">
        <v>0</v>
      </c>
      <c r="AL783">
        <v>3.6309763585627998E-3</v>
      </c>
      <c r="AM783" t="s">
        <v>41</v>
      </c>
      <c r="AN783" t="s">
        <v>42</v>
      </c>
      <c r="AO783" t="s">
        <v>42</v>
      </c>
      <c r="AP783" t="s">
        <v>31</v>
      </c>
    </row>
    <row r="784" spans="1:43" x14ac:dyDescent="0.2">
      <c r="A784">
        <v>782</v>
      </c>
      <c r="B784">
        <v>98</v>
      </c>
      <c r="C784">
        <v>6</v>
      </c>
      <c r="D784">
        <v>9000</v>
      </c>
      <c r="E784" t="s">
        <v>407</v>
      </c>
      <c r="F784" t="s">
        <v>29</v>
      </c>
      <c r="G784" t="s">
        <v>852</v>
      </c>
      <c r="H784">
        <v>2.2544420047881777E-2</v>
      </c>
      <c r="I784">
        <v>-5.1584893318503628E-5</v>
      </c>
      <c r="J784">
        <v>4.88</v>
      </c>
      <c r="K784">
        <v>4.8874454140227996</v>
      </c>
      <c r="L784" s="1">
        <v>44958</v>
      </c>
      <c r="M784" s="1">
        <v>43024</v>
      </c>
      <c r="N784" s="1">
        <v>43021</v>
      </c>
      <c r="R784">
        <v>-2.7515108469385995E-2</v>
      </c>
      <c r="S784">
        <v>-2.7515108469385995E-2</v>
      </c>
      <c r="T784" t="s">
        <v>32</v>
      </c>
      <c r="U784" t="s">
        <v>32</v>
      </c>
      <c r="V784">
        <v>255587223</v>
      </c>
      <c r="W784" t="s">
        <v>229</v>
      </c>
      <c r="X784" t="s">
        <v>409</v>
      </c>
      <c r="Y784">
        <v>9000</v>
      </c>
      <c r="Z784" t="s">
        <v>31</v>
      </c>
      <c r="AA784">
        <v>-1.6322305124128116E-2</v>
      </c>
      <c r="AB784">
        <v>105.78</v>
      </c>
      <c r="AC784" t="s">
        <v>42</v>
      </c>
      <c r="AD784" t="s">
        <v>42</v>
      </c>
      <c r="AE784" t="s">
        <v>41</v>
      </c>
      <c r="AF784">
        <v>-1.4888208702300634E-3</v>
      </c>
      <c r="AG784">
        <v>2.23</v>
      </c>
      <c r="AH784" t="s">
        <v>237</v>
      </c>
      <c r="AI784" t="s">
        <v>237</v>
      </c>
      <c r="AJ784">
        <v>1.8747842980847518E-3</v>
      </c>
      <c r="AK784">
        <v>4.6197582065331515E-3</v>
      </c>
      <c r="AL784">
        <v>2.7449739084483998E-3</v>
      </c>
      <c r="AM784" t="s">
        <v>41</v>
      </c>
      <c r="AN784" t="s">
        <v>142</v>
      </c>
      <c r="AO784" t="s">
        <v>42</v>
      </c>
      <c r="AP784" t="s">
        <v>31</v>
      </c>
      <c r="AQ784">
        <v>-6.8779924333031641E-6</v>
      </c>
    </row>
    <row r="785" spans="1:43" x14ac:dyDescent="0.2">
      <c r="A785">
        <v>783</v>
      </c>
      <c r="B785">
        <v>101</v>
      </c>
      <c r="C785">
        <v>6</v>
      </c>
      <c r="F785" t="s">
        <v>29</v>
      </c>
      <c r="G785" t="s">
        <v>1538</v>
      </c>
      <c r="I785">
        <v>6.7133154678505107E-5</v>
      </c>
      <c r="J785">
        <v>5.2167223639791001</v>
      </c>
      <c r="K785">
        <v>5.2167223639791001</v>
      </c>
      <c r="L785" s="1"/>
      <c r="M785" s="1"/>
      <c r="N785" s="1">
        <v>43021</v>
      </c>
      <c r="R785">
        <v>-2.4503300094715318E-2</v>
      </c>
      <c r="S785">
        <v>-2.4503300094715318E-2</v>
      </c>
      <c r="T785" t="s">
        <v>32</v>
      </c>
      <c r="U785" t="s">
        <v>32</v>
      </c>
      <c r="AA785">
        <v>2.1242029674117688E-2</v>
      </c>
      <c r="AC785" t="s">
        <v>42</v>
      </c>
      <c r="AD785" t="s">
        <v>42</v>
      </c>
      <c r="AF785">
        <v>2.4</v>
      </c>
      <c r="AG785">
        <v>2.4</v>
      </c>
      <c r="AH785" t="s">
        <v>237</v>
      </c>
      <c r="AI785" t="s">
        <v>237</v>
      </c>
      <c r="AJ785">
        <v>-2.7397597229356003E-3</v>
      </c>
      <c r="AK785">
        <v>0</v>
      </c>
      <c r="AL785">
        <v>2.7397597229356003E-3</v>
      </c>
      <c r="AN785" t="s">
        <v>42</v>
      </c>
      <c r="AO785" t="s">
        <v>42</v>
      </c>
    </row>
    <row r="786" spans="1:43" x14ac:dyDescent="0.2">
      <c r="A786">
        <v>784</v>
      </c>
      <c r="B786">
        <v>101</v>
      </c>
      <c r="C786">
        <v>6</v>
      </c>
      <c r="D786">
        <v>22000</v>
      </c>
      <c r="E786" t="s">
        <v>407</v>
      </c>
      <c r="F786" t="s">
        <v>29</v>
      </c>
      <c r="G786" t="s">
        <v>853</v>
      </c>
      <c r="H786">
        <v>6.4597391872394438E-2</v>
      </c>
      <c r="I786">
        <v>-2.0979922474688613E-4</v>
      </c>
      <c r="J786">
        <v>5.71</v>
      </c>
      <c r="K786">
        <v>5.7193250416741996</v>
      </c>
      <c r="L786" s="1">
        <v>45323</v>
      </c>
      <c r="M786" s="1">
        <v>43024</v>
      </c>
      <c r="N786" s="1">
        <v>43021</v>
      </c>
      <c r="R786">
        <v>-2.4503300094715318E-2</v>
      </c>
      <c r="S786">
        <v>-2.4503300094715318E-2</v>
      </c>
      <c r="T786" t="s">
        <v>32</v>
      </c>
      <c r="U786" t="s">
        <v>32</v>
      </c>
      <c r="V786">
        <v>625891090</v>
      </c>
      <c r="W786" t="s">
        <v>229</v>
      </c>
      <c r="X786" t="s">
        <v>409</v>
      </c>
      <c r="Y786">
        <v>22000</v>
      </c>
      <c r="Z786" t="s">
        <v>31</v>
      </c>
      <c r="AA786">
        <v>-6.6383910886093911E-2</v>
      </c>
      <c r="AB786">
        <v>105.97</v>
      </c>
      <c r="AC786" t="s">
        <v>42</v>
      </c>
      <c r="AD786" t="s">
        <v>42</v>
      </c>
      <c r="AE786" t="s">
        <v>41</v>
      </c>
      <c r="AF786">
        <v>-8.8820870230064963E-5</v>
      </c>
      <c r="AG786">
        <v>2.36</v>
      </c>
      <c r="AH786" t="s">
        <v>237</v>
      </c>
      <c r="AI786" t="s">
        <v>237</v>
      </c>
      <c r="AJ786">
        <v>8.562080370232825E-3</v>
      </c>
      <c r="AK786">
        <v>1.1313028348930726E-2</v>
      </c>
      <c r="AL786">
        <v>2.7509479786979002E-3</v>
      </c>
      <c r="AM786" t="s">
        <v>41</v>
      </c>
      <c r="AN786" t="s">
        <v>142</v>
      </c>
      <c r="AO786" t="s">
        <v>42</v>
      </c>
      <c r="AP786" t="s">
        <v>31</v>
      </c>
      <c r="AQ786">
        <v>-1.0048330228894221E-6</v>
      </c>
    </row>
    <row r="787" spans="1:43" x14ac:dyDescent="0.2">
      <c r="A787">
        <v>785</v>
      </c>
      <c r="B787">
        <v>101</v>
      </c>
      <c r="C787">
        <v>6</v>
      </c>
      <c r="F787" t="s">
        <v>29</v>
      </c>
      <c r="G787" t="s">
        <v>1539</v>
      </c>
      <c r="I787">
        <v>6.8749594953579826E-5</v>
      </c>
      <c r="J787">
        <v>5.9453006179488002</v>
      </c>
      <c r="K787">
        <v>5.9453006179488002</v>
      </c>
      <c r="L787" s="1"/>
      <c r="M787" s="1"/>
      <c r="N787" s="1">
        <v>43021</v>
      </c>
      <c r="R787">
        <v>-2.4503300094715318E-2</v>
      </c>
      <c r="S787">
        <v>-2.4503300094715318E-2</v>
      </c>
      <c r="T787" t="s">
        <v>32</v>
      </c>
      <c r="U787" t="s">
        <v>32</v>
      </c>
      <c r="AA787">
        <v>2.1753497851861019E-2</v>
      </c>
      <c r="AC787" t="s">
        <v>42</v>
      </c>
      <c r="AD787" t="s">
        <v>42</v>
      </c>
      <c r="AF787">
        <v>2.2599999999999998</v>
      </c>
      <c r="AG787">
        <v>2.2599999999999998</v>
      </c>
      <c r="AH787" t="s">
        <v>237</v>
      </c>
      <c r="AI787" t="s">
        <v>237</v>
      </c>
      <c r="AJ787">
        <v>-2.8057279912434003E-3</v>
      </c>
      <c r="AK787">
        <v>0</v>
      </c>
      <c r="AL787">
        <v>2.8057279912434003E-3</v>
      </c>
      <c r="AN787" t="s">
        <v>42</v>
      </c>
      <c r="AO787" t="s">
        <v>42</v>
      </c>
    </row>
    <row r="788" spans="1:43" x14ac:dyDescent="0.2">
      <c r="A788">
        <v>786</v>
      </c>
      <c r="B788">
        <v>101</v>
      </c>
      <c r="C788">
        <v>6</v>
      </c>
      <c r="F788" t="s">
        <v>29</v>
      </c>
      <c r="G788" t="s">
        <v>1540</v>
      </c>
      <c r="I788">
        <v>8.9986073681849402E-5</v>
      </c>
      <c r="J788">
        <v>6.2745962736253</v>
      </c>
      <c r="K788">
        <v>6.2745962736253</v>
      </c>
      <c r="L788" s="1"/>
      <c r="M788" s="1"/>
      <c r="N788" s="1">
        <v>43021</v>
      </c>
      <c r="R788">
        <v>-2.4503300094715318E-2</v>
      </c>
      <c r="S788">
        <v>-2.4503300094715318E-2</v>
      </c>
      <c r="T788" t="s">
        <v>32</v>
      </c>
      <c r="U788" t="s">
        <v>32</v>
      </c>
      <c r="W788" t="s">
        <v>229</v>
      </c>
      <c r="Z788" t="s">
        <v>31</v>
      </c>
      <c r="AA788">
        <v>2.8473067541085053E-2</v>
      </c>
      <c r="AC788" t="s">
        <v>42</v>
      </c>
      <c r="AD788" t="s">
        <v>42</v>
      </c>
      <c r="AE788" t="s">
        <v>41</v>
      </c>
      <c r="AF788">
        <v>2.44</v>
      </c>
      <c r="AG788">
        <v>2.44</v>
      </c>
      <c r="AH788" t="s">
        <v>237</v>
      </c>
      <c r="AI788" t="s">
        <v>237</v>
      </c>
      <c r="AJ788">
        <v>-3.6724063017640998E-3</v>
      </c>
      <c r="AK788">
        <v>0</v>
      </c>
      <c r="AL788">
        <v>3.6724063017640998E-3</v>
      </c>
      <c r="AM788" t="s">
        <v>41</v>
      </c>
      <c r="AN788" t="s">
        <v>42</v>
      </c>
      <c r="AO788" t="s">
        <v>42</v>
      </c>
      <c r="AP788" t="s">
        <v>31</v>
      </c>
    </row>
    <row r="789" spans="1:43" x14ac:dyDescent="0.2">
      <c r="A789">
        <v>787</v>
      </c>
      <c r="B789">
        <v>101</v>
      </c>
      <c r="C789">
        <v>6</v>
      </c>
      <c r="F789" t="s">
        <v>29</v>
      </c>
      <c r="G789" t="s">
        <v>1541</v>
      </c>
      <c r="I789">
        <v>6.7948392306551293E-5</v>
      </c>
      <c r="J789">
        <v>6.5093800414547003</v>
      </c>
      <c r="K789">
        <v>6.5093800414547003</v>
      </c>
      <c r="L789" s="1"/>
      <c r="M789" s="1"/>
      <c r="N789" s="1">
        <v>43021</v>
      </c>
      <c r="R789">
        <v>-2.4503300094715318E-2</v>
      </c>
      <c r="S789">
        <v>-2.4503300094715318E-2</v>
      </c>
      <c r="T789" t="s">
        <v>32</v>
      </c>
      <c r="U789" t="s">
        <v>32</v>
      </c>
      <c r="W789" t="s">
        <v>229</v>
      </c>
      <c r="Z789" t="s">
        <v>31</v>
      </c>
      <c r="AA789">
        <v>2.1499984211921633E-2</v>
      </c>
      <c r="AC789" t="s">
        <v>42</v>
      </c>
      <c r="AD789" t="s">
        <v>42</v>
      </c>
      <c r="AE789" t="s">
        <v>41</v>
      </c>
      <c r="AF789">
        <v>2.4700000000000002</v>
      </c>
      <c r="AG789">
        <v>2.4700000000000002</v>
      </c>
      <c r="AH789" t="s">
        <v>237</v>
      </c>
      <c r="AI789" t="s">
        <v>237</v>
      </c>
      <c r="AJ789">
        <v>-2.7730302466975002E-3</v>
      </c>
      <c r="AK789">
        <v>0</v>
      </c>
      <c r="AL789">
        <v>2.7730302466975002E-3</v>
      </c>
      <c r="AM789" t="s">
        <v>41</v>
      </c>
      <c r="AN789" t="s">
        <v>42</v>
      </c>
      <c r="AO789" t="s">
        <v>42</v>
      </c>
      <c r="AP789" t="s">
        <v>31</v>
      </c>
    </row>
    <row r="790" spans="1:43" x14ac:dyDescent="0.2">
      <c r="A790">
        <v>788</v>
      </c>
      <c r="B790">
        <v>101</v>
      </c>
      <c r="C790">
        <v>6</v>
      </c>
      <c r="F790" t="s">
        <v>29</v>
      </c>
      <c r="G790" t="s">
        <v>1542</v>
      </c>
      <c r="I790">
        <v>6.8320694259368686E-5</v>
      </c>
      <c r="J790">
        <v>6.7302288663456</v>
      </c>
      <c r="K790">
        <v>6.7302288663456</v>
      </c>
      <c r="L790" s="1"/>
      <c r="M790" s="1"/>
      <c r="N790" s="1">
        <v>43021</v>
      </c>
      <c r="R790">
        <v>-2.4503300094715318E-2</v>
      </c>
      <c r="S790">
        <v>-2.4503300094715318E-2</v>
      </c>
      <c r="T790" t="s">
        <v>32</v>
      </c>
      <c r="U790" t="s">
        <v>32</v>
      </c>
      <c r="W790" t="s">
        <v>229</v>
      </c>
      <c r="Z790" t="s">
        <v>31</v>
      </c>
      <c r="AA790">
        <v>2.1617786647504349E-2</v>
      </c>
      <c r="AC790" t="s">
        <v>42</v>
      </c>
      <c r="AD790" t="s">
        <v>42</v>
      </c>
      <c r="AE790" t="s">
        <v>41</v>
      </c>
      <c r="AF790">
        <v>2.5099999999999998</v>
      </c>
      <c r="AG790">
        <v>2.5099999999999998</v>
      </c>
      <c r="AH790" t="s">
        <v>237</v>
      </c>
      <c r="AI790" t="s">
        <v>237</v>
      </c>
      <c r="AJ790">
        <v>-2.7882241981806999E-3</v>
      </c>
      <c r="AK790">
        <v>0</v>
      </c>
      <c r="AL790">
        <v>2.7882241981806999E-3</v>
      </c>
      <c r="AM790" t="s">
        <v>41</v>
      </c>
      <c r="AN790" t="s">
        <v>42</v>
      </c>
      <c r="AO790" t="s">
        <v>42</v>
      </c>
      <c r="AP790" t="s">
        <v>31</v>
      </c>
    </row>
    <row r="791" spans="1:43" x14ac:dyDescent="0.2">
      <c r="A791">
        <v>789</v>
      </c>
      <c r="B791">
        <v>101</v>
      </c>
      <c r="C791">
        <v>6</v>
      </c>
      <c r="F791" t="s">
        <v>29</v>
      </c>
      <c r="G791" t="s">
        <v>1543</v>
      </c>
      <c r="I791">
        <v>9.0154845012111259E-5</v>
      </c>
      <c r="J791">
        <v>7.0634421936083998</v>
      </c>
      <c r="K791">
        <v>7.0634421936083998</v>
      </c>
      <c r="L791" s="1"/>
      <c r="M791" s="1"/>
      <c r="N791" s="1">
        <v>43021</v>
      </c>
      <c r="R791">
        <v>-2.4503300094715318E-2</v>
      </c>
      <c r="S791">
        <v>-2.4503300094715318E-2</v>
      </c>
      <c r="T791" t="s">
        <v>32</v>
      </c>
      <c r="U791" t="s">
        <v>32</v>
      </c>
      <c r="W791" t="s">
        <v>229</v>
      </c>
      <c r="Z791" t="s">
        <v>31</v>
      </c>
      <c r="AA791">
        <v>2.8526469554184707E-2</v>
      </c>
      <c r="AC791" t="s">
        <v>42</v>
      </c>
      <c r="AD791" t="s">
        <v>42</v>
      </c>
      <c r="AE791" t="s">
        <v>41</v>
      </c>
      <c r="AF791">
        <v>2.5299999999999998</v>
      </c>
      <c r="AG791">
        <v>2.5299999999999998</v>
      </c>
      <c r="AH791" t="s">
        <v>237</v>
      </c>
      <c r="AI791" t="s">
        <v>237</v>
      </c>
      <c r="AJ791">
        <v>-3.6792939997316999E-3</v>
      </c>
      <c r="AK791">
        <v>0</v>
      </c>
      <c r="AL791">
        <v>3.6792939997316999E-3</v>
      </c>
      <c r="AM791" t="s">
        <v>41</v>
      </c>
      <c r="AN791" t="s">
        <v>42</v>
      </c>
      <c r="AO791" t="s">
        <v>42</v>
      </c>
      <c r="AP791" t="s">
        <v>31</v>
      </c>
    </row>
    <row r="792" spans="1:43" x14ac:dyDescent="0.2">
      <c r="A792">
        <v>790</v>
      </c>
      <c r="B792">
        <v>93</v>
      </c>
      <c r="C792">
        <v>6</v>
      </c>
      <c r="D792">
        <v>4000</v>
      </c>
      <c r="E792" t="s">
        <v>459</v>
      </c>
      <c r="F792" t="s">
        <v>29</v>
      </c>
      <c r="G792" t="s">
        <v>854</v>
      </c>
      <c r="H792">
        <v>1.2829369556942079E-3</v>
      </c>
      <c r="I792">
        <v>-4.1732198937646693E-6</v>
      </c>
      <c r="J792">
        <v>0.65</v>
      </c>
      <c r="K792">
        <v>0.66233319016765002</v>
      </c>
      <c r="L792" s="1">
        <v>43266</v>
      </c>
      <c r="M792" s="1">
        <v>43024</v>
      </c>
      <c r="N792" s="1">
        <v>43021</v>
      </c>
      <c r="R792">
        <v>-6.3814612918483005E-3</v>
      </c>
      <c r="S792">
        <v>-6.3814612918483005E-3</v>
      </c>
      <c r="T792" t="s">
        <v>32</v>
      </c>
      <c r="U792" t="s">
        <v>32</v>
      </c>
      <c r="V792">
        <v>109197288</v>
      </c>
      <c r="W792" t="s">
        <v>249</v>
      </c>
      <c r="X792" t="s">
        <v>461</v>
      </c>
      <c r="Y792">
        <v>4000</v>
      </c>
      <c r="Z792" t="s">
        <v>31</v>
      </c>
      <c r="AA792">
        <v>-1.3204751250629199E-3</v>
      </c>
      <c r="AB792">
        <v>101.15</v>
      </c>
      <c r="AC792" t="s">
        <v>34</v>
      </c>
      <c r="AD792" t="s">
        <v>34</v>
      </c>
      <c r="AE792" t="s">
        <v>41</v>
      </c>
      <c r="AF792">
        <v>-4.5888208702300655E-3</v>
      </c>
      <c r="AG792">
        <v>1.91</v>
      </c>
      <c r="AH792" t="s">
        <v>237</v>
      </c>
      <c r="AI792" t="s">
        <v>237</v>
      </c>
      <c r="AJ792">
        <v>6.539599165312738E-4</v>
      </c>
      <c r="AK792">
        <v>1.9737491626064738E-3</v>
      </c>
      <c r="AL792">
        <v>1.3197892460752E-3</v>
      </c>
      <c r="AM792" t="s">
        <v>41</v>
      </c>
      <c r="AN792" t="s">
        <v>54</v>
      </c>
      <c r="AO792" t="s">
        <v>34</v>
      </c>
      <c r="AP792" t="s">
        <v>31</v>
      </c>
      <c r="AQ792">
        <v>-9.0571813499677016E-6</v>
      </c>
    </row>
    <row r="793" spans="1:43" x14ac:dyDescent="0.2">
      <c r="A793">
        <v>791</v>
      </c>
      <c r="B793">
        <v>96</v>
      </c>
      <c r="C793">
        <v>6</v>
      </c>
      <c r="D793">
        <v>10500</v>
      </c>
      <c r="E793" t="s">
        <v>459</v>
      </c>
      <c r="F793" t="s">
        <v>29</v>
      </c>
      <c r="G793" t="s">
        <v>460</v>
      </c>
      <c r="H793">
        <v>7.3530994557816842E-3</v>
      </c>
      <c r="I793">
        <v>-7.426010053568363E-5</v>
      </c>
      <c r="J793">
        <v>1.43</v>
      </c>
      <c r="K793">
        <v>1.4440584298373</v>
      </c>
      <c r="L793" s="1">
        <v>43556</v>
      </c>
      <c r="M793" s="1">
        <v>43024</v>
      </c>
      <c r="N793" s="1">
        <v>43021</v>
      </c>
      <c r="R793">
        <v>-1.9353706235684085E-2</v>
      </c>
      <c r="S793">
        <v>-1.9353706235684085E-2</v>
      </c>
      <c r="T793" t="s">
        <v>32</v>
      </c>
      <c r="U793" t="s">
        <v>32</v>
      </c>
      <c r="V793">
        <v>284481675</v>
      </c>
      <c r="W793" t="s">
        <v>249</v>
      </c>
      <c r="X793" t="s">
        <v>461</v>
      </c>
      <c r="Y793">
        <v>10500</v>
      </c>
      <c r="Z793" t="s">
        <v>31</v>
      </c>
      <c r="AA793">
        <v>-2.3497112071317907E-2</v>
      </c>
      <c r="AB793">
        <v>101.5</v>
      </c>
      <c r="AC793" t="s">
        <v>34</v>
      </c>
      <c r="AD793" t="s">
        <v>34</v>
      </c>
      <c r="AE793" t="s">
        <v>41</v>
      </c>
      <c r="AF793">
        <v>-4.1888208702300644E-3</v>
      </c>
      <c r="AG793">
        <v>1.94</v>
      </c>
      <c r="AH793" t="s">
        <v>237</v>
      </c>
      <c r="AI793" t="s">
        <v>237</v>
      </c>
      <c r="AJ793">
        <v>3.8369963681046232E-3</v>
      </c>
      <c r="AK793">
        <v>5.1420275914557233E-3</v>
      </c>
      <c r="AL793">
        <v>1.3050312233511001E-3</v>
      </c>
      <c r="AM793" t="s">
        <v>41</v>
      </c>
      <c r="AN793" t="s">
        <v>54</v>
      </c>
      <c r="AO793" t="s">
        <v>34</v>
      </c>
      <c r="AP793" t="s">
        <v>31</v>
      </c>
      <c r="AQ793">
        <v>-2.1539032490388565E-5</v>
      </c>
    </row>
    <row r="794" spans="1:43" x14ac:dyDescent="0.2">
      <c r="A794">
        <v>792</v>
      </c>
      <c r="B794">
        <v>93</v>
      </c>
      <c r="C794">
        <v>6</v>
      </c>
      <c r="D794">
        <v>10000</v>
      </c>
      <c r="E794" t="s">
        <v>459</v>
      </c>
      <c r="F794" t="s">
        <v>29</v>
      </c>
      <c r="G794" t="s">
        <v>855</v>
      </c>
      <c r="H794">
        <v>2.5841452859688189E-3</v>
      </c>
      <c r="I794">
        <v>-3.1114383235702403E-5</v>
      </c>
      <c r="J794">
        <v>0.53</v>
      </c>
      <c r="L794" s="1">
        <v>43221</v>
      </c>
      <c r="M794" s="1">
        <v>43024</v>
      </c>
      <c r="N794" s="1"/>
      <c r="R794">
        <v>-6.3814612918483005E-3</v>
      </c>
      <c r="T794" t="s">
        <v>32</v>
      </c>
      <c r="V794">
        <v>269749688</v>
      </c>
      <c r="W794" t="s">
        <v>249</v>
      </c>
      <c r="X794" t="s">
        <v>461</v>
      </c>
      <c r="Y794">
        <v>10000</v>
      </c>
      <c r="Z794" t="s">
        <v>31</v>
      </c>
      <c r="AA794">
        <v>-9.8451004596731666E-3</v>
      </c>
      <c r="AB794">
        <v>100.17</v>
      </c>
      <c r="AC794" t="s">
        <v>34</v>
      </c>
      <c r="AE794" t="s">
        <v>41</v>
      </c>
      <c r="AF794">
        <v>-4.7888208702300643E-3</v>
      </c>
      <c r="AH794" t="s">
        <v>237</v>
      </c>
      <c r="AJ794">
        <v>4.8757458225826772E-3</v>
      </c>
      <c r="AK794">
        <v>4.8757458225826772E-3</v>
      </c>
      <c r="AL794">
        <v>0</v>
      </c>
      <c r="AN794" t="s">
        <v>54</v>
      </c>
      <c r="AQ794">
        <v>-2.3349073353120977E-5</v>
      </c>
    </row>
    <row r="795" spans="1:43" x14ac:dyDescent="0.2">
      <c r="A795">
        <v>793</v>
      </c>
      <c r="B795">
        <v>107</v>
      </c>
      <c r="C795">
        <v>6</v>
      </c>
      <c r="D795">
        <v>130000000</v>
      </c>
      <c r="E795" t="s">
        <v>459</v>
      </c>
      <c r="F795" t="s">
        <v>29</v>
      </c>
      <c r="G795" t="s">
        <v>856</v>
      </c>
      <c r="H795">
        <v>5.8401786446285421E-3</v>
      </c>
      <c r="I795">
        <v>-1.3818255162600659E-6</v>
      </c>
      <c r="J795">
        <v>2.34</v>
      </c>
      <c r="K795">
        <v>2.3514875962812001</v>
      </c>
      <c r="L795" s="1">
        <v>43952</v>
      </c>
      <c r="M795" s="1">
        <v>43024</v>
      </c>
      <c r="N795" s="1">
        <v>43021</v>
      </c>
      <c r="R795">
        <v>-1.1244183189823643E-3</v>
      </c>
      <c r="S795">
        <v>-1.1244183189823643E-3</v>
      </c>
      <c r="T795" t="s">
        <v>39</v>
      </c>
      <c r="U795" t="s">
        <v>39</v>
      </c>
      <c r="V795">
        <v>138079806</v>
      </c>
      <c r="W795" t="s">
        <v>249</v>
      </c>
      <c r="X795" t="s">
        <v>461</v>
      </c>
      <c r="Y795">
        <v>130000000</v>
      </c>
      <c r="Z795" t="s">
        <v>31</v>
      </c>
      <c r="AA795">
        <v>-4.3723222543938598E-4</v>
      </c>
      <c r="AB795">
        <v>103.45</v>
      </c>
      <c r="AC795" t="s">
        <v>34</v>
      </c>
      <c r="AD795" t="s">
        <v>34</v>
      </c>
      <c r="AE795" t="s">
        <v>41</v>
      </c>
      <c r="AF795">
        <v>4.3700000000000003E-2</v>
      </c>
      <c r="AG795">
        <v>4.34</v>
      </c>
      <c r="AH795" t="s">
        <v>237</v>
      </c>
      <c r="AI795" t="s">
        <v>237</v>
      </c>
      <c r="AJ795">
        <v>1.2289247630816471E-3</v>
      </c>
      <c r="AK795">
        <v>2.495802839584847E-3</v>
      </c>
      <c r="AL795">
        <v>1.2668780765032E-3</v>
      </c>
      <c r="AM795" t="s">
        <v>41</v>
      </c>
      <c r="AN795" t="s">
        <v>54</v>
      </c>
      <c r="AO795" t="s">
        <v>34</v>
      </c>
      <c r="AP795" t="s">
        <v>31</v>
      </c>
      <c r="AQ795">
        <v>1.0906658408985782E-4</v>
      </c>
    </row>
    <row r="796" spans="1:43" x14ac:dyDescent="0.2">
      <c r="A796">
        <v>794</v>
      </c>
      <c r="B796">
        <v>96</v>
      </c>
      <c r="C796">
        <v>6</v>
      </c>
      <c r="D796">
        <v>17500</v>
      </c>
      <c r="E796" t="s">
        <v>459</v>
      </c>
      <c r="F796" t="s">
        <v>29</v>
      </c>
      <c r="G796" t="s">
        <v>857</v>
      </c>
      <c r="H796">
        <v>2.3658182163274567E-2</v>
      </c>
      <c r="I796">
        <v>-1.1402463289991465E-4</v>
      </c>
      <c r="J796">
        <v>2.79</v>
      </c>
      <c r="K796">
        <v>2.8039941277640001</v>
      </c>
      <c r="L796" s="1">
        <v>44075</v>
      </c>
      <c r="M796" s="1">
        <v>43024</v>
      </c>
      <c r="N796" s="1">
        <v>43021</v>
      </c>
      <c r="R796">
        <v>-1.9353706235684085E-2</v>
      </c>
      <c r="S796">
        <v>-1.9353706235684085E-2</v>
      </c>
      <c r="T796" t="s">
        <v>32</v>
      </c>
      <c r="U796" t="s">
        <v>32</v>
      </c>
      <c r="V796">
        <v>469134165</v>
      </c>
      <c r="W796" t="s">
        <v>249</v>
      </c>
      <c r="X796" t="s">
        <v>461</v>
      </c>
      <c r="Y796">
        <v>17500</v>
      </c>
      <c r="Z796" t="s">
        <v>31</v>
      </c>
      <c r="AA796">
        <v>-3.6079261390882959E-2</v>
      </c>
      <c r="AB796">
        <v>100.27</v>
      </c>
      <c r="AC796" t="s">
        <v>34</v>
      </c>
      <c r="AD796" t="s">
        <v>34</v>
      </c>
      <c r="AE796" t="s">
        <v>41</v>
      </c>
      <c r="AF796">
        <v>-1.5888208702300663E-3</v>
      </c>
      <c r="AG796">
        <v>2.2200000000000002</v>
      </c>
      <c r="AH796" t="s">
        <v>237</v>
      </c>
      <c r="AI796" t="s">
        <v>237</v>
      </c>
      <c r="AJ796">
        <v>5.8916174251770793E-3</v>
      </c>
      <c r="AK796">
        <v>8.4796351839693789E-3</v>
      </c>
      <c r="AL796">
        <v>2.5880177587922996E-3</v>
      </c>
      <c r="AM796" t="s">
        <v>41</v>
      </c>
      <c r="AN796" t="s">
        <v>54</v>
      </c>
      <c r="AO796" t="s">
        <v>34</v>
      </c>
      <c r="AP796" t="s">
        <v>31</v>
      </c>
      <c r="AQ796">
        <v>-1.3472621352227717E-5</v>
      </c>
    </row>
    <row r="797" spans="1:43" x14ac:dyDescent="0.2">
      <c r="A797">
        <v>795</v>
      </c>
      <c r="B797">
        <v>99</v>
      </c>
      <c r="C797">
        <v>6</v>
      </c>
      <c r="F797" t="s">
        <v>29</v>
      </c>
      <c r="G797" t="s">
        <v>1544</v>
      </c>
      <c r="I797">
        <v>3.8935517013568268E-5</v>
      </c>
      <c r="J797">
        <v>4.1889217057158996</v>
      </c>
      <c r="K797">
        <v>4.1889217057158996</v>
      </c>
      <c r="L797" s="1"/>
      <c r="M797" s="1"/>
      <c r="N797" s="1">
        <v>43021</v>
      </c>
      <c r="R797">
        <v>-1.4967484789654954E-2</v>
      </c>
      <c r="S797">
        <v>-1.4967484789654954E-2</v>
      </c>
      <c r="T797" t="s">
        <v>32</v>
      </c>
      <c r="U797" t="s">
        <v>32</v>
      </c>
      <c r="AA797">
        <v>1.2319835284668141E-2</v>
      </c>
      <c r="AC797" t="s">
        <v>34</v>
      </c>
      <c r="AD797" t="s">
        <v>34</v>
      </c>
      <c r="AF797">
        <v>2.25</v>
      </c>
      <c r="AG797">
        <v>2.25</v>
      </c>
      <c r="AH797" t="s">
        <v>237</v>
      </c>
      <c r="AI797" t="s">
        <v>237</v>
      </c>
      <c r="AJ797">
        <v>-2.6013400087421001E-3</v>
      </c>
      <c r="AK797">
        <v>0</v>
      </c>
      <c r="AL797">
        <v>2.6013400087421001E-3</v>
      </c>
      <c r="AN797" t="s">
        <v>34</v>
      </c>
      <c r="AO797" t="s">
        <v>34</v>
      </c>
    </row>
    <row r="798" spans="1:43" x14ac:dyDescent="0.2">
      <c r="A798">
        <v>796</v>
      </c>
      <c r="B798">
        <v>99</v>
      </c>
      <c r="C798">
        <v>6</v>
      </c>
      <c r="F798" t="s">
        <v>29</v>
      </c>
      <c r="G798" t="s">
        <v>1545</v>
      </c>
      <c r="I798">
        <v>2.6108399388845402E-5</v>
      </c>
      <c r="J798">
        <v>4.9212564091860997</v>
      </c>
      <c r="K798">
        <v>4.9212564091860997</v>
      </c>
      <c r="L798" s="1"/>
      <c r="M798" s="1"/>
      <c r="N798" s="1">
        <v>43021</v>
      </c>
      <c r="R798">
        <v>-1.4967484789654954E-2</v>
      </c>
      <c r="S798">
        <v>-1.4967484789654954E-2</v>
      </c>
      <c r="T798" t="s">
        <v>32</v>
      </c>
      <c r="U798" t="s">
        <v>32</v>
      </c>
      <c r="AA798">
        <v>8.2611251805084947E-3</v>
      </c>
      <c r="AC798" t="s">
        <v>34</v>
      </c>
      <c r="AD798" t="s">
        <v>34</v>
      </c>
      <c r="AF798">
        <v>2.2200000000000002</v>
      </c>
      <c r="AG798">
        <v>2.2200000000000002</v>
      </c>
      <c r="AH798" t="s">
        <v>237</v>
      </c>
      <c r="AI798" t="s">
        <v>237</v>
      </c>
      <c r="AJ798">
        <v>-1.7443411338484E-3</v>
      </c>
      <c r="AK798">
        <v>0</v>
      </c>
      <c r="AL798">
        <v>1.7443411338484E-3</v>
      </c>
      <c r="AN798" t="s">
        <v>34</v>
      </c>
      <c r="AO798" t="s">
        <v>34</v>
      </c>
    </row>
    <row r="799" spans="1:43" x14ac:dyDescent="0.2">
      <c r="A799">
        <v>797</v>
      </c>
      <c r="B799">
        <v>101</v>
      </c>
      <c r="C799">
        <v>6</v>
      </c>
      <c r="F799" t="s">
        <v>29</v>
      </c>
      <c r="G799" t="s">
        <v>1717</v>
      </c>
      <c r="I799">
        <v>1.619617403229077E-4</v>
      </c>
      <c r="J799">
        <v>6.5803607731226004</v>
      </c>
      <c r="K799">
        <v>6.5803607731226004</v>
      </c>
      <c r="L799" s="1"/>
      <c r="M799" s="1"/>
      <c r="N799" s="1">
        <v>43021</v>
      </c>
      <c r="R799">
        <v>-2.4503300094715318E-2</v>
      </c>
      <c r="S799">
        <v>-2.4503300094715318E-2</v>
      </c>
      <c r="T799" t="s">
        <v>32</v>
      </c>
      <c r="U799" t="s">
        <v>32</v>
      </c>
      <c r="W799" t="s">
        <v>538</v>
      </c>
      <c r="Z799" t="s">
        <v>31</v>
      </c>
      <c r="AA799">
        <v>5.1247347312765347E-2</v>
      </c>
      <c r="AC799" t="s">
        <v>42</v>
      </c>
      <c r="AD799" t="s">
        <v>42</v>
      </c>
      <c r="AE799" t="s">
        <v>180</v>
      </c>
      <c r="AF799">
        <v>2.4500000000000002</v>
      </c>
      <c r="AG799">
        <v>2.4500000000000002</v>
      </c>
      <c r="AH799" t="s">
        <v>237</v>
      </c>
      <c r="AI799" t="s">
        <v>237</v>
      </c>
      <c r="AJ799">
        <v>-6.6097929542902004E-3</v>
      </c>
      <c r="AK799">
        <v>0</v>
      </c>
      <c r="AL799">
        <v>6.6097929542902004E-3</v>
      </c>
      <c r="AM799" t="s">
        <v>180</v>
      </c>
      <c r="AN799" t="s">
        <v>42</v>
      </c>
      <c r="AO799" t="s">
        <v>42</v>
      </c>
      <c r="AP799" t="s">
        <v>31</v>
      </c>
    </row>
    <row r="800" spans="1:43" x14ac:dyDescent="0.2">
      <c r="A800">
        <v>798</v>
      </c>
      <c r="B800">
        <v>101</v>
      </c>
      <c r="C800">
        <v>6</v>
      </c>
      <c r="F800" t="s">
        <v>29</v>
      </c>
      <c r="G800" t="s">
        <v>1546</v>
      </c>
      <c r="I800">
        <v>2.1207277455712162E-4</v>
      </c>
      <c r="J800">
        <v>7.9861390604495996</v>
      </c>
      <c r="K800">
        <v>7.9861390604495996</v>
      </c>
      <c r="L800" s="1"/>
      <c r="M800" s="1"/>
      <c r="N800" s="1">
        <v>43021</v>
      </c>
      <c r="R800">
        <v>-2.4503300094715318E-2</v>
      </c>
      <c r="S800">
        <v>-2.4503300094715318E-2</v>
      </c>
      <c r="T800" t="s">
        <v>32</v>
      </c>
      <c r="U800" t="s">
        <v>32</v>
      </c>
      <c r="AA800">
        <v>6.7103299283166662E-2</v>
      </c>
      <c r="AC800" t="s">
        <v>42</v>
      </c>
      <c r="AD800" t="s">
        <v>42</v>
      </c>
      <c r="AF800">
        <v>2.5499999999999998</v>
      </c>
      <c r="AG800">
        <v>2.5499999999999998</v>
      </c>
      <c r="AH800" t="s">
        <v>237</v>
      </c>
      <c r="AI800" t="s">
        <v>237</v>
      </c>
      <c r="AJ800">
        <v>-8.6548658236798009E-3</v>
      </c>
      <c r="AK800">
        <v>0</v>
      </c>
      <c r="AL800">
        <v>8.6548658236798009E-3</v>
      </c>
      <c r="AN800" t="s">
        <v>42</v>
      </c>
      <c r="AO800" t="s">
        <v>42</v>
      </c>
    </row>
    <row r="801" spans="1:43" x14ac:dyDescent="0.2">
      <c r="A801">
        <v>799</v>
      </c>
      <c r="B801">
        <v>99</v>
      </c>
      <c r="C801">
        <v>6</v>
      </c>
      <c r="F801" t="s">
        <v>29</v>
      </c>
      <c r="G801" t="s">
        <v>858</v>
      </c>
      <c r="I801">
        <v>6.0365443511695077E-5</v>
      </c>
      <c r="J801">
        <v>4.7889857674030001</v>
      </c>
      <c r="K801">
        <v>4.7889857674030001</v>
      </c>
      <c r="L801" s="1"/>
      <c r="M801" s="1"/>
      <c r="N801" s="1">
        <v>43021</v>
      </c>
      <c r="R801">
        <v>-1.4967484789654954E-2</v>
      </c>
      <c r="S801">
        <v>-1.4967484789654954E-2</v>
      </c>
      <c r="T801" t="s">
        <v>32</v>
      </c>
      <c r="U801" t="s">
        <v>32</v>
      </c>
      <c r="W801" t="s">
        <v>331</v>
      </c>
      <c r="Z801" t="s">
        <v>31</v>
      </c>
      <c r="AA801">
        <v>1.9100615016640468E-2</v>
      </c>
      <c r="AC801" t="s">
        <v>34</v>
      </c>
      <c r="AD801" t="s">
        <v>34</v>
      </c>
      <c r="AE801" t="s">
        <v>175</v>
      </c>
      <c r="AF801">
        <v>2.34</v>
      </c>
      <c r="AG801">
        <v>2.34</v>
      </c>
      <c r="AH801" t="s">
        <v>237</v>
      </c>
      <c r="AI801" t="s">
        <v>237</v>
      </c>
      <c r="AJ801">
        <v>-4.0331053854430997E-3</v>
      </c>
      <c r="AK801">
        <v>0</v>
      </c>
      <c r="AL801">
        <v>4.0331053854430997E-3</v>
      </c>
      <c r="AM801" t="s">
        <v>175</v>
      </c>
      <c r="AN801" t="s">
        <v>34</v>
      </c>
      <c r="AO801" t="s">
        <v>34</v>
      </c>
      <c r="AP801" t="s">
        <v>31</v>
      </c>
    </row>
    <row r="802" spans="1:43" x14ac:dyDescent="0.2">
      <c r="A802">
        <v>800</v>
      </c>
      <c r="B802">
        <v>90</v>
      </c>
      <c r="C802">
        <v>6</v>
      </c>
      <c r="D802">
        <v>3000</v>
      </c>
      <c r="E802" t="s">
        <v>330</v>
      </c>
      <c r="F802" t="s">
        <v>29</v>
      </c>
      <c r="G802" t="s">
        <v>859</v>
      </c>
      <c r="H802">
        <v>9.3459555633750961E-3</v>
      </c>
      <c r="I802">
        <v>-8.425109069885322E-6</v>
      </c>
      <c r="J802">
        <v>5.62</v>
      </c>
      <c r="L802" s="1">
        <v>47279</v>
      </c>
      <c r="M802" s="1">
        <v>43024</v>
      </c>
      <c r="N802" s="1"/>
      <c r="R802">
        <v>-5.0662677188737211E-3</v>
      </c>
      <c r="T802" t="s">
        <v>32</v>
      </c>
      <c r="V802">
        <v>92004123</v>
      </c>
      <c r="W802" t="s">
        <v>331</v>
      </c>
      <c r="X802" t="s">
        <v>860</v>
      </c>
      <c r="Y802">
        <v>3000</v>
      </c>
      <c r="Z802" t="s">
        <v>31</v>
      </c>
      <c r="AA802">
        <v>-2.6658424995404557E-3</v>
      </c>
      <c r="AB802">
        <v>113.26</v>
      </c>
      <c r="AC802" t="s">
        <v>142</v>
      </c>
      <c r="AE802" t="s">
        <v>175</v>
      </c>
      <c r="AF802">
        <v>-1.9888208702300639E-3</v>
      </c>
      <c r="AH802" t="s">
        <v>237</v>
      </c>
      <c r="AJ802">
        <v>1.6629814169706577E-3</v>
      </c>
      <c r="AK802">
        <v>1.6629814169706577E-3</v>
      </c>
      <c r="AL802">
        <v>0</v>
      </c>
      <c r="AN802" t="s">
        <v>146</v>
      </c>
      <c r="AQ802">
        <v>-3.3073721488760079E-6</v>
      </c>
    </row>
    <row r="803" spans="1:43" x14ac:dyDescent="0.2">
      <c r="A803">
        <v>801</v>
      </c>
      <c r="B803">
        <v>102</v>
      </c>
      <c r="C803">
        <v>6</v>
      </c>
      <c r="D803">
        <v>18500</v>
      </c>
      <c r="E803" t="s">
        <v>251</v>
      </c>
      <c r="F803" t="s">
        <v>29</v>
      </c>
      <c r="G803" t="s">
        <v>861</v>
      </c>
      <c r="H803">
        <v>5.6726678230545662E-2</v>
      </c>
      <c r="I803">
        <v>-1.1966947800568412E-4</v>
      </c>
      <c r="J803">
        <v>7.18</v>
      </c>
      <c r="K803">
        <v>7.1971425318891002</v>
      </c>
      <c r="L803" s="1">
        <v>49135</v>
      </c>
      <c r="M803" s="1">
        <v>43024</v>
      </c>
      <c r="N803" s="1">
        <v>43021</v>
      </c>
      <c r="R803">
        <v>-1.8769776239421981E-2</v>
      </c>
      <c r="S803">
        <v>-1.8769776239421981E-2</v>
      </c>
      <c r="T803" t="s">
        <v>32</v>
      </c>
      <c r="U803" t="s">
        <v>32</v>
      </c>
      <c r="V803">
        <v>437102009</v>
      </c>
      <c r="W803" t="s">
        <v>251</v>
      </c>
      <c r="X803" t="s">
        <v>862</v>
      </c>
      <c r="Y803">
        <v>18500</v>
      </c>
      <c r="Z803" t="s">
        <v>31</v>
      </c>
      <c r="AA803">
        <v>-3.7865382835894475E-2</v>
      </c>
      <c r="AB803">
        <v>108.37</v>
      </c>
      <c r="AC803" t="s">
        <v>34</v>
      </c>
      <c r="AD803" t="s">
        <v>34</v>
      </c>
      <c r="AE803" t="s">
        <v>41</v>
      </c>
      <c r="AF803">
        <v>3.1111791297699365E-3</v>
      </c>
      <c r="AG803">
        <v>2.66</v>
      </c>
      <c r="AH803" t="s">
        <v>237</v>
      </c>
      <c r="AI803" t="s">
        <v>237</v>
      </c>
      <c r="AJ803">
        <v>6.3756475559012503E-3</v>
      </c>
      <c r="AK803">
        <v>7.9006515641428503E-3</v>
      </c>
      <c r="AL803">
        <v>1.5250040082416001E-3</v>
      </c>
      <c r="AM803" t="s">
        <v>41</v>
      </c>
      <c r="AN803" t="s">
        <v>54</v>
      </c>
      <c r="AO803" t="s">
        <v>34</v>
      </c>
      <c r="AP803" t="s">
        <v>31</v>
      </c>
      <c r="AQ803">
        <v>2.458034225794544E-5</v>
      </c>
    </row>
    <row r="804" spans="1:43" x14ac:dyDescent="0.2">
      <c r="A804">
        <v>802</v>
      </c>
      <c r="B804">
        <v>102</v>
      </c>
      <c r="C804">
        <v>6</v>
      </c>
      <c r="D804">
        <v>20500</v>
      </c>
      <c r="E804" t="s">
        <v>251</v>
      </c>
      <c r="F804" t="s">
        <v>29</v>
      </c>
      <c r="G804" t="s">
        <v>863</v>
      </c>
      <c r="H804">
        <v>8.3604124466597554E-2</v>
      </c>
      <c r="I804">
        <v>-1.334306235379267E-4</v>
      </c>
      <c r="J804">
        <v>8.69</v>
      </c>
      <c r="K804">
        <v>8.6998619169034992</v>
      </c>
      <c r="L804" s="1">
        <v>50895</v>
      </c>
      <c r="M804" s="1">
        <v>43024</v>
      </c>
      <c r="N804" s="1">
        <v>43021</v>
      </c>
      <c r="R804">
        <v>-1.8769776239421981E-2</v>
      </c>
      <c r="S804">
        <v>-1.8769776239421981E-2</v>
      </c>
      <c r="T804" t="s">
        <v>32</v>
      </c>
      <c r="U804" t="s">
        <v>32</v>
      </c>
      <c r="V804">
        <v>532264891</v>
      </c>
      <c r="W804" t="s">
        <v>251</v>
      </c>
      <c r="X804" t="s">
        <v>862</v>
      </c>
      <c r="Y804">
        <v>20500</v>
      </c>
      <c r="Z804" t="s">
        <v>31</v>
      </c>
      <c r="AA804">
        <v>-4.2219634667878515E-2</v>
      </c>
      <c r="AB804">
        <v>108.83</v>
      </c>
      <c r="AC804" t="s">
        <v>34</v>
      </c>
      <c r="AD804" t="s">
        <v>34</v>
      </c>
      <c r="AE804" t="s">
        <v>41</v>
      </c>
      <c r="AF804">
        <v>4.1111791297699339E-3</v>
      </c>
      <c r="AG804">
        <v>2.78</v>
      </c>
      <c r="AH804" t="s">
        <v>237</v>
      </c>
      <c r="AI804" t="s">
        <v>237</v>
      </c>
      <c r="AJ804">
        <v>7.1088020355662869E-3</v>
      </c>
      <c r="AK804">
        <v>9.6207277867200874E-3</v>
      </c>
      <c r="AL804">
        <v>2.5119257511538001E-3</v>
      </c>
      <c r="AM804" t="s">
        <v>41</v>
      </c>
      <c r="AN804" t="s">
        <v>54</v>
      </c>
      <c r="AO804" t="s">
        <v>34</v>
      </c>
      <c r="AP804" t="s">
        <v>31</v>
      </c>
      <c r="AQ804">
        <v>3.9552535289961313E-5</v>
      </c>
    </row>
    <row r="805" spans="1:43" x14ac:dyDescent="0.2">
      <c r="A805">
        <v>803</v>
      </c>
      <c r="B805">
        <v>107</v>
      </c>
      <c r="C805">
        <v>6</v>
      </c>
      <c r="F805" t="s">
        <v>29</v>
      </c>
      <c r="G805" t="s">
        <v>1547</v>
      </c>
      <c r="I805">
        <v>9.0984086325395769E-7</v>
      </c>
      <c r="J805">
        <v>2.4999264433401001</v>
      </c>
      <c r="K805">
        <v>2.4999264433401001</v>
      </c>
      <c r="L805" s="1"/>
      <c r="M805" s="1"/>
      <c r="N805" s="1">
        <v>43021</v>
      </c>
      <c r="R805">
        <v>-1.1244183189823643E-3</v>
      </c>
      <c r="S805">
        <v>-1.1244183189823643E-3</v>
      </c>
      <c r="T805" t="s">
        <v>39</v>
      </c>
      <c r="U805" t="s">
        <v>39</v>
      </c>
      <c r="AA805">
        <v>2.878885508735605E-4</v>
      </c>
      <c r="AC805" t="s">
        <v>33</v>
      </c>
      <c r="AD805" t="s">
        <v>33</v>
      </c>
      <c r="AF805">
        <v>4.1500000000000004</v>
      </c>
      <c r="AG805">
        <v>4.1500000000000004</v>
      </c>
      <c r="AH805" t="s">
        <v>237</v>
      </c>
      <c r="AI805" t="s">
        <v>237</v>
      </c>
      <c r="AJ805">
        <v>-8.0916581302000997E-4</v>
      </c>
      <c r="AK805">
        <v>0</v>
      </c>
      <c r="AL805">
        <v>8.0916581302000997E-4</v>
      </c>
      <c r="AN805" t="s">
        <v>33</v>
      </c>
      <c r="AO805" t="s">
        <v>33</v>
      </c>
    </row>
    <row r="806" spans="1:43" x14ac:dyDescent="0.2">
      <c r="A806">
        <v>804</v>
      </c>
      <c r="B806">
        <v>96</v>
      </c>
      <c r="C806">
        <v>6</v>
      </c>
      <c r="F806" t="s">
        <v>29</v>
      </c>
      <c r="G806" t="s">
        <v>463</v>
      </c>
      <c r="I806">
        <v>8.7938426357536703E-5</v>
      </c>
      <c r="J806">
        <v>2.6005353762775001</v>
      </c>
      <c r="K806">
        <v>2.6005353762775001</v>
      </c>
      <c r="L806" s="1"/>
      <c r="M806" s="1"/>
      <c r="N806" s="1">
        <v>43021</v>
      </c>
      <c r="R806">
        <v>-1.9353706235684085E-2</v>
      </c>
      <c r="S806">
        <v>-1.9353706235684085E-2</v>
      </c>
      <c r="T806" t="s">
        <v>32</v>
      </c>
      <c r="U806" t="s">
        <v>32</v>
      </c>
      <c r="W806" t="s">
        <v>220</v>
      </c>
      <c r="Z806" t="s">
        <v>31</v>
      </c>
      <c r="AA806">
        <v>2.7825158390480144E-2</v>
      </c>
      <c r="AC806" t="s">
        <v>33</v>
      </c>
      <c r="AD806" t="s">
        <v>33</v>
      </c>
      <c r="AE806" t="s">
        <v>41</v>
      </c>
      <c r="AF806">
        <v>2.2799999999999998</v>
      </c>
      <c r="AG806">
        <v>2.2799999999999998</v>
      </c>
      <c r="AH806" t="s">
        <v>237</v>
      </c>
      <c r="AI806" t="s">
        <v>237</v>
      </c>
      <c r="AJ806">
        <v>-4.5437512219440998E-3</v>
      </c>
      <c r="AK806">
        <v>0</v>
      </c>
      <c r="AL806">
        <v>4.5437512219440998E-3</v>
      </c>
      <c r="AM806" t="s">
        <v>41</v>
      </c>
      <c r="AN806" t="s">
        <v>33</v>
      </c>
      <c r="AO806" t="s">
        <v>33</v>
      </c>
      <c r="AP806" t="s">
        <v>31</v>
      </c>
    </row>
    <row r="807" spans="1:43" x14ac:dyDescent="0.2">
      <c r="A807">
        <v>805</v>
      </c>
      <c r="B807">
        <v>93</v>
      </c>
      <c r="C807">
        <v>6</v>
      </c>
      <c r="F807" t="s">
        <v>29</v>
      </c>
      <c r="G807" t="s">
        <v>1548</v>
      </c>
      <c r="I807">
        <v>1.6791470246664791E-5</v>
      </c>
      <c r="J807">
        <v>0.70779650890937995</v>
      </c>
      <c r="K807">
        <v>0.70779650890937995</v>
      </c>
      <c r="L807" s="1"/>
      <c r="M807" s="1"/>
      <c r="N807" s="1">
        <v>43021</v>
      </c>
      <c r="R807">
        <v>-6.3814612918483005E-3</v>
      </c>
      <c r="S807">
        <v>-6.3814612918483005E-3</v>
      </c>
      <c r="T807" t="s">
        <v>32</v>
      </c>
      <c r="U807" t="s">
        <v>32</v>
      </c>
      <c r="W807" t="s">
        <v>220</v>
      </c>
      <c r="Z807" t="s">
        <v>31</v>
      </c>
      <c r="AA807">
        <v>5.3130962035055716E-3</v>
      </c>
      <c r="AC807" t="s">
        <v>33</v>
      </c>
      <c r="AD807" t="s">
        <v>33</v>
      </c>
      <c r="AE807" t="s">
        <v>41</v>
      </c>
      <c r="AF807">
        <v>1.43</v>
      </c>
      <c r="AG807">
        <v>1.43</v>
      </c>
      <c r="AH807" t="s">
        <v>237</v>
      </c>
      <c r="AI807" t="s">
        <v>237</v>
      </c>
      <c r="AJ807">
        <v>-2.6312892108448999E-3</v>
      </c>
      <c r="AK807">
        <v>0</v>
      </c>
      <c r="AL807">
        <v>2.6312892108448999E-3</v>
      </c>
      <c r="AM807" t="s">
        <v>41</v>
      </c>
      <c r="AN807" t="s">
        <v>33</v>
      </c>
      <c r="AO807" t="s">
        <v>33</v>
      </c>
      <c r="AP807" t="s">
        <v>31</v>
      </c>
    </row>
    <row r="808" spans="1:43" x14ac:dyDescent="0.2">
      <c r="A808">
        <v>806</v>
      </c>
      <c r="B808">
        <v>96</v>
      </c>
      <c r="C808">
        <v>6</v>
      </c>
      <c r="D808">
        <v>10000</v>
      </c>
      <c r="E808" t="s">
        <v>462</v>
      </c>
      <c r="F808" t="s">
        <v>29</v>
      </c>
      <c r="G808" t="s">
        <v>465</v>
      </c>
      <c r="H808">
        <v>1.2898104352916231E-2</v>
      </c>
      <c r="I808">
        <v>2.7361108649414157E-5</v>
      </c>
      <c r="J808">
        <v>2.6</v>
      </c>
      <c r="K808">
        <v>2.6105573749906998</v>
      </c>
      <c r="L808" s="1">
        <v>44013</v>
      </c>
      <c r="M808" s="1">
        <v>43024</v>
      </c>
      <c r="N808" s="1">
        <v>43021</v>
      </c>
      <c r="R808">
        <v>-1.9353706235684085E-2</v>
      </c>
      <c r="S808">
        <v>-1.9353706235684085E-2</v>
      </c>
      <c r="T808" t="s">
        <v>32</v>
      </c>
      <c r="U808" t="s">
        <v>32</v>
      </c>
      <c r="V808">
        <v>274455812</v>
      </c>
      <c r="W808" t="s">
        <v>220</v>
      </c>
      <c r="X808" t="s">
        <v>464</v>
      </c>
      <c r="Y808">
        <v>10000</v>
      </c>
      <c r="Z808" t="s">
        <v>31</v>
      </c>
      <c r="AA808">
        <v>8.6575029079291252E-3</v>
      </c>
      <c r="AB808">
        <v>102.05</v>
      </c>
      <c r="AC808" t="s">
        <v>33</v>
      </c>
      <c r="AD808" t="s">
        <v>33</v>
      </c>
      <c r="AE808" t="s">
        <v>41</v>
      </c>
      <c r="AF808">
        <v>-1.388820870230064E-3</v>
      </c>
      <c r="AG808">
        <v>2.23</v>
      </c>
      <c r="AH808" t="s">
        <v>237</v>
      </c>
      <c r="AI808" t="s">
        <v>237</v>
      </c>
      <c r="AJ808">
        <v>-1.4137399997818578E-3</v>
      </c>
      <c r="AK808">
        <v>4.9608093665062429E-3</v>
      </c>
      <c r="AL808">
        <v>6.3745493662881007E-3</v>
      </c>
      <c r="AM808" t="s">
        <v>41</v>
      </c>
      <c r="AN808" t="s">
        <v>148</v>
      </c>
      <c r="AO808" t="s">
        <v>33</v>
      </c>
      <c r="AP808" t="s">
        <v>31</v>
      </c>
      <c r="AQ808">
        <v>-6.8896755814366528E-6</v>
      </c>
    </row>
    <row r="809" spans="1:43" x14ac:dyDescent="0.2">
      <c r="A809">
        <v>807</v>
      </c>
      <c r="B809">
        <v>99</v>
      </c>
      <c r="C809">
        <v>6</v>
      </c>
      <c r="F809" t="s">
        <v>29</v>
      </c>
      <c r="G809" t="s">
        <v>1549</v>
      </c>
      <c r="I809">
        <v>5.0038965156896906E-5</v>
      </c>
      <c r="J809">
        <v>3.5198458247850999</v>
      </c>
      <c r="K809">
        <v>3.5198458247850999</v>
      </c>
      <c r="L809" s="1"/>
      <c r="M809" s="1"/>
      <c r="N809" s="1">
        <v>43021</v>
      </c>
      <c r="R809">
        <v>-1.4967484789654954E-2</v>
      </c>
      <c r="S809">
        <v>-1.4967484789654954E-2</v>
      </c>
      <c r="T809" t="s">
        <v>32</v>
      </c>
      <c r="U809" t="s">
        <v>32</v>
      </c>
      <c r="W809" t="s">
        <v>220</v>
      </c>
      <c r="Z809" t="s">
        <v>31</v>
      </c>
      <c r="AA809">
        <v>1.5833148133961847E-2</v>
      </c>
      <c r="AC809" t="s">
        <v>33</v>
      </c>
      <c r="AD809" t="s">
        <v>33</v>
      </c>
      <c r="AE809" t="s">
        <v>41</v>
      </c>
      <c r="AF809">
        <v>2.38</v>
      </c>
      <c r="AG809">
        <v>2.38</v>
      </c>
      <c r="AH809" t="s">
        <v>237</v>
      </c>
      <c r="AI809" t="s">
        <v>237</v>
      </c>
      <c r="AJ809">
        <v>-3.3431779527500999E-3</v>
      </c>
      <c r="AK809">
        <v>0</v>
      </c>
      <c r="AL809">
        <v>3.3431779527500999E-3</v>
      </c>
      <c r="AM809" t="s">
        <v>41</v>
      </c>
      <c r="AN809" t="s">
        <v>33</v>
      </c>
      <c r="AO809" t="s">
        <v>33</v>
      </c>
      <c r="AP809" t="s">
        <v>31</v>
      </c>
    </row>
    <row r="810" spans="1:43" x14ac:dyDescent="0.2">
      <c r="A810">
        <v>808</v>
      </c>
      <c r="B810">
        <v>99</v>
      </c>
      <c r="C810">
        <v>6</v>
      </c>
      <c r="F810" t="s">
        <v>29</v>
      </c>
      <c r="G810" t="s">
        <v>1550</v>
      </c>
      <c r="I810">
        <v>8.0021550175999592E-5</v>
      </c>
      <c r="J810">
        <v>4.4038703312371998</v>
      </c>
      <c r="K810">
        <v>4.4038703312371998</v>
      </c>
      <c r="L810" s="1"/>
      <c r="M810" s="1"/>
      <c r="N810" s="1">
        <v>43021</v>
      </c>
      <c r="R810">
        <v>-1.4967484789654954E-2</v>
      </c>
      <c r="S810">
        <v>-1.4967484789654954E-2</v>
      </c>
      <c r="T810" t="s">
        <v>32</v>
      </c>
      <c r="U810" t="s">
        <v>32</v>
      </c>
      <c r="AA810">
        <v>2.5320129100855949E-2</v>
      </c>
      <c r="AC810" t="s">
        <v>33</v>
      </c>
      <c r="AD810" t="s">
        <v>33</v>
      </c>
      <c r="AF810">
        <v>2.38</v>
      </c>
      <c r="AG810">
        <v>2.38</v>
      </c>
      <c r="AH810" t="s">
        <v>237</v>
      </c>
      <c r="AI810" t="s">
        <v>237</v>
      </c>
      <c r="AJ810">
        <v>-5.3463592113558002E-3</v>
      </c>
      <c r="AK810">
        <v>0</v>
      </c>
      <c r="AL810">
        <v>5.3463592113558002E-3</v>
      </c>
      <c r="AN810" t="s">
        <v>33</v>
      </c>
      <c r="AO810" t="s">
        <v>33</v>
      </c>
    </row>
    <row r="811" spans="1:43" x14ac:dyDescent="0.2">
      <c r="A811">
        <v>809</v>
      </c>
      <c r="B811">
        <v>102</v>
      </c>
      <c r="C811">
        <v>6</v>
      </c>
      <c r="F811" t="s">
        <v>29</v>
      </c>
      <c r="G811" t="s">
        <v>1551</v>
      </c>
      <c r="I811">
        <v>1.0995044738303054E-4</v>
      </c>
      <c r="J811">
        <v>6.9124762848443</v>
      </c>
      <c r="K811">
        <v>6.9124762848443</v>
      </c>
      <c r="L811" s="1"/>
      <c r="M811" s="1"/>
      <c r="N811" s="1">
        <v>43021</v>
      </c>
      <c r="R811">
        <v>-1.8769776239421981E-2</v>
      </c>
      <c r="S811">
        <v>-1.8769776239421981E-2</v>
      </c>
      <c r="T811" t="s">
        <v>32</v>
      </c>
      <c r="U811" t="s">
        <v>32</v>
      </c>
      <c r="AA811">
        <v>3.4790122364689952E-2</v>
      </c>
      <c r="AC811" t="s">
        <v>33</v>
      </c>
      <c r="AD811" t="s">
        <v>33</v>
      </c>
      <c r="AF811">
        <v>2.44</v>
      </c>
      <c r="AG811">
        <v>2.44</v>
      </c>
      <c r="AH811" t="s">
        <v>237</v>
      </c>
      <c r="AI811" t="s">
        <v>237</v>
      </c>
      <c r="AJ811">
        <v>-5.8578453989292997E-3</v>
      </c>
      <c r="AK811">
        <v>0</v>
      </c>
      <c r="AL811">
        <v>5.8578453989292997E-3</v>
      </c>
      <c r="AN811" t="s">
        <v>33</v>
      </c>
      <c r="AO811" t="s">
        <v>33</v>
      </c>
    </row>
    <row r="812" spans="1:43" x14ac:dyDescent="0.2">
      <c r="A812">
        <v>810</v>
      </c>
      <c r="B812">
        <v>102</v>
      </c>
      <c r="C812">
        <v>6</v>
      </c>
      <c r="D812">
        <v>36000</v>
      </c>
      <c r="E812" t="s">
        <v>462</v>
      </c>
      <c r="F812" t="s">
        <v>29</v>
      </c>
      <c r="G812" t="s">
        <v>864</v>
      </c>
      <c r="H812">
        <v>0.13734477562602648</v>
      </c>
      <c r="I812">
        <v>-1.4449131489873972E-4</v>
      </c>
      <c r="J812">
        <v>7.68</v>
      </c>
      <c r="K812">
        <v>7.6881562035200002</v>
      </c>
      <c r="L812" s="1">
        <v>46204</v>
      </c>
      <c r="M812" s="1">
        <v>43024</v>
      </c>
      <c r="N812" s="1">
        <v>43021</v>
      </c>
      <c r="R812">
        <v>-1.8769776239421981E-2</v>
      </c>
      <c r="S812">
        <v>-1.8769776239421981E-2</v>
      </c>
      <c r="T812" t="s">
        <v>32</v>
      </c>
      <c r="U812" t="s">
        <v>32</v>
      </c>
      <c r="V812">
        <v>989397521</v>
      </c>
      <c r="W812" t="s">
        <v>220</v>
      </c>
      <c r="X812" t="s">
        <v>464</v>
      </c>
      <c r="Y812">
        <v>36000</v>
      </c>
      <c r="Z812" t="s">
        <v>31</v>
      </c>
      <c r="AA812">
        <v>-4.5719418570896481E-2</v>
      </c>
      <c r="AB812">
        <v>102.19</v>
      </c>
      <c r="AC812" t="s">
        <v>33</v>
      </c>
      <c r="AD812" t="s">
        <v>33</v>
      </c>
      <c r="AE812" t="s">
        <v>41</v>
      </c>
      <c r="AF812">
        <v>3.7111791297699363E-3</v>
      </c>
      <c r="AG812">
        <v>2.74</v>
      </c>
      <c r="AH812" t="s">
        <v>237</v>
      </c>
      <c r="AI812" t="s">
        <v>237</v>
      </c>
      <c r="AJ812">
        <v>7.6980840397695306E-3</v>
      </c>
      <c r="AK812">
        <v>1.7883434326305531E-2</v>
      </c>
      <c r="AL812">
        <v>1.0185350286536001E-2</v>
      </c>
      <c r="AM812" t="s">
        <v>41</v>
      </c>
      <c r="AN812" t="s">
        <v>148</v>
      </c>
      <c r="AO812" t="s">
        <v>33</v>
      </c>
      <c r="AP812" t="s">
        <v>31</v>
      </c>
      <c r="AQ812">
        <v>6.6368628240396363E-5</v>
      </c>
    </row>
    <row r="813" spans="1:43" x14ac:dyDescent="0.2">
      <c r="A813">
        <v>811</v>
      </c>
      <c r="B813">
        <v>107</v>
      </c>
      <c r="C813">
        <v>6</v>
      </c>
      <c r="D813">
        <v>150000000</v>
      </c>
      <c r="E813" t="s">
        <v>462</v>
      </c>
      <c r="F813" t="s">
        <v>29</v>
      </c>
      <c r="G813" t="s">
        <v>865</v>
      </c>
      <c r="H813">
        <v>7.5499393398831532E-3</v>
      </c>
      <c r="I813">
        <v>-1.3871546062311601E-6</v>
      </c>
      <c r="J813">
        <v>2.7</v>
      </c>
      <c r="K813">
        <v>2.7127257444174</v>
      </c>
      <c r="L813" s="1">
        <v>44075</v>
      </c>
      <c r="M813" s="1">
        <v>43024</v>
      </c>
      <c r="N813" s="1">
        <v>43021</v>
      </c>
      <c r="R813">
        <v>-1.1244183189823643E-3</v>
      </c>
      <c r="S813">
        <v>-1.1244183189823643E-3</v>
      </c>
      <c r="T813" t="s">
        <v>39</v>
      </c>
      <c r="U813" t="s">
        <v>39</v>
      </c>
      <c r="V813">
        <v>154703305</v>
      </c>
      <c r="W813" t="s">
        <v>220</v>
      </c>
      <c r="X813" t="s">
        <v>464</v>
      </c>
      <c r="Y813">
        <v>150000000</v>
      </c>
      <c r="Z813" t="s">
        <v>31</v>
      </c>
      <c r="AA813">
        <v>-4.3891843678822153E-4</v>
      </c>
      <c r="AB813">
        <v>102.51</v>
      </c>
      <c r="AC813" t="s">
        <v>33</v>
      </c>
      <c r="AD813" t="s">
        <v>33</v>
      </c>
      <c r="AE813" t="s">
        <v>41</v>
      </c>
      <c r="AF813">
        <v>4.1000000000000002E-2</v>
      </c>
      <c r="AG813">
        <v>4.0999999999999996</v>
      </c>
      <c r="AH813" t="s">
        <v>237</v>
      </c>
      <c r="AI813" t="s">
        <v>237</v>
      </c>
      <c r="AJ813">
        <v>1.2336641824606529E-3</v>
      </c>
      <c r="AK813">
        <v>2.7962738295863529E-3</v>
      </c>
      <c r="AL813">
        <v>1.5626096471257E-3</v>
      </c>
      <c r="AM813" t="s">
        <v>41</v>
      </c>
      <c r="AN813" t="s">
        <v>148</v>
      </c>
      <c r="AO813" t="s">
        <v>33</v>
      </c>
      <c r="AP813" t="s">
        <v>31</v>
      </c>
      <c r="AQ813">
        <v>1.1464722701304047E-4</v>
      </c>
    </row>
    <row r="814" spans="1:43" x14ac:dyDescent="0.2">
      <c r="A814">
        <v>812</v>
      </c>
      <c r="B814">
        <v>110</v>
      </c>
      <c r="C814">
        <v>6</v>
      </c>
      <c r="D814">
        <v>300000000</v>
      </c>
      <c r="E814" t="s">
        <v>462</v>
      </c>
      <c r="F814" t="s">
        <v>29</v>
      </c>
      <c r="G814" t="s">
        <v>866</v>
      </c>
      <c r="H814">
        <v>1.9779961943675515E-2</v>
      </c>
      <c r="I814">
        <v>-4.972744760661717E-6</v>
      </c>
      <c r="J814">
        <v>3.55</v>
      </c>
      <c r="K814">
        <v>3.5659353796269002</v>
      </c>
      <c r="L814" s="1">
        <v>44440</v>
      </c>
      <c r="M814" s="1">
        <v>43024</v>
      </c>
      <c r="N814" s="1">
        <v>43021</v>
      </c>
      <c r="R814">
        <v>-1.2005087764610177E-3</v>
      </c>
      <c r="S814">
        <v>-1.2005087764610177E-3</v>
      </c>
      <c r="T814" t="s">
        <v>39</v>
      </c>
      <c r="U814" t="s">
        <v>39</v>
      </c>
      <c r="V814">
        <v>308259871</v>
      </c>
      <c r="W814" t="s">
        <v>220</v>
      </c>
      <c r="X814" t="s">
        <v>464</v>
      </c>
      <c r="Y814">
        <v>300000000</v>
      </c>
      <c r="Z814" t="s">
        <v>31</v>
      </c>
      <c r="AA814">
        <v>-1.5734578878893468E-3</v>
      </c>
      <c r="AB814">
        <v>102.12</v>
      </c>
      <c r="AC814" t="s">
        <v>33</v>
      </c>
      <c r="AD814" t="s">
        <v>33</v>
      </c>
      <c r="AE814" t="s">
        <v>41</v>
      </c>
      <c r="AF814">
        <v>4.4400000000000002E-2</v>
      </c>
      <c r="AG814">
        <v>4.4400000000000004</v>
      </c>
      <c r="AH814" t="s">
        <v>237</v>
      </c>
      <c r="AI814" t="s">
        <v>237</v>
      </c>
      <c r="AJ814">
        <v>4.1421977566218895E-3</v>
      </c>
      <c r="AK814">
        <v>5.5718202658240892E-3</v>
      </c>
      <c r="AL814">
        <v>1.4296225092021999E-3</v>
      </c>
      <c r="AM814" t="s">
        <v>41</v>
      </c>
      <c r="AN814" t="s">
        <v>148</v>
      </c>
      <c r="AO814" t="s">
        <v>33</v>
      </c>
      <c r="AP814" t="s">
        <v>31</v>
      </c>
      <c r="AQ814">
        <v>2.4738881980258955E-4</v>
      </c>
    </row>
    <row r="815" spans="1:43" x14ac:dyDescent="0.2">
      <c r="A815">
        <v>813</v>
      </c>
      <c r="B815">
        <v>110</v>
      </c>
      <c r="C815">
        <v>6</v>
      </c>
      <c r="F815" t="s">
        <v>29</v>
      </c>
      <c r="G815" t="s">
        <v>1718</v>
      </c>
      <c r="I815">
        <v>1.1921453770016722E-6</v>
      </c>
      <c r="J815">
        <v>4.3788359674863004</v>
      </c>
      <c r="K815">
        <v>4.3788359674863004</v>
      </c>
      <c r="L815" s="1"/>
      <c r="M815" s="1"/>
      <c r="N815" s="1">
        <v>43021</v>
      </c>
      <c r="R815">
        <v>-1.2005087764610177E-3</v>
      </c>
      <c r="S815">
        <v>-1.2005087764610177E-3</v>
      </c>
      <c r="T815" t="s">
        <v>39</v>
      </c>
      <c r="U815" t="s">
        <v>39</v>
      </c>
      <c r="AA815">
        <v>3.7721432272033424E-4</v>
      </c>
      <c r="AC815" t="s">
        <v>33</v>
      </c>
      <c r="AD815" t="s">
        <v>33</v>
      </c>
      <c r="AF815">
        <v>4.57</v>
      </c>
      <c r="AG815">
        <v>4.57</v>
      </c>
      <c r="AH815" t="s">
        <v>237</v>
      </c>
      <c r="AI815" t="s">
        <v>237</v>
      </c>
      <c r="AJ815">
        <v>-9.9303345412933997E-4</v>
      </c>
      <c r="AK815">
        <v>0</v>
      </c>
      <c r="AL815">
        <v>9.9303345412933997E-4</v>
      </c>
      <c r="AN815" t="s">
        <v>33</v>
      </c>
      <c r="AO815" t="s">
        <v>33</v>
      </c>
    </row>
    <row r="816" spans="1:43" x14ac:dyDescent="0.2">
      <c r="A816">
        <v>814</v>
      </c>
      <c r="B816">
        <v>112</v>
      </c>
      <c r="C816">
        <v>6</v>
      </c>
      <c r="F816" t="s">
        <v>29</v>
      </c>
      <c r="G816" t="s">
        <v>1552</v>
      </c>
      <c r="I816">
        <v>4.9436171253083214E-6</v>
      </c>
      <c r="J816">
        <v>5.8854871665513002</v>
      </c>
      <c r="K816">
        <v>5.8854871665513002</v>
      </c>
      <c r="L816" s="1"/>
      <c r="M816" s="1"/>
      <c r="N816" s="1">
        <v>43021</v>
      </c>
      <c r="R816">
        <v>-1.5117073097449655E-3</v>
      </c>
      <c r="S816">
        <v>-1.5117073097449655E-3</v>
      </c>
      <c r="T816" t="s">
        <v>39</v>
      </c>
      <c r="U816" t="s">
        <v>39</v>
      </c>
      <c r="AA816">
        <v>1.5642414269993923E-3</v>
      </c>
      <c r="AC816" t="s">
        <v>33</v>
      </c>
      <c r="AD816" t="s">
        <v>33</v>
      </c>
      <c r="AF816">
        <v>4.91</v>
      </c>
      <c r="AG816">
        <v>4.91</v>
      </c>
      <c r="AH816" t="s">
        <v>237</v>
      </c>
      <c r="AI816" t="s">
        <v>237</v>
      </c>
      <c r="AJ816">
        <v>-3.2702210893869E-3</v>
      </c>
      <c r="AK816">
        <v>0</v>
      </c>
      <c r="AL816">
        <v>3.2702210893869E-3</v>
      </c>
      <c r="AN816" t="s">
        <v>33</v>
      </c>
      <c r="AO816" t="s">
        <v>33</v>
      </c>
    </row>
    <row r="817" spans="1:43" x14ac:dyDescent="0.2">
      <c r="A817">
        <v>815</v>
      </c>
      <c r="B817">
        <v>95</v>
      </c>
      <c r="C817">
        <v>6</v>
      </c>
      <c r="D817">
        <v>32500</v>
      </c>
      <c r="E817" t="s">
        <v>450</v>
      </c>
      <c r="F817" t="s">
        <v>29</v>
      </c>
      <c r="G817" t="s">
        <v>451</v>
      </c>
      <c r="H817">
        <v>2.0890846315905365E-2</v>
      </c>
      <c r="I817">
        <v>-1.1339131360320262E-4</v>
      </c>
      <c r="J817">
        <v>2.1800000000000002</v>
      </c>
      <c r="K817">
        <v>2.1870524808836</v>
      </c>
      <c r="L817" s="1">
        <v>44377</v>
      </c>
      <c r="M817" s="1">
        <v>43024</v>
      </c>
      <c r="N817" s="1">
        <v>43021</v>
      </c>
      <c r="R817">
        <v>-1.7076343737775217E-2</v>
      </c>
      <c r="S817">
        <v>-1.7076343737775217E-2</v>
      </c>
      <c r="T817" t="s">
        <v>32</v>
      </c>
      <c r="U817" t="s">
        <v>32</v>
      </c>
      <c r="V817">
        <v>530175231</v>
      </c>
      <c r="W817" t="s">
        <v>452</v>
      </c>
      <c r="X817" t="s">
        <v>453</v>
      </c>
      <c r="Y817">
        <v>32500</v>
      </c>
      <c r="Z817" t="s">
        <v>31</v>
      </c>
      <c r="AA817">
        <v>-3.5878868792644826E-2</v>
      </c>
      <c r="AB817">
        <v>101.75</v>
      </c>
      <c r="AC817" t="s">
        <v>42</v>
      </c>
      <c r="AD817" t="s">
        <v>42</v>
      </c>
      <c r="AE817" t="s">
        <v>176</v>
      </c>
      <c r="AF817">
        <v>-2.2888208702300655E-3</v>
      </c>
      <c r="AG817">
        <v>2.15</v>
      </c>
      <c r="AH817" t="s">
        <v>237</v>
      </c>
      <c r="AI817" t="s">
        <v>237</v>
      </c>
      <c r="AJ817">
        <v>6.6402571501512631E-3</v>
      </c>
      <c r="AK817">
        <v>9.5829570256446631E-3</v>
      </c>
      <c r="AL817">
        <v>2.9426998754933996E-3</v>
      </c>
      <c r="AM817" t="s">
        <v>176</v>
      </c>
      <c r="AN817" t="s">
        <v>142</v>
      </c>
      <c r="AO817" t="s">
        <v>42</v>
      </c>
      <c r="AP817" t="s">
        <v>31</v>
      </c>
      <c r="AQ817">
        <v>-2.1933672038813336E-5</v>
      </c>
    </row>
    <row r="818" spans="1:43" x14ac:dyDescent="0.2">
      <c r="A818">
        <v>816</v>
      </c>
      <c r="B818">
        <v>102</v>
      </c>
      <c r="C818">
        <v>6</v>
      </c>
      <c r="F818" t="s">
        <v>29</v>
      </c>
      <c r="G818" t="s">
        <v>1553</v>
      </c>
      <c r="I818">
        <v>1.2037000365118685E-5</v>
      </c>
      <c r="J818">
        <v>5.8775536502324002</v>
      </c>
      <c r="K818">
        <v>5.8775536502324002</v>
      </c>
      <c r="L818" s="1"/>
      <c r="M818" s="1"/>
      <c r="N818" s="1">
        <v>43021</v>
      </c>
      <c r="R818">
        <v>-1.8769776239421981E-2</v>
      </c>
      <c r="S818">
        <v>-1.8769776239421981E-2</v>
      </c>
      <c r="T818" t="s">
        <v>32</v>
      </c>
      <c r="U818" t="s">
        <v>32</v>
      </c>
      <c r="AA818">
        <v>3.8087040623622629E-3</v>
      </c>
      <c r="AC818" t="s">
        <v>33</v>
      </c>
      <c r="AD818" t="s">
        <v>33</v>
      </c>
      <c r="AF818">
        <v>2.29</v>
      </c>
      <c r="AG818">
        <v>2.29</v>
      </c>
      <c r="AH818" t="s">
        <v>237</v>
      </c>
      <c r="AI818" t="s">
        <v>237</v>
      </c>
      <c r="AJ818">
        <v>-6.4129695589217994E-4</v>
      </c>
      <c r="AK818">
        <v>0</v>
      </c>
      <c r="AL818">
        <v>6.4129695589217994E-4</v>
      </c>
      <c r="AN818" t="s">
        <v>33</v>
      </c>
      <c r="AO818" t="s">
        <v>33</v>
      </c>
    </row>
    <row r="819" spans="1:43" x14ac:dyDescent="0.2">
      <c r="A819">
        <v>817</v>
      </c>
      <c r="B819">
        <v>107</v>
      </c>
      <c r="C819">
        <v>6</v>
      </c>
      <c r="D819">
        <v>200000000</v>
      </c>
      <c r="E819" t="s">
        <v>867</v>
      </c>
      <c r="F819" t="s">
        <v>29</v>
      </c>
      <c r="G819" t="s">
        <v>868</v>
      </c>
      <c r="H819">
        <v>5.1028034640347459E-3</v>
      </c>
      <c r="I819">
        <v>-2.4317316189500924E-6</v>
      </c>
      <c r="J819">
        <v>1.37</v>
      </c>
      <c r="K819">
        <v>1.3761784139180999</v>
      </c>
      <c r="L819" s="1">
        <v>43538</v>
      </c>
      <c r="M819" s="1">
        <v>43024</v>
      </c>
      <c r="N819" s="1">
        <v>43021</v>
      </c>
      <c r="R819">
        <v>-1.1244183189823643E-3</v>
      </c>
      <c r="S819">
        <v>-1.1244183189823643E-3</v>
      </c>
      <c r="T819" t="s">
        <v>39</v>
      </c>
      <c r="U819" t="s">
        <v>39</v>
      </c>
      <c r="V819">
        <v>206066867</v>
      </c>
      <c r="W819" t="s">
        <v>869</v>
      </c>
      <c r="X819" t="s">
        <v>870</v>
      </c>
      <c r="Y819">
        <v>200000000</v>
      </c>
      <c r="Z819" t="s">
        <v>31</v>
      </c>
      <c r="AA819">
        <v>-7.6943971211540778E-4</v>
      </c>
      <c r="AB819">
        <v>102.53</v>
      </c>
      <c r="AC819" t="s">
        <v>33</v>
      </c>
      <c r="AD819" t="s">
        <v>33</v>
      </c>
      <c r="AE819" t="s">
        <v>43</v>
      </c>
      <c r="AF819">
        <v>3.85E-2</v>
      </c>
      <c r="AG819">
        <v>3.81</v>
      </c>
      <c r="AH819" t="s">
        <v>237</v>
      </c>
      <c r="AI819" t="s">
        <v>237</v>
      </c>
      <c r="AJ819">
        <v>2.1626574184160302E-3</v>
      </c>
      <c r="AK819">
        <v>3.72467406133923E-3</v>
      </c>
      <c r="AL819">
        <v>1.5620166429232E-3</v>
      </c>
      <c r="AM819" t="s">
        <v>43</v>
      </c>
      <c r="AN819" t="s">
        <v>148</v>
      </c>
      <c r="AO819" t="s">
        <v>33</v>
      </c>
      <c r="AP819" t="s">
        <v>31</v>
      </c>
      <c r="AQ819">
        <v>1.4339995136156036E-4</v>
      </c>
    </row>
    <row r="820" spans="1:43" x14ac:dyDescent="0.2">
      <c r="A820">
        <v>818</v>
      </c>
      <c r="B820">
        <v>110</v>
      </c>
      <c r="C820">
        <v>6</v>
      </c>
      <c r="F820" t="s">
        <v>29</v>
      </c>
      <c r="G820" t="s">
        <v>1554</v>
      </c>
      <c r="I820">
        <v>1.8956786193996875E-6</v>
      </c>
      <c r="J820">
        <v>3.7234270825295002</v>
      </c>
      <c r="K820">
        <v>3.7234270825295002</v>
      </c>
      <c r="L820" s="1"/>
      <c r="M820" s="1"/>
      <c r="N820" s="1">
        <v>43021</v>
      </c>
      <c r="R820">
        <v>-1.2005087764610177E-3</v>
      </c>
      <c r="S820">
        <v>-1.2005087764610177E-3</v>
      </c>
      <c r="T820" t="s">
        <v>39</v>
      </c>
      <c r="U820" t="s">
        <v>39</v>
      </c>
      <c r="AA820">
        <v>5.9982376336578983E-4</v>
      </c>
      <c r="AC820" t="s">
        <v>33</v>
      </c>
      <c r="AD820" t="s">
        <v>33</v>
      </c>
      <c r="AF820">
        <v>4.6900000000000004</v>
      </c>
      <c r="AG820">
        <v>4.6900000000000004</v>
      </c>
      <c r="AH820" t="s">
        <v>237</v>
      </c>
      <c r="AI820" t="s">
        <v>237</v>
      </c>
      <c r="AJ820">
        <v>-1.5790626912266E-3</v>
      </c>
      <c r="AK820">
        <v>0</v>
      </c>
      <c r="AL820">
        <v>1.5790626912266E-3</v>
      </c>
      <c r="AN820" t="s">
        <v>33</v>
      </c>
      <c r="AO820" t="s">
        <v>33</v>
      </c>
    </row>
    <row r="821" spans="1:43" x14ac:dyDescent="0.2">
      <c r="A821">
        <v>819</v>
      </c>
      <c r="B821">
        <v>93</v>
      </c>
      <c r="C821">
        <v>6</v>
      </c>
      <c r="D821">
        <v>7000</v>
      </c>
      <c r="E821" t="s">
        <v>332</v>
      </c>
      <c r="F821" t="s">
        <v>29</v>
      </c>
      <c r="G821" t="s">
        <v>436</v>
      </c>
      <c r="H821">
        <v>9.3171866512515591E-4</v>
      </c>
      <c r="I821">
        <v>-6.8008896347021986E-6</v>
      </c>
      <c r="J821">
        <v>0.54</v>
      </c>
      <c r="K821">
        <v>0.55259280021663004</v>
      </c>
      <c r="L821" s="1">
        <v>43409</v>
      </c>
      <c r="M821" s="1">
        <v>43024</v>
      </c>
      <c r="N821" s="1">
        <v>43021</v>
      </c>
      <c r="R821">
        <v>-6.3814612918483005E-3</v>
      </c>
      <c r="S821">
        <v>-6.3814612918483005E-3</v>
      </c>
      <c r="T821" t="s">
        <v>32</v>
      </c>
      <c r="U821" t="s">
        <v>32</v>
      </c>
      <c r="V821">
        <v>95457692</v>
      </c>
      <c r="W821" t="s">
        <v>333</v>
      </c>
      <c r="X821" t="s">
        <v>437</v>
      </c>
      <c r="Y821">
        <v>7000</v>
      </c>
      <c r="Z821" t="s">
        <v>31</v>
      </c>
      <c r="AA821">
        <v>-2.1519128681286095E-3</v>
      </c>
      <c r="AB821">
        <v>100.72</v>
      </c>
      <c r="AC821" t="s">
        <v>34</v>
      </c>
      <c r="AD821" t="s">
        <v>34</v>
      </c>
      <c r="AE821" t="s">
        <v>35</v>
      </c>
      <c r="AF821">
        <v>-2.4888208702300643E-3</v>
      </c>
      <c r="AG821">
        <v>2.1</v>
      </c>
      <c r="AH821" t="s">
        <v>237</v>
      </c>
      <c r="AI821" t="s">
        <v>237</v>
      </c>
      <c r="AJ821">
        <v>1.0657260655000255E-3</v>
      </c>
      <c r="AK821">
        <v>1.7254049354169553E-3</v>
      </c>
      <c r="AL821">
        <v>6.5967886991692996E-4</v>
      </c>
      <c r="AM821" t="s">
        <v>35</v>
      </c>
      <c r="AN821" t="s">
        <v>54</v>
      </c>
      <c r="AO821" t="s">
        <v>34</v>
      </c>
      <c r="AP821" t="s">
        <v>31</v>
      </c>
      <c r="AQ821">
        <v>-4.2942238128636745E-6</v>
      </c>
    </row>
    <row r="822" spans="1:43" x14ac:dyDescent="0.2">
      <c r="A822">
        <v>820</v>
      </c>
      <c r="B822">
        <v>96</v>
      </c>
      <c r="C822">
        <v>6</v>
      </c>
      <c r="F822" t="s">
        <v>29</v>
      </c>
      <c r="G822" t="s">
        <v>476</v>
      </c>
      <c r="I822">
        <v>1.6778053450863667E-5</v>
      </c>
      <c r="J822">
        <v>1.6006913348830001</v>
      </c>
      <c r="K822">
        <v>1.6006913348830001</v>
      </c>
      <c r="L822" s="1"/>
      <c r="M822" s="1"/>
      <c r="N822" s="1">
        <v>43021</v>
      </c>
      <c r="R822">
        <v>-1.9353706235684085E-2</v>
      </c>
      <c r="S822">
        <v>-1.9353706235684085E-2</v>
      </c>
      <c r="T822" t="s">
        <v>32</v>
      </c>
      <c r="U822" t="s">
        <v>32</v>
      </c>
      <c r="W822" t="s">
        <v>333</v>
      </c>
      <c r="Z822" t="s">
        <v>31</v>
      </c>
      <c r="AA822">
        <v>5.3088509095684114E-3</v>
      </c>
      <c r="AC822" t="s">
        <v>34</v>
      </c>
      <c r="AD822" t="s">
        <v>34</v>
      </c>
      <c r="AE822" t="s">
        <v>35</v>
      </c>
      <c r="AF822">
        <v>2.17</v>
      </c>
      <c r="AG822">
        <v>2.17</v>
      </c>
      <c r="AH822" t="s">
        <v>237</v>
      </c>
      <c r="AI822" t="s">
        <v>237</v>
      </c>
      <c r="AJ822">
        <v>-8.6691681926681999E-4</v>
      </c>
      <c r="AK822">
        <v>0</v>
      </c>
      <c r="AL822">
        <v>8.6691681926681999E-4</v>
      </c>
      <c r="AM822" t="s">
        <v>35</v>
      </c>
      <c r="AN822" t="s">
        <v>34</v>
      </c>
      <c r="AO822" t="s">
        <v>34</v>
      </c>
      <c r="AP822" t="s">
        <v>31</v>
      </c>
    </row>
    <row r="823" spans="1:43" x14ac:dyDescent="0.2">
      <c r="A823">
        <v>821</v>
      </c>
      <c r="B823">
        <v>99</v>
      </c>
      <c r="C823">
        <v>6</v>
      </c>
      <c r="F823" t="s">
        <v>29</v>
      </c>
      <c r="G823" t="s">
        <v>1555</v>
      </c>
      <c r="I823">
        <v>1.737736489946412E-5</v>
      </c>
      <c r="J823">
        <v>3.5893406283951999</v>
      </c>
      <c r="K823">
        <v>3.5893406283951999</v>
      </c>
      <c r="L823" s="1"/>
      <c r="M823" s="1"/>
      <c r="N823" s="1">
        <v>43021</v>
      </c>
      <c r="R823">
        <v>-1.4967484789654954E-2</v>
      </c>
      <c r="S823">
        <v>-1.4967484789654954E-2</v>
      </c>
      <c r="T823" t="s">
        <v>32</v>
      </c>
      <c r="U823" t="s">
        <v>32</v>
      </c>
      <c r="W823" t="s">
        <v>336</v>
      </c>
      <c r="Z823" t="s">
        <v>31</v>
      </c>
      <c r="AA823">
        <v>5.4984828676698143E-3</v>
      </c>
      <c r="AC823" t="s">
        <v>34</v>
      </c>
      <c r="AD823" t="s">
        <v>34</v>
      </c>
      <c r="AE823" t="s">
        <v>177</v>
      </c>
      <c r="AF823">
        <v>2.31</v>
      </c>
      <c r="AG823">
        <v>2.31</v>
      </c>
      <c r="AH823" t="s">
        <v>237</v>
      </c>
      <c r="AI823" t="s">
        <v>237</v>
      </c>
      <c r="AJ823">
        <v>-1.1610076872418001E-3</v>
      </c>
      <c r="AK823">
        <v>0</v>
      </c>
      <c r="AL823">
        <v>1.1610076872418001E-3</v>
      </c>
      <c r="AM823" t="s">
        <v>177</v>
      </c>
      <c r="AN823" t="s">
        <v>34</v>
      </c>
      <c r="AO823" t="s">
        <v>34</v>
      </c>
      <c r="AP823" t="s">
        <v>31</v>
      </c>
    </row>
    <row r="824" spans="1:43" x14ac:dyDescent="0.2">
      <c r="A824">
        <v>822</v>
      </c>
      <c r="B824">
        <v>102</v>
      </c>
      <c r="C824">
        <v>6</v>
      </c>
      <c r="D824">
        <v>9500</v>
      </c>
      <c r="E824" t="s">
        <v>335</v>
      </c>
      <c r="F824" t="s">
        <v>29</v>
      </c>
      <c r="G824" t="s">
        <v>871</v>
      </c>
      <c r="H824">
        <v>2.9694778500549916E-2</v>
      </c>
      <c r="I824">
        <v>-4.5468437244917972E-5</v>
      </c>
      <c r="J824">
        <v>6.43</v>
      </c>
      <c r="K824">
        <v>6.3572801532065002</v>
      </c>
      <c r="L824" s="1">
        <v>45580</v>
      </c>
      <c r="M824" s="1">
        <v>43024</v>
      </c>
      <c r="N824" s="1">
        <v>43021</v>
      </c>
      <c r="R824">
        <v>-1.8769776239421981E-2</v>
      </c>
      <c r="S824">
        <v>-1.8769776239421981E-2</v>
      </c>
      <c r="T824" t="s">
        <v>32</v>
      </c>
      <c r="U824" t="s">
        <v>32</v>
      </c>
      <c r="V824">
        <v>255498886</v>
      </c>
      <c r="W824" t="s">
        <v>336</v>
      </c>
      <c r="X824" t="s">
        <v>872</v>
      </c>
      <c r="Y824">
        <v>9500</v>
      </c>
      <c r="Z824" t="s">
        <v>31</v>
      </c>
      <c r="AA824">
        <v>-1.4386958244665234E-2</v>
      </c>
      <c r="AB824">
        <v>100.87</v>
      </c>
      <c r="AC824" t="s">
        <v>34</v>
      </c>
      <c r="AD824" t="s">
        <v>34</v>
      </c>
      <c r="AE824" t="s">
        <v>177</v>
      </c>
      <c r="AF824">
        <v>2.0111791297699362E-3</v>
      </c>
      <c r="AG824">
        <v>2.57</v>
      </c>
      <c r="AH824" t="s">
        <v>237</v>
      </c>
      <c r="AI824" t="s">
        <v>237</v>
      </c>
      <c r="AJ824">
        <v>2.4224283052144782E-3</v>
      </c>
      <c r="AK824">
        <v>4.6181615086391785E-3</v>
      </c>
      <c r="AL824">
        <v>2.1957332034247003E-3</v>
      </c>
      <c r="AM824" t="s">
        <v>177</v>
      </c>
      <c r="AN824" t="s">
        <v>54</v>
      </c>
      <c r="AO824" t="s">
        <v>34</v>
      </c>
      <c r="AP824" t="s">
        <v>31</v>
      </c>
      <c r="AQ824">
        <v>9.2879500440819592E-6</v>
      </c>
    </row>
    <row r="825" spans="1:43" x14ac:dyDescent="0.2">
      <c r="A825">
        <v>823</v>
      </c>
      <c r="B825">
        <v>110</v>
      </c>
      <c r="C825">
        <v>6</v>
      </c>
      <c r="D825">
        <v>500000000</v>
      </c>
      <c r="E825" t="s">
        <v>335</v>
      </c>
      <c r="F825" t="s">
        <v>29</v>
      </c>
      <c r="G825" t="s">
        <v>873</v>
      </c>
      <c r="H825">
        <v>3.869104423531157E-2</v>
      </c>
      <c r="I825">
        <v>-8.3765652773485258E-6</v>
      </c>
      <c r="J825">
        <v>4.22</v>
      </c>
      <c r="K825">
        <v>4.2267459255734998</v>
      </c>
      <c r="L825" s="1">
        <v>45184</v>
      </c>
      <c r="M825" s="1">
        <v>43024</v>
      </c>
      <c r="N825" s="1">
        <v>43021</v>
      </c>
      <c r="R825">
        <v>-1.2005087764610177E-3</v>
      </c>
      <c r="S825">
        <v>-1.2005087764610177E-3</v>
      </c>
      <c r="T825" t="s">
        <v>39</v>
      </c>
      <c r="U825" t="s">
        <v>39</v>
      </c>
      <c r="V825">
        <v>507245139</v>
      </c>
      <c r="W825" t="s">
        <v>336</v>
      </c>
      <c r="X825" t="s">
        <v>874</v>
      </c>
      <c r="Y825">
        <v>500000000</v>
      </c>
      <c r="Z825" t="s">
        <v>31</v>
      </c>
      <c r="AA825">
        <v>-2.6504824485120331E-3</v>
      </c>
      <c r="AB825">
        <v>101.05</v>
      </c>
      <c r="AC825" t="s">
        <v>34</v>
      </c>
      <c r="AD825" t="s">
        <v>34</v>
      </c>
      <c r="AE825" t="s">
        <v>177</v>
      </c>
      <c r="AF825">
        <v>4.4900000000000002E-2</v>
      </c>
      <c r="AG825">
        <v>4.49</v>
      </c>
      <c r="AH825" t="s">
        <v>237</v>
      </c>
      <c r="AI825" t="s">
        <v>237</v>
      </c>
      <c r="AJ825">
        <v>6.9775127359266954E-3</v>
      </c>
      <c r="AK825">
        <v>9.1684938946235955E-3</v>
      </c>
      <c r="AL825">
        <v>2.1909811586969001E-3</v>
      </c>
      <c r="AM825" t="s">
        <v>177</v>
      </c>
      <c r="AN825" t="s">
        <v>54</v>
      </c>
      <c r="AO825" t="s">
        <v>34</v>
      </c>
      <c r="AP825" t="s">
        <v>31</v>
      </c>
      <c r="AQ825">
        <v>4.1166537586859945E-4</v>
      </c>
    </row>
    <row r="826" spans="1:43" x14ac:dyDescent="0.2">
      <c r="A826">
        <v>824</v>
      </c>
      <c r="B826">
        <v>102</v>
      </c>
      <c r="C826">
        <v>6</v>
      </c>
      <c r="F826" t="s">
        <v>29</v>
      </c>
      <c r="G826" t="s">
        <v>1556</v>
      </c>
      <c r="I826">
        <v>2.6537731208399768E-5</v>
      </c>
      <c r="J826">
        <v>8.2601868191700003</v>
      </c>
      <c r="K826">
        <v>8.2601868191700003</v>
      </c>
      <c r="L826" s="1"/>
      <c r="M826" s="1"/>
      <c r="N826" s="1">
        <v>43021</v>
      </c>
      <c r="R826">
        <v>-1.8769776239421981E-2</v>
      </c>
      <c r="S826">
        <v>-1.8769776239421981E-2</v>
      </c>
      <c r="T826" t="s">
        <v>32</v>
      </c>
      <c r="U826" t="s">
        <v>32</v>
      </c>
      <c r="W826" t="s">
        <v>1244</v>
      </c>
      <c r="Z826" t="s">
        <v>31</v>
      </c>
      <c r="AA826">
        <v>8.3969727999849073E-3</v>
      </c>
      <c r="AC826" t="s">
        <v>36</v>
      </c>
      <c r="AD826" t="s">
        <v>36</v>
      </c>
      <c r="AE826" t="s">
        <v>38</v>
      </c>
      <c r="AF826">
        <v>2.59</v>
      </c>
      <c r="AG826">
        <v>2.59</v>
      </c>
      <c r="AH826" t="s">
        <v>237</v>
      </c>
      <c r="AI826" t="s">
        <v>237</v>
      </c>
      <c r="AJ826">
        <v>-1.4138544258542E-3</v>
      </c>
      <c r="AK826">
        <v>0</v>
      </c>
      <c r="AL826">
        <v>1.4138544258542E-3</v>
      </c>
      <c r="AM826" t="s">
        <v>38</v>
      </c>
      <c r="AN826" t="s">
        <v>36</v>
      </c>
      <c r="AO826" t="s">
        <v>36</v>
      </c>
      <c r="AP826" t="s">
        <v>31</v>
      </c>
    </row>
    <row r="827" spans="1:43" x14ac:dyDescent="0.2">
      <c r="A827">
        <v>825</v>
      </c>
      <c r="B827">
        <v>110</v>
      </c>
      <c r="C827">
        <v>6</v>
      </c>
      <c r="F827" t="s">
        <v>29</v>
      </c>
      <c r="G827" t="s">
        <v>1557</v>
      </c>
      <c r="I827">
        <v>1.0360711545094603E-6</v>
      </c>
      <c r="J827">
        <v>3.3990798627109</v>
      </c>
      <c r="K827">
        <v>3.3990798627109</v>
      </c>
      <c r="L827" s="1"/>
      <c r="M827" s="1"/>
      <c r="N827" s="1">
        <v>43021</v>
      </c>
      <c r="R827">
        <v>-1.2005087764610177E-3</v>
      </c>
      <c r="S827">
        <v>-1.2005087764610177E-3</v>
      </c>
      <c r="T827" t="s">
        <v>39</v>
      </c>
      <c r="U827" t="s">
        <v>39</v>
      </c>
      <c r="W827" t="s">
        <v>1244</v>
      </c>
      <c r="Z827" t="s">
        <v>31</v>
      </c>
      <c r="AA827">
        <v>3.2782988247733868E-4</v>
      </c>
      <c r="AC827" t="s">
        <v>36</v>
      </c>
      <c r="AD827" t="s">
        <v>36</v>
      </c>
      <c r="AE827" t="s">
        <v>38</v>
      </c>
      <c r="AF827">
        <v>4.6100000000000003</v>
      </c>
      <c r="AG827">
        <v>4.6100000000000003</v>
      </c>
      <c r="AH827" t="s">
        <v>237</v>
      </c>
      <c r="AI827" t="s">
        <v>237</v>
      </c>
      <c r="AJ827">
        <v>-8.6302672235658007E-4</v>
      </c>
      <c r="AK827">
        <v>0</v>
      </c>
      <c r="AL827">
        <v>8.6302672235658007E-4</v>
      </c>
      <c r="AM827" t="s">
        <v>38</v>
      </c>
      <c r="AN827" t="s">
        <v>36</v>
      </c>
      <c r="AO827" t="s">
        <v>36</v>
      </c>
      <c r="AP827" t="s">
        <v>31</v>
      </c>
    </row>
    <row r="828" spans="1:43" x14ac:dyDescent="0.2">
      <c r="A828">
        <v>826</v>
      </c>
      <c r="B828">
        <v>110</v>
      </c>
      <c r="C828">
        <v>6</v>
      </c>
      <c r="F828" t="s">
        <v>29</v>
      </c>
      <c r="G828" t="s">
        <v>1558</v>
      </c>
      <c r="I828">
        <v>2.0853477027684166E-6</v>
      </c>
      <c r="J828">
        <v>4.6157740335803998</v>
      </c>
      <c r="K828">
        <v>4.6157740335803998</v>
      </c>
      <c r="L828" s="1"/>
      <c r="M828" s="1"/>
      <c r="N828" s="1">
        <v>43021</v>
      </c>
      <c r="R828">
        <v>-1.2005087764610177E-3</v>
      </c>
      <c r="S828">
        <v>-1.2005087764610177E-3</v>
      </c>
      <c r="T828" t="s">
        <v>39</v>
      </c>
      <c r="U828" t="s">
        <v>39</v>
      </c>
      <c r="W828" t="s">
        <v>1244</v>
      </c>
      <c r="Z828" t="s">
        <v>31</v>
      </c>
      <c r="AA828">
        <v>6.5983816782027389E-4</v>
      </c>
      <c r="AC828" t="s">
        <v>36</v>
      </c>
      <c r="AD828" t="s">
        <v>36</v>
      </c>
      <c r="AE828" t="s">
        <v>38</v>
      </c>
      <c r="AF828">
        <v>4.74</v>
      </c>
      <c r="AG828">
        <v>4.74</v>
      </c>
      <c r="AH828" t="s">
        <v>237</v>
      </c>
      <c r="AI828" t="s">
        <v>237</v>
      </c>
      <c r="AJ828">
        <v>-1.7370532757917999E-3</v>
      </c>
      <c r="AK828">
        <v>0</v>
      </c>
      <c r="AL828">
        <v>1.7370532757917999E-3</v>
      </c>
      <c r="AM828" t="s">
        <v>38</v>
      </c>
      <c r="AN828" t="s">
        <v>36</v>
      </c>
      <c r="AO828" t="s">
        <v>36</v>
      </c>
      <c r="AP828" t="s">
        <v>31</v>
      </c>
    </row>
    <row r="829" spans="1:43" x14ac:dyDescent="0.2">
      <c r="A829">
        <v>827</v>
      </c>
      <c r="B829">
        <v>102</v>
      </c>
      <c r="C829">
        <v>6</v>
      </c>
      <c r="D829">
        <v>3000</v>
      </c>
      <c r="E829" t="s">
        <v>875</v>
      </c>
      <c r="F829" t="s">
        <v>29</v>
      </c>
      <c r="G829" t="s">
        <v>876</v>
      </c>
      <c r="H829">
        <v>1.1825239218551591E-2</v>
      </c>
      <c r="I829">
        <v>-3.2378160912305986E-6</v>
      </c>
      <c r="J829">
        <v>7.35</v>
      </c>
      <c r="K829">
        <v>7.3606983926162002</v>
      </c>
      <c r="L829" s="1">
        <v>48075</v>
      </c>
      <c r="M829" s="1">
        <v>43024</v>
      </c>
      <c r="N829" s="1">
        <v>43021</v>
      </c>
      <c r="R829">
        <v>-1.8769776239421981E-2</v>
      </c>
      <c r="S829">
        <v>-1.8769776239421981E-2</v>
      </c>
      <c r="T829" t="s">
        <v>32</v>
      </c>
      <c r="U829" t="s">
        <v>32</v>
      </c>
      <c r="V829">
        <v>89010756</v>
      </c>
      <c r="W829" t="s">
        <v>877</v>
      </c>
      <c r="X829" t="s">
        <v>878</v>
      </c>
      <c r="Y829">
        <v>3000</v>
      </c>
      <c r="Z829" t="s">
        <v>31</v>
      </c>
      <c r="AA829">
        <v>-1.024498041521019E-3</v>
      </c>
      <c r="AB829">
        <v>110.55</v>
      </c>
      <c r="AC829" t="s">
        <v>33</v>
      </c>
      <c r="AD829" t="s">
        <v>33</v>
      </c>
      <c r="AE829" t="s">
        <v>44</v>
      </c>
      <c r="AF829">
        <v>2.1111791297699356E-3</v>
      </c>
      <c r="AG829">
        <v>2.5499999999999998</v>
      </c>
      <c r="AH829" t="s">
        <v>237</v>
      </c>
      <c r="AI829" t="s">
        <v>237</v>
      </c>
      <c r="AJ829">
        <v>1.7250158179457913E-4</v>
      </c>
      <c r="AK829">
        <v>1.6088760841566792E-3</v>
      </c>
      <c r="AL829">
        <v>1.4363745023621001E-3</v>
      </c>
      <c r="AM829" t="s">
        <v>44</v>
      </c>
      <c r="AN829" t="s">
        <v>148</v>
      </c>
      <c r="AO829" t="s">
        <v>33</v>
      </c>
      <c r="AP829" t="s">
        <v>31</v>
      </c>
      <c r="AQ829">
        <v>3.3966256112575595E-6</v>
      </c>
    </row>
    <row r="830" spans="1:43" x14ac:dyDescent="0.2">
      <c r="A830">
        <v>828</v>
      </c>
      <c r="B830">
        <v>102</v>
      </c>
      <c r="C830">
        <v>6</v>
      </c>
      <c r="F830" t="s">
        <v>29</v>
      </c>
      <c r="G830" t="s">
        <v>1559</v>
      </c>
      <c r="I830">
        <v>2.809889203305597E-5</v>
      </c>
      <c r="J830">
        <v>7.1643226688241999</v>
      </c>
      <c r="K830">
        <v>7.1643226688241999</v>
      </c>
      <c r="L830" s="1"/>
      <c r="M830" s="1"/>
      <c r="N830" s="1">
        <v>43021</v>
      </c>
      <c r="R830">
        <v>-1.8769776239421981E-2</v>
      </c>
      <c r="S830">
        <v>-1.8769776239421981E-2</v>
      </c>
      <c r="T830" t="s">
        <v>32</v>
      </c>
      <c r="U830" t="s">
        <v>32</v>
      </c>
      <c r="AA830">
        <v>8.8909496542267218E-3</v>
      </c>
      <c r="AC830" t="s">
        <v>34</v>
      </c>
      <c r="AD830" t="s">
        <v>34</v>
      </c>
      <c r="AF830">
        <v>2.56</v>
      </c>
      <c r="AG830">
        <v>2.56</v>
      </c>
      <c r="AH830" t="s">
        <v>237</v>
      </c>
      <c r="AI830" t="s">
        <v>237</v>
      </c>
      <c r="AJ830">
        <v>-1.4970286099649998E-3</v>
      </c>
      <c r="AK830">
        <v>0</v>
      </c>
      <c r="AL830">
        <v>1.4970286099649998E-3</v>
      </c>
      <c r="AN830" t="s">
        <v>34</v>
      </c>
      <c r="AO830" t="s">
        <v>34</v>
      </c>
    </row>
    <row r="831" spans="1:43" x14ac:dyDescent="0.2">
      <c r="A831">
        <v>829</v>
      </c>
      <c r="B831">
        <v>102</v>
      </c>
      <c r="C831">
        <v>6</v>
      </c>
      <c r="D831">
        <v>24500</v>
      </c>
      <c r="E831" t="s">
        <v>879</v>
      </c>
      <c r="F831" t="s">
        <v>29</v>
      </c>
      <c r="G831" t="s">
        <v>880</v>
      </c>
      <c r="H831">
        <v>8.682153151864852E-2</v>
      </c>
      <c r="I831">
        <v>-2.0446677319099443E-4</v>
      </c>
      <c r="J831">
        <v>7.1</v>
      </c>
      <c r="K831">
        <v>7.1071483936485</v>
      </c>
      <c r="L831" s="1">
        <v>45901</v>
      </c>
      <c r="M831" s="1">
        <v>43024</v>
      </c>
      <c r="N831" s="1">
        <v>43021</v>
      </c>
      <c r="R831">
        <v>-1.8769776239421981E-2</v>
      </c>
      <c r="S831">
        <v>-1.8769776239421981E-2</v>
      </c>
      <c r="T831" t="s">
        <v>32</v>
      </c>
      <c r="U831" t="s">
        <v>32</v>
      </c>
      <c r="V831">
        <v>676533003</v>
      </c>
      <c r="W831" t="s">
        <v>879</v>
      </c>
      <c r="X831" t="s">
        <v>881</v>
      </c>
      <c r="Y831">
        <v>24500</v>
      </c>
      <c r="Z831" t="s">
        <v>31</v>
      </c>
      <c r="AA831">
        <v>-6.4696635876771061E-2</v>
      </c>
      <c r="AB831">
        <v>103.21</v>
      </c>
      <c r="AC831" t="s">
        <v>34</v>
      </c>
      <c r="AD831" t="s">
        <v>34</v>
      </c>
      <c r="AE831" t="s">
        <v>175</v>
      </c>
      <c r="AF831">
        <v>8.1117912976993653E-4</v>
      </c>
      <c r="AG831">
        <v>2.4500000000000002</v>
      </c>
      <c r="AH831" t="s">
        <v>237</v>
      </c>
      <c r="AI831" t="s">
        <v>237</v>
      </c>
      <c r="AJ831">
        <v>1.0893404939029312E-2</v>
      </c>
      <c r="AK831">
        <v>1.2228384720936411E-2</v>
      </c>
      <c r="AL831">
        <v>1.3349797819071001E-3</v>
      </c>
      <c r="AM831" t="s">
        <v>175</v>
      </c>
      <c r="AN831" t="s">
        <v>54</v>
      </c>
      <c r="AO831" t="s">
        <v>34</v>
      </c>
      <c r="AP831" t="s">
        <v>31</v>
      </c>
      <c r="AQ831">
        <v>9.9194104764211869E-6</v>
      </c>
    </row>
    <row r="832" spans="1:43" x14ac:dyDescent="0.2">
      <c r="A832">
        <v>830</v>
      </c>
      <c r="B832">
        <v>96</v>
      </c>
      <c r="C832">
        <v>6</v>
      </c>
      <c r="F832" t="s">
        <v>29</v>
      </c>
      <c r="G832" t="s">
        <v>483</v>
      </c>
      <c r="I832">
        <v>1.6876323621340295E-4</v>
      </c>
      <c r="J832">
        <v>1.2170733107052001</v>
      </c>
      <c r="K832">
        <v>1.2170733107052001</v>
      </c>
      <c r="L832" s="1"/>
      <c r="M832" s="1"/>
      <c r="N832" s="1">
        <v>43021</v>
      </c>
      <c r="R832">
        <v>-1.9353706235684085E-2</v>
      </c>
      <c r="S832">
        <v>-1.9353706235684085E-2</v>
      </c>
      <c r="T832" t="s">
        <v>32</v>
      </c>
      <c r="U832" t="s">
        <v>32</v>
      </c>
      <c r="W832" t="s">
        <v>438</v>
      </c>
      <c r="Z832" t="s">
        <v>31</v>
      </c>
      <c r="AA832">
        <v>5.3399452010156376E-2</v>
      </c>
      <c r="AC832" t="s">
        <v>36</v>
      </c>
      <c r="AD832" t="s">
        <v>36</v>
      </c>
      <c r="AE832" t="s">
        <v>175</v>
      </c>
      <c r="AF832">
        <v>2.14</v>
      </c>
      <c r="AG832">
        <v>2.14</v>
      </c>
      <c r="AH832" t="s">
        <v>237</v>
      </c>
      <c r="AI832" t="s">
        <v>237</v>
      </c>
      <c r="AJ832">
        <v>-8.7199440850373004E-3</v>
      </c>
      <c r="AK832">
        <v>0</v>
      </c>
      <c r="AL832">
        <v>8.7199440850373004E-3</v>
      </c>
      <c r="AM832" t="s">
        <v>175</v>
      </c>
      <c r="AN832" t="s">
        <v>36</v>
      </c>
      <c r="AO832" t="s">
        <v>36</v>
      </c>
      <c r="AP832" t="s">
        <v>31</v>
      </c>
    </row>
    <row r="833" spans="1:43" x14ac:dyDescent="0.2">
      <c r="A833">
        <v>831</v>
      </c>
      <c r="B833">
        <v>102</v>
      </c>
      <c r="C833">
        <v>6</v>
      </c>
      <c r="F833" t="s">
        <v>29</v>
      </c>
      <c r="G833" t="s">
        <v>1560</v>
      </c>
      <c r="I833">
        <v>1.0119048555842253E-4</v>
      </c>
      <c r="J833">
        <v>8.6415156110130997</v>
      </c>
      <c r="K833">
        <v>8.6415156110130997</v>
      </c>
      <c r="L833" s="1"/>
      <c r="M833" s="1"/>
      <c r="N833" s="1">
        <v>43021</v>
      </c>
      <c r="R833">
        <v>-1.8769776239421981E-2</v>
      </c>
      <c r="S833">
        <v>-1.8769776239421981E-2</v>
      </c>
      <c r="T833" t="s">
        <v>32</v>
      </c>
      <c r="U833" t="s">
        <v>32</v>
      </c>
      <c r="AA833">
        <v>3.2018326969201989E-2</v>
      </c>
      <c r="AC833" t="s">
        <v>36</v>
      </c>
      <c r="AD833" t="s">
        <v>36</v>
      </c>
      <c r="AF833">
        <v>2.59</v>
      </c>
      <c r="AG833">
        <v>2.59</v>
      </c>
      <c r="AH833" t="s">
        <v>237</v>
      </c>
      <c r="AI833" t="s">
        <v>237</v>
      </c>
      <c r="AJ833">
        <v>-5.3911396847604997E-3</v>
      </c>
      <c r="AK833">
        <v>0</v>
      </c>
      <c r="AL833">
        <v>5.3911396847604997E-3</v>
      </c>
      <c r="AN833" t="s">
        <v>36</v>
      </c>
      <c r="AO833" t="s">
        <v>36</v>
      </c>
    </row>
    <row r="834" spans="1:43" x14ac:dyDescent="0.2">
      <c r="A834">
        <v>832</v>
      </c>
      <c r="B834">
        <v>99</v>
      </c>
      <c r="C834">
        <v>6</v>
      </c>
      <c r="F834" t="s">
        <v>29</v>
      </c>
      <c r="G834" t="s">
        <v>1561</v>
      </c>
      <c r="I834">
        <v>3.8579375656425432E-5</v>
      </c>
      <c r="J834">
        <v>4.86040164987</v>
      </c>
      <c r="K834">
        <v>4.86040164987</v>
      </c>
      <c r="L834" s="1"/>
      <c r="M834" s="1"/>
      <c r="N834" s="1">
        <v>43021</v>
      </c>
      <c r="R834">
        <v>-1.4967484789654954E-2</v>
      </c>
      <c r="S834">
        <v>-1.4967484789654954E-2</v>
      </c>
      <c r="T834" t="s">
        <v>32</v>
      </c>
      <c r="U834" t="s">
        <v>32</v>
      </c>
      <c r="W834" t="s">
        <v>882</v>
      </c>
      <c r="Z834" t="s">
        <v>31</v>
      </c>
      <c r="AA834">
        <v>1.2207146326241598E-2</v>
      </c>
      <c r="AC834" t="s">
        <v>33</v>
      </c>
      <c r="AD834" t="s">
        <v>33</v>
      </c>
      <c r="AE834" t="s">
        <v>175</v>
      </c>
      <c r="AF834">
        <v>2.2599999999999998</v>
      </c>
      <c r="AG834">
        <v>2.2599999999999998</v>
      </c>
      <c r="AH834" t="s">
        <v>237</v>
      </c>
      <c r="AI834" t="s">
        <v>237</v>
      </c>
      <c r="AJ834">
        <v>-2.5775456730773002E-3</v>
      </c>
      <c r="AK834">
        <v>0</v>
      </c>
      <c r="AL834">
        <v>2.5775456730773002E-3</v>
      </c>
      <c r="AM834" t="s">
        <v>175</v>
      </c>
      <c r="AN834" t="s">
        <v>33</v>
      </c>
      <c r="AO834" t="s">
        <v>33</v>
      </c>
      <c r="AP834" t="s">
        <v>31</v>
      </c>
    </row>
    <row r="835" spans="1:43" x14ac:dyDescent="0.2">
      <c r="A835">
        <v>833</v>
      </c>
      <c r="B835">
        <v>102</v>
      </c>
      <c r="C835">
        <v>6</v>
      </c>
      <c r="D835">
        <v>18000</v>
      </c>
      <c r="E835" t="s">
        <v>883</v>
      </c>
      <c r="F835" t="s">
        <v>29</v>
      </c>
      <c r="G835" t="s">
        <v>884</v>
      </c>
      <c r="H835">
        <v>5.9228478757399408E-2</v>
      </c>
      <c r="I835">
        <v>-1.6315450652512012E-6</v>
      </c>
      <c r="J835">
        <v>5.95</v>
      </c>
      <c r="K835">
        <v>5.9627227614629996</v>
      </c>
      <c r="L835" s="1">
        <v>47467</v>
      </c>
      <c r="M835" s="1">
        <v>43024</v>
      </c>
      <c r="N835" s="1">
        <v>43021</v>
      </c>
      <c r="R835">
        <v>-1.8769776239421981E-2</v>
      </c>
      <c r="S835">
        <v>-1.8769776239421981E-2</v>
      </c>
      <c r="T835" t="s">
        <v>32</v>
      </c>
      <c r="U835" t="s">
        <v>32</v>
      </c>
      <c r="V835">
        <v>550723370</v>
      </c>
      <c r="W835" t="s">
        <v>882</v>
      </c>
      <c r="X835" t="s">
        <v>885</v>
      </c>
      <c r="Y835">
        <v>18000</v>
      </c>
      <c r="Z835" t="s">
        <v>31</v>
      </c>
      <c r="AA835">
        <v>-5.1624758074750483E-4</v>
      </c>
      <c r="AB835">
        <v>112.97</v>
      </c>
      <c r="AC835" t="s">
        <v>33</v>
      </c>
      <c r="AD835" t="s">
        <v>33</v>
      </c>
      <c r="AE835" t="s">
        <v>175</v>
      </c>
      <c r="AF835">
        <v>2.211179129769935E-3</v>
      </c>
      <c r="AG835">
        <v>2.58</v>
      </c>
      <c r="AH835" t="s">
        <v>237</v>
      </c>
      <c r="AI835" t="s">
        <v>237</v>
      </c>
      <c r="AJ835">
        <v>8.6924055163986602E-5</v>
      </c>
      <c r="AK835">
        <v>9.9543661777141863E-3</v>
      </c>
      <c r="AL835">
        <v>9.8674421225501997E-3</v>
      </c>
      <c r="AM835" t="s">
        <v>175</v>
      </c>
      <c r="AN835" t="s">
        <v>148</v>
      </c>
      <c r="AO835" t="s">
        <v>33</v>
      </c>
      <c r="AP835" t="s">
        <v>31</v>
      </c>
      <c r="AQ835">
        <v>2.2010886742249328E-5</v>
      </c>
    </row>
    <row r="836" spans="1:43" x14ac:dyDescent="0.2">
      <c r="A836">
        <v>834</v>
      </c>
      <c r="B836">
        <v>96</v>
      </c>
      <c r="C836">
        <v>6</v>
      </c>
      <c r="D836">
        <v>11000</v>
      </c>
      <c r="E836" t="s">
        <v>508</v>
      </c>
      <c r="F836" t="s">
        <v>29</v>
      </c>
      <c r="G836" t="s">
        <v>509</v>
      </c>
      <c r="H836">
        <v>1.0451730544097657E-2</v>
      </c>
      <c r="I836">
        <v>-5.2815407556005113E-5</v>
      </c>
      <c r="J836">
        <v>2.89</v>
      </c>
      <c r="K836">
        <v>2.9032538726095001</v>
      </c>
      <c r="L836" s="1">
        <v>45245</v>
      </c>
      <c r="M836" s="1">
        <v>43024</v>
      </c>
      <c r="N836" s="1">
        <v>43021</v>
      </c>
      <c r="R836">
        <v>-1.9353706235684085E-2</v>
      </c>
      <c r="S836">
        <v>-1.9353706235684085E-2</v>
      </c>
      <c r="T836" t="s">
        <v>32</v>
      </c>
      <c r="U836" t="s">
        <v>32</v>
      </c>
      <c r="V836">
        <v>200083030</v>
      </c>
      <c r="W836" t="s">
        <v>510</v>
      </c>
      <c r="X836" t="s">
        <v>511</v>
      </c>
      <c r="Y836">
        <v>11000</v>
      </c>
      <c r="Z836" t="s">
        <v>31</v>
      </c>
      <c r="AA836">
        <v>-1.671165998273124E-2</v>
      </c>
      <c r="AB836">
        <v>103.45</v>
      </c>
      <c r="AC836" t="s">
        <v>33</v>
      </c>
      <c r="AD836" t="s">
        <v>33</v>
      </c>
      <c r="AE836" t="s">
        <v>178</v>
      </c>
      <c r="AF836">
        <v>-7.888208702300642E-4</v>
      </c>
      <c r="AG836">
        <v>2.2799999999999998</v>
      </c>
      <c r="AH836" t="s">
        <v>237</v>
      </c>
      <c r="AI836" t="s">
        <v>237</v>
      </c>
      <c r="AJ836">
        <v>2.7289557314156615E-3</v>
      </c>
      <c r="AK836">
        <v>3.6165157592033415E-3</v>
      </c>
      <c r="AL836">
        <v>8.8756002778767995E-4</v>
      </c>
      <c r="AM836" t="s">
        <v>178</v>
      </c>
      <c r="AN836" t="s">
        <v>148</v>
      </c>
      <c r="AO836" t="s">
        <v>33</v>
      </c>
      <c r="AP836" t="s">
        <v>31</v>
      </c>
      <c r="AQ836">
        <v>-2.8527831083755212E-6</v>
      </c>
    </row>
    <row r="837" spans="1:43" x14ac:dyDescent="0.2">
      <c r="A837">
        <v>835</v>
      </c>
      <c r="B837">
        <v>99</v>
      </c>
      <c r="C837">
        <v>6</v>
      </c>
      <c r="D837">
        <v>10000</v>
      </c>
      <c r="E837" t="s">
        <v>886</v>
      </c>
      <c r="F837" t="s">
        <v>29</v>
      </c>
      <c r="G837" t="s">
        <v>887</v>
      </c>
      <c r="H837">
        <v>1.5673986506558154E-2</v>
      </c>
      <c r="I837">
        <v>-3.0122971332624519E-5</v>
      </c>
      <c r="J837">
        <v>4.7</v>
      </c>
      <c r="K837">
        <v>4.7043539904624003</v>
      </c>
      <c r="L837" s="1">
        <v>46905</v>
      </c>
      <c r="M837" s="1">
        <v>43024</v>
      </c>
      <c r="N837" s="1">
        <v>43021</v>
      </c>
      <c r="R837">
        <v>-1.4967484789654954E-2</v>
      </c>
      <c r="S837">
        <v>-1.4967484789654954E-2</v>
      </c>
      <c r="T837" t="s">
        <v>32</v>
      </c>
      <c r="U837" t="s">
        <v>32</v>
      </c>
      <c r="V837">
        <v>184502181</v>
      </c>
      <c r="W837" t="s">
        <v>888</v>
      </c>
      <c r="X837" t="s">
        <v>889</v>
      </c>
      <c r="Y837">
        <v>10000</v>
      </c>
      <c r="Z837" t="s">
        <v>31</v>
      </c>
      <c r="AA837">
        <v>-9.5314014957959808E-3</v>
      </c>
      <c r="AB837">
        <v>116.93</v>
      </c>
      <c r="AC837" t="s">
        <v>36</v>
      </c>
      <c r="AD837" t="s">
        <v>36</v>
      </c>
      <c r="AE837" t="s">
        <v>178</v>
      </c>
      <c r="AF837">
        <v>4.1117912976993548E-4</v>
      </c>
      <c r="AG837">
        <v>2.46</v>
      </c>
      <c r="AH837" t="s">
        <v>237</v>
      </c>
      <c r="AI837" t="s">
        <v>237</v>
      </c>
      <c r="AJ837">
        <v>2.0125606777596028E-3</v>
      </c>
      <c r="AK837">
        <v>3.3348907460762031E-3</v>
      </c>
      <c r="AL837">
        <v>1.3223300683166E-3</v>
      </c>
      <c r="AM837" t="s">
        <v>178</v>
      </c>
      <c r="AN837" t="s">
        <v>150</v>
      </c>
      <c r="AO837" t="s">
        <v>36</v>
      </c>
      <c r="AP837" t="s">
        <v>31</v>
      </c>
      <c r="AQ837">
        <v>1.371237474849424E-6</v>
      </c>
    </row>
    <row r="838" spans="1:43" x14ac:dyDescent="0.2">
      <c r="A838">
        <v>836</v>
      </c>
      <c r="B838">
        <v>92</v>
      </c>
      <c r="C838">
        <v>6</v>
      </c>
      <c r="D838">
        <v>1500</v>
      </c>
      <c r="E838" t="s">
        <v>411</v>
      </c>
      <c r="F838" t="s">
        <v>29</v>
      </c>
      <c r="G838" t="s">
        <v>412</v>
      </c>
      <c r="H838">
        <v>8.8193558376769708E-5</v>
      </c>
      <c r="I838">
        <v>1.7747392141685085E-5</v>
      </c>
      <c r="J838">
        <v>0.12</v>
      </c>
      <c r="K838">
        <v>0.13424657534247</v>
      </c>
      <c r="L838" s="1">
        <v>43070</v>
      </c>
      <c r="M838" s="1">
        <v>43024</v>
      </c>
      <c r="N838" s="1">
        <v>43021</v>
      </c>
      <c r="R838">
        <v>-6.4270987235110688E-3</v>
      </c>
      <c r="S838">
        <v>-6.4270987235110688E-3</v>
      </c>
      <c r="T838" t="s">
        <v>32</v>
      </c>
      <c r="U838" t="s">
        <v>32</v>
      </c>
      <c r="V838">
        <v>40660762</v>
      </c>
      <c r="W838" t="s">
        <v>211</v>
      </c>
      <c r="X838" t="s">
        <v>413</v>
      </c>
      <c r="Y838">
        <v>1500</v>
      </c>
      <c r="Z838" t="s">
        <v>31</v>
      </c>
      <c r="AA838">
        <v>5.6155655475636935E-3</v>
      </c>
      <c r="AB838">
        <v>100.18</v>
      </c>
      <c r="AC838" t="s">
        <v>42</v>
      </c>
      <c r="AD838" t="s">
        <v>42</v>
      </c>
      <c r="AE838" t="s">
        <v>41</v>
      </c>
      <c r="AF838">
        <v>8.1117912976993653E-4</v>
      </c>
      <c r="AG838">
        <v>2.44</v>
      </c>
      <c r="AH838" t="s">
        <v>237</v>
      </c>
      <c r="AI838" t="s">
        <v>237</v>
      </c>
      <c r="AJ838">
        <v>-2.7613380321610862E-3</v>
      </c>
      <c r="AK838">
        <v>7.3494631980641431E-4</v>
      </c>
      <c r="AL838">
        <v>3.4962843519675004E-3</v>
      </c>
      <c r="AM838" t="s">
        <v>41</v>
      </c>
      <c r="AN838" t="s">
        <v>142</v>
      </c>
      <c r="AO838" t="s">
        <v>42</v>
      </c>
      <c r="AP838" t="s">
        <v>31</v>
      </c>
      <c r="AQ838">
        <v>5.9617311612818467E-7</v>
      </c>
    </row>
    <row r="839" spans="1:43" x14ac:dyDescent="0.2">
      <c r="A839">
        <v>837</v>
      </c>
      <c r="B839">
        <v>98</v>
      </c>
      <c r="C839">
        <v>6</v>
      </c>
      <c r="F839" t="s">
        <v>29</v>
      </c>
      <c r="G839" t="s">
        <v>1562</v>
      </c>
      <c r="I839">
        <v>4.377018764557493E-5</v>
      </c>
      <c r="J839">
        <v>3.8709383067352001</v>
      </c>
      <c r="K839">
        <v>3.8709383067352001</v>
      </c>
      <c r="L839" s="1"/>
      <c r="M839" s="1"/>
      <c r="N839" s="1">
        <v>43021</v>
      </c>
      <c r="R839">
        <v>-2.7515108469385995E-2</v>
      </c>
      <c r="S839">
        <v>-2.7515108469385995E-2</v>
      </c>
      <c r="T839" t="s">
        <v>32</v>
      </c>
      <c r="U839" t="s">
        <v>32</v>
      </c>
      <c r="AA839">
        <v>1.3849604256817354E-2</v>
      </c>
      <c r="AC839" t="s">
        <v>42</v>
      </c>
      <c r="AD839" t="s">
        <v>42</v>
      </c>
      <c r="AF839">
        <v>2.12</v>
      </c>
      <c r="AG839">
        <v>2.12</v>
      </c>
      <c r="AH839" t="s">
        <v>237</v>
      </c>
      <c r="AI839" t="s">
        <v>237</v>
      </c>
      <c r="AJ839">
        <v>-1.5907692202731E-3</v>
      </c>
      <c r="AK839">
        <v>0</v>
      </c>
      <c r="AL839">
        <v>1.5907692202731E-3</v>
      </c>
      <c r="AN839" t="s">
        <v>42</v>
      </c>
      <c r="AO839" t="s">
        <v>42</v>
      </c>
    </row>
    <row r="840" spans="1:43" x14ac:dyDescent="0.2">
      <c r="A840">
        <v>838</v>
      </c>
      <c r="B840">
        <v>92</v>
      </c>
      <c r="C840">
        <v>6</v>
      </c>
      <c r="F840" t="s">
        <v>29</v>
      </c>
      <c r="G840" t="s">
        <v>1563</v>
      </c>
      <c r="I840">
        <v>1.6883409836545642E-5</v>
      </c>
      <c r="J840">
        <v>0.70666110283607997</v>
      </c>
      <c r="K840">
        <v>0.70666110283607997</v>
      </c>
      <c r="L840" s="1"/>
      <c r="M840" s="1"/>
      <c r="N840" s="1">
        <v>43021</v>
      </c>
      <c r="R840">
        <v>-6.4270987235110688E-3</v>
      </c>
      <c r="S840">
        <v>-6.4270987235110688E-3</v>
      </c>
      <c r="T840" t="s">
        <v>32</v>
      </c>
      <c r="U840" t="s">
        <v>32</v>
      </c>
      <c r="W840" t="s">
        <v>211</v>
      </c>
      <c r="Z840" t="s">
        <v>31</v>
      </c>
      <c r="AA840">
        <v>5.3421873955674954E-3</v>
      </c>
      <c r="AC840" t="s">
        <v>42</v>
      </c>
      <c r="AD840" t="s">
        <v>42</v>
      </c>
      <c r="AE840" t="s">
        <v>41</v>
      </c>
      <c r="AF840">
        <v>2.2999999999999998</v>
      </c>
      <c r="AG840">
        <v>2.2999999999999998</v>
      </c>
      <c r="AH840" t="s">
        <v>237</v>
      </c>
      <c r="AI840" t="s">
        <v>237</v>
      </c>
      <c r="AJ840">
        <v>-2.6269099889168002E-3</v>
      </c>
      <c r="AK840">
        <v>0</v>
      </c>
      <c r="AL840">
        <v>2.6269099889168002E-3</v>
      </c>
      <c r="AM840" t="s">
        <v>41</v>
      </c>
      <c r="AN840" t="s">
        <v>42</v>
      </c>
      <c r="AO840" t="s">
        <v>42</v>
      </c>
      <c r="AP840" t="s">
        <v>31</v>
      </c>
    </row>
    <row r="841" spans="1:43" x14ac:dyDescent="0.2">
      <c r="A841">
        <v>839</v>
      </c>
      <c r="B841">
        <v>92</v>
      </c>
      <c r="C841">
        <v>6</v>
      </c>
      <c r="F841" t="s">
        <v>29</v>
      </c>
      <c r="G841" t="s">
        <v>447</v>
      </c>
      <c r="I841">
        <v>2.8012428120674951E-5</v>
      </c>
      <c r="J841">
        <v>0.95862728310486001</v>
      </c>
      <c r="K841">
        <v>0.95862728310486001</v>
      </c>
      <c r="L841" s="1"/>
      <c r="M841" s="1"/>
      <c r="N841" s="1">
        <v>43021</v>
      </c>
      <c r="R841">
        <v>-6.4270987235110688E-3</v>
      </c>
      <c r="S841">
        <v>-6.4270987235110688E-3</v>
      </c>
      <c r="T841" t="s">
        <v>32</v>
      </c>
      <c r="U841" t="s">
        <v>32</v>
      </c>
      <c r="W841" t="s">
        <v>211</v>
      </c>
      <c r="Z841" t="s">
        <v>31</v>
      </c>
      <c r="AA841">
        <v>8.8635910562085956E-3</v>
      </c>
      <c r="AC841" t="s">
        <v>42</v>
      </c>
      <c r="AD841" t="s">
        <v>42</v>
      </c>
      <c r="AE841" t="s">
        <v>41</v>
      </c>
      <c r="AF841">
        <v>2.17</v>
      </c>
      <c r="AG841">
        <v>2.17</v>
      </c>
      <c r="AH841" t="s">
        <v>237</v>
      </c>
      <c r="AI841" t="s">
        <v>237</v>
      </c>
      <c r="AJ841">
        <v>-4.3584872935283001E-3</v>
      </c>
      <c r="AK841">
        <v>0</v>
      </c>
      <c r="AL841">
        <v>4.3584872935283001E-3</v>
      </c>
      <c r="AM841" t="s">
        <v>41</v>
      </c>
      <c r="AN841" t="s">
        <v>42</v>
      </c>
      <c r="AO841" t="s">
        <v>42</v>
      </c>
      <c r="AP841" t="s">
        <v>31</v>
      </c>
    </row>
    <row r="842" spans="1:43" x14ac:dyDescent="0.2">
      <c r="A842">
        <v>840</v>
      </c>
      <c r="B842">
        <v>95</v>
      </c>
      <c r="C842">
        <v>6</v>
      </c>
      <c r="D842">
        <v>5000</v>
      </c>
      <c r="E842" t="s">
        <v>411</v>
      </c>
      <c r="F842" t="s">
        <v>29</v>
      </c>
      <c r="G842" t="s">
        <v>448</v>
      </c>
      <c r="H842">
        <v>2.9190803275285699E-3</v>
      </c>
      <c r="I842">
        <v>3.3098393300285928E-5</v>
      </c>
      <c r="J842">
        <v>1.18</v>
      </c>
      <c r="K842">
        <v>1.1939575106358999</v>
      </c>
      <c r="L842" s="1">
        <v>43466</v>
      </c>
      <c r="M842" s="1">
        <v>43024</v>
      </c>
      <c r="N842" s="1">
        <v>43021</v>
      </c>
      <c r="R842">
        <v>-1.7076343737775217E-2</v>
      </c>
      <c r="S842">
        <v>-1.7076343737775217E-2</v>
      </c>
      <c r="T842" t="s">
        <v>32</v>
      </c>
      <c r="U842" t="s">
        <v>32</v>
      </c>
      <c r="V842">
        <v>136862331</v>
      </c>
      <c r="W842" t="s">
        <v>211</v>
      </c>
      <c r="X842" t="s">
        <v>413</v>
      </c>
      <c r="Y842">
        <v>5000</v>
      </c>
      <c r="Z842" t="s">
        <v>31</v>
      </c>
      <c r="AA842">
        <v>1.0472873739023099E-2</v>
      </c>
      <c r="AB842">
        <v>101.63</v>
      </c>
      <c r="AC842" t="s">
        <v>42</v>
      </c>
      <c r="AD842" t="s">
        <v>42</v>
      </c>
      <c r="AE842" t="s">
        <v>41</v>
      </c>
      <c r="AF842">
        <v>-2.788820870230066E-3</v>
      </c>
      <c r="AG842">
        <v>2.08</v>
      </c>
      <c r="AH842" t="s">
        <v>237</v>
      </c>
      <c r="AI842" t="s">
        <v>237</v>
      </c>
      <c r="AJ842">
        <v>-1.9382599582525232E-3</v>
      </c>
      <c r="AK842">
        <v>2.4737968877360764E-3</v>
      </c>
      <c r="AL842">
        <v>4.4120568459885996E-3</v>
      </c>
      <c r="AM842" t="s">
        <v>41</v>
      </c>
      <c r="AN842" t="s">
        <v>142</v>
      </c>
      <c r="AO842" t="s">
        <v>42</v>
      </c>
      <c r="AP842" t="s">
        <v>31</v>
      </c>
      <c r="AQ842">
        <v>-6.8989763892285534E-6</v>
      </c>
    </row>
    <row r="843" spans="1:43" x14ac:dyDescent="0.2">
      <c r="A843">
        <v>841</v>
      </c>
      <c r="B843">
        <v>92</v>
      </c>
      <c r="C843">
        <v>6</v>
      </c>
      <c r="F843" t="s">
        <v>29</v>
      </c>
      <c r="G843" t="s">
        <v>1564</v>
      </c>
      <c r="I843">
        <v>1.6854119007815868E-5</v>
      </c>
      <c r="J843">
        <v>0.70712418254111997</v>
      </c>
      <c r="K843">
        <v>0.70712418254111997</v>
      </c>
      <c r="L843" s="1"/>
      <c r="M843" s="1"/>
      <c r="N843" s="1">
        <v>43021</v>
      </c>
      <c r="R843">
        <v>-6.4270987235110688E-3</v>
      </c>
      <c r="S843">
        <v>-6.4270987235110688E-3</v>
      </c>
      <c r="T843" t="s">
        <v>32</v>
      </c>
      <c r="U843" t="s">
        <v>32</v>
      </c>
      <c r="W843" t="s">
        <v>211</v>
      </c>
      <c r="Z843" t="s">
        <v>31</v>
      </c>
      <c r="AA843">
        <v>5.3329192976204077E-3</v>
      </c>
      <c r="AC843" t="s">
        <v>42</v>
      </c>
      <c r="AD843" t="s">
        <v>42</v>
      </c>
      <c r="AE843" t="s">
        <v>41</v>
      </c>
      <c r="AF843">
        <v>2.25</v>
      </c>
      <c r="AG843">
        <v>2.25</v>
      </c>
      <c r="AH843" t="s">
        <v>237</v>
      </c>
      <c r="AI843" t="s">
        <v>237</v>
      </c>
      <c r="AJ843">
        <v>-2.6223525937390003E-3</v>
      </c>
      <c r="AK843">
        <v>0</v>
      </c>
      <c r="AL843">
        <v>2.6223525937390003E-3</v>
      </c>
      <c r="AM843" t="s">
        <v>41</v>
      </c>
      <c r="AN843" t="s">
        <v>42</v>
      </c>
      <c r="AO843" t="s">
        <v>42</v>
      </c>
      <c r="AP843" t="s">
        <v>31</v>
      </c>
    </row>
    <row r="844" spans="1:43" x14ac:dyDescent="0.2">
      <c r="A844">
        <v>842</v>
      </c>
      <c r="B844">
        <v>95</v>
      </c>
      <c r="C844">
        <v>6</v>
      </c>
      <c r="D844">
        <v>4000</v>
      </c>
      <c r="E844" t="s">
        <v>411</v>
      </c>
      <c r="F844" t="s">
        <v>29</v>
      </c>
      <c r="G844" t="s">
        <v>890</v>
      </c>
      <c r="H844">
        <v>2.3284307145316763E-3</v>
      </c>
      <c r="I844">
        <v>1.1377888272580307E-5</v>
      </c>
      <c r="J844">
        <v>1.18</v>
      </c>
      <c r="K844">
        <v>1.1953113927568</v>
      </c>
      <c r="L844" s="1">
        <v>43466</v>
      </c>
      <c r="M844" s="1">
        <v>43024</v>
      </c>
      <c r="N844" s="1">
        <v>43021</v>
      </c>
      <c r="R844">
        <v>-1.7076343737775217E-2</v>
      </c>
      <c r="S844">
        <v>-1.7076343737775217E-2</v>
      </c>
      <c r="T844" t="s">
        <v>32</v>
      </c>
      <c r="U844" t="s">
        <v>32</v>
      </c>
      <c r="V844">
        <v>109169471</v>
      </c>
      <c r="W844" t="s">
        <v>211</v>
      </c>
      <c r="X844" t="s">
        <v>413</v>
      </c>
      <c r="Y844">
        <v>4000</v>
      </c>
      <c r="Z844" t="s">
        <v>31</v>
      </c>
      <c r="AA844">
        <v>3.6001502010798753E-3</v>
      </c>
      <c r="AB844">
        <v>101.39</v>
      </c>
      <c r="AC844" t="s">
        <v>42</v>
      </c>
      <c r="AD844" t="s">
        <v>42</v>
      </c>
      <c r="AE844" t="s">
        <v>41</v>
      </c>
      <c r="AF844">
        <v>-2.6888208702300666E-3</v>
      </c>
      <c r="AG844">
        <v>2.12</v>
      </c>
      <c r="AH844" t="s">
        <v>237</v>
      </c>
      <c r="AI844" t="s">
        <v>237</v>
      </c>
      <c r="AJ844">
        <v>-6.6629534092891652E-4</v>
      </c>
      <c r="AK844">
        <v>1.9732463682471833E-3</v>
      </c>
      <c r="AL844">
        <v>2.6395417091760998E-3</v>
      </c>
      <c r="AM844" t="s">
        <v>41</v>
      </c>
      <c r="AN844" t="s">
        <v>142</v>
      </c>
      <c r="AO844" t="s">
        <v>42</v>
      </c>
      <c r="AP844" t="s">
        <v>31</v>
      </c>
      <c r="AQ844">
        <v>-5.3057060170487095E-6</v>
      </c>
    </row>
    <row r="845" spans="1:43" x14ac:dyDescent="0.2">
      <c r="A845">
        <v>843</v>
      </c>
      <c r="B845">
        <v>95</v>
      </c>
      <c r="C845">
        <v>6</v>
      </c>
      <c r="F845" t="s">
        <v>29</v>
      </c>
      <c r="G845" t="s">
        <v>1565</v>
      </c>
      <c r="I845">
        <v>4.5616126824053956E-5</v>
      </c>
      <c r="J845">
        <v>1.668057654779</v>
      </c>
      <c r="K845">
        <v>1.668057654779</v>
      </c>
      <c r="L845" s="1"/>
      <c r="M845" s="1"/>
      <c r="N845" s="1">
        <v>43021</v>
      </c>
      <c r="R845">
        <v>-1.7076343737775217E-2</v>
      </c>
      <c r="S845">
        <v>-1.7076343737775217E-2</v>
      </c>
      <c r="T845" t="s">
        <v>32</v>
      </c>
      <c r="U845" t="s">
        <v>32</v>
      </c>
      <c r="W845" t="s">
        <v>211</v>
      </c>
      <c r="Z845" t="s">
        <v>31</v>
      </c>
      <c r="AA845">
        <v>1.4433689646423255E-2</v>
      </c>
      <c r="AC845" t="s">
        <v>42</v>
      </c>
      <c r="AD845" t="s">
        <v>42</v>
      </c>
      <c r="AE845" t="s">
        <v>41</v>
      </c>
      <c r="AF845">
        <v>2.0499999999999998</v>
      </c>
      <c r="AG845">
        <v>2.0499999999999998</v>
      </c>
      <c r="AH845" t="s">
        <v>237</v>
      </c>
      <c r="AI845" t="s">
        <v>237</v>
      </c>
      <c r="AJ845">
        <v>-2.6713052585808999E-3</v>
      </c>
      <c r="AK845">
        <v>0</v>
      </c>
      <c r="AL845">
        <v>2.6713052585808999E-3</v>
      </c>
      <c r="AM845" t="s">
        <v>41</v>
      </c>
      <c r="AN845" t="s">
        <v>42</v>
      </c>
      <c r="AO845" t="s">
        <v>42</v>
      </c>
      <c r="AP845" t="s">
        <v>31</v>
      </c>
    </row>
    <row r="846" spans="1:43" x14ac:dyDescent="0.2">
      <c r="A846">
        <v>844</v>
      </c>
      <c r="B846">
        <v>95</v>
      </c>
      <c r="C846">
        <v>6</v>
      </c>
      <c r="F846" t="s">
        <v>29</v>
      </c>
      <c r="G846" t="s">
        <v>1566</v>
      </c>
      <c r="I846">
        <v>4.5473890127150289E-5</v>
      </c>
      <c r="J846">
        <v>2.1410025735099998</v>
      </c>
      <c r="K846">
        <v>2.1410025735099998</v>
      </c>
      <c r="L846" s="1"/>
      <c r="M846" s="1"/>
      <c r="N846" s="1">
        <v>43021</v>
      </c>
      <c r="R846">
        <v>-1.7076343737775217E-2</v>
      </c>
      <c r="S846">
        <v>-1.7076343737775217E-2</v>
      </c>
      <c r="T846" t="s">
        <v>32</v>
      </c>
      <c r="U846" t="s">
        <v>32</v>
      </c>
      <c r="W846" t="s">
        <v>211</v>
      </c>
      <c r="Z846" t="s">
        <v>31</v>
      </c>
      <c r="AA846">
        <v>1.4388683625913041E-2</v>
      </c>
      <c r="AC846" t="s">
        <v>42</v>
      </c>
      <c r="AD846" t="s">
        <v>42</v>
      </c>
      <c r="AE846" t="s">
        <v>41</v>
      </c>
      <c r="AF846">
        <v>2.2200000000000002</v>
      </c>
      <c r="AG846">
        <v>2.2200000000000002</v>
      </c>
      <c r="AH846" t="s">
        <v>237</v>
      </c>
      <c r="AI846" t="s">
        <v>237</v>
      </c>
      <c r="AJ846">
        <v>-2.6629758000569995E-3</v>
      </c>
      <c r="AK846">
        <v>0</v>
      </c>
      <c r="AL846">
        <v>2.6629758000569995E-3</v>
      </c>
      <c r="AM846" t="s">
        <v>41</v>
      </c>
      <c r="AN846" t="s">
        <v>42</v>
      </c>
      <c r="AO846" t="s">
        <v>42</v>
      </c>
      <c r="AP846" t="s">
        <v>31</v>
      </c>
    </row>
    <row r="847" spans="1:43" x14ac:dyDescent="0.2">
      <c r="A847">
        <v>845</v>
      </c>
      <c r="B847">
        <v>101</v>
      </c>
      <c r="C847">
        <v>6</v>
      </c>
      <c r="F847" t="s">
        <v>29</v>
      </c>
      <c r="G847" t="s">
        <v>1567</v>
      </c>
      <c r="I847">
        <v>6.5842263756884684E-5</v>
      </c>
      <c r="J847">
        <v>6.1891651595874002</v>
      </c>
      <c r="K847">
        <v>6.1891651595874002</v>
      </c>
      <c r="L847" s="1"/>
      <c r="M847" s="1"/>
      <c r="N847" s="1">
        <v>43021</v>
      </c>
      <c r="R847">
        <v>-2.4503300094715318E-2</v>
      </c>
      <c r="S847">
        <v>-2.4503300094715318E-2</v>
      </c>
      <c r="T847" t="s">
        <v>32</v>
      </c>
      <c r="U847" t="s">
        <v>32</v>
      </c>
      <c r="W847" t="s">
        <v>211</v>
      </c>
      <c r="Z847" t="s">
        <v>31</v>
      </c>
      <c r="AA847">
        <v>2.0833570643785694E-2</v>
      </c>
      <c r="AC847" t="s">
        <v>42</v>
      </c>
      <c r="AD847" t="s">
        <v>42</v>
      </c>
      <c r="AE847" t="s">
        <v>41</v>
      </c>
      <c r="AF847">
        <v>2.42</v>
      </c>
      <c r="AG847">
        <v>2.42</v>
      </c>
      <c r="AH847" t="s">
        <v>237</v>
      </c>
      <c r="AI847" t="s">
        <v>237</v>
      </c>
      <c r="AJ847">
        <v>-2.6870773937542002E-3</v>
      </c>
      <c r="AK847">
        <v>0</v>
      </c>
      <c r="AL847">
        <v>2.6870773937542002E-3</v>
      </c>
      <c r="AM847" t="s">
        <v>41</v>
      </c>
      <c r="AN847" t="s">
        <v>42</v>
      </c>
      <c r="AO847" t="s">
        <v>42</v>
      </c>
      <c r="AP847" t="s">
        <v>31</v>
      </c>
    </row>
    <row r="848" spans="1:43" x14ac:dyDescent="0.2">
      <c r="A848">
        <v>846</v>
      </c>
      <c r="B848">
        <v>95</v>
      </c>
      <c r="C848">
        <v>6</v>
      </c>
      <c r="F848" t="s">
        <v>29</v>
      </c>
      <c r="G848" t="s">
        <v>1568</v>
      </c>
      <c r="I848">
        <v>3.0044407249883938E-5</v>
      </c>
      <c r="J848">
        <v>2.3167264631565998</v>
      </c>
      <c r="K848">
        <v>2.3167264631565998</v>
      </c>
      <c r="L848" s="1"/>
      <c r="M848" s="1"/>
      <c r="N848" s="1">
        <v>43021</v>
      </c>
      <c r="R848">
        <v>-1.7076343737775217E-2</v>
      </c>
      <c r="S848">
        <v>-1.7076343737775217E-2</v>
      </c>
      <c r="T848" t="s">
        <v>32</v>
      </c>
      <c r="U848" t="s">
        <v>32</v>
      </c>
      <c r="W848" t="s">
        <v>211</v>
      </c>
      <c r="Z848" t="s">
        <v>31</v>
      </c>
      <c r="AA848">
        <v>9.5065425332626803E-3</v>
      </c>
      <c r="AC848" t="s">
        <v>42</v>
      </c>
      <c r="AD848" t="s">
        <v>42</v>
      </c>
      <c r="AE848" t="s">
        <v>41</v>
      </c>
      <c r="AF848">
        <v>1.92</v>
      </c>
      <c r="AG848">
        <v>1.92</v>
      </c>
      <c r="AH848" t="s">
        <v>237</v>
      </c>
      <c r="AI848" t="s">
        <v>237</v>
      </c>
      <c r="AJ848">
        <v>-1.7594168699838E-3</v>
      </c>
      <c r="AK848">
        <v>0</v>
      </c>
      <c r="AL848">
        <v>1.7594168699838E-3</v>
      </c>
      <c r="AM848" t="s">
        <v>41</v>
      </c>
      <c r="AN848" t="s">
        <v>42</v>
      </c>
      <c r="AO848" t="s">
        <v>42</v>
      </c>
      <c r="AP848" t="s">
        <v>31</v>
      </c>
    </row>
    <row r="849" spans="1:43" x14ac:dyDescent="0.2">
      <c r="A849">
        <v>847</v>
      </c>
      <c r="B849">
        <v>101</v>
      </c>
      <c r="C849">
        <v>6</v>
      </c>
      <c r="D849">
        <v>14000</v>
      </c>
      <c r="E849" t="s">
        <v>411</v>
      </c>
      <c r="F849" t="s">
        <v>29</v>
      </c>
      <c r="G849" t="s">
        <v>891</v>
      </c>
      <c r="H849">
        <v>4.7015134664197614E-2</v>
      </c>
      <c r="I849">
        <v>-1.0663424851077342E-4</v>
      </c>
      <c r="J849">
        <v>6.67</v>
      </c>
      <c r="K849">
        <v>6.6811060767955004</v>
      </c>
      <c r="L849" s="1">
        <v>45717</v>
      </c>
      <c r="M849" s="1">
        <v>43024</v>
      </c>
      <c r="N849" s="1">
        <v>43021</v>
      </c>
      <c r="R849">
        <v>-2.4503300094715318E-2</v>
      </c>
      <c r="S849">
        <v>-2.4503300094715318E-2</v>
      </c>
      <c r="T849" t="s">
        <v>32</v>
      </c>
      <c r="U849" t="s">
        <v>32</v>
      </c>
      <c r="V849">
        <v>389970490</v>
      </c>
      <c r="W849" t="s">
        <v>211</v>
      </c>
      <c r="X849" t="s">
        <v>413</v>
      </c>
      <c r="Y849">
        <v>14000</v>
      </c>
      <c r="Z849" t="s">
        <v>31</v>
      </c>
      <c r="AA849">
        <v>-3.3740822727467396E-2</v>
      </c>
      <c r="AB849">
        <v>104.1</v>
      </c>
      <c r="AC849" t="s">
        <v>42</v>
      </c>
      <c r="AD849" t="s">
        <v>42</v>
      </c>
      <c r="AE849" t="s">
        <v>41</v>
      </c>
      <c r="AF849">
        <v>2.1117912976993669E-4</v>
      </c>
      <c r="AG849">
        <v>2.37</v>
      </c>
      <c r="AH849" t="s">
        <v>237</v>
      </c>
      <c r="AI849" t="s">
        <v>237</v>
      </c>
      <c r="AJ849">
        <v>4.3518321245949836E-3</v>
      </c>
      <c r="AK849">
        <v>7.0487458267162843E-3</v>
      </c>
      <c r="AL849">
        <v>2.6969137021213003E-3</v>
      </c>
      <c r="AM849" t="s">
        <v>41</v>
      </c>
      <c r="AN849" t="s">
        <v>142</v>
      </c>
      <c r="AO849" t="s">
        <v>42</v>
      </c>
      <c r="AP849" t="s">
        <v>31</v>
      </c>
      <c r="AQ849">
        <v>1.4885480096554178E-6</v>
      </c>
    </row>
    <row r="850" spans="1:43" x14ac:dyDescent="0.2">
      <c r="A850">
        <v>848</v>
      </c>
      <c r="B850">
        <v>101</v>
      </c>
      <c r="C850">
        <v>6</v>
      </c>
      <c r="D850">
        <v>25000</v>
      </c>
      <c r="E850" t="s">
        <v>411</v>
      </c>
      <c r="F850" t="s">
        <v>29</v>
      </c>
      <c r="G850" t="s">
        <v>892</v>
      </c>
      <c r="H850">
        <v>8.5870292381368937E-2</v>
      </c>
      <c r="I850">
        <v>-2.6448452107858924E-4</v>
      </c>
      <c r="J850">
        <v>6.82</v>
      </c>
      <c r="K850">
        <v>6.8326231700782998</v>
      </c>
      <c r="L850" s="1">
        <v>45809</v>
      </c>
      <c r="M850" s="1">
        <v>43024</v>
      </c>
      <c r="N850" s="1">
        <v>43021</v>
      </c>
      <c r="R850">
        <v>-2.4503300094715318E-2</v>
      </c>
      <c r="S850">
        <v>-2.4503300094715318E-2</v>
      </c>
      <c r="T850" t="s">
        <v>32</v>
      </c>
      <c r="U850" t="s">
        <v>32</v>
      </c>
      <c r="V850">
        <v>696591965</v>
      </c>
      <c r="W850" t="s">
        <v>211</v>
      </c>
      <c r="X850" t="s">
        <v>413</v>
      </c>
      <c r="Y850">
        <v>25000</v>
      </c>
      <c r="Z850" t="s">
        <v>31</v>
      </c>
      <c r="AA850">
        <v>-8.3687234303247274E-2</v>
      </c>
      <c r="AB850">
        <v>103.36</v>
      </c>
      <c r="AC850" t="s">
        <v>42</v>
      </c>
      <c r="AD850" t="s">
        <v>42</v>
      </c>
      <c r="AE850" t="s">
        <v>41</v>
      </c>
      <c r="AF850">
        <v>1.4111791297699364E-3</v>
      </c>
      <c r="AG850">
        <v>2.5</v>
      </c>
      <c r="AH850" t="s">
        <v>237</v>
      </c>
      <c r="AI850" t="s">
        <v>237</v>
      </c>
      <c r="AJ850">
        <v>1.0793832669732157E-2</v>
      </c>
      <c r="AK850">
        <v>1.2590951962077556E-2</v>
      </c>
      <c r="AL850">
        <v>1.7971192923454001E-3</v>
      </c>
      <c r="AM850" t="s">
        <v>41</v>
      </c>
      <c r="AN850" t="s">
        <v>142</v>
      </c>
      <c r="AO850" t="s">
        <v>42</v>
      </c>
      <c r="AP850" t="s">
        <v>31</v>
      </c>
      <c r="AQ850">
        <v>1.7768088632819678E-5</v>
      </c>
    </row>
    <row r="851" spans="1:43" x14ac:dyDescent="0.2">
      <c r="A851">
        <v>849</v>
      </c>
      <c r="B851">
        <v>95</v>
      </c>
      <c r="C851">
        <v>6</v>
      </c>
      <c r="F851" t="s">
        <v>29</v>
      </c>
      <c r="G851" t="s">
        <v>1569</v>
      </c>
      <c r="I851">
        <v>4.5353744790133827E-5</v>
      </c>
      <c r="J851">
        <v>2.6182751152415</v>
      </c>
      <c r="K851">
        <v>2.6182751152415</v>
      </c>
      <c r="L851" s="1"/>
      <c r="M851" s="1"/>
      <c r="N851" s="1">
        <v>43021</v>
      </c>
      <c r="R851">
        <v>-1.7076343737775217E-2</v>
      </c>
      <c r="S851">
        <v>-1.7076343737775217E-2</v>
      </c>
      <c r="T851" t="s">
        <v>32</v>
      </c>
      <c r="U851" t="s">
        <v>32</v>
      </c>
      <c r="W851" t="s">
        <v>211</v>
      </c>
      <c r="Z851" t="s">
        <v>31</v>
      </c>
      <c r="AA851">
        <v>1.4350667673492325E-2</v>
      </c>
      <c r="AC851" t="s">
        <v>42</v>
      </c>
      <c r="AD851" t="s">
        <v>42</v>
      </c>
      <c r="AE851" t="s">
        <v>41</v>
      </c>
      <c r="AF851">
        <v>1.94</v>
      </c>
      <c r="AG851">
        <v>1.94</v>
      </c>
      <c r="AH851" t="s">
        <v>237</v>
      </c>
      <c r="AI851" t="s">
        <v>237</v>
      </c>
      <c r="AJ851">
        <v>-2.6559400236131998E-3</v>
      </c>
      <c r="AK851">
        <v>0</v>
      </c>
      <c r="AL851">
        <v>2.6559400236131998E-3</v>
      </c>
      <c r="AM851" t="s">
        <v>41</v>
      </c>
      <c r="AN851" t="s">
        <v>42</v>
      </c>
      <c r="AO851" t="s">
        <v>42</v>
      </c>
      <c r="AP851" t="s">
        <v>31</v>
      </c>
    </row>
    <row r="852" spans="1:43" x14ac:dyDescent="0.2">
      <c r="A852">
        <v>850</v>
      </c>
      <c r="B852">
        <v>95</v>
      </c>
      <c r="C852">
        <v>6</v>
      </c>
      <c r="F852" t="s">
        <v>29</v>
      </c>
      <c r="G852" t="s">
        <v>1570</v>
      </c>
      <c r="I852">
        <v>3.0029287489778182E-5</v>
      </c>
      <c r="J852">
        <v>2.8699722983544</v>
      </c>
      <c r="K852">
        <v>2.8699722983544</v>
      </c>
      <c r="L852" s="1"/>
      <c r="M852" s="1"/>
      <c r="N852" s="1">
        <v>43021</v>
      </c>
      <c r="R852">
        <v>-1.7076343737775217E-2</v>
      </c>
      <c r="S852">
        <v>-1.7076343737775217E-2</v>
      </c>
      <c r="T852" t="s">
        <v>32</v>
      </c>
      <c r="U852" t="s">
        <v>32</v>
      </c>
      <c r="AA852">
        <v>9.501758393527699E-3</v>
      </c>
      <c r="AC852" t="s">
        <v>42</v>
      </c>
      <c r="AD852" t="s">
        <v>42</v>
      </c>
      <c r="AF852">
        <v>2.04</v>
      </c>
      <c r="AG852">
        <v>2.04</v>
      </c>
      <c r="AH852" t="s">
        <v>237</v>
      </c>
      <c r="AI852" t="s">
        <v>237</v>
      </c>
      <c r="AJ852">
        <v>-1.7585314485881001E-3</v>
      </c>
      <c r="AK852">
        <v>0</v>
      </c>
      <c r="AL852">
        <v>1.7585314485881001E-3</v>
      </c>
      <c r="AN852" t="s">
        <v>42</v>
      </c>
      <c r="AO852" t="s">
        <v>42</v>
      </c>
    </row>
    <row r="853" spans="1:43" x14ac:dyDescent="0.2">
      <c r="A853">
        <v>851</v>
      </c>
      <c r="B853">
        <v>101</v>
      </c>
      <c r="C853">
        <v>6</v>
      </c>
      <c r="F853" t="s">
        <v>29</v>
      </c>
      <c r="G853" t="s">
        <v>1571</v>
      </c>
      <c r="I853">
        <v>4.3560793537348343E-5</v>
      </c>
      <c r="J853">
        <v>8.2514461798434002</v>
      </c>
      <c r="K853">
        <v>8.2514461798434002</v>
      </c>
      <c r="L853" s="1"/>
      <c r="M853" s="1"/>
      <c r="N853" s="1">
        <v>43021</v>
      </c>
      <c r="R853">
        <v>-2.4503300094715318E-2</v>
      </c>
      <c r="S853">
        <v>-2.4503300094715318E-2</v>
      </c>
      <c r="T853" t="s">
        <v>32</v>
      </c>
      <c r="U853" t="s">
        <v>32</v>
      </c>
      <c r="AA853">
        <v>1.3783348531433443E-2</v>
      </c>
      <c r="AC853" t="s">
        <v>42</v>
      </c>
      <c r="AD853" t="s">
        <v>42</v>
      </c>
      <c r="AF853">
        <v>2.63</v>
      </c>
      <c r="AG853">
        <v>2.63</v>
      </c>
      <c r="AH853" t="s">
        <v>237</v>
      </c>
      <c r="AI853" t="s">
        <v>237</v>
      </c>
      <c r="AJ853">
        <v>-1.7777521137547999E-3</v>
      </c>
      <c r="AK853">
        <v>0</v>
      </c>
      <c r="AL853">
        <v>1.7777521137547999E-3</v>
      </c>
      <c r="AN853" t="s">
        <v>42</v>
      </c>
      <c r="AO853" t="s">
        <v>42</v>
      </c>
    </row>
    <row r="854" spans="1:43" x14ac:dyDescent="0.2">
      <c r="A854">
        <v>852</v>
      </c>
      <c r="B854">
        <v>98</v>
      </c>
      <c r="C854">
        <v>6</v>
      </c>
      <c r="F854" t="s">
        <v>29</v>
      </c>
      <c r="G854" t="s">
        <v>1572</v>
      </c>
      <c r="I854">
        <v>4.8467595803770634E-5</v>
      </c>
      <c r="J854">
        <v>4.1477569990893004</v>
      </c>
      <c r="K854">
        <v>4.1477569990893004</v>
      </c>
      <c r="L854" s="1"/>
      <c r="M854" s="1"/>
      <c r="N854" s="1">
        <v>43021</v>
      </c>
      <c r="R854">
        <v>-2.7515108469385995E-2</v>
      </c>
      <c r="S854">
        <v>-2.7515108469385995E-2</v>
      </c>
      <c r="T854" t="s">
        <v>32</v>
      </c>
      <c r="U854" t="s">
        <v>32</v>
      </c>
      <c r="AA854">
        <v>1.5335941134112713E-2</v>
      </c>
      <c r="AC854" t="s">
        <v>42</v>
      </c>
      <c r="AD854" t="s">
        <v>42</v>
      </c>
      <c r="AF854">
        <v>2.27</v>
      </c>
      <c r="AG854">
        <v>2.27</v>
      </c>
      <c r="AH854" t="s">
        <v>237</v>
      </c>
      <c r="AI854" t="s">
        <v>237</v>
      </c>
      <c r="AJ854">
        <v>-1.7614902684354998E-3</v>
      </c>
      <c r="AK854">
        <v>0</v>
      </c>
      <c r="AL854">
        <v>1.7614902684354998E-3</v>
      </c>
      <c r="AN854" t="s">
        <v>42</v>
      </c>
      <c r="AO854" t="s">
        <v>42</v>
      </c>
    </row>
    <row r="855" spans="1:43" x14ac:dyDescent="0.2">
      <c r="A855">
        <v>853</v>
      </c>
      <c r="B855">
        <v>98</v>
      </c>
      <c r="C855">
        <v>6</v>
      </c>
      <c r="F855" t="s">
        <v>29</v>
      </c>
      <c r="G855" t="s">
        <v>1573</v>
      </c>
      <c r="I855">
        <v>7.3409424151399809E-5</v>
      </c>
      <c r="J855">
        <v>4.2576019719038003</v>
      </c>
      <c r="K855">
        <v>4.2576019719038003</v>
      </c>
      <c r="L855" s="1"/>
      <c r="M855" s="1"/>
      <c r="N855" s="1">
        <v>43021</v>
      </c>
      <c r="R855">
        <v>-2.7515108469385995E-2</v>
      </c>
      <c r="S855">
        <v>-2.7515108469385995E-2</v>
      </c>
      <c r="T855" t="s">
        <v>32</v>
      </c>
      <c r="U855" t="s">
        <v>32</v>
      </c>
      <c r="AA855">
        <v>2.3227944130610158E-2</v>
      </c>
      <c r="AC855" t="s">
        <v>42</v>
      </c>
      <c r="AD855" t="s">
        <v>42</v>
      </c>
      <c r="AF855">
        <v>2.2799999999999998</v>
      </c>
      <c r="AG855">
        <v>2.2799999999999998</v>
      </c>
      <c r="AH855" t="s">
        <v>237</v>
      </c>
      <c r="AI855" t="s">
        <v>237</v>
      </c>
      <c r="AJ855">
        <v>-2.6679678269514E-3</v>
      </c>
      <c r="AK855">
        <v>0</v>
      </c>
      <c r="AL855">
        <v>2.6679678269514E-3</v>
      </c>
      <c r="AN855" t="s">
        <v>42</v>
      </c>
      <c r="AO855" t="s">
        <v>42</v>
      </c>
    </row>
    <row r="856" spans="1:43" x14ac:dyDescent="0.2">
      <c r="A856">
        <v>854</v>
      </c>
      <c r="B856">
        <v>101</v>
      </c>
      <c r="C856">
        <v>6</v>
      </c>
      <c r="F856" t="s">
        <v>29</v>
      </c>
      <c r="G856" t="s">
        <v>1574</v>
      </c>
      <c r="I856">
        <v>4.3928255896964999E-5</v>
      </c>
      <c r="J856">
        <v>8.2980916108606007</v>
      </c>
      <c r="K856">
        <v>8.2980916108606007</v>
      </c>
      <c r="L856" s="1"/>
      <c r="M856" s="1"/>
      <c r="N856" s="1">
        <v>43021</v>
      </c>
      <c r="R856">
        <v>-2.4503300094715318E-2</v>
      </c>
      <c r="S856">
        <v>-2.4503300094715318E-2</v>
      </c>
      <c r="T856" t="s">
        <v>32</v>
      </c>
      <c r="U856" t="s">
        <v>32</v>
      </c>
      <c r="AA856">
        <v>1.3899619640462638E-2</v>
      </c>
      <c r="AC856" t="s">
        <v>42</v>
      </c>
      <c r="AD856" t="s">
        <v>42</v>
      </c>
      <c r="AF856">
        <v>2.65</v>
      </c>
      <c r="AG856">
        <v>2.65</v>
      </c>
      <c r="AH856" t="s">
        <v>237</v>
      </c>
      <c r="AI856" t="s">
        <v>237</v>
      </c>
      <c r="AJ856">
        <v>-1.7927485574254999E-3</v>
      </c>
      <c r="AK856">
        <v>0</v>
      </c>
      <c r="AL856">
        <v>1.7927485574254999E-3</v>
      </c>
      <c r="AN856" t="s">
        <v>42</v>
      </c>
      <c r="AO856" t="s">
        <v>42</v>
      </c>
    </row>
    <row r="857" spans="1:43" x14ac:dyDescent="0.2">
      <c r="A857">
        <v>855</v>
      </c>
      <c r="B857">
        <v>98</v>
      </c>
      <c r="C857">
        <v>6</v>
      </c>
      <c r="F857" t="s">
        <v>29</v>
      </c>
      <c r="G857" t="s">
        <v>1575</v>
      </c>
      <c r="I857">
        <v>7.2701393705654592E-5</v>
      </c>
      <c r="J857">
        <v>4.1477569990893004</v>
      </c>
      <c r="K857">
        <v>4.1477569990893004</v>
      </c>
      <c r="L857" s="1"/>
      <c r="M857" s="1"/>
      <c r="N857" s="1">
        <v>43021</v>
      </c>
      <c r="R857">
        <v>-2.7515108469385995E-2</v>
      </c>
      <c r="S857">
        <v>-2.7515108469385995E-2</v>
      </c>
      <c r="T857" t="s">
        <v>32</v>
      </c>
      <c r="U857" t="s">
        <v>32</v>
      </c>
      <c r="AA857">
        <v>2.3003911701168639E-2</v>
      </c>
      <c r="AC857" t="s">
        <v>42</v>
      </c>
      <c r="AD857" t="s">
        <v>42</v>
      </c>
      <c r="AF857">
        <v>2.27</v>
      </c>
      <c r="AG857">
        <v>2.27</v>
      </c>
      <c r="AH857" t="s">
        <v>237</v>
      </c>
      <c r="AI857" t="s">
        <v>237</v>
      </c>
      <c r="AJ857">
        <v>-2.6422354026532004E-3</v>
      </c>
      <c r="AK857">
        <v>0</v>
      </c>
      <c r="AL857">
        <v>2.6422354026532004E-3</v>
      </c>
      <c r="AN857" t="s">
        <v>42</v>
      </c>
      <c r="AO857" t="s">
        <v>42</v>
      </c>
    </row>
    <row r="858" spans="1:43" x14ac:dyDescent="0.2">
      <c r="A858">
        <v>856</v>
      </c>
      <c r="B858">
        <v>101</v>
      </c>
      <c r="C858">
        <v>6</v>
      </c>
      <c r="F858" t="s">
        <v>29</v>
      </c>
      <c r="G858" t="s">
        <v>893</v>
      </c>
      <c r="I858">
        <v>6.5442667059246654E-5</v>
      </c>
      <c r="J858">
        <v>7.4760566025572004</v>
      </c>
      <c r="K858">
        <v>7.4760566025572004</v>
      </c>
      <c r="L858" s="1"/>
      <c r="M858" s="1"/>
      <c r="N858" s="1">
        <v>43021</v>
      </c>
      <c r="R858">
        <v>-2.4503300094715318E-2</v>
      </c>
      <c r="S858">
        <v>-2.4503300094715318E-2</v>
      </c>
      <c r="T858" t="s">
        <v>32</v>
      </c>
      <c r="U858" t="s">
        <v>32</v>
      </c>
      <c r="W858" t="s">
        <v>211</v>
      </c>
      <c r="Z858" t="s">
        <v>31</v>
      </c>
      <c r="AA858">
        <v>2.0707131703897406E-2</v>
      </c>
      <c r="AC858" t="s">
        <v>42</v>
      </c>
      <c r="AD858" t="s">
        <v>42</v>
      </c>
      <c r="AE858" t="s">
        <v>41</v>
      </c>
      <c r="AF858">
        <v>2.57</v>
      </c>
      <c r="AG858">
        <v>2.57</v>
      </c>
      <c r="AH858" t="s">
        <v>237</v>
      </c>
      <c r="AI858" t="s">
        <v>237</v>
      </c>
      <c r="AJ858">
        <v>-2.6707695210965001E-3</v>
      </c>
      <c r="AK858">
        <v>0</v>
      </c>
      <c r="AL858">
        <v>2.6707695210965001E-3</v>
      </c>
      <c r="AM858" t="s">
        <v>41</v>
      </c>
      <c r="AN858" t="s">
        <v>42</v>
      </c>
      <c r="AO858" t="s">
        <v>42</v>
      </c>
      <c r="AP858" t="s">
        <v>31</v>
      </c>
    </row>
    <row r="859" spans="1:43" x14ac:dyDescent="0.2">
      <c r="A859">
        <v>857</v>
      </c>
      <c r="B859">
        <v>109</v>
      </c>
      <c r="C859">
        <v>6</v>
      </c>
      <c r="F859" t="s">
        <v>29</v>
      </c>
      <c r="G859" t="s">
        <v>1576</v>
      </c>
      <c r="I859">
        <v>3.9526050812778219E-6</v>
      </c>
      <c r="J859">
        <v>4.0937457183713999</v>
      </c>
      <c r="K859">
        <v>4.0937457183713999</v>
      </c>
      <c r="L859" s="1"/>
      <c r="M859" s="1"/>
      <c r="N859" s="1">
        <v>43021</v>
      </c>
      <c r="R859">
        <v>-2.4289588067404359E-3</v>
      </c>
      <c r="S859">
        <v>-2.4289588067404359E-3</v>
      </c>
      <c r="T859" t="s">
        <v>39</v>
      </c>
      <c r="U859" t="s">
        <v>39</v>
      </c>
      <c r="AA859">
        <v>1.2506689850738514E-3</v>
      </c>
      <c r="AC859" t="s">
        <v>42</v>
      </c>
      <c r="AD859" t="s">
        <v>42</v>
      </c>
      <c r="AF859">
        <v>4.3499999999999996</v>
      </c>
      <c r="AG859">
        <v>4.3499999999999996</v>
      </c>
      <c r="AH859" t="s">
        <v>237</v>
      </c>
      <c r="AI859" t="s">
        <v>237</v>
      </c>
      <c r="AJ859">
        <v>-1.6272837029221001E-3</v>
      </c>
      <c r="AK859">
        <v>0</v>
      </c>
      <c r="AL859">
        <v>1.6272837029221001E-3</v>
      </c>
      <c r="AN859" t="s">
        <v>42</v>
      </c>
      <c r="AO859" t="s">
        <v>42</v>
      </c>
    </row>
    <row r="860" spans="1:43" x14ac:dyDescent="0.2">
      <c r="A860">
        <v>858</v>
      </c>
      <c r="B860">
        <v>109</v>
      </c>
      <c r="C860">
        <v>6</v>
      </c>
      <c r="F860" t="s">
        <v>29</v>
      </c>
      <c r="G860" t="s">
        <v>1577</v>
      </c>
      <c r="I860">
        <v>4.0253828084840911E-6</v>
      </c>
      <c r="J860">
        <v>4.0862504501909003</v>
      </c>
      <c r="K860">
        <v>4.0862504501909003</v>
      </c>
      <c r="L860" s="1"/>
      <c r="M860" s="1"/>
      <c r="N860" s="1">
        <v>43021</v>
      </c>
      <c r="R860">
        <v>-2.4289588067404359E-3</v>
      </c>
      <c r="S860">
        <v>-2.4289588067404359E-3</v>
      </c>
      <c r="T860" t="s">
        <v>39</v>
      </c>
      <c r="U860" t="s">
        <v>39</v>
      </c>
      <c r="AA860">
        <v>1.2736970499448352E-3</v>
      </c>
      <c r="AC860" t="s">
        <v>42</v>
      </c>
      <c r="AD860" t="s">
        <v>42</v>
      </c>
      <c r="AF860">
        <v>4.34</v>
      </c>
      <c r="AG860">
        <v>4.34</v>
      </c>
      <c r="AH860" t="s">
        <v>237</v>
      </c>
      <c r="AI860" t="s">
        <v>237</v>
      </c>
      <c r="AJ860">
        <v>-1.6572462230786001E-3</v>
      </c>
      <c r="AK860">
        <v>0</v>
      </c>
      <c r="AL860">
        <v>1.6572462230786001E-3</v>
      </c>
      <c r="AN860" t="s">
        <v>42</v>
      </c>
      <c r="AO860" t="s">
        <v>42</v>
      </c>
    </row>
    <row r="861" spans="1:43" x14ac:dyDescent="0.2">
      <c r="A861">
        <v>859</v>
      </c>
      <c r="B861">
        <v>99</v>
      </c>
      <c r="C861">
        <v>6</v>
      </c>
      <c r="D861">
        <v>10000</v>
      </c>
      <c r="E861" t="s">
        <v>894</v>
      </c>
      <c r="F861" t="s">
        <v>29</v>
      </c>
      <c r="G861" t="s">
        <v>895</v>
      </c>
      <c r="H861">
        <v>1.7541533939664542E-2</v>
      </c>
      <c r="I861">
        <v>-3.2948244631631823E-5</v>
      </c>
      <c r="J861">
        <v>4.7</v>
      </c>
      <c r="K861">
        <v>4.7051815349390997</v>
      </c>
      <c r="L861" s="1">
        <v>46539</v>
      </c>
      <c r="M861" s="1">
        <v>43024</v>
      </c>
      <c r="N861" s="1">
        <v>43021</v>
      </c>
      <c r="R861">
        <v>-1.4967484789654954E-2</v>
      </c>
      <c r="S861">
        <v>-1.4967484789654954E-2</v>
      </c>
      <c r="T861" t="s">
        <v>32</v>
      </c>
      <c r="U861" t="s">
        <v>32</v>
      </c>
      <c r="V861">
        <v>206485521</v>
      </c>
      <c r="W861" t="s">
        <v>894</v>
      </c>
      <c r="X861" t="s">
        <v>896</v>
      </c>
      <c r="Y861">
        <v>10000</v>
      </c>
      <c r="Z861" t="s">
        <v>31</v>
      </c>
      <c r="AA861">
        <v>-1.0425364241065587E-2</v>
      </c>
      <c r="AB861">
        <v>117.72</v>
      </c>
      <c r="AC861" t="s">
        <v>33</v>
      </c>
      <c r="AD861" t="s">
        <v>33</v>
      </c>
      <c r="AE861" t="s">
        <v>178</v>
      </c>
      <c r="AF861">
        <v>-9.8882087023006646E-4</v>
      </c>
      <c r="AG861">
        <v>2.27</v>
      </c>
      <c r="AH861" t="s">
        <v>237</v>
      </c>
      <c r="AI861" t="s">
        <v>237</v>
      </c>
      <c r="AJ861">
        <v>2.2013214040080132E-3</v>
      </c>
      <c r="AK861">
        <v>3.7322412637584134E-3</v>
      </c>
      <c r="AL861">
        <v>1.5309198597504002E-3</v>
      </c>
      <c r="AM861" t="s">
        <v>178</v>
      </c>
      <c r="AN861" t="s">
        <v>148</v>
      </c>
      <c r="AO861" t="s">
        <v>33</v>
      </c>
      <c r="AP861" t="s">
        <v>31</v>
      </c>
      <c r="AQ861">
        <v>-3.6905180543381573E-6</v>
      </c>
    </row>
    <row r="862" spans="1:43" x14ac:dyDescent="0.2">
      <c r="A862">
        <v>860</v>
      </c>
      <c r="B862">
        <v>99</v>
      </c>
      <c r="C862">
        <v>6</v>
      </c>
      <c r="F862" t="s">
        <v>29</v>
      </c>
      <c r="G862" t="s">
        <v>1578</v>
      </c>
      <c r="I862">
        <v>1.9199892913142395E-5</v>
      </c>
      <c r="J862">
        <v>4.0274228819965003</v>
      </c>
      <c r="K862">
        <v>4.0274228819965003</v>
      </c>
      <c r="L862" s="1"/>
      <c r="M862" s="1"/>
      <c r="N862" s="1">
        <v>43021</v>
      </c>
      <c r="R862">
        <v>-1.4967484789654954E-2</v>
      </c>
      <c r="S862">
        <v>-1.4967484789654954E-2</v>
      </c>
      <c r="T862" t="s">
        <v>32</v>
      </c>
      <c r="U862" t="s">
        <v>32</v>
      </c>
      <c r="W862" t="s">
        <v>894</v>
      </c>
      <c r="Z862" t="s">
        <v>31</v>
      </c>
      <c r="AA862">
        <v>6.0751605812952745E-3</v>
      </c>
      <c r="AC862" t="s">
        <v>33</v>
      </c>
      <c r="AD862" t="s">
        <v>33</v>
      </c>
      <c r="AE862" t="s">
        <v>178</v>
      </c>
      <c r="AF862">
        <v>2.2999999999999998</v>
      </c>
      <c r="AG862">
        <v>2.2999999999999998</v>
      </c>
      <c r="AH862" t="s">
        <v>237</v>
      </c>
      <c r="AI862" t="s">
        <v>237</v>
      </c>
      <c r="AJ862">
        <v>-1.2827735042305001E-3</v>
      </c>
      <c r="AK862">
        <v>0</v>
      </c>
      <c r="AL862">
        <v>1.2827735042305001E-3</v>
      </c>
      <c r="AM862" t="s">
        <v>178</v>
      </c>
      <c r="AN862" t="s">
        <v>33</v>
      </c>
      <c r="AO862" t="s">
        <v>33</v>
      </c>
      <c r="AP862" t="s">
        <v>31</v>
      </c>
    </row>
    <row r="863" spans="1:43" x14ac:dyDescent="0.2">
      <c r="A863">
        <v>861</v>
      </c>
      <c r="B863">
        <v>99</v>
      </c>
      <c r="C863">
        <v>6</v>
      </c>
      <c r="F863" t="s">
        <v>29</v>
      </c>
      <c r="G863" t="s">
        <v>897</v>
      </c>
      <c r="I863">
        <v>1.712077060440726E-5</v>
      </c>
      <c r="J863">
        <v>4.9398796138801</v>
      </c>
      <c r="K863">
        <v>4.9398796138801</v>
      </c>
      <c r="L863" s="1"/>
      <c r="M863" s="1"/>
      <c r="N863" s="1">
        <v>43021</v>
      </c>
      <c r="R863">
        <v>-1.4967484789654954E-2</v>
      </c>
      <c r="S863">
        <v>-1.4967484789654954E-2</v>
      </c>
      <c r="T863" t="s">
        <v>32</v>
      </c>
      <c r="U863" t="s">
        <v>32</v>
      </c>
      <c r="W863" t="s">
        <v>894</v>
      </c>
      <c r="Z863" t="s">
        <v>31</v>
      </c>
      <c r="AA863">
        <v>5.4172922301091416E-3</v>
      </c>
      <c r="AC863" t="s">
        <v>33</v>
      </c>
      <c r="AD863" t="s">
        <v>33</v>
      </c>
      <c r="AE863" t="s">
        <v>178</v>
      </c>
      <c r="AF863">
        <v>2.5</v>
      </c>
      <c r="AG863">
        <v>2.5</v>
      </c>
      <c r="AH863" t="s">
        <v>237</v>
      </c>
      <c r="AI863" t="s">
        <v>237</v>
      </c>
      <c r="AJ863">
        <v>-1.1438642393838E-3</v>
      </c>
      <c r="AK863">
        <v>0</v>
      </c>
      <c r="AL863">
        <v>1.1438642393838E-3</v>
      </c>
      <c r="AM863" t="s">
        <v>178</v>
      </c>
      <c r="AN863" t="s">
        <v>33</v>
      </c>
      <c r="AO863" t="s">
        <v>33</v>
      </c>
      <c r="AP863" t="s">
        <v>31</v>
      </c>
    </row>
    <row r="864" spans="1:43" x14ac:dyDescent="0.2">
      <c r="A864">
        <v>862</v>
      </c>
      <c r="B864">
        <v>96</v>
      </c>
      <c r="C864">
        <v>6</v>
      </c>
      <c r="D864">
        <v>6000</v>
      </c>
      <c r="E864" t="s">
        <v>300</v>
      </c>
      <c r="F864" t="s">
        <v>29</v>
      </c>
      <c r="G864" t="s">
        <v>899</v>
      </c>
      <c r="H864">
        <v>7.4263817036436556E-3</v>
      </c>
      <c r="I864">
        <v>-4.1063351087658901E-5</v>
      </c>
      <c r="J864">
        <v>2.46</v>
      </c>
      <c r="K864">
        <v>2.4731736469404</v>
      </c>
      <c r="L864" s="1">
        <v>43966</v>
      </c>
      <c r="M864" s="1">
        <v>43024</v>
      </c>
      <c r="N864" s="1">
        <v>43021</v>
      </c>
      <c r="R864">
        <v>-1.9353706235684085E-2</v>
      </c>
      <c r="S864">
        <v>-1.9353706235684085E-2</v>
      </c>
      <c r="T864" t="s">
        <v>32</v>
      </c>
      <c r="U864" t="s">
        <v>32</v>
      </c>
      <c r="V864">
        <v>167017529</v>
      </c>
      <c r="W864" t="s">
        <v>213</v>
      </c>
      <c r="X864" t="s">
        <v>302</v>
      </c>
      <c r="Y864">
        <v>6000</v>
      </c>
      <c r="Z864" t="s">
        <v>31</v>
      </c>
      <c r="AA864">
        <v>-1.2993116836233661E-2</v>
      </c>
      <c r="AB864">
        <v>102.98</v>
      </c>
      <c r="AC864" t="s">
        <v>33</v>
      </c>
      <c r="AD864" t="s">
        <v>33</v>
      </c>
      <c r="AE864" t="s">
        <v>41</v>
      </c>
      <c r="AF864">
        <v>-2.8888208702300654E-3</v>
      </c>
      <c r="AG864">
        <v>2.1</v>
      </c>
      <c r="AH864" t="s">
        <v>237</v>
      </c>
      <c r="AI864" t="s">
        <v>237</v>
      </c>
      <c r="AJ864">
        <v>2.1217306177742268E-3</v>
      </c>
      <c r="AK864">
        <v>3.0188543510746568E-3</v>
      </c>
      <c r="AL864">
        <v>8.9712373330043003E-4</v>
      </c>
      <c r="AM864" t="s">
        <v>41</v>
      </c>
      <c r="AN864" t="s">
        <v>148</v>
      </c>
      <c r="AO864" t="s">
        <v>33</v>
      </c>
      <c r="AP864" t="s">
        <v>31</v>
      </c>
      <c r="AQ864">
        <v>-8.7209294535693101E-6</v>
      </c>
    </row>
    <row r="865" spans="1:43" x14ac:dyDescent="0.2">
      <c r="A865">
        <v>863</v>
      </c>
      <c r="B865">
        <v>93</v>
      </c>
      <c r="C865">
        <v>6</v>
      </c>
      <c r="F865" t="s">
        <v>29</v>
      </c>
      <c r="G865" t="s">
        <v>1579</v>
      </c>
      <c r="I865">
        <v>1.8505451620584974E-6</v>
      </c>
      <c r="J865">
        <v>0.54578887413867005</v>
      </c>
      <c r="K865">
        <v>0.54578887413867005</v>
      </c>
      <c r="L865" s="1"/>
      <c r="M865" s="1"/>
      <c r="N865" s="1">
        <v>43021</v>
      </c>
      <c r="R865">
        <v>-6.3814612918483005E-3</v>
      </c>
      <c r="S865">
        <v>-6.3814612918483005E-3</v>
      </c>
      <c r="T865" t="s">
        <v>32</v>
      </c>
      <c r="U865" t="s">
        <v>32</v>
      </c>
      <c r="W865" t="s">
        <v>213</v>
      </c>
      <c r="Z865" t="s">
        <v>31</v>
      </c>
      <c r="AA865">
        <v>5.8554279824909984E-4</v>
      </c>
      <c r="AC865" t="s">
        <v>33</v>
      </c>
      <c r="AD865" t="s">
        <v>33</v>
      </c>
      <c r="AE865" t="s">
        <v>41</v>
      </c>
      <c r="AF865">
        <v>2.4500000000000002</v>
      </c>
      <c r="AG865">
        <v>2.4500000000000002</v>
      </c>
      <c r="AH865" t="s">
        <v>237</v>
      </c>
      <c r="AI865" t="s">
        <v>237</v>
      </c>
      <c r="AJ865">
        <v>-2.8998768110093998E-4</v>
      </c>
      <c r="AK865">
        <v>0</v>
      </c>
      <c r="AL865">
        <v>2.8998768110093998E-4</v>
      </c>
      <c r="AM865" t="s">
        <v>41</v>
      </c>
      <c r="AN865" t="s">
        <v>33</v>
      </c>
      <c r="AO865" t="s">
        <v>33</v>
      </c>
      <c r="AP865" t="s">
        <v>31</v>
      </c>
    </row>
    <row r="866" spans="1:43" x14ac:dyDescent="0.2">
      <c r="A866">
        <v>864</v>
      </c>
      <c r="B866">
        <v>107</v>
      </c>
      <c r="C866">
        <v>6</v>
      </c>
      <c r="D866">
        <v>10000000</v>
      </c>
      <c r="E866" t="s">
        <v>300</v>
      </c>
      <c r="F866" t="s">
        <v>29</v>
      </c>
      <c r="G866" t="s">
        <v>900</v>
      </c>
      <c r="H866">
        <v>4.7622341929700327E-4</v>
      </c>
      <c r="I866">
        <v>9.2712310654115002E-7</v>
      </c>
      <c r="J866">
        <v>2.52</v>
      </c>
      <c r="K866">
        <v>2.5271477013788002</v>
      </c>
      <c r="L866" s="1">
        <v>44012</v>
      </c>
      <c r="M866" s="1">
        <v>43024</v>
      </c>
      <c r="N866" s="1">
        <v>43021</v>
      </c>
      <c r="R866">
        <v>-1.1244183189823643E-3</v>
      </c>
      <c r="S866">
        <v>-1.1244183189823643E-3</v>
      </c>
      <c r="T866" t="s">
        <v>39</v>
      </c>
      <c r="U866" t="s">
        <v>39</v>
      </c>
      <c r="V866">
        <v>10455146</v>
      </c>
      <c r="W866" t="s">
        <v>213</v>
      </c>
      <c r="X866" t="s">
        <v>302</v>
      </c>
      <c r="Y866">
        <v>10000000</v>
      </c>
      <c r="Z866" t="s">
        <v>31</v>
      </c>
      <c r="AA866">
        <v>2.9335693570516747E-4</v>
      </c>
      <c r="AB866">
        <v>102.91</v>
      </c>
      <c r="AC866" t="s">
        <v>33</v>
      </c>
      <c r="AD866" t="s">
        <v>33</v>
      </c>
      <c r="AE866" t="s">
        <v>41</v>
      </c>
      <c r="AF866">
        <v>4.2999999999999997E-2</v>
      </c>
      <c r="AG866">
        <v>4.3</v>
      </c>
      <c r="AH866" t="s">
        <v>237</v>
      </c>
      <c r="AI866" t="s">
        <v>237</v>
      </c>
      <c r="AJ866">
        <v>-8.2453575407791919E-4</v>
      </c>
      <c r="AK866">
        <v>1.8897754734008065E-4</v>
      </c>
      <c r="AL866">
        <v>1.0135133014179999E-3</v>
      </c>
      <c r="AM866" t="s">
        <v>41</v>
      </c>
      <c r="AN866" t="s">
        <v>148</v>
      </c>
      <c r="AO866" t="s">
        <v>33</v>
      </c>
      <c r="AP866" t="s">
        <v>31</v>
      </c>
      <c r="AQ866">
        <v>8.1260345356234673E-6</v>
      </c>
    </row>
    <row r="867" spans="1:43" x14ac:dyDescent="0.2">
      <c r="A867">
        <v>865</v>
      </c>
      <c r="B867">
        <v>96</v>
      </c>
      <c r="C867">
        <v>6</v>
      </c>
      <c r="F867" t="s">
        <v>29</v>
      </c>
      <c r="G867" t="s">
        <v>1580</v>
      </c>
      <c r="I867">
        <v>3.3555311076857788E-5</v>
      </c>
      <c r="J867">
        <v>1.4746119614790001</v>
      </c>
      <c r="K867">
        <v>1.4746119614790001</v>
      </c>
      <c r="L867" s="1"/>
      <c r="M867" s="1"/>
      <c r="N867" s="1">
        <v>43021</v>
      </c>
      <c r="R867">
        <v>-1.9353706235684085E-2</v>
      </c>
      <c r="S867">
        <v>-1.9353706235684085E-2</v>
      </c>
      <c r="T867" t="s">
        <v>32</v>
      </c>
      <c r="U867" t="s">
        <v>32</v>
      </c>
      <c r="W867" t="s">
        <v>1581</v>
      </c>
      <c r="Z867" t="s">
        <v>31</v>
      </c>
      <c r="AA867">
        <v>1.061745000711376E-2</v>
      </c>
      <c r="AC867" t="s">
        <v>33</v>
      </c>
      <c r="AD867" t="s">
        <v>33</v>
      </c>
      <c r="AE867" t="s">
        <v>35</v>
      </c>
      <c r="AF867">
        <v>2.12</v>
      </c>
      <c r="AG867">
        <v>2.12</v>
      </c>
      <c r="AH867" t="s">
        <v>237</v>
      </c>
      <c r="AI867" t="s">
        <v>237</v>
      </c>
      <c r="AJ867">
        <v>-1.7337925185094E-3</v>
      </c>
      <c r="AK867">
        <v>0</v>
      </c>
      <c r="AL867">
        <v>1.7337925185094E-3</v>
      </c>
      <c r="AM867" t="s">
        <v>35</v>
      </c>
      <c r="AN867" t="s">
        <v>33</v>
      </c>
      <c r="AO867" t="s">
        <v>33</v>
      </c>
      <c r="AP867" t="s">
        <v>31</v>
      </c>
    </row>
    <row r="868" spans="1:43" x14ac:dyDescent="0.2">
      <c r="A868">
        <v>866</v>
      </c>
      <c r="B868">
        <v>110</v>
      </c>
      <c r="C868">
        <v>6</v>
      </c>
      <c r="D868">
        <v>200000000</v>
      </c>
      <c r="E868" t="s">
        <v>349</v>
      </c>
      <c r="F868" t="s">
        <v>29</v>
      </c>
      <c r="G868" t="s">
        <v>535</v>
      </c>
      <c r="H868">
        <v>1.27623504579252E-2</v>
      </c>
      <c r="I868">
        <v>-1.8799237656977674E-6</v>
      </c>
      <c r="J868">
        <v>3.46</v>
      </c>
      <c r="K868">
        <v>3.3859765948926999</v>
      </c>
      <c r="L868" s="1">
        <v>44666</v>
      </c>
      <c r="M868" s="1">
        <v>43024</v>
      </c>
      <c r="N868" s="1">
        <v>43021</v>
      </c>
      <c r="R868">
        <v>-1.2005087764610177E-3</v>
      </c>
      <c r="S868">
        <v>-1.2005087764610177E-3</v>
      </c>
      <c r="T868" t="s">
        <v>39</v>
      </c>
      <c r="U868" t="s">
        <v>39</v>
      </c>
      <c r="V868">
        <v>204067790</v>
      </c>
      <c r="W868" t="s">
        <v>350</v>
      </c>
      <c r="X868" t="s">
        <v>536</v>
      </c>
      <c r="Y868">
        <v>200000000</v>
      </c>
      <c r="Z868" t="s">
        <v>31</v>
      </c>
      <c r="AA868">
        <v>-5.9483866961516463E-4</v>
      </c>
      <c r="AB868">
        <v>102.02</v>
      </c>
      <c r="AC868" t="s">
        <v>33</v>
      </c>
      <c r="AD868" t="s">
        <v>33</v>
      </c>
      <c r="AE868" t="s">
        <v>35</v>
      </c>
      <c r="AF868">
        <v>4.4900000000000002E-2</v>
      </c>
      <c r="AG868">
        <v>4.49</v>
      </c>
      <c r="AH868" t="s">
        <v>237</v>
      </c>
      <c r="AI868" t="s">
        <v>237</v>
      </c>
      <c r="AJ868">
        <v>1.5659392105733692E-3</v>
      </c>
      <c r="AK868">
        <v>3.6885405947760692E-3</v>
      </c>
      <c r="AL868">
        <v>2.1226013842027E-3</v>
      </c>
      <c r="AM868" t="s">
        <v>35</v>
      </c>
      <c r="AN868" t="s">
        <v>148</v>
      </c>
      <c r="AO868" t="s">
        <v>33</v>
      </c>
      <c r="AP868" t="s">
        <v>31</v>
      </c>
      <c r="AQ868">
        <v>1.6561547270544551E-4</v>
      </c>
    </row>
    <row r="869" spans="1:43" x14ac:dyDescent="0.2">
      <c r="A869">
        <v>867</v>
      </c>
      <c r="B869">
        <v>110</v>
      </c>
      <c r="C869">
        <v>6</v>
      </c>
      <c r="D869">
        <v>500000000</v>
      </c>
      <c r="E869" t="s">
        <v>349</v>
      </c>
      <c r="F869" t="s">
        <v>29</v>
      </c>
      <c r="G869" t="s">
        <v>901</v>
      </c>
      <c r="H869">
        <v>3.4882222001007365E-2</v>
      </c>
      <c r="I869">
        <v>-8.1703099267426744E-6</v>
      </c>
      <c r="J869">
        <v>3.7</v>
      </c>
      <c r="K869">
        <v>3.7085144120678</v>
      </c>
      <c r="L869" s="1">
        <v>44525</v>
      </c>
      <c r="M869" s="1">
        <v>43024</v>
      </c>
      <c r="N869" s="1">
        <v>43021</v>
      </c>
      <c r="R869">
        <v>-1.2005087764610177E-3</v>
      </c>
      <c r="S869">
        <v>-1.2005087764610177E-3</v>
      </c>
      <c r="T869" t="s">
        <v>39</v>
      </c>
      <c r="U869" t="s">
        <v>39</v>
      </c>
      <c r="V869">
        <v>521581659</v>
      </c>
      <c r="W869" t="s">
        <v>350</v>
      </c>
      <c r="X869" t="s">
        <v>536</v>
      </c>
      <c r="Y869">
        <v>500000000</v>
      </c>
      <c r="Z869" t="s">
        <v>31</v>
      </c>
      <c r="AA869">
        <v>-2.5852198774471602E-3</v>
      </c>
      <c r="AB869">
        <v>102.29</v>
      </c>
      <c r="AC869" t="s">
        <v>33</v>
      </c>
      <c r="AD869" t="s">
        <v>33</v>
      </c>
      <c r="AE869" t="s">
        <v>35</v>
      </c>
      <c r="AF869">
        <v>4.4499999999999998E-2</v>
      </c>
      <c r="AG869">
        <v>4.4400000000000004</v>
      </c>
      <c r="AH869" t="s">
        <v>237</v>
      </c>
      <c r="AI869" t="s">
        <v>237</v>
      </c>
      <c r="AJ869">
        <v>6.8057061197236285E-3</v>
      </c>
      <c r="AK869">
        <v>9.4276275678398282E-3</v>
      </c>
      <c r="AL869">
        <v>2.6219214481162001E-3</v>
      </c>
      <c r="AM869" t="s">
        <v>35</v>
      </c>
      <c r="AN869" t="s">
        <v>148</v>
      </c>
      <c r="AO869" t="s">
        <v>33</v>
      </c>
      <c r="AP869" t="s">
        <v>31</v>
      </c>
      <c r="AQ869">
        <v>4.1952942676887233E-4</v>
      </c>
    </row>
    <row r="870" spans="1:43" x14ac:dyDescent="0.2">
      <c r="A870">
        <v>868</v>
      </c>
      <c r="B870">
        <v>87</v>
      </c>
      <c r="C870">
        <v>6</v>
      </c>
      <c r="F870" t="s">
        <v>29</v>
      </c>
      <c r="G870" t="s">
        <v>1008</v>
      </c>
      <c r="I870">
        <v>4.8238933956851755E-6</v>
      </c>
      <c r="J870">
        <v>1.9029918226925</v>
      </c>
      <c r="K870">
        <v>1.9029918226925</v>
      </c>
      <c r="L870" s="1"/>
      <c r="M870" s="1"/>
      <c r="N870" s="1">
        <v>43021</v>
      </c>
      <c r="R870">
        <v>-5.917571698417722E-3</v>
      </c>
      <c r="S870">
        <v>-5.917571698417722E-3</v>
      </c>
      <c r="T870" t="s">
        <v>32</v>
      </c>
      <c r="U870" t="s">
        <v>32</v>
      </c>
      <c r="W870" t="s">
        <v>1009</v>
      </c>
      <c r="Z870" t="s">
        <v>31</v>
      </c>
      <c r="AA870">
        <v>1.526358878063178E-3</v>
      </c>
      <c r="AC870" t="s">
        <v>142</v>
      </c>
      <c r="AD870" t="s">
        <v>142</v>
      </c>
      <c r="AE870" t="s">
        <v>41</v>
      </c>
      <c r="AF870">
        <v>2.99</v>
      </c>
      <c r="AG870">
        <v>2.99</v>
      </c>
      <c r="AH870" t="s">
        <v>237</v>
      </c>
      <c r="AI870" t="s">
        <v>237</v>
      </c>
      <c r="AJ870">
        <v>-8.1518123337230011E-4</v>
      </c>
      <c r="AK870">
        <v>0</v>
      </c>
      <c r="AL870">
        <v>8.1518123337230011E-4</v>
      </c>
      <c r="AM870" t="s">
        <v>41</v>
      </c>
      <c r="AN870" t="s">
        <v>142</v>
      </c>
      <c r="AO870" t="s">
        <v>142</v>
      </c>
      <c r="AP870" t="s">
        <v>31</v>
      </c>
    </row>
    <row r="871" spans="1:43" x14ac:dyDescent="0.2">
      <c r="A871">
        <v>869</v>
      </c>
      <c r="B871">
        <v>93</v>
      </c>
      <c r="C871">
        <v>6</v>
      </c>
      <c r="F871" t="s">
        <v>29</v>
      </c>
      <c r="G871" t="s">
        <v>902</v>
      </c>
      <c r="I871">
        <v>8.3490354812794077E-6</v>
      </c>
      <c r="J871">
        <v>0.64053048649652999</v>
      </c>
      <c r="K871">
        <v>0.64053048649652999</v>
      </c>
      <c r="L871" s="1"/>
      <c r="M871" s="1"/>
      <c r="N871" s="1">
        <v>43021</v>
      </c>
      <c r="R871">
        <v>-6.3814612918483005E-3</v>
      </c>
      <c r="S871">
        <v>-6.3814612918483005E-3</v>
      </c>
      <c r="T871" t="s">
        <v>32</v>
      </c>
      <c r="U871" t="s">
        <v>32</v>
      </c>
      <c r="W871" t="s">
        <v>490</v>
      </c>
      <c r="Z871" t="s">
        <v>31</v>
      </c>
      <c r="AA871">
        <v>2.6417715701416789E-3</v>
      </c>
      <c r="AC871" t="s">
        <v>33</v>
      </c>
      <c r="AD871" t="s">
        <v>33</v>
      </c>
      <c r="AE871" t="s">
        <v>41</v>
      </c>
      <c r="AF871">
        <v>2.4</v>
      </c>
      <c r="AG871">
        <v>2.4</v>
      </c>
      <c r="AH871" t="s">
        <v>237</v>
      </c>
      <c r="AI871" t="s">
        <v>237</v>
      </c>
      <c r="AJ871">
        <v>-1.3083265884484001E-3</v>
      </c>
      <c r="AK871">
        <v>0</v>
      </c>
      <c r="AL871">
        <v>1.3083265884484001E-3</v>
      </c>
      <c r="AM871" t="s">
        <v>41</v>
      </c>
      <c r="AN871" t="s">
        <v>33</v>
      </c>
      <c r="AO871" t="s">
        <v>33</v>
      </c>
      <c r="AP871" t="s">
        <v>31</v>
      </c>
    </row>
    <row r="872" spans="1:43" x14ac:dyDescent="0.2">
      <c r="A872">
        <v>870</v>
      </c>
      <c r="B872">
        <v>107</v>
      </c>
      <c r="C872">
        <v>6</v>
      </c>
      <c r="F872" t="s">
        <v>29</v>
      </c>
      <c r="G872" t="s">
        <v>903</v>
      </c>
      <c r="I872">
        <v>1.8969668957373624E-6</v>
      </c>
      <c r="J872">
        <v>1.2156978399137</v>
      </c>
      <c r="K872">
        <v>1.2156978399137</v>
      </c>
      <c r="L872" s="1"/>
      <c r="M872" s="1"/>
      <c r="N872" s="1">
        <v>43021</v>
      </c>
      <c r="R872">
        <v>-1.1244183189823643E-3</v>
      </c>
      <c r="S872">
        <v>-1.1244183189823643E-3</v>
      </c>
      <c r="T872" t="s">
        <v>39</v>
      </c>
      <c r="U872" t="s">
        <v>39</v>
      </c>
      <c r="W872" t="s">
        <v>490</v>
      </c>
      <c r="Z872" t="s">
        <v>31</v>
      </c>
      <c r="AA872">
        <v>6.0023139509893882E-4</v>
      </c>
      <c r="AC872" t="s">
        <v>33</v>
      </c>
      <c r="AD872" t="s">
        <v>33</v>
      </c>
      <c r="AE872" t="s">
        <v>41</v>
      </c>
      <c r="AF872">
        <v>3.76</v>
      </c>
      <c r="AG872">
        <v>3.76</v>
      </c>
      <c r="AH872" t="s">
        <v>237</v>
      </c>
      <c r="AI872" t="s">
        <v>237</v>
      </c>
      <c r="AJ872">
        <v>-1.6870650928688001E-3</v>
      </c>
      <c r="AK872">
        <v>0</v>
      </c>
      <c r="AL872">
        <v>1.6870650928688001E-3</v>
      </c>
      <c r="AM872" t="s">
        <v>41</v>
      </c>
      <c r="AN872" t="s">
        <v>33</v>
      </c>
      <c r="AO872" t="s">
        <v>33</v>
      </c>
      <c r="AP872" t="s">
        <v>31</v>
      </c>
    </row>
    <row r="873" spans="1:43" x14ac:dyDescent="0.2">
      <c r="A873">
        <v>871</v>
      </c>
      <c r="B873">
        <v>107</v>
      </c>
      <c r="C873">
        <v>6</v>
      </c>
      <c r="F873" t="s">
        <v>29</v>
      </c>
      <c r="G873" t="s">
        <v>904</v>
      </c>
      <c r="I873">
        <v>1.8710250532318641E-6</v>
      </c>
      <c r="J873">
        <v>1.6283647078036001</v>
      </c>
      <c r="K873">
        <v>1.6283647078036001</v>
      </c>
      <c r="L873" s="1"/>
      <c r="M873" s="1"/>
      <c r="N873" s="1">
        <v>43021</v>
      </c>
      <c r="R873">
        <v>-1.1244183189823643E-3</v>
      </c>
      <c r="S873">
        <v>-1.1244183189823643E-3</v>
      </c>
      <c r="T873" t="s">
        <v>39</v>
      </c>
      <c r="U873" t="s">
        <v>39</v>
      </c>
      <c r="W873" t="s">
        <v>490</v>
      </c>
      <c r="Z873" t="s">
        <v>31</v>
      </c>
      <c r="AA873">
        <v>5.9202297124425699E-4</v>
      </c>
      <c r="AC873" t="s">
        <v>33</v>
      </c>
      <c r="AD873" t="s">
        <v>33</v>
      </c>
      <c r="AE873" t="s">
        <v>41</v>
      </c>
      <c r="AF873">
        <v>3.91</v>
      </c>
      <c r="AG873">
        <v>3.91</v>
      </c>
      <c r="AH873" t="s">
        <v>237</v>
      </c>
      <c r="AI873" t="s">
        <v>237</v>
      </c>
      <c r="AJ873">
        <v>-1.6639937482744E-3</v>
      </c>
      <c r="AK873">
        <v>0</v>
      </c>
      <c r="AL873">
        <v>1.6639937482744E-3</v>
      </c>
      <c r="AM873" t="s">
        <v>41</v>
      </c>
      <c r="AN873" t="s">
        <v>33</v>
      </c>
      <c r="AO873" t="s">
        <v>33</v>
      </c>
      <c r="AP873" t="s">
        <v>31</v>
      </c>
    </row>
    <row r="874" spans="1:43" x14ac:dyDescent="0.2">
      <c r="A874">
        <v>872</v>
      </c>
      <c r="B874">
        <v>107</v>
      </c>
      <c r="C874">
        <v>6</v>
      </c>
      <c r="D874">
        <v>430000000</v>
      </c>
      <c r="E874" t="s">
        <v>488</v>
      </c>
      <c r="F874" t="s">
        <v>29</v>
      </c>
      <c r="G874" t="s">
        <v>531</v>
      </c>
      <c r="H874">
        <v>1.8610619413005174E-2</v>
      </c>
      <c r="I874">
        <v>-7.1563091659030867E-6</v>
      </c>
      <c r="J874">
        <v>2.33</v>
      </c>
      <c r="K874">
        <v>2.3458821541947001</v>
      </c>
      <c r="L874" s="1">
        <v>43922</v>
      </c>
      <c r="M874" s="1">
        <v>43024</v>
      </c>
      <c r="N874" s="1">
        <v>43021</v>
      </c>
      <c r="R874">
        <v>-1.1244183189823643E-3</v>
      </c>
      <c r="S874">
        <v>-1.1244183189823643E-3</v>
      </c>
      <c r="T874" t="s">
        <v>39</v>
      </c>
      <c r="U874" t="s">
        <v>39</v>
      </c>
      <c r="V874">
        <v>441900813</v>
      </c>
      <c r="W874" t="s">
        <v>490</v>
      </c>
      <c r="X874" t="s">
        <v>491</v>
      </c>
      <c r="Y874">
        <v>430000000</v>
      </c>
      <c r="Z874" t="s">
        <v>31</v>
      </c>
      <c r="AA874">
        <v>-2.2643734290047632E-3</v>
      </c>
      <c r="AB874">
        <v>102.54</v>
      </c>
      <c r="AC874" t="s">
        <v>33</v>
      </c>
      <c r="AD874" t="s">
        <v>33</v>
      </c>
      <c r="AE874" t="s">
        <v>41</v>
      </c>
      <c r="AF874">
        <v>4.1700000000000001E-2</v>
      </c>
      <c r="AG874">
        <v>4.17</v>
      </c>
      <c r="AH874" t="s">
        <v>237</v>
      </c>
      <c r="AI874" t="s">
        <v>237</v>
      </c>
      <c r="AJ874">
        <v>6.3644544428801044E-3</v>
      </c>
      <c r="AK874">
        <v>7.987390306010804E-3</v>
      </c>
      <c r="AL874">
        <v>1.6229358631307E-3</v>
      </c>
      <c r="AM874" t="s">
        <v>41</v>
      </c>
      <c r="AN874" t="s">
        <v>148</v>
      </c>
      <c r="AO874" t="s">
        <v>33</v>
      </c>
      <c r="AP874" t="s">
        <v>31</v>
      </c>
      <c r="AQ874">
        <v>3.3307417576065054E-4</v>
      </c>
    </row>
    <row r="875" spans="1:43" x14ac:dyDescent="0.2">
      <c r="A875">
        <v>873</v>
      </c>
      <c r="B875">
        <v>96</v>
      </c>
      <c r="C875">
        <v>6</v>
      </c>
      <c r="D875">
        <v>10000</v>
      </c>
      <c r="E875" t="s">
        <v>488</v>
      </c>
      <c r="F875" t="s">
        <v>29</v>
      </c>
      <c r="G875" t="s">
        <v>489</v>
      </c>
      <c r="H875">
        <v>1.3159242626411362E-2</v>
      </c>
      <c r="I875">
        <v>-6.7169885271439102E-5</v>
      </c>
      <c r="J875">
        <v>2.71</v>
      </c>
      <c r="K875">
        <v>2.7228621443893002</v>
      </c>
      <c r="L875" s="1">
        <v>44044</v>
      </c>
      <c r="M875" s="1">
        <v>43024</v>
      </c>
      <c r="N875" s="1">
        <v>43021</v>
      </c>
      <c r="R875">
        <v>-1.9353706235684085E-2</v>
      </c>
      <c r="S875">
        <v>-1.9353706235684085E-2</v>
      </c>
      <c r="T875" t="s">
        <v>32</v>
      </c>
      <c r="U875" t="s">
        <v>32</v>
      </c>
      <c r="V875">
        <v>268646692</v>
      </c>
      <c r="W875" t="s">
        <v>490</v>
      </c>
      <c r="X875" t="s">
        <v>491</v>
      </c>
      <c r="Y875">
        <v>10000</v>
      </c>
      <c r="Z875" t="s">
        <v>31</v>
      </c>
      <c r="AA875">
        <v>-2.1253651835310448E-2</v>
      </c>
      <c r="AB875">
        <v>100.31</v>
      </c>
      <c r="AC875" t="s">
        <v>33</v>
      </c>
      <c r="AD875" t="s">
        <v>33</v>
      </c>
      <c r="AE875" t="s">
        <v>41</v>
      </c>
      <c r="AF875">
        <v>-2.788820870230066E-3</v>
      </c>
      <c r="AG875">
        <v>2.1</v>
      </c>
      <c r="AH875" t="s">
        <v>237</v>
      </c>
      <c r="AI875" t="s">
        <v>237</v>
      </c>
      <c r="AJ875">
        <v>3.4706471439352651E-3</v>
      </c>
      <c r="AK875">
        <v>4.8558090872366649E-3</v>
      </c>
      <c r="AL875">
        <v>1.3851619433014001E-3</v>
      </c>
      <c r="AM875" t="s">
        <v>41</v>
      </c>
      <c r="AN875" t="s">
        <v>148</v>
      </c>
      <c r="AO875" t="s">
        <v>33</v>
      </c>
      <c r="AP875" t="s">
        <v>31</v>
      </c>
      <c r="AQ875">
        <v>-1.3541981724338419E-5</v>
      </c>
    </row>
    <row r="876" spans="1:43" x14ac:dyDescent="0.2">
      <c r="A876">
        <v>874</v>
      </c>
      <c r="B876">
        <v>110</v>
      </c>
      <c r="C876">
        <v>6</v>
      </c>
      <c r="D876">
        <v>500000000</v>
      </c>
      <c r="E876" t="s">
        <v>488</v>
      </c>
      <c r="F876" t="s">
        <v>29</v>
      </c>
      <c r="G876" t="s">
        <v>537</v>
      </c>
      <c r="H876">
        <v>3.3756112829224173E-2</v>
      </c>
      <c r="I876">
        <v>-9.0256626382172657E-6</v>
      </c>
      <c r="J876">
        <v>3.67</v>
      </c>
      <c r="K876">
        <v>3.5948871402440998</v>
      </c>
      <c r="L876" s="1">
        <v>44484</v>
      </c>
      <c r="M876" s="1">
        <v>43024</v>
      </c>
      <c r="N876" s="1">
        <v>43021</v>
      </c>
      <c r="R876">
        <v>-1.2005087764610177E-3</v>
      </c>
      <c r="S876">
        <v>-1.2005087764610177E-3</v>
      </c>
      <c r="T876" t="s">
        <v>39</v>
      </c>
      <c r="U876" t="s">
        <v>39</v>
      </c>
      <c r="V876">
        <v>508869310</v>
      </c>
      <c r="W876" t="s">
        <v>490</v>
      </c>
      <c r="X876" t="s">
        <v>491</v>
      </c>
      <c r="Y876">
        <v>500000000</v>
      </c>
      <c r="Z876" t="s">
        <v>31</v>
      </c>
      <c r="AA876">
        <v>-2.8558674846688396E-3</v>
      </c>
      <c r="AB876">
        <v>101.75</v>
      </c>
      <c r="AC876" t="s">
        <v>33</v>
      </c>
      <c r="AD876" t="s">
        <v>33</v>
      </c>
      <c r="AE876" t="s">
        <v>41</v>
      </c>
      <c r="AF876">
        <v>4.5999999999999999E-2</v>
      </c>
      <c r="AG876">
        <v>4.5999999999999996</v>
      </c>
      <c r="AH876" t="s">
        <v>237</v>
      </c>
      <c r="AI876" t="s">
        <v>237</v>
      </c>
      <c r="AJ876">
        <v>7.518197963386852E-3</v>
      </c>
      <c r="AK876">
        <v>9.1978509071455519E-3</v>
      </c>
      <c r="AL876">
        <v>1.6796529437587001E-3</v>
      </c>
      <c r="AM876" t="s">
        <v>41</v>
      </c>
      <c r="AN876" t="s">
        <v>148</v>
      </c>
      <c r="AO876" t="s">
        <v>33</v>
      </c>
      <c r="AP876" t="s">
        <v>31</v>
      </c>
      <c r="AQ876">
        <v>4.231011417286954E-4</v>
      </c>
    </row>
    <row r="877" spans="1:43" x14ac:dyDescent="0.2">
      <c r="A877">
        <v>875</v>
      </c>
      <c r="B877">
        <v>99</v>
      </c>
      <c r="C877">
        <v>6</v>
      </c>
      <c r="F877" t="s">
        <v>29</v>
      </c>
      <c r="G877" t="s">
        <v>512</v>
      </c>
      <c r="I877">
        <v>5.3036144473428865E-5</v>
      </c>
      <c r="J877">
        <v>3.2353151126369002</v>
      </c>
      <c r="K877">
        <v>3.2353151126369002</v>
      </c>
      <c r="L877" s="1"/>
      <c r="M877" s="1"/>
      <c r="N877" s="1">
        <v>43021</v>
      </c>
      <c r="R877">
        <v>-1.4967484789654954E-2</v>
      </c>
      <c r="S877">
        <v>-1.4967484789654954E-2</v>
      </c>
      <c r="T877" t="s">
        <v>32</v>
      </c>
      <c r="U877" t="s">
        <v>32</v>
      </c>
      <c r="W877" t="s">
        <v>490</v>
      </c>
      <c r="Z877" t="s">
        <v>31</v>
      </c>
      <c r="AA877">
        <v>1.6781504758722227E-2</v>
      </c>
      <c r="AC877" t="s">
        <v>33</v>
      </c>
      <c r="AD877" t="s">
        <v>33</v>
      </c>
      <c r="AE877" t="s">
        <v>41</v>
      </c>
      <c r="AF877">
        <v>2.2999999999999998</v>
      </c>
      <c r="AG877">
        <v>2.2999999999999998</v>
      </c>
      <c r="AH877" t="s">
        <v>237</v>
      </c>
      <c r="AI877" t="s">
        <v>237</v>
      </c>
      <c r="AJ877">
        <v>-3.5434239766246999E-3</v>
      </c>
      <c r="AK877">
        <v>0</v>
      </c>
      <c r="AL877">
        <v>3.5434239766246999E-3</v>
      </c>
      <c r="AM877" t="s">
        <v>41</v>
      </c>
      <c r="AN877" t="s">
        <v>33</v>
      </c>
      <c r="AO877" t="s">
        <v>33</v>
      </c>
      <c r="AP877" t="s">
        <v>31</v>
      </c>
    </row>
    <row r="878" spans="1:43" x14ac:dyDescent="0.2">
      <c r="A878">
        <v>876</v>
      </c>
      <c r="B878">
        <v>99</v>
      </c>
      <c r="C878">
        <v>6</v>
      </c>
      <c r="D878">
        <v>9000</v>
      </c>
      <c r="E878" t="s">
        <v>488</v>
      </c>
      <c r="F878" t="s">
        <v>29</v>
      </c>
      <c r="G878" t="s">
        <v>905</v>
      </c>
      <c r="H878">
        <v>1.8039659042752332E-2</v>
      </c>
      <c r="I878">
        <v>-1.3298969827597379E-5</v>
      </c>
      <c r="J878">
        <v>4.21</v>
      </c>
      <c r="K878">
        <v>4.2171178057812</v>
      </c>
      <c r="L878" s="1">
        <v>44621</v>
      </c>
      <c r="M878" s="1">
        <v>43024</v>
      </c>
      <c r="N878" s="1">
        <v>43021</v>
      </c>
      <c r="R878">
        <v>-1.4967484789654954E-2</v>
      </c>
      <c r="S878">
        <v>-1.4967484789654954E-2</v>
      </c>
      <c r="T878" t="s">
        <v>32</v>
      </c>
      <c r="U878" t="s">
        <v>32</v>
      </c>
      <c r="V878">
        <v>237064281</v>
      </c>
      <c r="W878" t="s">
        <v>490</v>
      </c>
      <c r="X878" t="s">
        <v>491</v>
      </c>
      <c r="Y878">
        <v>9000</v>
      </c>
      <c r="Z878" t="s">
        <v>31</v>
      </c>
      <c r="AA878">
        <v>-4.2080118693345143E-3</v>
      </c>
      <c r="AB878">
        <v>98.57</v>
      </c>
      <c r="AC878" t="s">
        <v>33</v>
      </c>
      <c r="AD878" t="s">
        <v>33</v>
      </c>
      <c r="AE878" t="s">
        <v>41</v>
      </c>
      <c r="AF878">
        <v>-1.0888208702300659E-3</v>
      </c>
      <c r="AG878">
        <v>2.25</v>
      </c>
      <c r="AH878" t="s">
        <v>237</v>
      </c>
      <c r="AI878" t="s">
        <v>237</v>
      </c>
      <c r="AJ878">
        <v>8.885240248775266E-4</v>
      </c>
      <c r="AK878">
        <v>4.2849546419839266E-3</v>
      </c>
      <c r="AL878">
        <v>3.3964306171064E-3</v>
      </c>
      <c r="AM878" t="s">
        <v>41</v>
      </c>
      <c r="AN878" t="s">
        <v>148</v>
      </c>
      <c r="AO878" t="s">
        <v>33</v>
      </c>
      <c r="AP878" t="s">
        <v>31</v>
      </c>
      <c r="AQ878">
        <v>-4.665548042181299E-6</v>
      </c>
    </row>
    <row r="879" spans="1:43" x14ac:dyDescent="0.2">
      <c r="A879">
        <v>877</v>
      </c>
      <c r="B879">
        <v>99</v>
      </c>
      <c r="C879">
        <v>6</v>
      </c>
      <c r="F879" t="s">
        <v>29</v>
      </c>
      <c r="G879" t="s">
        <v>1582</v>
      </c>
      <c r="I879">
        <v>3.8074326601447616E-5</v>
      </c>
      <c r="J879">
        <v>4.5097009606461</v>
      </c>
      <c r="K879">
        <v>4.5097009606461</v>
      </c>
      <c r="L879" s="1"/>
      <c r="M879" s="1"/>
      <c r="N879" s="1">
        <v>43021</v>
      </c>
      <c r="R879">
        <v>-1.4967484789654954E-2</v>
      </c>
      <c r="S879">
        <v>-1.4967484789654954E-2</v>
      </c>
      <c r="T879" t="s">
        <v>32</v>
      </c>
      <c r="U879" t="s">
        <v>32</v>
      </c>
      <c r="W879" t="s">
        <v>490</v>
      </c>
      <c r="Z879" t="s">
        <v>31</v>
      </c>
      <c r="AA879">
        <v>1.2047340533349837E-2</v>
      </c>
      <c r="AC879" t="s">
        <v>33</v>
      </c>
      <c r="AD879" t="s">
        <v>33</v>
      </c>
      <c r="AE879" t="s">
        <v>41</v>
      </c>
      <c r="AF879">
        <v>2.33</v>
      </c>
      <c r="AG879">
        <v>2.33</v>
      </c>
      <c r="AH879" t="s">
        <v>237</v>
      </c>
      <c r="AI879" t="s">
        <v>237</v>
      </c>
      <c r="AJ879">
        <v>-2.5438025918531997E-3</v>
      </c>
      <c r="AK879">
        <v>0</v>
      </c>
      <c r="AL879">
        <v>2.5438025918531997E-3</v>
      </c>
      <c r="AM879" t="s">
        <v>41</v>
      </c>
      <c r="AN879" t="s">
        <v>33</v>
      </c>
      <c r="AO879" t="s">
        <v>33</v>
      </c>
      <c r="AP879" t="s">
        <v>31</v>
      </c>
    </row>
    <row r="880" spans="1:43" x14ac:dyDescent="0.2">
      <c r="A880">
        <v>878</v>
      </c>
      <c r="B880">
        <v>96</v>
      </c>
      <c r="C880">
        <v>6</v>
      </c>
      <c r="D880">
        <v>2000</v>
      </c>
      <c r="E880" t="s">
        <v>484</v>
      </c>
      <c r="F880" t="s">
        <v>29</v>
      </c>
      <c r="G880" t="s">
        <v>485</v>
      </c>
      <c r="H880">
        <v>1.734955180876922E-3</v>
      </c>
      <c r="I880">
        <v>6.3951697289126031E-6</v>
      </c>
      <c r="J880">
        <v>1.77</v>
      </c>
      <c r="K880">
        <v>1.7804363541124999</v>
      </c>
      <c r="L880" s="1">
        <v>44331</v>
      </c>
      <c r="M880" s="1">
        <v>43024</v>
      </c>
      <c r="N880" s="1">
        <v>43021</v>
      </c>
      <c r="R880">
        <v>-1.9353706235684085E-2</v>
      </c>
      <c r="S880">
        <v>-1.9353706235684085E-2</v>
      </c>
      <c r="T880" t="s">
        <v>32</v>
      </c>
      <c r="U880" t="s">
        <v>32</v>
      </c>
      <c r="V880">
        <v>54229411</v>
      </c>
      <c r="W880" t="s">
        <v>486</v>
      </c>
      <c r="X880" t="s">
        <v>487</v>
      </c>
      <c r="Y880">
        <v>2000</v>
      </c>
      <c r="Z880" t="s">
        <v>31</v>
      </c>
      <c r="AA880">
        <v>2.0235364448928004E-3</v>
      </c>
      <c r="AB880">
        <v>100.65</v>
      </c>
      <c r="AC880" t="s">
        <v>36</v>
      </c>
      <c r="AD880" t="s">
        <v>36</v>
      </c>
      <c r="AE880" t="s">
        <v>175</v>
      </c>
      <c r="AF880">
        <v>-2.3888208702300649E-3</v>
      </c>
      <c r="AG880">
        <v>2.16</v>
      </c>
      <c r="AH880" t="s">
        <v>237</v>
      </c>
      <c r="AI880" t="s">
        <v>237</v>
      </c>
      <c r="AJ880">
        <v>-3.3043643687849728E-4</v>
      </c>
      <c r="AK880">
        <v>9.8020066716210277E-4</v>
      </c>
      <c r="AL880">
        <v>1.3106371040406001E-3</v>
      </c>
      <c r="AM880" t="s">
        <v>175</v>
      </c>
      <c r="AN880" t="s">
        <v>150</v>
      </c>
      <c r="AO880" t="s">
        <v>36</v>
      </c>
      <c r="AP880" t="s">
        <v>31</v>
      </c>
      <c r="AQ880">
        <v>-2.3415238107302645E-6</v>
      </c>
    </row>
    <row r="881" spans="1:43" x14ac:dyDescent="0.2">
      <c r="A881">
        <v>879</v>
      </c>
      <c r="B881">
        <v>102</v>
      </c>
      <c r="C881">
        <v>6</v>
      </c>
      <c r="D881">
        <v>10000</v>
      </c>
      <c r="E881" t="s">
        <v>907</v>
      </c>
      <c r="F881" t="s">
        <v>29</v>
      </c>
      <c r="G881" t="s">
        <v>908</v>
      </c>
      <c r="H881">
        <v>3.3338798652829592E-2</v>
      </c>
      <c r="I881">
        <v>-3.0515176413501193E-5</v>
      </c>
      <c r="J881">
        <v>5.87</v>
      </c>
      <c r="K881">
        <v>5.8866245292633002</v>
      </c>
      <c r="L881" s="1">
        <v>47299</v>
      </c>
      <c r="M881" s="1">
        <v>43024</v>
      </c>
      <c r="N881" s="1">
        <v>43021</v>
      </c>
      <c r="R881">
        <v>-1.8769776239421981E-2</v>
      </c>
      <c r="S881">
        <v>-1.8769776239421981E-2</v>
      </c>
      <c r="T881" t="s">
        <v>32</v>
      </c>
      <c r="U881" t="s">
        <v>32</v>
      </c>
      <c r="V881">
        <v>314218491</v>
      </c>
      <c r="W881" t="s">
        <v>909</v>
      </c>
      <c r="X881" t="s">
        <v>910</v>
      </c>
      <c r="Y881">
        <v>10000</v>
      </c>
      <c r="Z881" t="s">
        <v>31</v>
      </c>
      <c r="AA881">
        <v>-9.6555016070780965E-3</v>
      </c>
      <c r="AB881">
        <v>116.17</v>
      </c>
      <c r="AC881" t="s">
        <v>34</v>
      </c>
      <c r="AD881" t="s">
        <v>34</v>
      </c>
      <c r="AE881" t="s">
        <v>175</v>
      </c>
      <c r="AF881">
        <v>-6.888208702300648E-4</v>
      </c>
      <c r="AG881">
        <v>2.27</v>
      </c>
      <c r="AH881" t="s">
        <v>237</v>
      </c>
      <c r="AI881" t="s">
        <v>237</v>
      </c>
      <c r="AJ881">
        <v>1.6257613316354013E-3</v>
      </c>
      <c r="AK881">
        <v>5.6795227687955014E-3</v>
      </c>
      <c r="AL881">
        <v>4.0537614371601001E-3</v>
      </c>
      <c r="AM881" t="s">
        <v>175</v>
      </c>
      <c r="AN881" t="s">
        <v>54</v>
      </c>
      <c r="AO881" t="s">
        <v>34</v>
      </c>
      <c r="AP881" t="s">
        <v>31</v>
      </c>
      <c r="AQ881">
        <v>-3.9121738160931841E-6</v>
      </c>
    </row>
    <row r="882" spans="1:43" x14ac:dyDescent="0.2">
      <c r="A882">
        <v>880</v>
      </c>
      <c r="B882">
        <v>99</v>
      </c>
      <c r="C882">
        <v>6</v>
      </c>
      <c r="D882">
        <v>25000</v>
      </c>
      <c r="E882" t="s">
        <v>911</v>
      </c>
      <c r="F882" t="s">
        <v>29</v>
      </c>
      <c r="G882" t="s">
        <v>912</v>
      </c>
      <c r="H882">
        <v>4.3361985010099129E-2</v>
      </c>
      <c r="I882">
        <v>-1.5488924604746722E-4</v>
      </c>
      <c r="J882">
        <v>3.59</v>
      </c>
      <c r="K882">
        <v>3.6010835566771</v>
      </c>
      <c r="L882" s="1">
        <v>44392</v>
      </c>
      <c r="M882" s="1">
        <v>43024</v>
      </c>
      <c r="N882" s="1">
        <v>43021</v>
      </c>
      <c r="R882">
        <v>-1.4967484789654954E-2</v>
      </c>
      <c r="S882">
        <v>-1.4967484789654954E-2</v>
      </c>
      <c r="T882" t="s">
        <v>32</v>
      </c>
      <c r="U882" t="s">
        <v>32</v>
      </c>
      <c r="V882">
        <v>668243280</v>
      </c>
      <c r="W882" t="s">
        <v>913</v>
      </c>
      <c r="X882" t="s">
        <v>914</v>
      </c>
      <c r="Y882">
        <v>25000</v>
      </c>
      <c r="Z882" t="s">
        <v>31</v>
      </c>
      <c r="AA882">
        <v>-4.9009494287856975E-2</v>
      </c>
      <c r="AB882">
        <v>99.68</v>
      </c>
      <c r="AC882" t="s">
        <v>34</v>
      </c>
      <c r="AD882" t="s">
        <v>34</v>
      </c>
      <c r="AE882" t="s">
        <v>176</v>
      </c>
      <c r="AF882">
        <v>3.1117912976993609E-4</v>
      </c>
      <c r="AG882">
        <v>2.4</v>
      </c>
      <c r="AH882" t="s">
        <v>237</v>
      </c>
      <c r="AI882" t="s">
        <v>237</v>
      </c>
      <c r="AJ882">
        <v>1.0348381723729675E-2</v>
      </c>
      <c r="AK882">
        <v>1.2078547356573575E-2</v>
      </c>
      <c r="AL882">
        <v>1.7301656328439E-3</v>
      </c>
      <c r="AM882" t="s">
        <v>176</v>
      </c>
      <c r="AN882" t="s">
        <v>54</v>
      </c>
      <c r="AO882" t="s">
        <v>34</v>
      </c>
      <c r="AP882" t="s">
        <v>31</v>
      </c>
      <c r="AQ882">
        <v>3.7585918553035267E-6</v>
      </c>
    </row>
    <row r="883" spans="1:43" x14ac:dyDescent="0.2">
      <c r="A883">
        <v>881</v>
      </c>
      <c r="B883">
        <v>89</v>
      </c>
      <c r="C883">
        <v>6</v>
      </c>
      <c r="D883">
        <v>700000000</v>
      </c>
      <c r="E883" t="s">
        <v>915</v>
      </c>
      <c r="F883" t="s">
        <v>29</v>
      </c>
      <c r="G883" t="s">
        <v>916</v>
      </c>
      <c r="H883">
        <v>5.3270121203464915E-2</v>
      </c>
      <c r="I883">
        <v>-1.3010370186794149E-4</v>
      </c>
      <c r="J883">
        <v>4.16</v>
      </c>
      <c r="K883">
        <v>4.1716994053466996</v>
      </c>
      <c r="L883" s="1">
        <v>44713</v>
      </c>
      <c r="M883" s="1">
        <v>43024</v>
      </c>
      <c r="N883" s="1">
        <v>43021</v>
      </c>
      <c r="R883">
        <v>-1.1711705840867699E-2</v>
      </c>
      <c r="S883">
        <v>-1.1711705840867699E-2</v>
      </c>
      <c r="T883" t="s">
        <v>39</v>
      </c>
      <c r="U883" t="s">
        <v>39</v>
      </c>
      <c r="V883">
        <v>708451702</v>
      </c>
      <c r="W883" t="s">
        <v>223</v>
      </c>
      <c r="X883" t="s">
        <v>917</v>
      </c>
      <c r="Y883">
        <v>700000000</v>
      </c>
      <c r="Z883" t="s">
        <v>31</v>
      </c>
      <c r="AA883">
        <v>-4.116694216183249E-2</v>
      </c>
      <c r="AB883">
        <v>99.55</v>
      </c>
      <c r="AC883" t="s">
        <v>142</v>
      </c>
      <c r="AD883" t="s">
        <v>142</v>
      </c>
      <c r="AE883" t="s">
        <v>41</v>
      </c>
      <c r="AF883">
        <v>4.6100000000000002E-2</v>
      </c>
      <c r="AG883">
        <v>4.6100000000000003</v>
      </c>
      <c r="AH883" t="s">
        <v>237</v>
      </c>
      <c r="AI883" t="s">
        <v>237</v>
      </c>
      <c r="AJ883">
        <v>1.1108860112755558E-2</v>
      </c>
      <c r="AK883">
        <v>1.2805317596986759E-2</v>
      </c>
      <c r="AL883">
        <v>1.6964574842312E-3</v>
      </c>
      <c r="AM883" t="s">
        <v>41</v>
      </c>
      <c r="AN883" t="s">
        <v>146</v>
      </c>
      <c r="AO883" t="s">
        <v>142</v>
      </c>
      <c r="AP883" t="s">
        <v>31</v>
      </c>
      <c r="AQ883">
        <v>5.9032514122108956E-4</v>
      </c>
    </row>
    <row r="884" spans="1:43" x14ac:dyDescent="0.2">
      <c r="A884">
        <v>882</v>
      </c>
      <c r="B884">
        <v>99</v>
      </c>
      <c r="C884">
        <v>6</v>
      </c>
      <c r="D884">
        <v>5000</v>
      </c>
      <c r="E884" t="s">
        <v>469</v>
      </c>
      <c r="F884" t="s">
        <v>29</v>
      </c>
      <c r="G884" t="s">
        <v>918</v>
      </c>
      <c r="H884">
        <v>9.2814662317818979E-3</v>
      </c>
      <c r="I884">
        <v>-2.4473615822384282E-5</v>
      </c>
      <c r="J884">
        <v>3.65</v>
      </c>
      <c r="K884">
        <v>3.6636346805284998</v>
      </c>
      <c r="L884" s="1">
        <v>44440</v>
      </c>
      <c r="M884" s="1">
        <v>43024</v>
      </c>
      <c r="N884" s="1">
        <v>43021</v>
      </c>
      <c r="R884">
        <v>-1.4967484789654954E-2</v>
      </c>
      <c r="S884">
        <v>-1.4967484789654954E-2</v>
      </c>
      <c r="T884" t="s">
        <v>32</v>
      </c>
      <c r="U884" t="s">
        <v>32</v>
      </c>
      <c r="V884">
        <v>140683647</v>
      </c>
      <c r="W884" t="s">
        <v>220</v>
      </c>
      <c r="X884" t="s">
        <v>471</v>
      </c>
      <c r="Y884">
        <v>5000</v>
      </c>
      <c r="Z884" t="s">
        <v>31</v>
      </c>
      <c r="AA884">
        <v>-7.7438528849366941E-3</v>
      </c>
      <c r="AB884">
        <v>105.09</v>
      </c>
      <c r="AC884" t="s">
        <v>33</v>
      </c>
      <c r="AD884" t="s">
        <v>33</v>
      </c>
      <c r="AE884" t="s">
        <v>41</v>
      </c>
      <c r="AF884">
        <v>-2.5888208702300637E-3</v>
      </c>
      <c r="AG884">
        <v>2.08</v>
      </c>
      <c r="AH884" t="s">
        <v>237</v>
      </c>
      <c r="AI884" t="s">
        <v>237</v>
      </c>
      <c r="AJ884">
        <v>1.635118803614864E-3</v>
      </c>
      <c r="AK884">
        <v>2.542867460762164E-3</v>
      </c>
      <c r="AL884">
        <v>9.0774865714730001E-4</v>
      </c>
      <c r="AM884" t="s">
        <v>41</v>
      </c>
      <c r="AN884" t="s">
        <v>148</v>
      </c>
      <c r="AO884" t="s">
        <v>33</v>
      </c>
      <c r="AP884" t="s">
        <v>31</v>
      </c>
      <c r="AQ884">
        <v>-6.583028352650018E-6</v>
      </c>
    </row>
    <row r="885" spans="1:43" x14ac:dyDescent="0.2">
      <c r="A885">
        <v>883</v>
      </c>
      <c r="B885">
        <v>96</v>
      </c>
      <c r="C885">
        <v>6</v>
      </c>
      <c r="D885">
        <v>1000</v>
      </c>
      <c r="E885" t="s">
        <v>469</v>
      </c>
      <c r="F885" t="s">
        <v>29</v>
      </c>
      <c r="G885" t="s">
        <v>470</v>
      </c>
      <c r="H885">
        <v>7.8219028983020659E-4</v>
      </c>
      <c r="I885">
        <v>7.5531683571584259E-6</v>
      </c>
      <c r="J885">
        <v>1.57</v>
      </c>
      <c r="K885">
        <v>1.5830689241064999</v>
      </c>
      <c r="L885" s="1">
        <v>43617</v>
      </c>
      <c r="M885" s="1">
        <v>43024</v>
      </c>
      <c r="N885" s="1">
        <v>43021</v>
      </c>
      <c r="R885">
        <v>-1.9353706235684085E-2</v>
      </c>
      <c r="S885">
        <v>-1.9353706235684085E-2</v>
      </c>
      <c r="T885" t="s">
        <v>32</v>
      </c>
      <c r="U885" t="s">
        <v>32</v>
      </c>
      <c r="V885">
        <v>27563392</v>
      </c>
      <c r="W885" t="s">
        <v>220</v>
      </c>
      <c r="X885" t="s">
        <v>471</v>
      </c>
      <c r="Y885">
        <v>1000</v>
      </c>
      <c r="Z885" t="s">
        <v>31</v>
      </c>
      <c r="AA885">
        <v>2.3899461770375834E-3</v>
      </c>
      <c r="AB885">
        <v>102.05</v>
      </c>
      <c r="AC885" t="s">
        <v>33</v>
      </c>
      <c r="AD885" t="s">
        <v>33</v>
      </c>
      <c r="AE885" t="s">
        <v>41</v>
      </c>
      <c r="AF885">
        <v>-1.8888208702300645E-3</v>
      </c>
      <c r="AG885">
        <v>2.17</v>
      </c>
      <c r="AH885" t="s">
        <v>237</v>
      </c>
      <c r="AI885" t="s">
        <v>237</v>
      </c>
      <c r="AJ885">
        <v>-3.9026986692771034E-4</v>
      </c>
      <c r="AK885">
        <v>4.9821037568802964E-4</v>
      </c>
      <c r="AL885">
        <v>8.8848024261573998E-4</v>
      </c>
      <c r="AM885" t="s">
        <v>41</v>
      </c>
      <c r="AN885" t="s">
        <v>148</v>
      </c>
      <c r="AO885" t="s">
        <v>33</v>
      </c>
      <c r="AP885" t="s">
        <v>31</v>
      </c>
      <c r="AQ885">
        <v>-9.4103015536471151E-7</v>
      </c>
    </row>
    <row r="886" spans="1:43" x14ac:dyDescent="0.2">
      <c r="A886">
        <v>884</v>
      </c>
      <c r="B886">
        <v>99</v>
      </c>
      <c r="C886">
        <v>6</v>
      </c>
      <c r="F886" t="s">
        <v>29</v>
      </c>
      <c r="G886" t="s">
        <v>1583</v>
      </c>
      <c r="I886">
        <v>1.3648922578622734E-5</v>
      </c>
      <c r="J886">
        <v>3.4107876745936001</v>
      </c>
      <c r="K886">
        <v>3.4107876745936001</v>
      </c>
      <c r="L886" s="1"/>
      <c r="M886" s="1"/>
      <c r="N886" s="1">
        <v>43021</v>
      </c>
      <c r="R886">
        <v>-1.4967484789654954E-2</v>
      </c>
      <c r="S886">
        <v>-1.4967484789654954E-2</v>
      </c>
      <c r="T886" t="s">
        <v>32</v>
      </c>
      <c r="U886" t="s">
        <v>32</v>
      </c>
      <c r="W886" t="s">
        <v>220</v>
      </c>
      <c r="Z886" t="s">
        <v>31</v>
      </c>
      <c r="AA886">
        <v>4.3187426514260021E-3</v>
      </c>
      <c r="AC886" t="s">
        <v>33</v>
      </c>
      <c r="AD886" t="s">
        <v>33</v>
      </c>
      <c r="AE886" t="s">
        <v>41</v>
      </c>
      <c r="AF886">
        <v>2.2999999999999998</v>
      </c>
      <c r="AG886">
        <v>2.2999999999999998</v>
      </c>
      <c r="AH886" t="s">
        <v>237</v>
      </c>
      <c r="AI886" t="s">
        <v>237</v>
      </c>
      <c r="AJ886">
        <v>-9.1190489053019999E-4</v>
      </c>
      <c r="AK886">
        <v>0</v>
      </c>
      <c r="AL886">
        <v>9.1190489053019999E-4</v>
      </c>
      <c r="AM886" t="s">
        <v>41</v>
      </c>
      <c r="AN886" t="s">
        <v>33</v>
      </c>
      <c r="AO886" t="s">
        <v>33</v>
      </c>
      <c r="AP886" t="s">
        <v>31</v>
      </c>
    </row>
    <row r="887" spans="1:43" x14ac:dyDescent="0.2">
      <c r="A887">
        <v>885</v>
      </c>
      <c r="B887">
        <v>102</v>
      </c>
      <c r="C887">
        <v>6</v>
      </c>
      <c r="F887" t="s">
        <v>29</v>
      </c>
      <c r="G887" t="s">
        <v>1584</v>
      </c>
      <c r="I887">
        <v>1.7599214706266653E-5</v>
      </c>
      <c r="J887">
        <v>7.4271774084987001</v>
      </c>
      <c r="K887">
        <v>7.4271774084987001</v>
      </c>
      <c r="L887" s="1"/>
      <c r="M887" s="1"/>
      <c r="N887" s="1">
        <v>43021</v>
      </c>
      <c r="R887">
        <v>-1.8769776239421981E-2</v>
      </c>
      <c r="S887">
        <v>-1.8769776239421981E-2</v>
      </c>
      <c r="T887" t="s">
        <v>32</v>
      </c>
      <c r="U887" t="s">
        <v>32</v>
      </c>
      <c r="W887" t="s">
        <v>220</v>
      </c>
      <c r="Z887" t="s">
        <v>31</v>
      </c>
      <c r="AA887">
        <v>5.5686797800876004E-3</v>
      </c>
      <c r="AC887" t="s">
        <v>33</v>
      </c>
      <c r="AD887" t="s">
        <v>33</v>
      </c>
      <c r="AE887" t="s">
        <v>41</v>
      </c>
      <c r="AF887">
        <v>2.73</v>
      </c>
      <c r="AG887">
        <v>2.73</v>
      </c>
      <c r="AH887" t="s">
        <v>237</v>
      </c>
      <c r="AI887" t="s">
        <v>237</v>
      </c>
      <c r="AJ887">
        <v>-9.3763582909972001E-4</v>
      </c>
      <c r="AK887">
        <v>0</v>
      </c>
      <c r="AL887">
        <v>9.3763582909972001E-4</v>
      </c>
      <c r="AM887" t="s">
        <v>41</v>
      </c>
      <c r="AN887" t="s">
        <v>33</v>
      </c>
      <c r="AO887" t="s">
        <v>33</v>
      </c>
      <c r="AP887" t="s">
        <v>31</v>
      </c>
    </row>
    <row r="888" spans="1:43" x14ac:dyDescent="0.2">
      <c r="A888">
        <v>886</v>
      </c>
      <c r="B888">
        <v>102</v>
      </c>
      <c r="C888">
        <v>6</v>
      </c>
      <c r="F888" t="s">
        <v>29</v>
      </c>
      <c r="G888" t="s">
        <v>1585</v>
      </c>
      <c r="I888">
        <v>1.7617205299733056E-5</v>
      </c>
      <c r="J888">
        <v>6.2947091104914001</v>
      </c>
      <c r="K888">
        <v>6.2947091104914001</v>
      </c>
      <c r="L888" s="1"/>
      <c r="M888" s="1"/>
      <c r="N888" s="1">
        <v>43021</v>
      </c>
      <c r="R888">
        <v>-1.8769776239421981E-2</v>
      </c>
      <c r="S888">
        <v>-1.8769776239421981E-2</v>
      </c>
      <c r="T888" t="s">
        <v>32</v>
      </c>
      <c r="U888" t="s">
        <v>32</v>
      </c>
      <c r="W888" t="s">
        <v>220</v>
      </c>
      <c r="Z888" t="s">
        <v>31</v>
      </c>
      <c r="AA888">
        <v>5.5743722985175537E-3</v>
      </c>
      <c r="AC888" t="s">
        <v>33</v>
      </c>
      <c r="AD888" t="s">
        <v>33</v>
      </c>
      <c r="AE888" t="s">
        <v>41</v>
      </c>
      <c r="AF888">
        <v>2.52</v>
      </c>
      <c r="AG888">
        <v>2.52</v>
      </c>
      <c r="AH888" t="s">
        <v>237</v>
      </c>
      <c r="AI888" t="s">
        <v>237</v>
      </c>
      <c r="AJ888">
        <v>-9.3859431646988996E-4</v>
      </c>
      <c r="AK888">
        <v>0</v>
      </c>
      <c r="AL888">
        <v>9.3859431646988996E-4</v>
      </c>
      <c r="AM888" t="s">
        <v>41</v>
      </c>
      <c r="AN888" t="s">
        <v>33</v>
      </c>
      <c r="AO888" t="s">
        <v>33</v>
      </c>
      <c r="AP888" t="s">
        <v>31</v>
      </c>
    </row>
    <row r="889" spans="1:43" x14ac:dyDescent="0.2">
      <c r="A889">
        <v>887</v>
      </c>
      <c r="B889">
        <v>102</v>
      </c>
      <c r="C889">
        <v>6</v>
      </c>
      <c r="F889" t="s">
        <v>29</v>
      </c>
      <c r="G889" t="s">
        <v>919</v>
      </c>
      <c r="I889">
        <v>1.8008251406974345E-5</v>
      </c>
      <c r="J889">
        <v>8.5275739937702006</v>
      </c>
      <c r="K889">
        <v>8.5275739937702006</v>
      </c>
      <c r="L889" s="1"/>
      <c r="M889" s="1"/>
      <c r="N889" s="1">
        <v>43021</v>
      </c>
      <c r="R889">
        <v>-1.8769776239421981E-2</v>
      </c>
      <c r="S889">
        <v>-1.8769776239421981E-2</v>
      </c>
      <c r="T889" t="s">
        <v>32</v>
      </c>
      <c r="U889" t="s">
        <v>32</v>
      </c>
      <c r="W889" t="s">
        <v>220</v>
      </c>
      <c r="Z889" t="s">
        <v>31</v>
      </c>
      <c r="AA889">
        <v>5.6981056915592979E-3</v>
      </c>
      <c r="AC889" t="s">
        <v>33</v>
      </c>
      <c r="AD889" t="s">
        <v>33</v>
      </c>
      <c r="AE889" t="s">
        <v>41</v>
      </c>
      <c r="AF889">
        <v>2.59</v>
      </c>
      <c r="AG889">
        <v>2.59</v>
      </c>
      <c r="AH889" t="s">
        <v>237</v>
      </c>
      <c r="AI889" t="s">
        <v>237</v>
      </c>
      <c r="AJ889">
        <v>-9.5942813474525002E-4</v>
      </c>
      <c r="AK889">
        <v>0</v>
      </c>
      <c r="AL889">
        <v>9.5942813474525002E-4</v>
      </c>
      <c r="AM889" t="s">
        <v>41</v>
      </c>
      <c r="AN889" t="s">
        <v>33</v>
      </c>
      <c r="AO889" t="s">
        <v>33</v>
      </c>
      <c r="AP889" t="s">
        <v>31</v>
      </c>
    </row>
    <row r="890" spans="1:43" x14ac:dyDescent="0.2">
      <c r="A890">
        <v>888</v>
      </c>
      <c r="B890">
        <v>102</v>
      </c>
      <c r="C890">
        <v>6</v>
      </c>
      <c r="F890" t="s">
        <v>29</v>
      </c>
      <c r="G890" t="s">
        <v>1586</v>
      </c>
      <c r="I890">
        <v>3.515545722664884E-5</v>
      </c>
      <c r="J890">
        <v>5.8916757204680001</v>
      </c>
      <c r="K890">
        <v>5.8916757204680001</v>
      </c>
      <c r="L890" s="1"/>
      <c r="M890" s="1"/>
      <c r="N890" s="1">
        <v>43021</v>
      </c>
      <c r="R890">
        <v>-1.8769776239421981E-2</v>
      </c>
      <c r="S890">
        <v>-1.8769776239421981E-2</v>
      </c>
      <c r="T890" t="s">
        <v>32</v>
      </c>
      <c r="U890" t="s">
        <v>32</v>
      </c>
      <c r="W890" t="s">
        <v>220</v>
      </c>
      <c r="Z890" t="s">
        <v>31</v>
      </c>
      <c r="AA890">
        <v>1.1123762456745592E-2</v>
      </c>
      <c r="AC890" t="s">
        <v>33</v>
      </c>
      <c r="AD890" t="s">
        <v>33</v>
      </c>
      <c r="AE890" t="s">
        <v>41</v>
      </c>
      <c r="AF890">
        <v>2.54</v>
      </c>
      <c r="AG890">
        <v>2.54</v>
      </c>
      <c r="AH890" t="s">
        <v>237</v>
      </c>
      <c r="AI890" t="s">
        <v>237</v>
      </c>
      <c r="AJ890">
        <v>-1.8729822230279E-3</v>
      </c>
      <c r="AK890">
        <v>0</v>
      </c>
      <c r="AL890">
        <v>1.8729822230279E-3</v>
      </c>
      <c r="AM890" t="s">
        <v>41</v>
      </c>
      <c r="AN890" t="s">
        <v>33</v>
      </c>
      <c r="AO890" t="s">
        <v>33</v>
      </c>
      <c r="AP890" t="s">
        <v>31</v>
      </c>
    </row>
    <row r="891" spans="1:43" x14ac:dyDescent="0.2">
      <c r="A891">
        <v>889</v>
      </c>
      <c r="B891">
        <v>104</v>
      </c>
      <c r="C891">
        <v>6</v>
      </c>
      <c r="F891" t="s">
        <v>29</v>
      </c>
      <c r="G891" t="s">
        <v>518</v>
      </c>
      <c r="I891">
        <v>2.0155883812718743E-7</v>
      </c>
      <c r="J891">
        <v>0.61722247336469005</v>
      </c>
      <c r="K891">
        <v>0.61722247336469005</v>
      </c>
      <c r="L891" s="1"/>
      <c r="M891" s="1"/>
      <c r="N891" s="1">
        <v>43021</v>
      </c>
      <c r="R891">
        <v>-1.9931808645445555E-4</v>
      </c>
      <c r="S891">
        <v>-1.9931808645445555E-4</v>
      </c>
      <c r="T891" t="s">
        <v>39</v>
      </c>
      <c r="U891" t="s">
        <v>39</v>
      </c>
      <c r="W891" t="s">
        <v>220</v>
      </c>
      <c r="Z891" t="s">
        <v>31</v>
      </c>
      <c r="AA891">
        <v>6.3776517595251172E-5</v>
      </c>
      <c r="AC891" t="s">
        <v>33</v>
      </c>
      <c r="AD891" t="s">
        <v>33</v>
      </c>
      <c r="AE891" t="s">
        <v>41</v>
      </c>
      <c r="AF891">
        <v>3.21</v>
      </c>
      <c r="AG891">
        <v>3.21</v>
      </c>
      <c r="AH891" t="s">
        <v>237</v>
      </c>
      <c r="AI891" t="s">
        <v>237</v>
      </c>
      <c r="AJ891">
        <v>-1.0112420890276E-3</v>
      </c>
      <c r="AK891">
        <v>0</v>
      </c>
      <c r="AL891">
        <v>1.0112420890276E-3</v>
      </c>
      <c r="AM891" t="s">
        <v>41</v>
      </c>
      <c r="AN891" t="s">
        <v>33</v>
      </c>
      <c r="AO891" t="s">
        <v>33</v>
      </c>
      <c r="AP891" t="s">
        <v>31</v>
      </c>
    </row>
    <row r="892" spans="1:43" x14ac:dyDescent="0.2">
      <c r="A892">
        <v>890</v>
      </c>
      <c r="B892">
        <v>99</v>
      </c>
      <c r="C892">
        <v>6</v>
      </c>
      <c r="D892">
        <v>7000</v>
      </c>
      <c r="E892" t="s">
        <v>469</v>
      </c>
      <c r="F892" t="s">
        <v>29</v>
      </c>
      <c r="G892" t="s">
        <v>920</v>
      </c>
      <c r="H892">
        <v>1.5308747756870751E-2</v>
      </c>
      <c r="I892">
        <v>-2.6225252065317817E-5</v>
      </c>
      <c r="J892">
        <v>4.2699999999999996</v>
      </c>
      <c r="K892">
        <v>4.2810721637054003</v>
      </c>
      <c r="L892" s="1">
        <v>44713</v>
      </c>
      <c r="M892" s="1">
        <v>43024</v>
      </c>
      <c r="N892" s="1">
        <v>43021</v>
      </c>
      <c r="R892">
        <v>-1.4967484789654954E-2</v>
      </c>
      <c r="S892">
        <v>-1.4967484789654954E-2</v>
      </c>
      <c r="T892" t="s">
        <v>32</v>
      </c>
      <c r="U892" t="s">
        <v>32</v>
      </c>
      <c r="V892">
        <v>198349763</v>
      </c>
      <c r="W892" t="s">
        <v>220</v>
      </c>
      <c r="X892" t="s">
        <v>471</v>
      </c>
      <c r="Y892">
        <v>7000</v>
      </c>
      <c r="Z892" t="s">
        <v>31</v>
      </c>
      <c r="AA892">
        <v>-8.2980992812045525E-3</v>
      </c>
      <c r="AB892">
        <v>104.91</v>
      </c>
      <c r="AC892" t="s">
        <v>33</v>
      </c>
      <c r="AD892" t="s">
        <v>33</v>
      </c>
      <c r="AE892" t="s">
        <v>41</v>
      </c>
      <c r="AF892">
        <v>-1.8882087023006436E-4</v>
      </c>
      <c r="AG892">
        <v>2.2599999999999998</v>
      </c>
      <c r="AH892" t="s">
        <v>237</v>
      </c>
      <c r="AI892" t="s">
        <v>237</v>
      </c>
      <c r="AJ892">
        <v>1.7521482355835679E-3</v>
      </c>
      <c r="AK892">
        <v>3.5851868283069679E-3</v>
      </c>
      <c r="AL892">
        <v>1.8330385927234E-3</v>
      </c>
      <c r="AM892" t="s">
        <v>41</v>
      </c>
      <c r="AN892" t="s">
        <v>148</v>
      </c>
      <c r="AO892" t="s">
        <v>33</v>
      </c>
      <c r="AP892" t="s">
        <v>31</v>
      </c>
      <c r="AQ892">
        <v>-6.7695809685828596E-7</v>
      </c>
    </row>
    <row r="893" spans="1:43" x14ac:dyDescent="0.2">
      <c r="A893">
        <v>891</v>
      </c>
      <c r="B893">
        <v>102</v>
      </c>
      <c r="C893">
        <v>6</v>
      </c>
      <c r="D893">
        <v>15000</v>
      </c>
      <c r="E893" t="s">
        <v>469</v>
      </c>
      <c r="F893" t="s">
        <v>29</v>
      </c>
      <c r="G893" t="s">
        <v>1587</v>
      </c>
      <c r="H893">
        <v>4.6087152437712046E-2</v>
      </c>
      <c r="I893">
        <v>-4.2247190939262825E-5</v>
      </c>
      <c r="J893">
        <v>5.93</v>
      </c>
      <c r="K893">
        <v>5.9392397520469</v>
      </c>
      <c r="L893" s="1">
        <v>45444</v>
      </c>
      <c r="M893" s="1">
        <v>43024</v>
      </c>
      <c r="N893" s="1">
        <v>43021</v>
      </c>
      <c r="R893">
        <v>-1.8769776239421981E-2</v>
      </c>
      <c r="S893">
        <v>-1.8769776239421981E-2</v>
      </c>
      <c r="T893" t="s">
        <v>32</v>
      </c>
      <c r="U893" t="s">
        <v>32</v>
      </c>
      <c r="V893">
        <v>429976852</v>
      </c>
      <c r="W893" t="s">
        <v>220</v>
      </c>
      <c r="X893" t="s">
        <v>471</v>
      </c>
      <c r="Y893">
        <v>15000</v>
      </c>
      <c r="Z893" t="s">
        <v>31</v>
      </c>
      <c r="AA893">
        <v>-1.3367703154686909E-2</v>
      </c>
      <c r="AB893">
        <v>106.14</v>
      </c>
      <c r="AC893" t="s">
        <v>33</v>
      </c>
      <c r="AD893" t="s">
        <v>33</v>
      </c>
      <c r="AE893" t="s">
        <v>41</v>
      </c>
      <c r="AF893">
        <v>1.0111791297699353E-3</v>
      </c>
      <c r="AG893">
        <v>2.4900000000000002</v>
      </c>
      <c r="AH893" t="s">
        <v>237</v>
      </c>
      <c r="AI893" t="s">
        <v>237</v>
      </c>
      <c r="AJ893">
        <v>2.2508095142088833E-3</v>
      </c>
      <c r="AK893">
        <v>7.7718638174893839E-3</v>
      </c>
      <c r="AL893">
        <v>5.5210543032805006E-3</v>
      </c>
      <c r="AM893" t="s">
        <v>41</v>
      </c>
      <c r="AN893" t="s">
        <v>148</v>
      </c>
      <c r="AO893" t="s">
        <v>33</v>
      </c>
      <c r="AP893" t="s">
        <v>31</v>
      </c>
      <c r="AQ893">
        <v>7.8587464916593618E-6</v>
      </c>
    </row>
    <row r="894" spans="1:43" x14ac:dyDescent="0.2">
      <c r="A894">
        <v>892</v>
      </c>
      <c r="B894">
        <v>96</v>
      </c>
      <c r="C894">
        <v>6</v>
      </c>
      <c r="F894" t="s">
        <v>29</v>
      </c>
      <c r="G894" t="s">
        <v>472</v>
      </c>
      <c r="I894">
        <v>8.5677480499455464E-5</v>
      </c>
      <c r="J894">
        <v>2.3859199578024999</v>
      </c>
      <c r="K894">
        <v>2.3859199578024999</v>
      </c>
      <c r="L894" s="1"/>
      <c r="M894" s="1"/>
      <c r="N894" s="1">
        <v>43021</v>
      </c>
      <c r="R894">
        <v>-1.9353706235684085E-2</v>
      </c>
      <c r="S894">
        <v>-1.9353706235684085E-2</v>
      </c>
      <c r="T894" t="s">
        <v>32</v>
      </c>
      <c r="U894" t="s">
        <v>32</v>
      </c>
      <c r="W894" t="s">
        <v>220</v>
      </c>
      <c r="Z894" t="s">
        <v>31</v>
      </c>
      <c r="AA894">
        <v>2.7109758090301601E-2</v>
      </c>
      <c r="AC894" t="s">
        <v>33</v>
      </c>
      <c r="AD894" t="s">
        <v>33</v>
      </c>
      <c r="AE894" t="s">
        <v>41</v>
      </c>
      <c r="AF894">
        <v>2.29</v>
      </c>
      <c r="AG894">
        <v>2.29</v>
      </c>
      <c r="AH894" t="s">
        <v>237</v>
      </c>
      <c r="AI894" t="s">
        <v>237</v>
      </c>
      <c r="AJ894">
        <v>-4.4269288505312003E-3</v>
      </c>
      <c r="AK894">
        <v>0</v>
      </c>
      <c r="AL894">
        <v>4.4269288505312003E-3</v>
      </c>
      <c r="AM894" t="s">
        <v>41</v>
      </c>
      <c r="AN894" t="s">
        <v>33</v>
      </c>
      <c r="AO894" t="s">
        <v>33</v>
      </c>
      <c r="AP894" t="s">
        <v>31</v>
      </c>
    </row>
    <row r="895" spans="1:43" x14ac:dyDescent="0.2">
      <c r="A895">
        <v>893</v>
      </c>
      <c r="B895">
        <v>102</v>
      </c>
      <c r="C895">
        <v>6</v>
      </c>
      <c r="F895" t="s">
        <v>29</v>
      </c>
      <c r="G895" t="s">
        <v>1588</v>
      </c>
      <c r="I895">
        <v>3.4960636336491703E-5</v>
      </c>
      <c r="J895">
        <v>6.7086764979903002</v>
      </c>
      <c r="K895">
        <v>6.7086764979903002</v>
      </c>
      <c r="L895" s="1"/>
      <c r="M895" s="1"/>
      <c r="N895" s="1">
        <v>43021</v>
      </c>
      <c r="R895">
        <v>-1.8769776239421981E-2</v>
      </c>
      <c r="S895">
        <v>-1.8769776239421981E-2</v>
      </c>
      <c r="T895" t="s">
        <v>32</v>
      </c>
      <c r="U895" t="s">
        <v>32</v>
      </c>
      <c r="W895" t="s">
        <v>220</v>
      </c>
      <c r="Z895" t="s">
        <v>31</v>
      </c>
      <c r="AA895">
        <v>1.106211793624489E-2</v>
      </c>
      <c r="AC895" t="s">
        <v>33</v>
      </c>
      <c r="AD895" t="s">
        <v>33</v>
      </c>
      <c r="AE895" t="s">
        <v>41</v>
      </c>
      <c r="AF895">
        <v>2.56</v>
      </c>
      <c r="AG895">
        <v>2.56</v>
      </c>
      <c r="AH895" t="s">
        <v>237</v>
      </c>
      <c r="AI895" t="s">
        <v>237</v>
      </c>
      <c r="AJ895">
        <v>-1.8626027231514999E-3</v>
      </c>
      <c r="AK895">
        <v>0</v>
      </c>
      <c r="AL895">
        <v>1.8626027231514999E-3</v>
      </c>
      <c r="AM895" t="s">
        <v>41</v>
      </c>
      <c r="AN895" t="s">
        <v>33</v>
      </c>
      <c r="AO895" t="s">
        <v>33</v>
      </c>
      <c r="AP895" t="s">
        <v>31</v>
      </c>
    </row>
    <row r="896" spans="1:43" x14ac:dyDescent="0.2">
      <c r="A896">
        <v>894</v>
      </c>
      <c r="B896">
        <v>99</v>
      </c>
      <c r="C896">
        <v>6</v>
      </c>
      <c r="F896" t="s">
        <v>29</v>
      </c>
      <c r="G896" t="s">
        <v>1589</v>
      </c>
      <c r="I896">
        <v>1.3774034093013196E-5</v>
      </c>
      <c r="J896">
        <v>4.7054049284566002</v>
      </c>
      <c r="K896">
        <v>4.7054049284566002</v>
      </c>
      <c r="L896" s="1"/>
      <c r="M896" s="1"/>
      <c r="N896" s="1">
        <v>43021</v>
      </c>
      <c r="R896">
        <v>-1.4967484789654954E-2</v>
      </c>
      <c r="S896">
        <v>-1.4967484789654954E-2</v>
      </c>
      <c r="T896" t="s">
        <v>32</v>
      </c>
      <c r="U896" t="s">
        <v>32</v>
      </c>
      <c r="AA896">
        <v>4.3583299837059034E-3</v>
      </c>
      <c r="AC896" t="s">
        <v>33</v>
      </c>
      <c r="AD896" t="s">
        <v>33</v>
      </c>
      <c r="AF896">
        <v>2.4</v>
      </c>
      <c r="AG896">
        <v>2.4</v>
      </c>
      <c r="AH896" t="s">
        <v>237</v>
      </c>
      <c r="AI896" t="s">
        <v>237</v>
      </c>
      <c r="AJ896">
        <v>-9.2026377755421995E-4</v>
      </c>
      <c r="AK896">
        <v>0</v>
      </c>
      <c r="AL896">
        <v>9.2026377755421995E-4</v>
      </c>
      <c r="AN896" t="s">
        <v>33</v>
      </c>
      <c r="AO896" t="s">
        <v>33</v>
      </c>
    </row>
    <row r="897" spans="1:43" x14ac:dyDescent="0.2">
      <c r="A897">
        <v>895</v>
      </c>
      <c r="B897">
        <v>96</v>
      </c>
      <c r="C897">
        <v>6</v>
      </c>
      <c r="F897" t="s">
        <v>29</v>
      </c>
      <c r="G897" t="s">
        <v>1590</v>
      </c>
      <c r="I897">
        <v>1.7109347230682421E-5</v>
      </c>
      <c r="J897">
        <v>1.1090654009276</v>
      </c>
      <c r="K897">
        <v>1.1090654009276</v>
      </c>
      <c r="L897" s="1"/>
      <c r="M897" s="1"/>
      <c r="N897" s="1">
        <v>43021</v>
      </c>
      <c r="R897">
        <v>-1.9353706235684085E-2</v>
      </c>
      <c r="S897">
        <v>-1.9353706235684085E-2</v>
      </c>
      <c r="T897" t="s">
        <v>32</v>
      </c>
      <c r="U897" t="s">
        <v>32</v>
      </c>
      <c r="W897" t="s">
        <v>220</v>
      </c>
      <c r="Z897" t="s">
        <v>31</v>
      </c>
      <c r="AA897">
        <v>5.4136776875659881E-3</v>
      </c>
      <c r="AC897" t="s">
        <v>33</v>
      </c>
      <c r="AD897" t="s">
        <v>33</v>
      </c>
      <c r="AE897" t="s">
        <v>41</v>
      </c>
      <c r="AF897">
        <v>2.11</v>
      </c>
      <c r="AG897">
        <v>2.11</v>
      </c>
      <c r="AH897" t="s">
        <v>237</v>
      </c>
      <c r="AI897" t="s">
        <v>237</v>
      </c>
      <c r="AJ897">
        <v>-8.8403466614246997E-4</v>
      </c>
      <c r="AK897">
        <v>0</v>
      </c>
      <c r="AL897">
        <v>8.8403466614246997E-4</v>
      </c>
      <c r="AM897" t="s">
        <v>41</v>
      </c>
      <c r="AN897" t="s">
        <v>33</v>
      </c>
      <c r="AO897" t="s">
        <v>33</v>
      </c>
      <c r="AP897" t="s">
        <v>31</v>
      </c>
    </row>
    <row r="898" spans="1:43" x14ac:dyDescent="0.2">
      <c r="A898">
        <v>896</v>
      </c>
      <c r="B898">
        <v>102</v>
      </c>
      <c r="C898">
        <v>6</v>
      </c>
      <c r="F898" t="s">
        <v>29</v>
      </c>
      <c r="G898" t="s">
        <v>1591</v>
      </c>
      <c r="I898">
        <v>1.7632966601140962E-5</v>
      </c>
      <c r="J898">
        <v>5.0107900646142003</v>
      </c>
      <c r="K898">
        <v>5.0107900646142003</v>
      </c>
      <c r="L898" s="1"/>
      <c r="M898" s="1"/>
      <c r="N898" s="1">
        <v>43021</v>
      </c>
      <c r="R898">
        <v>-1.8769776239421981E-2</v>
      </c>
      <c r="S898">
        <v>-1.8769776239421981E-2</v>
      </c>
      <c r="T898" t="s">
        <v>32</v>
      </c>
      <c r="U898" t="s">
        <v>32</v>
      </c>
      <c r="W898" t="s">
        <v>220</v>
      </c>
      <c r="Z898" t="s">
        <v>31</v>
      </c>
      <c r="AA898">
        <v>5.5793594324279562E-3</v>
      </c>
      <c r="AC898" t="s">
        <v>33</v>
      </c>
      <c r="AD898" t="s">
        <v>33</v>
      </c>
      <c r="AE898" t="s">
        <v>41</v>
      </c>
      <c r="AF898">
        <v>2.2599999999999998</v>
      </c>
      <c r="AG898">
        <v>2.2599999999999998</v>
      </c>
      <c r="AH898" t="s">
        <v>237</v>
      </c>
      <c r="AI898" t="s">
        <v>237</v>
      </c>
      <c r="AJ898">
        <v>-9.3943403353454E-4</v>
      </c>
      <c r="AK898">
        <v>0</v>
      </c>
      <c r="AL898">
        <v>9.3943403353454E-4</v>
      </c>
      <c r="AM898" t="s">
        <v>41</v>
      </c>
      <c r="AN898" t="s">
        <v>33</v>
      </c>
      <c r="AO898" t="s">
        <v>33</v>
      </c>
      <c r="AP898" t="s">
        <v>31</v>
      </c>
    </row>
    <row r="899" spans="1:43" x14ac:dyDescent="0.2">
      <c r="A899">
        <v>897</v>
      </c>
      <c r="B899">
        <v>102</v>
      </c>
      <c r="C899">
        <v>6</v>
      </c>
      <c r="F899" t="s">
        <v>29</v>
      </c>
      <c r="G899" t="s">
        <v>1719</v>
      </c>
      <c r="I899">
        <v>1.7933265900069262E-5</v>
      </c>
      <c r="J899">
        <v>8.7855022538069996</v>
      </c>
      <c r="K899">
        <v>8.7855022538069996</v>
      </c>
      <c r="L899" s="1"/>
      <c r="M899" s="1"/>
      <c r="N899" s="1">
        <v>43021</v>
      </c>
      <c r="R899">
        <v>-1.8769776239421981E-2</v>
      </c>
      <c r="S899">
        <v>-1.8769776239421981E-2</v>
      </c>
      <c r="T899" t="s">
        <v>32</v>
      </c>
      <c r="U899" t="s">
        <v>32</v>
      </c>
      <c r="AA899">
        <v>5.6743790490317043E-3</v>
      </c>
      <c r="AC899" t="s">
        <v>33</v>
      </c>
      <c r="AD899" t="s">
        <v>33</v>
      </c>
      <c r="AF899">
        <v>2.71</v>
      </c>
      <c r="AG899">
        <v>2.71</v>
      </c>
      <c r="AH899" t="s">
        <v>237</v>
      </c>
      <c r="AI899" t="s">
        <v>237</v>
      </c>
      <c r="AJ899">
        <v>-9.5543312138181996E-4</v>
      </c>
      <c r="AK899">
        <v>0</v>
      </c>
      <c r="AL899">
        <v>9.5543312138181996E-4</v>
      </c>
      <c r="AN899" t="s">
        <v>33</v>
      </c>
      <c r="AO899" t="s">
        <v>33</v>
      </c>
    </row>
    <row r="900" spans="1:43" x14ac:dyDescent="0.2">
      <c r="A900">
        <v>898</v>
      </c>
      <c r="B900">
        <v>99</v>
      </c>
      <c r="C900">
        <v>6</v>
      </c>
      <c r="D900">
        <v>20000</v>
      </c>
      <c r="E900" t="s">
        <v>921</v>
      </c>
      <c r="F900" t="s">
        <v>29</v>
      </c>
      <c r="G900" t="s">
        <v>922</v>
      </c>
      <c r="H900">
        <v>3.9193360203762989E-2</v>
      </c>
      <c r="I900">
        <v>-1.036563832039102E-4</v>
      </c>
      <c r="J900">
        <v>4.6500000000000004</v>
      </c>
      <c r="K900">
        <v>4.6567270746993001</v>
      </c>
      <c r="L900" s="1">
        <v>46266</v>
      </c>
      <c r="M900" s="1">
        <v>43024</v>
      </c>
      <c r="N900" s="1">
        <v>43021</v>
      </c>
      <c r="R900">
        <v>-1.4967484789654954E-2</v>
      </c>
      <c r="S900">
        <v>-1.4967484789654954E-2</v>
      </c>
      <c r="T900" t="s">
        <v>32</v>
      </c>
      <c r="U900" t="s">
        <v>32</v>
      </c>
      <c r="V900">
        <v>466315058</v>
      </c>
      <c r="W900" t="s">
        <v>327</v>
      </c>
      <c r="X900" t="s">
        <v>923</v>
      </c>
      <c r="Y900">
        <v>20000</v>
      </c>
      <c r="Z900" t="s">
        <v>31</v>
      </c>
      <c r="AA900">
        <v>-3.2798577371698827E-2</v>
      </c>
      <c r="AB900">
        <v>120.77</v>
      </c>
      <c r="AC900" t="s">
        <v>34</v>
      </c>
      <c r="AD900" t="s">
        <v>34</v>
      </c>
      <c r="AE900" t="s">
        <v>56</v>
      </c>
      <c r="AF900">
        <v>-2.2888208702300655E-3</v>
      </c>
      <c r="AG900">
        <v>2.14</v>
      </c>
      <c r="AH900" t="s">
        <v>237</v>
      </c>
      <c r="AI900" t="s">
        <v>237</v>
      </c>
      <c r="AJ900">
        <v>6.925437684463469E-3</v>
      </c>
      <c r="AK900">
        <v>8.4286796137124694E-3</v>
      </c>
      <c r="AL900">
        <v>1.5032419292490002E-3</v>
      </c>
      <c r="AM900" t="s">
        <v>56</v>
      </c>
      <c r="AN900" t="s">
        <v>54</v>
      </c>
      <c r="AO900" t="s">
        <v>34</v>
      </c>
      <c r="AP900" t="s">
        <v>31</v>
      </c>
      <c r="AQ900">
        <v>-1.9291737808347785E-5</v>
      </c>
    </row>
    <row r="901" spans="1:43" x14ac:dyDescent="0.2">
      <c r="A901">
        <v>899</v>
      </c>
      <c r="B901">
        <v>96</v>
      </c>
      <c r="C901">
        <v>6</v>
      </c>
      <c r="D901">
        <v>1000</v>
      </c>
      <c r="E901" t="s">
        <v>339</v>
      </c>
      <c r="F901" t="s">
        <v>29</v>
      </c>
      <c r="G901" t="s">
        <v>481</v>
      </c>
      <c r="H901">
        <v>8.9112988707988649E-4</v>
      </c>
      <c r="I901">
        <v>1.5703256199300824E-5</v>
      </c>
      <c r="J901">
        <v>1.84</v>
      </c>
      <c r="K901">
        <v>1.8512204451476</v>
      </c>
      <c r="L901" s="1">
        <v>43709</v>
      </c>
      <c r="M901" s="1">
        <v>43024</v>
      </c>
      <c r="N901" s="1">
        <v>43021</v>
      </c>
      <c r="R901">
        <v>-1.9353706235684085E-2</v>
      </c>
      <c r="S901">
        <v>-1.9353706235684085E-2</v>
      </c>
      <c r="T901" t="s">
        <v>32</v>
      </c>
      <c r="U901" t="s">
        <v>32</v>
      </c>
      <c r="V901">
        <v>26794341</v>
      </c>
      <c r="W901" t="s">
        <v>341</v>
      </c>
      <c r="X901" t="s">
        <v>482</v>
      </c>
      <c r="Y901">
        <v>1000</v>
      </c>
      <c r="Z901" t="s">
        <v>31</v>
      </c>
      <c r="AA901">
        <v>4.9687674557117719E-3</v>
      </c>
      <c r="AB901">
        <v>100.22</v>
      </c>
      <c r="AC901" t="s">
        <v>34</v>
      </c>
      <c r="AD901" t="s">
        <v>34</v>
      </c>
      <c r="AE901" t="s">
        <v>35</v>
      </c>
      <c r="AF901">
        <v>-1.7888208702300651E-3</v>
      </c>
      <c r="AG901">
        <v>2.1800000000000002</v>
      </c>
      <c r="AH901" t="s">
        <v>237</v>
      </c>
      <c r="AI901" t="s">
        <v>237</v>
      </c>
      <c r="AJ901">
        <v>-8.1138237855173123E-4</v>
      </c>
      <c r="AK901">
        <v>4.8430972123906873E-4</v>
      </c>
      <c r="AL901">
        <v>1.2956920997908E-3</v>
      </c>
      <c r="AM901" t="s">
        <v>35</v>
      </c>
      <c r="AN901" t="s">
        <v>54</v>
      </c>
      <c r="AO901" t="s">
        <v>34</v>
      </c>
      <c r="AP901" t="s">
        <v>31</v>
      </c>
      <c r="AQ901">
        <v>-8.6634333700775114E-7</v>
      </c>
    </row>
    <row r="902" spans="1:43" x14ac:dyDescent="0.2">
      <c r="A902">
        <v>900</v>
      </c>
      <c r="B902">
        <v>102</v>
      </c>
      <c r="C902">
        <v>6</v>
      </c>
      <c r="D902">
        <v>15000</v>
      </c>
      <c r="E902" t="s">
        <v>924</v>
      </c>
      <c r="F902" t="s">
        <v>29</v>
      </c>
      <c r="G902" t="s">
        <v>925</v>
      </c>
      <c r="H902">
        <v>6.6547645058927879E-2</v>
      </c>
      <c r="I902">
        <v>-5.9119376379562155E-5</v>
      </c>
      <c r="J902">
        <v>8.52</v>
      </c>
      <c r="K902">
        <v>8.5385662211681002</v>
      </c>
      <c r="L902" s="1">
        <v>48837</v>
      </c>
      <c r="M902" s="1">
        <v>43024</v>
      </c>
      <c r="N902" s="1">
        <v>43021</v>
      </c>
      <c r="R902">
        <v>-1.8769776239421981E-2</v>
      </c>
      <c r="S902">
        <v>-1.8769776239421981E-2</v>
      </c>
      <c r="T902" t="s">
        <v>32</v>
      </c>
      <c r="U902" t="s">
        <v>32</v>
      </c>
      <c r="V902">
        <v>432128580</v>
      </c>
      <c r="W902" t="s">
        <v>926</v>
      </c>
      <c r="X902" t="s">
        <v>927</v>
      </c>
      <c r="Y902">
        <v>15000</v>
      </c>
      <c r="Z902" t="s">
        <v>31</v>
      </c>
      <c r="AA902">
        <v>-1.8706338967444388E-2</v>
      </c>
      <c r="AB902">
        <v>106.5</v>
      </c>
      <c r="AC902" t="s">
        <v>36</v>
      </c>
      <c r="AD902" t="s">
        <v>36</v>
      </c>
      <c r="AE902" t="s">
        <v>41</v>
      </c>
      <c r="AF902">
        <v>3.7111791297699363E-3</v>
      </c>
      <c r="AG902">
        <v>2.69</v>
      </c>
      <c r="AH902" t="s">
        <v>237</v>
      </c>
      <c r="AI902" t="s">
        <v>237</v>
      </c>
      <c r="AJ902">
        <v>3.1497113031850798E-3</v>
      </c>
      <c r="AK902">
        <v>7.8107564623154796E-3</v>
      </c>
      <c r="AL902">
        <v>4.6610451591303998E-3</v>
      </c>
      <c r="AM902" t="s">
        <v>41</v>
      </c>
      <c r="AN902" t="s">
        <v>150</v>
      </c>
      <c r="AO902" t="s">
        <v>36</v>
      </c>
      <c r="AP902" t="s">
        <v>31</v>
      </c>
      <c r="AQ902">
        <v>2.8987116370660868E-5</v>
      </c>
    </row>
    <row r="903" spans="1:43" x14ac:dyDescent="0.2">
      <c r="A903">
        <v>901</v>
      </c>
      <c r="B903">
        <v>102</v>
      </c>
      <c r="C903">
        <v>6</v>
      </c>
      <c r="F903" t="s">
        <v>29</v>
      </c>
      <c r="G903" t="s">
        <v>1720</v>
      </c>
      <c r="I903">
        <v>5.3117381361662762E-5</v>
      </c>
      <c r="J903">
        <v>5.7069557486095004</v>
      </c>
      <c r="K903">
        <v>5.7069557486095004</v>
      </c>
      <c r="L903" s="1"/>
      <c r="M903" s="1"/>
      <c r="N903" s="1">
        <v>43021</v>
      </c>
      <c r="R903">
        <v>-1.8769776239421981E-2</v>
      </c>
      <c r="S903">
        <v>-1.8769776239421981E-2</v>
      </c>
      <c r="T903" t="s">
        <v>32</v>
      </c>
      <c r="U903" t="s">
        <v>32</v>
      </c>
      <c r="W903" t="s">
        <v>494</v>
      </c>
      <c r="Z903" t="s">
        <v>31</v>
      </c>
      <c r="AA903">
        <v>1.6807209440689898E-2</v>
      </c>
      <c r="AC903" t="s">
        <v>36</v>
      </c>
      <c r="AD903" t="s">
        <v>36</v>
      </c>
      <c r="AE903" t="s">
        <v>57</v>
      </c>
      <c r="AF903">
        <v>2.23</v>
      </c>
      <c r="AG903">
        <v>2.23</v>
      </c>
      <c r="AH903" t="s">
        <v>237</v>
      </c>
      <c r="AI903" t="s">
        <v>237</v>
      </c>
      <c r="AJ903">
        <v>-2.8299421732103998E-3</v>
      </c>
      <c r="AK903">
        <v>0</v>
      </c>
      <c r="AL903">
        <v>2.8299421732103998E-3</v>
      </c>
      <c r="AM903" t="s">
        <v>57</v>
      </c>
      <c r="AN903" t="s">
        <v>36</v>
      </c>
      <c r="AO903" t="s">
        <v>36</v>
      </c>
      <c r="AP903" t="s">
        <v>31</v>
      </c>
    </row>
    <row r="904" spans="1:43" x14ac:dyDescent="0.2">
      <c r="A904">
        <v>902</v>
      </c>
      <c r="B904">
        <v>102</v>
      </c>
      <c r="C904">
        <v>6</v>
      </c>
      <c r="F904" t="s">
        <v>29</v>
      </c>
      <c r="G904" t="s">
        <v>928</v>
      </c>
      <c r="I904">
        <v>6.8246790820063931E-5</v>
      </c>
      <c r="J904">
        <v>6.9091946163489997</v>
      </c>
      <c r="K904">
        <v>6.9091946163489997</v>
      </c>
      <c r="L904" s="1"/>
      <c r="M904" s="1"/>
      <c r="N904" s="1">
        <v>43021</v>
      </c>
      <c r="R904">
        <v>-1.8769776239421981E-2</v>
      </c>
      <c r="S904">
        <v>-1.8769776239421981E-2</v>
      </c>
      <c r="T904" t="s">
        <v>32</v>
      </c>
      <c r="U904" t="s">
        <v>32</v>
      </c>
      <c r="W904" t="s">
        <v>515</v>
      </c>
      <c r="Z904" t="s">
        <v>31</v>
      </c>
      <c r="AA904">
        <v>2.1594402388888035E-2</v>
      </c>
      <c r="AC904" t="s">
        <v>34</v>
      </c>
      <c r="AD904" t="s">
        <v>34</v>
      </c>
      <c r="AE904" t="s">
        <v>175</v>
      </c>
      <c r="AF904">
        <v>2.5499999999999998</v>
      </c>
      <c r="AG904">
        <v>2.5499999999999998</v>
      </c>
      <c r="AH904" t="s">
        <v>237</v>
      </c>
      <c r="AI904" t="s">
        <v>237</v>
      </c>
      <c r="AJ904">
        <v>-3.6359938418832E-3</v>
      </c>
      <c r="AK904">
        <v>0</v>
      </c>
      <c r="AL904">
        <v>3.6359938418832E-3</v>
      </c>
      <c r="AM904" t="s">
        <v>175</v>
      </c>
      <c r="AN904" t="s">
        <v>34</v>
      </c>
      <c r="AO904" t="s">
        <v>34</v>
      </c>
      <c r="AP904" t="s">
        <v>31</v>
      </c>
    </row>
    <row r="905" spans="1:43" x14ac:dyDescent="0.2">
      <c r="A905">
        <v>903</v>
      </c>
      <c r="B905">
        <v>99</v>
      </c>
      <c r="C905">
        <v>6</v>
      </c>
      <c r="F905" t="s">
        <v>29</v>
      </c>
      <c r="G905" t="s">
        <v>514</v>
      </c>
      <c r="I905">
        <v>1.7175570272942245E-5</v>
      </c>
      <c r="J905">
        <v>3.2777179151506002</v>
      </c>
      <c r="K905">
        <v>3.2777179151506002</v>
      </c>
      <c r="L905" s="1"/>
      <c r="M905" s="1"/>
      <c r="N905" s="1">
        <v>43021</v>
      </c>
      <c r="R905">
        <v>-1.4967484789654954E-2</v>
      </c>
      <c r="S905">
        <v>-1.4967484789654954E-2</v>
      </c>
      <c r="T905" t="s">
        <v>32</v>
      </c>
      <c r="U905" t="s">
        <v>32</v>
      </c>
      <c r="W905" t="s">
        <v>515</v>
      </c>
      <c r="Z905" t="s">
        <v>31</v>
      </c>
      <c r="AA905">
        <v>5.4346317427646472E-3</v>
      </c>
      <c r="AC905" t="s">
        <v>34</v>
      </c>
      <c r="AD905" t="s">
        <v>34</v>
      </c>
      <c r="AE905" t="s">
        <v>175</v>
      </c>
      <c r="AF905">
        <v>2</v>
      </c>
      <c r="AG905">
        <v>2</v>
      </c>
      <c r="AH905" t="s">
        <v>237</v>
      </c>
      <c r="AI905" t="s">
        <v>237</v>
      </c>
      <c r="AJ905">
        <v>-1.1475254870353E-3</v>
      </c>
      <c r="AK905">
        <v>0</v>
      </c>
      <c r="AL905">
        <v>1.1475254870353E-3</v>
      </c>
      <c r="AM905" t="s">
        <v>175</v>
      </c>
      <c r="AN905" t="s">
        <v>34</v>
      </c>
      <c r="AO905" t="s">
        <v>34</v>
      </c>
      <c r="AP905" t="s">
        <v>31</v>
      </c>
    </row>
    <row r="906" spans="1:43" x14ac:dyDescent="0.2">
      <c r="A906">
        <v>904</v>
      </c>
      <c r="B906">
        <v>102</v>
      </c>
      <c r="C906">
        <v>6</v>
      </c>
      <c r="D906">
        <v>30000</v>
      </c>
      <c r="E906" t="s">
        <v>929</v>
      </c>
      <c r="F906" t="s">
        <v>29</v>
      </c>
      <c r="G906" t="s">
        <v>930</v>
      </c>
      <c r="H906">
        <v>0.13870556869530049</v>
      </c>
      <c r="I906">
        <v>-6.089031572928978E-5</v>
      </c>
      <c r="J906">
        <v>8.4</v>
      </c>
      <c r="K906">
        <v>8.4091804318612997</v>
      </c>
      <c r="L906" s="1">
        <v>46736</v>
      </c>
      <c r="M906" s="1">
        <v>43024</v>
      </c>
      <c r="N906" s="1">
        <v>43021</v>
      </c>
      <c r="R906">
        <v>-1.8769776239421981E-2</v>
      </c>
      <c r="S906">
        <v>-1.8769776239421981E-2</v>
      </c>
      <c r="T906" t="s">
        <v>32</v>
      </c>
      <c r="U906" t="s">
        <v>32</v>
      </c>
      <c r="V906">
        <v>913554592</v>
      </c>
      <c r="W906" t="s">
        <v>931</v>
      </c>
      <c r="X906" t="s">
        <v>932</v>
      </c>
      <c r="Y906">
        <v>30000</v>
      </c>
      <c r="Z906" t="s">
        <v>31</v>
      </c>
      <c r="AA906">
        <v>-1.9266693182855954E-2</v>
      </c>
      <c r="AB906">
        <v>112.62</v>
      </c>
      <c r="AC906" t="s">
        <v>34</v>
      </c>
      <c r="AD906" t="s">
        <v>34</v>
      </c>
      <c r="AE906" t="s">
        <v>178</v>
      </c>
      <c r="AF906">
        <v>4.1111791297699339E-3</v>
      </c>
      <c r="AG906">
        <v>2.76</v>
      </c>
      <c r="AH906" t="s">
        <v>237</v>
      </c>
      <c r="AI906" t="s">
        <v>237</v>
      </c>
      <c r="AJ906">
        <v>3.2440618871844851E-3</v>
      </c>
      <c r="AK906">
        <v>1.6512567701821485E-2</v>
      </c>
      <c r="AL906">
        <v>1.3268505814637E-2</v>
      </c>
      <c r="AM906" t="s">
        <v>178</v>
      </c>
      <c r="AN906" t="s">
        <v>54</v>
      </c>
      <c r="AO906" t="s">
        <v>34</v>
      </c>
      <c r="AP906" t="s">
        <v>31</v>
      </c>
      <c r="AQ906">
        <v>6.7886123714641565E-5</v>
      </c>
    </row>
    <row r="907" spans="1:43" x14ac:dyDescent="0.2">
      <c r="A907">
        <v>905</v>
      </c>
      <c r="B907">
        <v>101</v>
      </c>
      <c r="C907">
        <v>6</v>
      </c>
      <c r="F907" t="s">
        <v>29</v>
      </c>
      <c r="G907" t="s">
        <v>1592</v>
      </c>
      <c r="I907">
        <v>1.0801157824167647E-5</v>
      </c>
      <c r="J907">
        <v>5.4784518659426</v>
      </c>
      <c r="K907">
        <v>5.4784518659426</v>
      </c>
      <c r="L907" s="1"/>
      <c r="M907" s="1"/>
      <c r="N907" s="1">
        <v>43021</v>
      </c>
      <c r="R907">
        <v>-2.4503300094715318E-2</v>
      </c>
      <c r="S907">
        <v>-2.4503300094715318E-2</v>
      </c>
      <c r="T907" t="s">
        <v>32</v>
      </c>
      <c r="U907" t="s">
        <v>32</v>
      </c>
      <c r="W907" t="s">
        <v>358</v>
      </c>
      <c r="Z907" t="s">
        <v>31</v>
      </c>
      <c r="AA907">
        <v>3.4176632412786035E-3</v>
      </c>
      <c r="AC907" t="s">
        <v>42</v>
      </c>
      <c r="AD907" t="s">
        <v>42</v>
      </c>
      <c r="AE907" t="s">
        <v>35</v>
      </c>
      <c r="AF907">
        <v>2.21</v>
      </c>
      <c r="AG907">
        <v>2.21</v>
      </c>
      <c r="AH907" t="s">
        <v>237</v>
      </c>
      <c r="AI907" t="s">
        <v>237</v>
      </c>
      <c r="AJ907">
        <v>-4.4080420932758997E-4</v>
      </c>
      <c r="AK907">
        <v>0</v>
      </c>
      <c r="AL907">
        <v>4.4080420932758997E-4</v>
      </c>
      <c r="AM907" t="s">
        <v>35</v>
      </c>
      <c r="AN907" t="s">
        <v>42</v>
      </c>
      <c r="AO907" t="s">
        <v>42</v>
      </c>
      <c r="AP907" t="s">
        <v>31</v>
      </c>
    </row>
    <row r="908" spans="1:43" x14ac:dyDescent="0.2">
      <c r="A908">
        <v>906</v>
      </c>
      <c r="B908">
        <v>96</v>
      </c>
      <c r="C908">
        <v>6</v>
      </c>
      <c r="D908">
        <v>500</v>
      </c>
      <c r="E908" t="s">
        <v>933</v>
      </c>
      <c r="F908" t="s">
        <v>29</v>
      </c>
      <c r="G908" t="s">
        <v>934</v>
      </c>
      <c r="H908">
        <v>5.6134980519507473E-4</v>
      </c>
      <c r="I908">
        <v>2.8769047028208512E-5</v>
      </c>
      <c r="J908">
        <v>2.3199999999999998</v>
      </c>
      <c r="K908">
        <v>2.3276759172542998</v>
      </c>
      <c r="L908" s="1">
        <v>43891</v>
      </c>
      <c r="M908" s="1">
        <v>43024</v>
      </c>
      <c r="N908" s="1">
        <v>43021</v>
      </c>
      <c r="R908">
        <v>-1.9353706235684085E-2</v>
      </c>
      <c r="S908">
        <v>-1.9353706235684085E-2</v>
      </c>
      <c r="T908" t="s">
        <v>32</v>
      </c>
      <c r="U908" t="s">
        <v>32</v>
      </c>
      <c r="V908">
        <v>13386452</v>
      </c>
      <c r="W908" t="s">
        <v>358</v>
      </c>
      <c r="X908" t="s">
        <v>935</v>
      </c>
      <c r="Y908">
        <v>500</v>
      </c>
      <c r="Z908" t="s">
        <v>31</v>
      </c>
      <c r="AA908">
        <v>9.1029976707613369E-3</v>
      </c>
      <c r="AB908">
        <v>100.14</v>
      </c>
      <c r="AC908" t="s">
        <v>34</v>
      </c>
      <c r="AD908" t="s">
        <v>34</v>
      </c>
      <c r="AE908" t="s">
        <v>35</v>
      </c>
      <c r="AF908">
        <v>-1.1888208702300652E-3</v>
      </c>
      <c r="AG908">
        <v>2.25</v>
      </c>
      <c r="AH908" t="s">
        <v>237</v>
      </c>
      <c r="AI908" t="s">
        <v>237</v>
      </c>
      <c r="AJ908">
        <v>-1.4864877392405883E-3</v>
      </c>
      <c r="AK908">
        <v>2.4196112292891153E-4</v>
      </c>
      <c r="AL908">
        <v>1.7284488621694999E-3</v>
      </c>
      <c r="AM908" t="s">
        <v>35</v>
      </c>
      <c r="AN908" t="s">
        <v>54</v>
      </c>
      <c r="AO908" t="s">
        <v>34</v>
      </c>
      <c r="AP908" t="s">
        <v>31</v>
      </c>
      <c r="AQ908">
        <v>-2.876484327221924E-7</v>
      </c>
    </row>
    <row r="909" spans="1:43" x14ac:dyDescent="0.2">
      <c r="A909">
        <v>907</v>
      </c>
      <c r="B909">
        <v>99</v>
      </c>
      <c r="C909">
        <v>6</v>
      </c>
      <c r="F909" t="s">
        <v>29</v>
      </c>
      <c r="G909" t="s">
        <v>1593</v>
      </c>
      <c r="I909">
        <v>3.8471114422588224E-5</v>
      </c>
      <c r="J909">
        <v>4.0520854878824002</v>
      </c>
      <c r="K909">
        <v>4.0520854878824002</v>
      </c>
      <c r="L909" s="1"/>
      <c r="M909" s="1"/>
      <c r="N909" s="1">
        <v>43021</v>
      </c>
      <c r="R909">
        <v>-1.4967484789654954E-2</v>
      </c>
      <c r="S909">
        <v>-1.4967484789654954E-2</v>
      </c>
      <c r="T909" t="s">
        <v>32</v>
      </c>
      <c r="U909" t="s">
        <v>32</v>
      </c>
      <c r="W909" t="s">
        <v>358</v>
      </c>
      <c r="Z909" t="s">
        <v>31</v>
      </c>
      <c r="AA909">
        <v>1.2172890698709428E-2</v>
      </c>
      <c r="AC909" t="s">
        <v>34</v>
      </c>
      <c r="AD909" t="s">
        <v>34</v>
      </c>
      <c r="AE909" t="s">
        <v>35</v>
      </c>
      <c r="AF909">
        <v>2.08</v>
      </c>
      <c r="AG909">
        <v>2.08</v>
      </c>
      <c r="AH909" t="s">
        <v>237</v>
      </c>
      <c r="AI909" t="s">
        <v>237</v>
      </c>
      <c r="AJ909">
        <v>-2.5703125784485997E-3</v>
      </c>
      <c r="AK909">
        <v>0</v>
      </c>
      <c r="AL909">
        <v>2.5703125784485997E-3</v>
      </c>
      <c r="AM909" t="s">
        <v>35</v>
      </c>
      <c r="AN909" t="s">
        <v>34</v>
      </c>
      <c r="AO909" t="s">
        <v>34</v>
      </c>
      <c r="AP909" t="s">
        <v>31</v>
      </c>
    </row>
    <row r="910" spans="1:43" x14ac:dyDescent="0.2">
      <c r="A910">
        <v>908</v>
      </c>
      <c r="B910">
        <v>102</v>
      </c>
      <c r="C910">
        <v>6</v>
      </c>
      <c r="D910">
        <v>15000</v>
      </c>
      <c r="E910" t="s">
        <v>500</v>
      </c>
      <c r="F910" t="s">
        <v>29</v>
      </c>
      <c r="G910" t="s">
        <v>936</v>
      </c>
      <c r="H910">
        <v>5.1282970500502768E-2</v>
      </c>
      <c r="I910">
        <v>-9.9407170381353305E-5</v>
      </c>
      <c r="J910">
        <v>6.23</v>
      </c>
      <c r="K910">
        <v>6.2405760816392002</v>
      </c>
      <c r="L910" s="1">
        <v>47605</v>
      </c>
      <c r="M910" s="1">
        <v>43024</v>
      </c>
      <c r="N910" s="1">
        <v>43021</v>
      </c>
      <c r="R910">
        <v>-1.8769776239421981E-2</v>
      </c>
      <c r="S910">
        <v>-1.8769776239421981E-2</v>
      </c>
      <c r="T910" t="s">
        <v>32</v>
      </c>
      <c r="U910" t="s">
        <v>32</v>
      </c>
      <c r="V910">
        <v>455412577</v>
      </c>
      <c r="W910" t="s">
        <v>502</v>
      </c>
      <c r="X910" t="s">
        <v>503</v>
      </c>
      <c r="Y910">
        <v>15000</v>
      </c>
      <c r="Z910" t="s">
        <v>31</v>
      </c>
      <c r="AA910">
        <v>-3.1454056839323265E-2</v>
      </c>
      <c r="AB910">
        <v>111.6</v>
      </c>
      <c r="AC910" t="s">
        <v>33</v>
      </c>
      <c r="AD910" t="s">
        <v>33</v>
      </c>
      <c r="AE910" t="s">
        <v>35</v>
      </c>
      <c r="AF910">
        <v>2.8111791297699348E-3</v>
      </c>
      <c r="AG910">
        <v>2.65</v>
      </c>
      <c r="AH910" t="s">
        <v>237</v>
      </c>
      <c r="AI910" t="s">
        <v>237</v>
      </c>
      <c r="AJ910">
        <v>5.2961297520728763E-3</v>
      </c>
      <c r="AK910">
        <v>8.231616452729176E-3</v>
      </c>
      <c r="AL910">
        <v>2.9354867006563001E-3</v>
      </c>
      <c r="AM910" t="s">
        <v>35</v>
      </c>
      <c r="AN910" t="s">
        <v>148</v>
      </c>
      <c r="AO910" t="s">
        <v>33</v>
      </c>
      <c r="AP910" t="s">
        <v>31</v>
      </c>
      <c r="AQ910">
        <v>2.3140548376183084E-5</v>
      </c>
    </row>
    <row r="911" spans="1:43" x14ac:dyDescent="0.2">
      <c r="A911">
        <v>909</v>
      </c>
      <c r="B911">
        <v>93</v>
      </c>
      <c r="C911">
        <v>6</v>
      </c>
      <c r="F911" t="s">
        <v>29</v>
      </c>
      <c r="G911" t="s">
        <v>1594</v>
      </c>
      <c r="I911">
        <v>1.8719414608854081E-6</v>
      </c>
      <c r="J911">
        <v>0.61901072720687</v>
      </c>
      <c r="K911">
        <v>0.61901072720687</v>
      </c>
      <c r="L911" s="1"/>
      <c r="M911" s="1"/>
      <c r="N911" s="1">
        <v>43021</v>
      </c>
      <c r="R911">
        <v>-6.3814612918483005E-3</v>
      </c>
      <c r="S911">
        <v>-6.3814612918483005E-3</v>
      </c>
      <c r="T911" t="s">
        <v>32</v>
      </c>
      <c r="U911" t="s">
        <v>32</v>
      </c>
      <c r="W911" t="s">
        <v>502</v>
      </c>
      <c r="Z911" t="s">
        <v>31</v>
      </c>
      <c r="AA911">
        <v>5.9231293763513187E-4</v>
      </c>
      <c r="AC911" t="s">
        <v>33</v>
      </c>
      <c r="AD911" t="s">
        <v>33</v>
      </c>
      <c r="AE911" t="s">
        <v>35</v>
      </c>
      <c r="AF911">
        <v>1.78</v>
      </c>
      <c r="AG911">
        <v>1.78</v>
      </c>
      <c r="AH911" t="s">
        <v>237</v>
      </c>
      <c r="AI911" t="s">
        <v>237</v>
      </c>
      <c r="AJ911">
        <v>-2.9334056500140998E-4</v>
      </c>
      <c r="AK911">
        <v>0</v>
      </c>
      <c r="AL911">
        <v>2.9334056500140998E-4</v>
      </c>
      <c r="AM911" t="s">
        <v>35</v>
      </c>
      <c r="AN911" t="s">
        <v>33</v>
      </c>
      <c r="AO911" t="s">
        <v>33</v>
      </c>
      <c r="AP911" t="s">
        <v>31</v>
      </c>
    </row>
    <row r="912" spans="1:43" x14ac:dyDescent="0.2">
      <c r="A912">
        <v>910</v>
      </c>
      <c r="B912">
        <v>96</v>
      </c>
      <c r="C912">
        <v>6</v>
      </c>
      <c r="D912">
        <v>4500</v>
      </c>
      <c r="E912" t="s">
        <v>500</v>
      </c>
      <c r="F912" t="s">
        <v>29</v>
      </c>
      <c r="G912" t="s">
        <v>501</v>
      </c>
      <c r="H912">
        <v>2.572466280552012E-3</v>
      </c>
      <c r="I912">
        <v>-1.3103581367404164E-5</v>
      </c>
      <c r="J912">
        <v>1.54</v>
      </c>
      <c r="K912">
        <v>1.5518751282009</v>
      </c>
      <c r="L912" s="1">
        <v>44058</v>
      </c>
      <c r="M912" s="1">
        <v>43024</v>
      </c>
      <c r="N912" s="1">
        <v>43021</v>
      </c>
      <c r="R912">
        <v>-1.9353706235684085E-2</v>
      </c>
      <c r="S912">
        <v>-1.9353706235684085E-2</v>
      </c>
      <c r="T912" t="s">
        <v>32</v>
      </c>
      <c r="U912" t="s">
        <v>32</v>
      </c>
      <c r="V912">
        <v>92416361</v>
      </c>
      <c r="W912" t="s">
        <v>502</v>
      </c>
      <c r="X912" t="s">
        <v>503</v>
      </c>
      <c r="Y912">
        <v>4500</v>
      </c>
      <c r="Z912" t="s">
        <v>31</v>
      </c>
      <c r="AA912">
        <v>-4.1461877603785058E-3</v>
      </c>
      <c r="AB912">
        <v>102.11</v>
      </c>
      <c r="AC912" t="s">
        <v>33</v>
      </c>
      <c r="AD912" t="s">
        <v>33</v>
      </c>
      <c r="AE912" t="s">
        <v>35</v>
      </c>
      <c r="AF912">
        <v>-2.5888208702300637E-3</v>
      </c>
      <c r="AG912">
        <v>2.1</v>
      </c>
      <c r="AH912" t="s">
        <v>237</v>
      </c>
      <c r="AI912" t="s">
        <v>237</v>
      </c>
      <c r="AJ912">
        <v>6.7705798609487872E-4</v>
      </c>
      <c r="AK912">
        <v>1.6704326497090987E-3</v>
      </c>
      <c r="AL912">
        <v>9.9337466361421999E-4</v>
      </c>
      <c r="AM912" t="s">
        <v>35</v>
      </c>
      <c r="AN912" t="s">
        <v>148</v>
      </c>
      <c r="AO912" t="s">
        <v>33</v>
      </c>
      <c r="AP912" t="s">
        <v>31</v>
      </c>
      <c r="AQ912">
        <v>-4.3244509058806203E-6</v>
      </c>
    </row>
    <row r="913" spans="1:43" x14ac:dyDescent="0.2">
      <c r="A913">
        <v>911</v>
      </c>
      <c r="B913">
        <v>102</v>
      </c>
      <c r="C913">
        <v>6</v>
      </c>
      <c r="D913">
        <v>10000</v>
      </c>
      <c r="E913" t="s">
        <v>359</v>
      </c>
      <c r="F913" t="s">
        <v>29</v>
      </c>
      <c r="G913" t="s">
        <v>937</v>
      </c>
      <c r="H913">
        <v>4.358549189978312E-2</v>
      </c>
      <c r="I913">
        <v>-1.9746473621160845E-5</v>
      </c>
      <c r="J913">
        <v>8.14</v>
      </c>
      <c r="K913">
        <v>8.1542282578602006</v>
      </c>
      <c r="L913" s="1">
        <v>48366</v>
      </c>
      <c r="M913" s="1">
        <v>43024</v>
      </c>
      <c r="N913" s="1">
        <v>43021</v>
      </c>
      <c r="R913">
        <v>-1.8769776239421981E-2</v>
      </c>
      <c r="S913">
        <v>-1.8769776239421981E-2</v>
      </c>
      <c r="T913" t="s">
        <v>32</v>
      </c>
      <c r="U913" t="s">
        <v>32</v>
      </c>
      <c r="V913">
        <v>296235731</v>
      </c>
      <c r="W913" t="s">
        <v>360</v>
      </c>
      <c r="X913" t="s">
        <v>445</v>
      </c>
      <c r="Y913">
        <v>10000</v>
      </c>
      <c r="Z913" t="s">
        <v>31</v>
      </c>
      <c r="AA913">
        <v>-6.2481076694312302E-3</v>
      </c>
      <c r="AB913">
        <v>109.54</v>
      </c>
      <c r="AC913" t="s">
        <v>33</v>
      </c>
      <c r="AD913" t="s">
        <v>33</v>
      </c>
      <c r="AE913" t="s">
        <v>38</v>
      </c>
      <c r="AF913">
        <v>3.2111791297699359E-3</v>
      </c>
      <c r="AG913">
        <v>2.67</v>
      </c>
      <c r="AH913" t="s">
        <v>237</v>
      </c>
      <c r="AI913" t="s">
        <v>237</v>
      </c>
      <c r="AJ913">
        <v>1.0520356433278899E-3</v>
      </c>
      <c r="AK913">
        <v>5.3544830343713904E-3</v>
      </c>
      <c r="AL913">
        <v>4.3024473910435006E-3</v>
      </c>
      <c r="AM913" t="s">
        <v>38</v>
      </c>
      <c r="AN913" t="s">
        <v>148</v>
      </c>
      <c r="AO913" t="s">
        <v>33</v>
      </c>
      <c r="AP913" t="s">
        <v>31</v>
      </c>
      <c r="AQ913">
        <v>1.7194204170680608E-5</v>
      </c>
    </row>
    <row r="914" spans="1:43" x14ac:dyDescent="0.2">
      <c r="A914">
        <v>912</v>
      </c>
      <c r="B914">
        <v>93</v>
      </c>
      <c r="C914">
        <v>6</v>
      </c>
      <c r="D914">
        <v>23000</v>
      </c>
      <c r="E914" t="s">
        <v>359</v>
      </c>
      <c r="F914" t="s">
        <v>29</v>
      </c>
      <c r="G914" t="s">
        <v>444</v>
      </c>
      <c r="H914">
        <v>2.8033027698304669E-3</v>
      </c>
      <c r="I914">
        <v>-2.4037135225348978E-5</v>
      </c>
      <c r="J914">
        <v>0.61</v>
      </c>
      <c r="K914">
        <v>0.61973880113434998</v>
      </c>
      <c r="L914" s="1">
        <v>43435</v>
      </c>
      <c r="M914" s="1">
        <v>43024</v>
      </c>
      <c r="N914" s="1">
        <v>43021</v>
      </c>
      <c r="R914">
        <v>-6.3814612918483005E-3</v>
      </c>
      <c r="S914">
        <v>-6.3814612918483005E-3</v>
      </c>
      <c r="T914" t="s">
        <v>32</v>
      </c>
      <c r="U914" t="s">
        <v>32</v>
      </c>
      <c r="V914">
        <v>254249475</v>
      </c>
      <c r="W914" t="s">
        <v>360</v>
      </c>
      <c r="X914" t="s">
        <v>445</v>
      </c>
      <c r="Y914">
        <v>23000</v>
      </c>
      <c r="Z914" t="s">
        <v>31</v>
      </c>
      <c r="AA914">
        <v>-7.6057432751797556E-3</v>
      </c>
      <c r="AB914">
        <v>100.59</v>
      </c>
      <c r="AC914" t="s">
        <v>33</v>
      </c>
      <c r="AD914" t="s">
        <v>33</v>
      </c>
      <c r="AE914" t="s">
        <v>38</v>
      </c>
      <c r="AF914">
        <v>1.5111791297699358E-3</v>
      </c>
      <c r="AG914">
        <v>2.5099999999999998</v>
      </c>
      <c r="AH914" t="s">
        <v>237</v>
      </c>
      <c r="AI914" t="s">
        <v>237</v>
      </c>
      <c r="AJ914">
        <v>3.7667133162829166E-3</v>
      </c>
      <c r="AK914">
        <v>4.5955783111974865E-3</v>
      </c>
      <c r="AL914">
        <v>8.2886499491457001E-4</v>
      </c>
      <c r="AM914" t="s">
        <v>38</v>
      </c>
      <c r="AN914" t="s">
        <v>148</v>
      </c>
      <c r="AO914" t="s">
        <v>33</v>
      </c>
      <c r="AP914" t="s">
        <v>31</v>
      </c>
      <c r="AQ914">
        <v>6.9447420331050085E-6</v>
      </c>
    </row>
    <row r="915" spans="1:43" x14ac:dyDescent="0.2">
      <c r="A915">
        <v>913</v>
      </c>
      <c r="B915">
        <v>96</v>
      </c>
      <c r="C915">
        <v>6</v>
      </c>
      <c r="D915">
        <v>3000</v>
      </c>
      <c r="E915" t="s">
        <v>359</v>
      </c>
      <c r="F915" t="s">
        <v>29</v>
      </c>
      <c r="G915" t="s">
        <v>504</v>
      </c>
      <c r="H915">
        <v>3.8231077591546121E-3</v>
      </c>
      <c r="I915">
        <v>-1.1666748839599277E-5</v>
      </c>
      <c r="J915">
        <v>2.52</v>
      </c>
      <c r="K915">
        <v>2.5297459627105998</v>
      </c>
      <c r="L915" s="1">
        <v>44348</v>
      </c>
      <c r="M915" s="1">
        <v>43024</v>
      </c>
      <c r="N915" s="1">
        <v>43021</v>
      </c>
      <c r="R915">
        <v>-1.9353706235684085E-2</v>
      </c>
      <c r="S915">
        <v>-1.9353706235684085E-2</v>
      </c>
      <c r="T915" t="s">
        <v>32</v>
      </c>
      <c r="U915" t="s">
        <v>32</v>
      </c>
      <c r="V915">
        <v>83933608</v>
      </c>
      <c r="W915" t="s">
        <v>360</v>
      </c>
      <c r="X915" t="s">
        <v>445</v>
      </c>
      <c r="Y915">
        <v>3000</v>
      </c>
      <c r="Z915" t="s">
        <v>31</v>
      </c>
      <c r="AA915">
        <v>-3.6915504155593548E-3</v>
      </c>
      <c r="AB915">
        <v>103.52</v>
      </c>
      <c r="AC915" t="s">
        <v>33</v>
      </c>
      <c r="AD915" t="s">
        <v>33</v>
      </c>
      <c r="AE915" t="s">
        <v>38</v>
      </c>
      <c r="AF915">
        <v>-7.888208702300642E-4</v>
      </c>
      <c r="AG915">
        <v>2.1</v>
      </c>
      <c r="AH915" t="s">
        <v>237</v>
      </c>
      <c r="AI915" t="s">
        <v>237</v>
      </c>
      <c r="AJ915">
        <v>6.0281729491627257E-4</v>
      </c>
      <c r="AK915">
        <v>1.5171062536327826E-3</v>
      </c>
      <c r="AL915">
        <v>9.1428895871651001E-4</v>
      </c>
      <c r="AM915" t="s">
        <v>38</v>
      </c>
      <c r="AN915" t="s">
        <v>148</v>
      </c>
      <c r="AO915" t="s">
        <v>33</v>
      </c>
      <c r="AP915" t="s">
        <v>31</v>
      </c>
      <c r="AQ915">
        <v>-1.1967250752220841E-6</v>
      </c>
    </row>
    <row r="916" spans="1:43" x14ac:dyDescent="0.2">
      <c r="A916">
        <v>914</v>
      </c>
      <c r="B916">
        <v>87</v>
      </c>
      <c r="C916">
        <v>6</v>
      </c>
      <c r="D916">
        <v>18500</v>
      </c>
      <c r="E916" t="s">
        <v>400</v>
      </c>
      <c r="F916" t="s">
        <v>29</v>
      </c>
      <c r="G916" t="s">
        <v>401</v>
      </c>
      <c r="H916">
        <v>1.3041779646241236E-2</v>
      </c>
      <c r="I916">
        <v>-4.6160656330062691E-5</v>
      </c>
      <c r="J916">
        <v>1.43</v>
      </c>
      <c r="K916">
        <v>1.4413423384449999</v>
      </c>
      <c r="L916" s="1">
        <v>43556</v>
      </c>
      <c r="M916" s="1">
        <v>43024</v>
      </c>
      <c r="N916" s="1">
        <v>43021</v>
      </c>
      <c r="R916">
        <v>-5.917571698417722E-3</v>
      </c>
      <c r="S916">
        <v>-5.917571698417722E-3</v>
      </c>
      <c r="T916" t="s">
        <v>32</v>
      </c>
      <c r="U916" t="s">
        <v>32</v>
      </c>
      <c r="V916">
        <v>504569174</v>
      </c>
      <c r="W916" t="s">
        <v>226</v>
      </c>
      <c r="X916" t="s">
        <v>402</v>
      </c>
      <c r="Y916">
        <v>18500</v>
      </c>
      <c r="Z916" t="s">
        <v>31</v>
      </c>
      <c r="AA916">
        <v>-1.4605987700647924E-2</v>
      </c>
      <c r="AB916">
        <v>102.16</v>
      </c>
      <c r="AC916" t="s">
        <v>142</v>
      </c>
      <c r="AD916" t="s">
        <v>142</v>
      </c>
      <c r="AE916" t="s">
        <v>41</v>
      </c>
      <c r="AF916">
        <v>-4.8888208702300637E-3</v>
      </c>
      <c r="AG916">
        <v>1.87</v>
      </c>
      <c r="AH916" t="s">
        <v>237</v>
      </c>
      <c r="AI916" t="s">
        <v>237</v>
      </c>
      <c r="AJ916">
        <v>7.8006078646086236E-3</v>
      </c>
      <c r="AK916">
        <v>9.1201256267421232E-3</v>
      </c>
      <c r="AL916">
        <v>1.3195177621335001E-3</v>
      </c>
      <c r="AM916" t="s">
        <v>41</v>
      </c>
      <c r="AN916" t="s">
        <v>146</v>
      </c>
      <c r="AO916" t="s">
        <v>142</v>
      </c>
      <c r="AP916" t="s">
        <v>31</v>
      </c>
      <c r="AQ916">
        <v>-4.4586660503136929E-5</v>
      </c>
    </row>
    <row r="917" spans="1:43" x14ac:dyDescent="0.2">
      <c r="A917">
        <v>915</v>
      </c>
      <c r="B917">
        <v>88</v>
      </c>
      <c r="C917">
        <v>6</v>
      </c>
      <c r="D917">
        <v>23000</v>
      </c>
      <c r="E917" t="s">
        <v>400</v>
      </c>
      <c r="F917" t="s">
        <v>29</v>
      </c>
      <c r="G917" t="s">
        <v>405</v>
      </c>
      <c r="H917">
        <v>2.5964062598148759E-2</v>
      </c>
      <c r="I917">
        <v>-4.0981663443215627E-5</v>
      </c>
      <c r="J917">
        <v>2.31</v>
      </c>
      <c r="K917">
        <v>2.3209791034535998</v>
      </c>
      <c r="L917" s="1">
        <v>43891</v>
      </c>
      <c r="M917" s="1">
        <v>43024</v>
      </c>
      <c r="N917" s="1">
        <v>43021</v>
      </c>
      <c r="R917">
        <v>-4.0769158578341852E-3</v>
      </c>
      <c r="S917">
        <v>-4.0769158578341852E-3</v>
      </c>
      <c r="T917" t="s">
        <v>32</v>
      </c>
      <c r="U917" t="s">
        <v>32</v>
      </c>
      <c r="V917">
        <v>621842730</v>
      </c>
      <c r="W917" t="s">
        <v>226</v>
      </c>
      <c r="X917" t="s">
        <v>402</v>
      </c>
      <c r="Y917">
        <v>23000</v>
      </c>
      <c r="Z917" t="s">
        <v>31</v>
      </c>
      <c r="AA917">
        <v>-1.2967269527618676E-2</v>
      </c>
      <c r="AB917">
        <v>101.09</v>
      </c>
      <c r="AC917" t="s">
        <v>142</v>
      </c>
      <c r="AD917" t="s">
        <v>142</v>
      </c>
      <c r="AE917" t="s">
        <v>41</v>
      </c>
      <c r="AF917">
        <v>-2.3888208702300649E-3</v>
      </c>
      <c r="AG917">
        <v>2.14</v>
      </c>
      <c r="AH917" t="s">
        <v>237</v>
      </c>
      <c r="AI917" t="s">
        <v>237</v>
      </c>
      <c r="AJ917">
        <v>1.0052123927077236E-2</v>
      </c>
      <c r="AK917">
        <v>1.1239853938592536E-2</v>
      </c>
      <c r="AL917">
        <v>1.1877300115152999E-3</v>
      </c>
      <c r="AM917" t="s">
        <v>41</v>
      </c>
      <c r="AN917" t="s">
        <v>146</v>
      </c>
      <c r="AO917" t="s">
        <v>142</v>
      </c>
      <c r="AP917" t="s">
        <v>31</v>
      </c>
      <c r="AQ917">
        <v>-2.6849997666847444E-5</v>
      </c>
    </row>
    <row r="918" spans="1:43" x14ac:dyDescent="0.2">
      <c r="A918">
        <v>916</v>
      </c>
      <c r="B918">
        <v>88</v>
      </c>
      <c r="C918">
        <v>6</v>
      </c>
      <c r="F918" t="s">
        <v>29</v>
      </c>
      <c r="G918" t="s">
        <v>406</v>
      </c>
      <c r="I918">
        <v>3.7035674812649291E-6</v>
      </c>
      <c r="J918">
        <v>2.2610051718372</v>
      </c>
      <c r="K918">
        <v>2.2610051718372</v>
      </c>
      <c r="L918" s="1"/>
      <c r="M918" s="1"/>
      <c r="N918" s="1">
        <v>43021</v>
      </c>
      <c r="R918">
        <v>-4.0769158578341852E-3</v>
      </c>
      <c r="S918">
        <v>-4.0769158578341852E-3</v>
      </c>
      <c r="T918" t="s">
        <v>39</v>
      </c>
      <c r="U918" t="s">
        <v>39</v>
      </c>
      <c r="W918" t="s">
        <v>226</v>
      </c>
      <c r="Z918" t="s">
        <v>31</v>
      </c>
      <c r="AA918">
        <v>1.1718694095916833E-3</v>
      </c>
      <c r="AC918" t="s">
        <v>142</v>
      </c>
      <c r="AD918" t="s">
        <v>142</v>
      </c>
      <c r="AE918" t="s">
        <v>41</v>
      </c>
      <c r="AF918">
        <v>4.22</v>
      </c>
      <c r="AG918">
        <v>4.22</v>
      </c>
      <c r="AH918" t="s">
        <v>237</v>
      </c>
      <c r="AI918" t="s">
        <v>237</v>
      </c>
      <c r="AJ918">
        <v>-9.0842382094988999E-4</v>
      </c>
      <c r="AK918">
        <v>0</v>
      </c>
      <c r="AL918">
        <v>9.0842382094988999E-4</v>
      </c>
      <c r="AM918" t="s">
        <v>41</v>
      </c>
      <c r="AN918" t="s">
        <v>142</v>
      </c>
      <c r="AO918" t="s">
        <v>142</v>
      </c>
      <c r="AP918" t="s">
        <v>31</v>
      </c>
    </row>
    <row r="919" spans="1:43" x14ac:dyDescent="0.2">
      <c r="A919">
        <v>917</v>
      </c>
      <c r="B919">
        <v>88</v>
      </c>
      <c r="C919">
        <v>6</v>
      </c>
      <c r="F919" t="s">
        <v>29</v>
      </c>
      <c r="G919" t="s">
        <v>1721</v>
      </c>
      <c r="I919">
        <v>3.4751765412170278E-6</v>
      </c>
      <c r="J919">
        <v>2.6131350611455999</v>
      </c>
      <c r="K919">
        <v>2.6131350611455999</v>
      </c>
      <c r="L919" s="1"/>
      <c r="M919" s="1"/>
      <c r="N919" s="1">
        <v>43021</v>
      </c>
      <c r="R919">
        <v>-4.0769158578341852E-3</v>
      </c>
      <c r="S919">
        <v>-4.0769158578341852E-3</v>
      </c>
      <c r="T919" t="s">
        <v>39</v>
      </c>
      <c r="U919" t="s">
        <v>39</v>
      </c>
      <c r="AA919">
        <v>1.099602775481749E-3</v>
      </c>
      <c r="AC919" t="s">
        <v>142</v>
      </c>
      <c r="AD919" t="s">
        <v>142</v>
      </c>
      <c r="AF919">
        <v>4.46</v>
      </c>
      <c r="AG919">
        <v>4.46</v>
      </c>
      <c r="AH919" t="s">
        <v>237</v>
      </c>
      <c r="AI919" t="s">
        <v>237</v>
      </c>
      <c r="AJ919">
        <v>-8.5240330249620989E-4</v>
      </c>
      <c r="AK919">
        <v>0</v>
      </c>
      <c r="AL919">
        <v>8.5240330249620989E-4</v>
      </c>
      <c r="AN919" t="s">
        <v>142</v>
      </c>
      <c r="AO919" t="s">
        <v>142</v>
      </c>
    </row>
    <row r="920" spans="1:43" x14ac:dyDescent="0.2">
      <c r="A920">
        <v>918</v>
      </c>
      <c r="B920">
        <v>89</v>
      </c>
      <c r="C920">
        <v>6</v>
      </c>
      <c r="F920" t="s">
        <v>29</v>
      </c>
      <c r="G920" t="s">
        <v>1722</v>
      </c>
      <c r="I920">
        <v>1.4915747134089907E-5</v>
      </c>
      <c r="J920">
        <v>4.5483000196674999</v>
      </c>
      <c r="K920">
        <v>4.5483000196674999</v>
      </c>
      <c r="L920" s="1"/>
      <c r="M920" s="1"/>
      <c r="N920" s="1">
        <v>43021</v>
      </c>
      <c r="R920">
        <v>-1.1711705840867699E-2</v>
      </c>
      <c r="S920">
        <v>-1.1711705840867699E-2</v>
      </c>
      <c r="T920" t="s">
        <v>32</v>
      </c>
      <c r="U920" t="s">
        <v>32</v>
      </c>
      <c r="AA920">
        <v>4.7195866893384748E-3</v>
      </c>
      <c r="AC920" t="s">
        <v>142</v>
      </c>
      <c r="AD920" t="s">
        <v>142</v>
      </c>
      <c r="AF920">
        <v>2.29</v>
      </c>
      <c r="AG920">
        <v>2.29</v>
      </c>
      <c r="AH920" t="s">
        <v>237</v>
      </c>
      <c r="AI920" t="s">
        <v>237</v>
      </c>
      <c r="AJ920">
        <v>-1.2735759706363002E-3</v>
      </c>
      <c r="AK920">
        <v>0</v>
      </c>
      <c r="AL920">
        <v>1.2735759706363002E-3</v>
      </c>
      <c r="AN920" t="s">
        <v>142</v>
      </c>
      <c r="AO920" t="s">
        <v>142</v>
      </c>
    </row>
    <row r="921" spans="1:43" x14ac:dyDescent="0.2">
      <c r="A921">
        <v>919</v>
      </c>
      <c r="B921">
        <v>99</v>
      </c>
      <c r="C921">
        <v>6</v>
      </c>
      <c r="F921" t="s">
        <v>29</v>
      </c>
      <c r="G921" t="s">
        <v>1595</v>
      </c>
      <c r="I921">
        <v>1.8489359915551628E-5</v>
      </c>
      <c r="J921">
        <v>3.9548788771640999</v>
      </c>
      <c r="K921">
        <v>3.9548788771640999</v>
      </c>
      <c r="L921" s="1"/>
      <c r="M921" s="1"/>
      <c r="N921" s="1">
        <v>43021</v>
      </c>
      <c r="R921">
        <v>-1.4967484789654954E-2</v>
      </c>
      <c r="S921">
        <v>-1.4967484789654954E-2</v>
      </c>
      <c r="T921" t="s">
        <v>32</v>
      </c>
      <c r="U921" t="s">
        <v>32</v>
      </c>
      <c r="AA921">
        <v>5.850336303462024E-3</v>
      </c>
      <c r="AC921" t="s">
        <v>34</v>
      </c>
      <c r="AD921" t="s">
        <v>34</v>
      </c>
      <c r="AF921">
        <v>2.14</v>
      </c>
      <c r="AG921">
        <v>2.14</v>
      </c>
      <c r="AH921" t="s">
        <v>237</v>
      </c>
      <c r="AI921" t="s">
        <v>237</v>
      </c>
      <c r="AJ921">
        <v>-1.2353017340850001E-3</v>
      </c>
      <c r="AK921">
        <v>0</v>
      </c>
      <c r="AL921">
        <v>1.2353017340850001E-3</v>
      </c>
      <c r="AN921" t="s">
        <v>34</v>
      </c>
      <c r="AO921" t="s">
        <v>34</v>
      </c>
    </row>
    <row r="922" spans="1:43" x14ac:dyDescent="0.2">
      <c r="A922">
        <v>920</v>
      </c>
      <c r="B922">
        <v>102</v>
      </c>
      <c r="C922">
        <v>6</v>
      </c>
      <c r="D922">
        <v>10000</v>
      </c>
      <c r="E922" t="s">
        <v>938</v>
      </c>
      <c r="F922" t="s">
        <v>29</v>
      </c>
      <c r="G922" t="s">
        <v>939</v>
      </c>
      <c r="H922">
        <v>3.9967320143064478E-2</v>
      </c>
      <c r="I922">
        <v>-6.9548488289270812E-5</v>
      </c>
      <c r="J922">
        <v>8.09</v>
      </c>
      <c r="K922">
        <v>8.1026062740779992</v>
      </c>
      <c r="L922" s="1">
        <v>46371</v>
      </c>
      <c r="M922" s="1">
        <v>43024</v>
      </c>
      <c r="N922" s="1">
        <v>43021</v>
      </c>
      <c r="R922">
        <v>-1.8769776239421981E-2</v>
      </c>
      <c r="S922">
        <v>-1.8769776239421981E-2</v>
      </c>
      <c r="T922" t="s">
        <v>32</v>
      </c>
      <c r="U922" t="s">
        <v>32</v>
      </c>
      <c r="V922">
        <v>273323140</v>
      </c>
      <c r="W922" t="s">
        <v>366</v>
      </c>
      <c r="X922" t="s">
        <v>940</v>
      </c>
      <c r="Y922">
        <v>10000</v>
      </c>
      <c r="Z922" t="s">
        <v>31</v>
      </c>
      <c r="AA922">
        <v>-2.2006280787870376E-2</v>
      </c>
      <c r="AB922">
        <v>101.57</v>
      </c>
      <c r="AC922" t="s">
        <v>34</v>
      </c>
      <c r="AD922" t="s">
        <v>34</v>
      </c>
      <c r="AE922" t="s">
        <v>44</v>
      </c>
      <c r="AF922">
        <v>2.4111791297699338E-3</v>
      </c>
      <c r="AG922">
        <v>2.59</v>
      </c>
      <c r="AH922" t="s">
        <v>237</v>
      </c>
      <c r="AI922" t="s">
        <v>237</v>
      </c>
      <c r="AJ922">
        <v>3.7053445604321479E-3</v>
      </c>
      <c r="AK922">
        <v>4.9403362352366479E-3</v>
      </c>
      <c r="AL922">
        <v>1.2349916748045E-3</v>
      </c>
      <c r="AM922" t="s">
        <v>44</v>
      </c>
      <c r="AN922" t="s">
        <v>54</v>
      </c>
      <c r="AO922" t="s">
        <v>34</v>
      </c>
      <c r="AP922" t="s">
        <v>31</v>
      </c>
      <c r="AQ922">
        <v>1.1912035624448772E-5</v>
      </c>
    </row>
    <row r="923" spans="1:43" x14ac:dyDescent="0.2">
      <c r="A923">
        <v>921</v>
      </c>
      <c r="B923">
        <v>96</v>
      </c>
      <c r="C923">
        <v>6</v>
      </c>
      <c r="F923" t="s">
        <v>29</v>
      </c>
      <c r="G923" t="s">
        <v>1596</v>
      </c>
      <c r="I923">
        <v>5.6332632734873404E-6</v>
      </c>
      <c r="J923">
        <v>1.1703214217897999</v>
      </c>
      <c r="K923">
        <v>1.1703214217897999</v>
      </c>
      <c r="L923" s="1"/>
      <c r="M923" s="1"/>
      <c r="N923" s="1">
        <v>43021</v>
      </c>
      <c r="R923">
        <v>-1.9353706235684085E-2</v>
      </c>
      <c r="S923">
        <v>-1.9353706235684085E-2</v>
      </c>
      <c r="T923" t="s">
        <v>32</v>
      </c>
      <c r="U923" t="s">
        <v>32</v>
      </c>
      <c r="W923" t="s">
        <v>941</v>
      </c>
      <c r="Z923" t="s">
        <v>31</v>
      </c>
      <c r="AA923">
        <v>1.7824567635855366E-3</v>
      </c>
      <c r="AC923" t="s">
        <v>36</v>
      </c>
      <c r="AD923" t="s">
        <v>36</v>
      </c>
      <c r="AE923" t="s">
        <v>178</v>
      </c>
      <c r="AF923">
        <v>1.81</v>
      </c>
      <c r="AG923">
        <v>1.81</v>
      </c>
      <c r="AH923" t="s">
        <v>237</v>
      </c>
      <c r="AI923" t="s">
        <v>237</v>
      </c>
      <c r="AJ923">
        <v>-2.9106896657864998E-4</v>
      </c>
      <c r="AK923">
        <v>0</v>
      </c>
      <c r="AL923">
        <v>2.9106896657864998E-4</v>
      </c>
      <c r="AM923" t="s">
        <v>178</v>
      </c>
      <c r="AN923" t="s">
        <v>36</v>
      </c>
      <c r="AO923" t="s">
        <v>36</v>
      </c>
      <c r="AP923" t="s">
        <v>31</v>
      </c>
    </row>
    <row r="924" spans="1:43" x14ac:dyDescent="0.2">
      <c r="A924">
        <v>922</v>
      </c>
      <c r="B924">
        <v>102</v>
      </c>
      <c r="C924">
        <v>6</v>
      </c>
      <c r="F924" t="s">
        <v>29</v>
      </c>
      <c r="G924" t="s">
        <v>1597</v>
      </c>
      <c r="I924">
        <v>1.7374381181796268E-5</v>
      </c>
      <c r="J924">
        <v>8.2554817297456005</v>
      </c>
      <c r="K924">
        <v>8.2554817297456005</v>
      </c>
      <c r="L924" s="1"/>
      <c r="M924" s="1"/>
      <c r="N924" s="1">
        <v>43021</v>
      </c>
      <c r="R924">
        <v>-1.8769776239421981E-2</v>
      </c>
      <c r="S924">
        <v>-1.8769776239421981E-2</v>
      </c>
      <c r="T924" t="s">
        <v>32</v>
      </c>
      <c r="U924" t="s">
        <v>32</v>
      </c>
      <c r="W924" t="s">
        <v>941</v>
      </c>
      <c r="Z924" t="s">
        <v>31</v>
      </c>
      <c r="AA924">
        <v>5.4975387705311768E-3</v>
      </c>
      <c r="AC924" t="s">
        <v>36</v>
      </c>
      <c r="AD924" t="s">
        <v>36</v>
      </c>
      <c r="AE924" t="s">
        <v>178</v>
      </c>
      <c r="AF924">
        <v>2.7</v>
      </c>
      <c r="AG924">
        <v>2.7</v>
      </c>
      <c r="AH924" t="s">
        <v>237</v>
      </c>
      <c r="AI924" t="s">
        <v>237</v>
      </c>
      <c r="AJ924">
        <v>-9.2565734189761003E-4</v>
      </c>
      <c r="AK924">
        <v>0</v>
      </c>
      <c r="AL924">
        <v>9.2565734189761003E-4</v>
      </c>
      <c r="AM924" t="s">
        <v>178</v>
      </c>
      <c r="AN924" t="s">
        <v>36</v>
      </c>
      <c r="AO924" t="s">
        <v>36</v>
      </c>
      <c r="AP924" t="s">
        <v>31</v>
      </c>
    </row>
    <row r="925" spans="1:43" x14ac:dyDescent="0.2">
      <c r="A925">
        <v>923</v>
      </c>
      <c r="B925">
        <v>102</v>
      </c>
      <c r="C925">
        <v>6</v>
      </c>
      <c r="F925" t="s">
        <v>29</v>
      </c>
      <c r="G925" t="s">
        <v>1723</v>
      </c>
      <c r="I925">
        <v>4.4751279757071464E-5</v>
      </c>
      <c r="J925">
        <v>8.8977422446917007</v>
      </c>
      <c r="K925">
        <v>8.8977422446917007</v>
      </c>
      <c r="L925" s="1"/>
      <c r="M925" s="1"/>
      <c r="N925" s="1">
        <v>43021</v>
      </c>
      <c r="R925">
        <v>-1.8769776239421981E-2</v>
      </c>
      <c r="S925">
        <v>-1.8769776239421981E-2</v>
      </c>
      <c r="T925" t="s">
        <v>32</v>
      </c>
      <c r="U925" t="s">
        <v>32</v>
      </c>
      <c r="AA925">
        <v>1.4160037869616499E-2</v>
      </c>
      <c r="AC925" t="s">
        <v>36</v>
      </c>
      <c r="AD925" t="s">
        <v>36</v>
      </c>
      <c r="AF925">
        <v>2.73</v>
      </c>
      <c r="AG925">
        <v>2.73</v>
      </c>
      <c r="AH925" t="s">
        <v>237</v>
      </c>
      <c r="AI925" t="s">
        <v>237</v>
      </c>
      <c r="AJ925">
        <v>-2.3842202051978E-3</v>
      </c>
      <c r="AK925">
        <v>0</v>
      </c>
      <c r="AL925">
        <v>2.3842202051978E-3</v>
      </c>
      <c r="AN925" t="s">
        <v>36</v>
      </c>
      <c r="AO925" t="s">
        <v>36</v>
      </c>
    </row>
    <row r="926" spans="1:43" x14ac:dyDescent="0.2">
      <c r="A926">
        <v>924</v>
      </c>
      <c r="B926">
        <v>145</v>
      </c>
      <c r="C926">
        <v>6</v>
      </c>
      <c r="D926">
        <v>300000000</v>
      </c>
      <c r="E926" t="s">
        <v>524</v>
      </c>
      <c r="F926" t="s">
        <v>29</v>
      </c>
      <c r="G926" t="s">
        <v>525</v>
      </c>
      <c r="H926">
        <v>5.3753569189722737E-3</v>
      </c>
      <c r="I926">
        <v>3.7876510605421025E-6</v>
      </c>
      <c r="J926">
        <v>0.98</v>
      </c>
      <c r="K926">
        <v>0.97059699292729995</v>
      </c>
      <c r="L926" s="1">
        <v>43388</v>
      </c>
      <c r="M926" s="1">
        <v>43024</v>
      </c>
      <c r="N926" s="1">
        <v>43021</v>
      </c>
      <c r="R926">
        <v>9.0766729747599232E-4</v>
      </c>
      <c r="S926">
        <v>-1.9931808645445555E-4</v>
      </c>
      <c r="T926" t="s">
        <v>39</v>
      </c>
      <c r="U926" t="s">
        <v>39</v>
      </c>
      <c r="V926">
        <v>303459770</v>
      </c>
      <c r="W926" t="s">
        <v>526</v>
      </c>
      <c r="X926" t="s">
        <v>527</v>
      </c>
      <c r="Y926">
        <v>300000000</v>
      </c>
      <c r="Z926" t="s">
        <v>31</v>
      </c>
      <c r="AA926">
        <v>1.1984748312296989E-3</v>
      </c>
      <c r="AB926">
        <v>101.14</v>
      </c>
      <c r="AC926" t="s">
        <v>42</v>
      </c>
      <c r="AD926" t="s">
        <v>34</v>
      </c>
      <c r="AE926" t="s">
        <v>41</v>
      </c>
      <c r="AF926">
        <v>3.6999999999999998E-2</v>
      </c>
      <c r="AG926">
        <v>3.7</v>
      </c>
      <c r="AH926" t="s">
        <v>237</v>
      </c>
      <c r="AI926" t="s">
        <v>237</v>
      </c>
      <c r="AJ926">
        <v>4.172950894093753E-3</v>
      </c>
      <c r="AK926">
        <v>5.4850580805839528E-3</v>
      </c>
      <c r="AL926">
        <v>1.3121071864902001E-3</v>
      </c>
      <c r="AM926" t="s">
        <v>41</v>
      </c>
      <c r="AN926" t="s">
        <v>142</v>
      </c>
      <c r="AO926" t="s">
        <v>34</v>
      </c>
      <c r="AP926" t="s">
        <v>31</v>
      </c>
      <c r="AQ926">
        <v>2.0294714898160625E-4</v>
      </c>
    </row>
    <row r="927" spans="1:43" x14ac:dyDescent="0.2">
      <c r="A927">
        <v>925</v>
      </c>
      <c r="B927">
        <v>93</v>
      </c>
      <c r="C927">
        <v>6</v>
      </c>
      <c r="D927">
        <v>8000</v>
      </c>
      <c r="E927" t="s">
        <v>430</v>
      </c>
      <c r="F927" t="s">
        <v>29</v>
      </c>
      <c r="G927" t="s">
        <v>431</v>
      </c>
      <c r="H927">
        <v>1.5641643497080505E-4</v>
      </c>
      <c r="I927">
        <v>-2.6939857132315865E-6</v>
      </c>
      <c r="J927">
        <v>0.04</v>
      </c>
      <c r="K927">
        <v>5.2054794520548002E-2</v>
      </c>
      <c r="L927" s="1">
        <v>43040</v>
      </c>
      <c r="M927" s="1">
        <v>43024</v>
      </c>
      <c r="N927" s="1">
        <v>43021</v>
      </c>
      <c r="R927">
        <v>-6.3814612918483005E-3</v>
      </c>
      <c r="S927">
        <v>-6.3814612918483005E-3</v>
      </c>
      <c r="T927" t="s">
        <v>32</v>
      </c>
      <c r="U927" t="s">
        <v>32</v>
      </c>
      <c r="V927">
        <v>216342720</v>
      </c>
      <c r="W927" t="s">
        <v>248</v>
      </c>
      <c r="X927" t="s">
        <v>432</v>
      </c>
      <c r="Y927">
        <v>8000</v>
      </c>
      <c r="Z927" t="s">
        <v>31</v>
      </c>
      <c r="AA927">
        <v>-8.5242120284922604E-4</v>
      </c>
      <c r="AB927">
        <v>99.94</v>
      </c>
      <c r="AC927" t="s">
        <v>34</v>
      </c>
      <c r="AD927" t="s">
        <v>34</v>
      </c>
      <c r="AE927" t="s">
        <v>41</v>
      </c>
      <c r="AF927">
        <v>2.1411179129769933E-2</v>
      </c>
      <c r="AG927">
        <v>4.32</v>
      </c>
      <c r="AH927" t="s">
        <v>237</v>
      </c>
      <c r="AI927" t="s">
        <v>237</v>
      </c>
      <c r="AJ927">
        <v>4.2215812178832655E-4</v>
      </c>
      <c r="AK927">
        <v>3.9104108742701264E-3</v>
      </c>
      <c r="AL927">
        <v>3.4882527524817998E-3</v>
      </c>
      <c r="AM927" t="s">
        <v>41</v>
      </c>
      <c r="AN927" t="s">
        <v>54</v>
      </c>
      <c r="AO927" t="s">
        <v>34</v>
      </c>
      <c r="AP927" t="s">
        <v>31</v>
      </c>
      <c r="AQ927">
        <v>8.3726507699997932E-5</v>
      </c>
    </row>
    <row r="928" spans="1:43" x14ac:dyDescent="0.2">
      <c r="A928">
        <v>926</v>
      </c>
      <c r="B928">
        <v>96</v>
      </c>
      <c r="C928">
        <v>6</v>
      </c>
      <c r="F928" t="s">
        <v>29</v>
      </c>
      <c r="G928" t="s">
        <v>1598</v>
      </c>
      <c r="I928">
        <v>8.4334372796732878E-5</v>
      </c>
      <c r="J928">
        <v>1.5962854502193999</v>
      </c>
      <c r="K928">
        <v>1.5962854502193999</v>
      </c>
      <c r="L928" s="1"/>
      <c r="M928" s="1"/>
      <c r="N928" s="1">
        <v>43021</v>
      </c>
      <c r="R928">
        <v>-1.9353706235684085E-2</v>
      </c>
      <c r="S928">
        <v>-1.9353706235684085E-2</v>
      </c>
      <c r="T928" t="s">
        <v>32</v>
      </c>
      <c r="U928" t="s">
        <v>32</v>
      </c>
      <c r="W928" t="s">
        <v>248</v>
      </c>
      <c r="Z928" t="s">
        <v>31</v>
      </c>
      <c r="AA928">
        <v>2.6684776815201414E-2</v>
      </c>
      <c r="AC928" t="s">
        <v>34</v>
      </c>
      <c r="AD928" t="s">
        <v>34</v>
      </c>
      <c r="AE928" t="s">
        <v>41</v>
      </c>
      <c r="AF928">
        <v>2.25</v>
      </c>
      <c r="AG928">
        <v>2.25</v>
      </c>
      <c r="AH928" t="s">
        <v>237</v>
      </c>
      <c r="AI928" t="s">
        <v>237</v>
      </c>
      <c r="AJ928">
        <v>-4.3575308920024E-3</v>
      </c>
      <c r="AK928">
        <v>0</v>
      </c>
      <c r="AL928">
        <v>4.3575308920024E-3</v>
      </c>
      <c r="AM928" t="s">
        <v>41</v>
      </c>
      <c r="AN928" t="s">
        <v>34</v>
      </c>
      <c r="AO928" t="s">
        <v>34</v>
      </c>
      <c r="AP928" t="s">
        <v>31</v>
      </c>
    </row>
    <row r="929" spans="1:43" x14ac:dyDescent="0.2">
      <c r="A929">
        <v>927</v>
      </c>
      <c r="B929">
        <v>96</v>
      </c>
      <c r="C929">
        <v>6</v>
      </c>
      <c r="D929">
        <v>9000</v>
      </c>
      <c r="E929" t="s">
        <v>430</v>
      </c>
      <c r="F929" t="s">
        <v>29</v>
      </c>
      <c r="G929" t="s">
        <v>473</v>
      </c>
      <c r="H929">
        <v>1.1112236293844125E-2</v>
      </c>
      <c r="I929">
        <v>-8.0666972273002785E-7</v>
      </c>
      <c r="J929">
        <v>2.54</v>
      </c>
      <c r="K929">
        <v>2.5532042754752999</v>
      </c>
      <c r="L929" s="1">
        <v>43983</v>
      </c>
      <c r="M929" s="1">
        <v>43024</v>
      </c>
      <c r="N929" s="1">
        <v>43021</v>
      </c>
      <c r="R929">
        <v>-1.9353706235684085E-2</v>
      </c>
      <c r="S929">
        <v>-1.9353706235684085E-2</v>
      </c>
      <c r="T929" t="s">
        <v>32</v>
      </c>
      <c r="U929" t="s">
        <v>32</v>
      </c>
      <c r="V929">
        <v>242040279</v>
      </c>
      <c r="W929" t="s">
        <v>248</v>
      </c>
      <c r="X929" t="s">
        <v>432</v>
      </c>
      <c r="Y929">
        <v>9000</v>
      </c>
      <c r="Z929" t="s">
        <v>31</v>
      </c>
      <c r="AA929">
        <v>-2.5524351223330747E-4</v>
      </c>
      <c r="AB929">
        <v>100.03</v>
      </c>
      <c r="AC929" t="s">
        <v>34</v>
      </c>
      <c r="AD929" t="s">
        <v>34</v>
      </c>
      <c r="AE929" t="s">
        <v>41</v>
      </c>
      <c r="AF929">
        <v>-1.0888208702300659E-3</v>
      </c>
      <c r="AG929">
        <v>2.33</v>
      </c>
      <c r="AH929" t="s">
        <v>237</v>
      </c>
      <c r="AI929" t="s">
        <v>237</v>
      </c>
      <c r="AJ929">
        <v>4.1680374441289275E-5</v>
      </c>
      <c r="AK929">
        <v>4.3748961786787893E-3</v>
      </c>
      <c r="AL929">
        <v>4.3332158042375E-3</v>
      </c>
      <c r="AM929" t="s">
        <v>41</v>
      </c>
      <c r="AN929" t="s">
        <v>54</v>
      </c>
      <c r="AO929" t="s">
        <v>34</v>
      </c>
      <c r="AP929" t="s">
        <v>31</v>
      </c>
      <c r="AQ929">
        <v>-4.7634782644352294E-6</v>
      </c>
    </row>
    <row r="930" spans="1:43" x14ac:dyDescent="0.2">
      <c r="A930">
        <v>928</v>
      </c>
      <c r="B930">
        <v>99</v>
      </c>
      <c r="C930">
        <v>6</v>
      </c>
      <c r="D930">
        <v>15000</v>
      </c>
      <c r="E930" t="s">
        <v>430</v>
      </c>
      <c r="F930" t="s">
        <v>29</v>
      </c>
      <c r="G930" t="s">
        <v>1599</v>
      </c>
      <c r="H930">
        <v>2.6578059795191542E-2</v>
      </c>
      <c r="I930">
        <v>-4.4475497628953083E-5</v>
      </c>
      <c r="J930">
        <v>3.63</v>
      </c>
      <c r="K930">
        <v>3.6414011349758999</v>
      </c>
      <c r="L930" s="1">
        <v>44409</v>
      </c>
      <c r="M930" s="1">
        <v>43024</v>
      </c>
      <c r="N930" s="1">
        <v>43021</v>
      </c>
      <c r="R930">
        <v>-1.4967484789654954E-2</v>
      </c>
      <c r="S930">
        <v>-1.4967484789654954E-2</v>
      </c>
      <c r="T930" t="s">
        <v>32</v>
      </c>
      <c r="U930" t="s">
        <v>32</v>
      </c>
      <c r="V930">
        <v>405076028</v>
      </c>
      <c r="W930" t="s">
        <v>248</v>
      </c>
      <c r="X930" t="s">
        <v>432</v>
      </c>
      <c r="Y930">
        <v>15000</v>
      </c>
      <c r="Z930" t="s">
        <v>31</v>
      </c>
      <c r="AA930">
        <v>-1.4072775887409104E-2</v>
      </c>
      <c r="AB930">
        <v>100.79</v>
      </c>
      <c r="AC930" t="s">
        <v>34</v>
      </c>
      <c r="AD930" t="s">
        <v>34</v>
      </c>
      <c r="AE930" t="s">
        <v>41</v>
      </c>
      <c r="AF930">
        <v>-1.6888208702300657E-3</v>
      </c>
      <c r="AG930">
        <v>2.21</v>
      </c>
      <c r="AH930" t="s">
        <v>237</v>
      </c>
      <c r="AI930" t="s">
        <v>237</v>
      </c>
      <c r="AJ930">
        <v>2.9714743829032065E-3</v>
      </c>
      <c r="AK930">
        <v>7.3217795579040065E-3</v>
      </c>
      <c r="AL930">
        <v>4.3503051750007999E-3</v>
      </c>
      <c r="AM930" t="s">
        <v>41</v>
      </c>
      <c r="AN930" t="s">
        <v>54</v>
      </c>
      <c r="AO930" t="s">
        <v>34</v>
      </c>
      <c r="AP930" t="s">
        <v>31</v>
      </c>
      <c r="AQ930">
        <v>-1.236517412461215E-5</v>
      </c>
    </row>
    <row r="931" spans="1:43" x14ac:dyDescent="0.2">
      <c r="A931">
        <v>929</v>
      </c>
      <c r="B931">
        <v>102</v>
      </c>
      <c r="C931">
        <v>6</v>
      </c>
      <c r="F931" t="s">
        <v>29</v>
      </c>
      <c r="G931" t="s">
        <v>1600</v>
      </c>
      <c r="I931">
        <v>4.8439681723989693E-5</v>
      </c>
      <c r="J931">
        <v>5.8039581887993998</v>
      </c>
      <c r="K931">
        <v>5.8039581887993998</v>
      </c>
      <c r="L931" s="1"/>
      <c r="M931" s="1"/>
      <c r="N931" s="1">
        <v>43021</v>
      </c>
      <c r="R931">
        <v>-1.8769776239421981E-2</v>
      </c>
      <c r="S931">
        <v>-1.8769776239421981E-2</v>
      </c>
      <c r="T931" t="s">
        <v>32</v>
      </c>
      <c r="U931" t="s">
        <v>32</v>
      </c>
      <c r="W931" t="s">
        <v>248</v>
      </c>
      <c r="Z931" t="s">
        <v>31</v>
      </c>
      <c r="AA931">
        <v>1.5327108662081985E-2</v>
      </c>
      <c r="AC931" t="s">
        <v>34</v>
      </c>
      <c r="AD931" t="s">
        <v>34</v>
      </c>
      <c r="AE931" t="s">
        <v>41</v>
      </c>
      <c r="AF931">
        <v>2.6</v>
      </c>
      <c r="AG931">
        <v>2.6</v>
      </c>
      <c r="AH931" t="s">
        <v>237</v>
      </c>
      <c r="AI931" t="s">
        <v>237</v>
      </c>
      <c r="AJ931">
        <v>-2.5807277138579997E-3</v>
      </c>
      <c r="AK931">
        <v>0</v>
      </c>
      <c r="AL931">
        <v>2.5807277138579997E-3</v>
      </c>
      <c r="AM931" t="s">
        <v>41</v>
      </c>
      <c r="AN931" t="s">
        <v>34</v>
      </c>
      <c r="AO931" t="s">
        <v>34</v>
      </c>
      <c r="AP931" t="s">
        <v>31</v>
      </c>
    </row>
    <row r="932" spans="1:43" x14ac:dyDescent="0.2">
      <c r="A932">
        <v>930</v>
      </c>
      <c r="B932">
        <v>93</v>
      </c>
      <c r="C932">
        <v>6</v>
      </c>
      <c r="D932">
        <v>3000</v>
      </c>
      <c r="E932" t="s">
        <v>430</v>
      </c>
      <c r="F932" t="s">
        <v>29</v>
      </c>
      <c r="G932" t="s">
        <v>433</v>
      </c>
      <c r="H932">
        <v>3.0662057062031051E-4</v>
      </c>
      <c r="I932">
        <v>7.3045478726128454E-6</v>
      </c>
      <c r="J932">
        <v>0.21</v>
      </c>
      <c r="K932">
        <v>0.21917808219178</v>
      </c>
      <c r="L932" s="1">
        <v>43101</v>
      </c>
      <c r="M932" s="1">
        <v>43024</v>
      </c>
      <c r="N932" s="1">
        <v>43021</v>
      </c>
      <c r="R932">
        <v>-6.3814612918483005E-3</v>
      </c>
      <c r="S932">
        <v>-6.3814612918483005E-3</v>
      </c>
      <c r="T932" t="s">
        <v>32</v>
      </c>
      <c r="U932" t="s">
        <v>32</v>
      </c>
      <c r="V932">
        <v>80779635</v>
      </c>
      <c r="W932" t="s">
        <v>248</v>
      </c>
      <c r="X932" t="s">
        <v>432</v>
      </c>
      <c r="Y932">
        <v>3000</v>
      </c>
      <c r="Z932" t="s">
        <v>31</v>
      </c>
      <c r="AA932">
        <v>2.3112785837209582E-3</v>
      </c>
      <c r="AB932">
        <v>100.11</v>
      </c>
      <c r="AC932" t="s">
        <v>34</v>
      </c>
      <c r="AD932" t="s">
        <v>34</v>
      </c>
      <c r="AE932" t="s">
        <v>41</v>
      </c>
      <c r="AF932">
        <v>4.1117912976993548E-4</v>
      </c>
      <c r="AG932">
        <v>2.4</v>
      </c>
      <c r="AH932" t="s">
        <v>237</v>
      </c>
      <c r="AI932" t="s">
        <v>237</v>
      </c>
      <c r="AJ932">
        <v>-1.144651285739788E-3</v>
      </c>
      <c r="AK932">
        <v>1.460097955334812E-3</v>
      </c>
      <c r="AL932">
        <v>2.6047492410745999E-3</v>
      </c>
      <c r="AM932" t="s">
        <v>41</v>
      </c>
      <c r="AN932" t="s">
        <v>54</v>
      </c>
      <c r="AO932" t="s">
        <v>34</v>
      </c>
      <c r="AP932" t="s">
        <v>31</v>
      </c>
      <c r="AQ932">
        <v>6.0036180665343006E-7</v>
      </c>
    </row>
    <row r="933" spans="1:43" x14ac:dyDescent="0.2">
      <c r="A933">
        <v>931</v>
      </c>
      <c r="B933">
        <v>99</v>
      </c>
      <c r="C933">
        <v>6</v>
      </c>
      <c r="F933" t="s">
        <v>29</v>
      </c>
      <c r="G933" t="s">
        <v>942</v>
      </c>
      <c r="I933">
        <v>5.4184871098064451E-5</v>
      </c>
      <c r="J933">
        <v>3.7837146403328998</v>
      </c>
      <c r="K933">
        <v>3.7837146403328998</v>
      </c>
      <c r="L933" s="1"/>
      <c r="M933" s="1"/>
      <c r="N933" s="1">
        <v>43021</v>
      </c>
      <c r="R933">
        <v>-1.4967484789654954E-2</v>
      </c>
      <c r="S933">
        <v>-1.4967484789654954E-2</v>
      </c>
      <c r="T933" t="s">
        <v>32</v>
      </c>
      <c r="U933" t="s">
        <v>32</v>
      </c>
      <c r="W933" t="s">
        <v>248</v>
      </c>
      <c r="Z933" t="s">
        <v>31</v>
      </c>
      <c r="AA933">
        <v>1.7144980677064124E-2</v>
      </c>
      <c r="AC933" t="s">
        <v>34</v>
      </c>
      <c r="AD933" t="s">
        <v>34</v>
      </c>
      <c r="AE933" t="s">
        <v>41</v>
      </c>
      <c r="AF933">
        <v>2.2999999999999998</v>
      </c>
      <c r="AG933">
        <v>2.2999999999999998</v>
      </c>
      <c r="AH933" t="s">
        <v>237</v>
      </c>
      <c r="AI933" t="s">
        <v>237</v>
      </c>
      <c r="AJ933">
        <v>-3.6201721170624002E-3</v>
      </c>
      <c r="AK933">
        <v>0</v>
      </c>
      <c r="AL933">
        <v>3.6201721170624002E-3</v>
      </c>
      <c r="AM933" t="s">
        <v>41</v>
      </c>
      <c r="AN933" t="s">
        <v>34</v>
      </c>
      <c r="AO933" t="s">
        <v>34</v>
      </c>
      <c r="AP933" t="s">
        <v>31</v>
      </c>
    </row>
    <row r="934" spans="1:43" x14ac:dyDescent="0.2">
      <c r="A934">
        <v>932</v>
      </c>
      <c r="B934">
        <v>99</v>
      </c>
      <c r="C934">
        <v>6</v>
      </c>
      <c r="F934" t="s">
        <v>29</v>
      </c>
      <c r="G934" t="s">
        <v>943</v>
      </c>
      <c r="I934">
        <v>5.5332796432119952E-5</v>
      </c>
      <c r="J934">
        <v>4.6217256249784002</v>
      </c>
      <c r="K934">
        <v>4.6217256249784002</v>
      </c>
      <c r="L934" s="1"/>
      <c r="M934" s="1"/>
      <c r="N934" s="1">
        <v>43021</v>
      </c>
      <c r="R934">
        <v>-1.4967484789654954E-2</v>
      </c>
      <c r="S934">
        <v>-1.4967484789654954E-2</v>
      </c>
      <c r="T934" t="s">
        <v>32</v>
      </c>
      <c r="U934" t="s">
        <v>32</v>
      </c>
      <c r="W934" t="s">
        <v>248</v>
      </c>
      <c r="Z934" t="s">
        <v>31</v>
      </c>
      <c r="AA934">
        <v>1.7508203053942621E-2</v>
      </c>
      <c r="AC934" t="s">
        <v>34</v>
      </c>
      <c r="AD934" t="s">
        <v>34</v>
      </c>
      <c r="AE934" t="s">
        <v>41</v>
      </c>
      <c r="AF934">
        <v>2.2599999999999998</v>
      </c>
      <c r="AG934">
        <v>2.2599999999999998</v>
      </c>
      <c r="AH934" t="s">
        <v>237</v>
      </c>
      <c r="AI934" t="s">
        <v>237</v>
      </c>
      <c r="AJ934">
        <v>-3.6968667220803999E-3</v>
      </c>
      <c r="AK934">
        <v>0</v>
      </c>
      <c r="AL934">
        <v>3.6968667220803999E-3</v>
      </c>
      <c r="AM934" t="s">
        <v>41</v>
      </c>
      <c r="AN934" t="s">
        <v>34</v>
      </c>
      <c r="AO934" t="s">
        <v>34</v>
      </c>
      <c r="AP934" t="s">
        <v>31</v>
      </c>
    </row>
    <row r="935" spans="1:43" x14ac:dyDescent="0.2">
      <c r="A935">
        <v>933</v>
      </c>
      <c r="B935">
        <v>102</v>
      </c>
      <c r="C935">
        <v>6</v>
      </c>
      <c r="F935" t="s">
        <v>29</v>
      </c>
      <c r="G935" t="s">
        <v>1601</v>
      </c>
      <c r="I935">
        <v>8.6036871489763466E-5</v>
      </c>
      <c r="J935">
        <v>5.4400027190221003</v>
      </c>
      <c r="K935">
        <v>5.4400027190221003</v>
      </c>
      <c r="L935" s="1"/>
      <c r="M935" s="1"/>
      <c r="N935" s="1">
        <v>43021</v>
      </c>
      <c r="R935">
        <v>-1.8769776239421981E-2</v>
      </c>
      <c r="S935">
        <v>-1.8769776239421981E-2</v>
      </c>
      <c r="T935" t="s">
        <v>32</v>
      </c>
      <c r="U935" t="s">
        <v>32</v>
      </c>
      <c r="W935" t="s">
        <v>248</v>
      </c>
      <c r="Z935" t="s">
        <v>31</v>
      </c>
      <c r="AA935">
        <v>2.7223475285885403E-2</v>
      </c>
      <c r="AC935" t="s">
        <v>34</v>
      </c>
      <c r="AD935" t="s">
        <v>34</v>
      </c>
      <c r="AE935" t="s">
        <v>41</v>
      </c>
      <c r="AF935">
        <v>2.44</v>
      </c>
      <c r="AG935">
        <v>2.44</v>
      </c>
      <c r="AH935" t="s">
        <v>237</v>
      </c>
      <c r="AI935" t="s">
        <v>237</v>
      </c>
      <c r="AJ935">
        <v>-4.5837984636737999E-3</v>
      </c>
      <c r="AK935">
        <v>0</v>
      </c>
      <c r="AL935">
        <v>4.5837984636737999E-3</v>
      </c>
      <c r="AM935" t="s">
        <v>41</v>
      </c>
      <c r="AN935" t="s">
        <v>34</v>
      </c>
      <c r="AO935" t="s">
        <v>34</v>
      </c>
      <c r="AP935" t="s">
        <v>31</v>
      </c>
    </row>
    <row r="936" spans="1:43" x14ac:dyDescent="0.2">
      <c r="A936">
        <v>934</v>
      </c>
      <c r="B936">
        <v>102</v>
      </c>
      <c r="C936">
        <v>6</v>
      </c>
      <c r="F936" t="s">
        <v>29</v>
      </c>
      <c r="G936" t="s">
        <v>1602</v>
      </c>
      <c r="I936">
        <v>8.2425693698195171E-5</v>
      </c>
      <c r="J936">
        <v>6.0572028272378002</v>
      </c>
      <c r="K936">
        <v>6.0572028272378002</v>
      </c>
      <c r="L936" s="1"/>
      <c r="M936" s="1"/>
      <c r="N936" s="1">
        <v>43021</v>
      </c>
      <c r="R936">
        <v>-1.8769776239421981E-2</v>
      </c>
      <c r="S936">
        <v>-1.8769776239421981E-2</v>
      </c>
      <c r="T936" t="s">
        <v>32</v>
      </c>
      <c r="U936" t="s">
        <v>32</v>
      </c>
      <c r="W936" t="s">
        <v>248</v>
      </c>
      <c r="Z936" t="s">
        <v>31</v>
      </c>
      <c r="AA936">
        <v>2.6080839487309274E-2</v>
      </c>
      <c r="AC936" t="s">
        <v>34</v>
      </c>
      <c r="AD936" t="s">
        <v>34</v>
      </c>
      <c r="AE936" t="s">
        <v>41</v>
      </c>
      <c r="AF936">
        <v>2.58</v>
      </c>
      <c r="AG936">
        <v>2.58</v>
      </c>
      <c r="AH936" t="s">
        <v>237</v>
      </c>
      <c r="AI936" t="s">
        <v>237</v>
      </c>
      <c r="AJ936">
        <v>-4.3914052382296002E-3</v>
      </c>
      <c r="AK936">
        <v>0</v>
      </c>
      <c r="AL936">
        <v>4.3914052382296002E-3</v>
      </c>
      <c r="AM936" t="s">
        <v>41</v>
      </c>
      <c r="AN936" t="s">
        <v>34</v>
      </c>
      <c r="AO936" t="s">
        <v>34</v>
      </c>
      <c r="AP936" t="s">
        <v>31</v>
      </c>
    </row>
    <row r="937" spans="1:43" x14ac:dyDescent="0.2">
      <c r="A937">
        <v>935</v>
      </c>
      <c r="B937">
        <v>102</v>
      </c>
      <c r="C937">
        <v>6</v>
      </c>
      <c r="D937">
        <v>24000</v>
      </c>
      <c r="E937" t="s">
        <v>430</v>
      </c>
      <c r="F937" t="s">
        <v>29</v>
      </c>
      <c r="G937" t="s">
        <v>944</v>
      </c>
      <c r="H937">
        <v>7.8574365941500801E-2</v>
      </c>
      <c r="I937">
        <v>-1.38152775385143E-4</v>
      </c>
      <c r="J937">
        <v>6.71</v>
      </c>
      <c r="K937">
        <v>6.7177461909321998</v>
      </c>
      <c r="L937" s="1">
        <v>45717</v>
      </c>
      <c r="M937" s="1">
        <v>43024</v>
      </c>
      <c r="N937" s="1">
        <v>43021</v>
      </c>
      <c r="R937">
        <v>-1.8769776239421981E-2</v>
      </c>
      <c r="S937">
        <v>-1.8769776239421981E-2</v>
      </c>
      <c r="T937" t="s">
        <v>32</v>
      </c>
      <c r="U937" t="s">
        <v>32</v>
      </c>
      <c r="V937">
        <v>647855662</v>
      </c>
      <c r="W937" t="s">
        <v>248</v>
      </c>
      <c r="X937" t="s">
        <v>432</v>
      </c>
      <c r="Y937">
        <v>24000</v>
      </c>
      <c r="Z937" t="s">
        <v>31</v>
      </c>
      <c r="AA937">
        <v>-4.3713800853642099E-2</v>
      </c>
      <c r="AB937">
        <v>100.91</v>
      </c>
      <c r="AC937" t="s">
        <v>34</v>
      </c>
      <c r="AD937" t="s">
        <v>34</v>
      </c>
      <c r="AE937" t="s">
        <v>41</v>
      </c>
      <c r="AF937">
        <v>2.7111791297699354E-3</v>
      </c>
      <c r="AG937">
        <v>2.64</v>
      </c>
      <c r="AH937" t="s">
        <v>237</v>
      </c>
      <c r="AI937" t="s">
        <v>237</v>
      </c>
      <c r="AJ937">
        <v>7.3603847815181759E-3</v>
      </c>
      <c r="AK937">
        <v>1.1710039633606676E-2</v>
      </c>
      <c r="AL937">
        <v>4.3496548520885001E-3</v>
      </c>
      <c r="AM937" t="s">
        <v>41</v>
      </c>
      <c r="AN937" t="s">
        <v>54</v>
      </c>
      <c r="AO937" t="s">
        <v>34</v>
      </c>
      <c r="AP937" t="s">
        <v>31</v>
      </c>
      <c r="AQ937">
        <v>3.1748015063413199E-5</v>
      </c>
    </row>
    <row r="938" spans="1:43" x14ac:dyDescent="0.2">
      <c r="A938">
        <v>936</v>
      </c>
      <c r="B938">
        <v>102</v>
      </c>
      <c r="C938">
        <v>6</v>
      </c>
      <c r="D938">
        <v>5000</v>
      </c>
      <c r="E938" t="s">
        <v>430</v>
      </c>
      <c r="F938" t="s">
        <v>29</v>
      </c>
      <c r="G938" t="s">
        <v>1603</v>
      </c>
      <c r="H938">
        <v>1.7270061510674565E-2</v>
      </c>
      <c r="I938">
        <v>3.5588407745862653E-5</v>
      </c>
      <c r="J938">
        <v>7.12</v>
      </c>
      <c r="K938">
        <v>7.1261423318962001</v>
      </c>
      <c r="L938" s="1">
        <v>45901</v>
      </c>
      <c r="M938" s="1">
        <v>43024</v>
      </c>
      <c r="N938" s="1">
        <v>43021</v>
      </c>
      <c r="R938">
        <v>-1.8769776239421981E-2</v>
      </c>
      <c r="S938">
        <v>-1.8769776239421981E-2</v>
      </c>
      <c r="T938" t="s">
        <v>32</v>
      </c>
      <c r="U938" t="s">
        <v>32</v>
      </c>
      <c r="V938">
        <v>134194212</v>
      </c>
      <c r="W938" t="s">
        <v>248</v>
      </c>
      <c r="X938" t="s">
        <v>432</v>
      </c>
      <c r="Y938">
        <v>5000</v>
      </c>
      <c r="Z938" t="s">
        <v>31</v>
      </c>
      <c r="AA938">
        <v>1.1260755092062775E-2</v>
      </c>
      <c r="AB938">
        <v>100.33</v>
      </c>
      <c r="AC938" t="s">
        <v>34</v>
      </c>
      <c r="AD938" t="s">
        <v>34</v>
      </c>
      <c r="AE938" t="s">
        <v>41</v>
      </c>
      <c r="AF938">
        <v>3.6111791297699335E-3</v>
      </c>
      <c r="AG938">
        <v>2.73</v>
      </c>
      <c r="AH938" t="s">
        <v>237</v>
      </c>
      <c r="AI938" t="s">
        <v>237</v>
      </c>
      <c r="AJ938">
        <v>-1.8960485885344048E-3</v>
      </c>
      <c r="AK938">
        <v>2.425570436892495E-3</v>
      </c>
      <c r="AL938">
        <v>4.3216190254268998E-3</v>
      </c>
      <c r="AM938" t="s">
        <v>41</v>
      </c>
      <c r="AN938" t="s">
        <v>54</v>
      </c>
      <c r="AO938" t="s">
        <v>34</v>
      </c>
      <c r="AP938" t="s">
        <v>31</v>
      </c>
      <c r="AQ938">
        <v>8.7591693394931169E-6</v>
      </c>
    </row>
    <row r="939" spans="1:43" x14ac:dyDescent="0.2">
      <c r="A939">
        <v>937</v>
      </c>
      <c r="B939">
        <v>93</v>
      </c>
      <c r="C939">
        <v>6</v>
      </c>
      <c r="F939" t="s">
        <v>29</v>
      </c>
      <c r="G939" t="s">
        <v>474</v>
      </c>
      <c r="I939">
        <v>3.6058912320992397E-6</v>
      </c>
      <c r="J939">
        <v>0.96108089059270996</v>
      </c>
      <c r="K939">
        <v>0.96108089059270996</v>
      </c>
      <c r="L939" s="1"/>
      <c r="M939" s="1"/>
      <c r="N939" s="1">
        <v>43021</v>
      </c>
      <c r="R939">
        <v>-6.3814612918483005E-3</v>
      </c>
      <c r="S939">
        <v>-6.3814612918483005E-3</v>
      </c>
      <c r="T939" t="s">
        <v>32</v>
      </c>
      <c r="U939" t="s">
        <v>32</v>
      </c>
      <c r="W939" t="s">
        <v>248</v>
      </c>
      <c r="Z939" t="s">
        <v>31</v>
      </c>
      <c r="AA939">
        <v>1.1409630445747207E-3</v>
      </c>
      <c r="AC939" t="s">
        <v>34</v>
      </c>
      <c r="AD939" t="s">
        <v>34</v>
      </c>
      <c r="AE939" t="s">
        <v>41</v>
      </c>
      <c r="AF939">
        <v>1.96</v>
      </c>
      <c r="AG939">
        <v>1.96</v>
      </c>
      <c r="AH939" t="s">
        <v>237</v>
      </c>
      <c r="AI939" t="s">
        <v>237</v>
      </c>
      <c r="AJ939">
        <v>-5.6505729129869002E-4</v>
      </c>
      <c r="AK939">
        <v>0</v>
      </c>
      <c r="AL939">
        <v>5.6505729129869002E-4</v>
      </c>
      <c r="AM939" t="s">
        <v>41</v>
      </c>
      <c r="AN939" t="s">
        <v>34</v>
      </c>
      <c r="AO939" t="s">
        <v>34</v>
      </c>
      <c r="AP939" t="s">
        <v>31</v>
      </c>
    </row>
    <row r="940" spans="1:43" x14ac:dyDescent="0.2">
      <c r="A940">
        <v>938</v>
      </c>
      <c r="B940">
        <v>96</v>
      </c>
      <c r="C940">
        <v>6</v>
      </c>
      <c r="F940" t="s">
        <v>29</v>
      </c>
      <c r="G940" t="s">
        <v>1604</v>
      </c>
      <c r="I940">
        <v>5.099596245377844E-5</v>
      </c>
      <c r="J940">
        <v>1.6716845713455</v>
      </c>
      <c r="K940">
        <v>1.6716845713455</v>
      </c>
      <c r="L940" s="1"/>
      <c r="M940" s="1"/>
      <c r="N940" s="1">
        <v>43021</v>
      </c>
      <c r="R940">
        <v>-1.9353706235684085E-2</v>
      </c>
      <c r="S940">
        <v>-1.9353706235684085E-2</v>
      </c>
      <c r="T940" t="s">
        <v>32</v>
      </c>
      <c r="U940" t="s">
        <v>32</v>
      </c>
      <c r="W940" t="s">
        <v>248</v>
      </c>
      <c r="Z940" t="s">
        <v>31</v>
      </c>
      <c r="AA940">
        <v>1.6135957752782232E-2</v>
      </c>
      <c r="AC940" t="s">
        <v>34</v>
      </c>
      <c r="AD940" t="s">
        <v>34</v>
      </c>
      <c r="AE940" t="s">
        <v>41</v>
      </c>
      <c r="AF940">
        <v>2.2000000000000002</v>
      </c>
      <c r="AG940">
        <v>2.2000000000000002</v>
      </c>
      <c r="AH940" t="s">
        <v>237</v>
      </c>
      <c r="AI940" t="s">
        <v>237</v>
      </c>
      <c r="AJ940">
        <v>-2.6349455671572002E-3</v>
      </c>
      <c r="AK940">
        <v>0</v>
      </c>
      <c r="AL940">
        <v>2.6349455671572002E-3</v>
      </c>
      <c r="AM940" t="s">
        <v>41</v>
      </c>
      <c r="AN940" t="s">
        <v>34</v>
      </c>
      <c r="AO940" t="s">
        <v>34</v>
      </c>
      <c r="AP940" t="s">
        <v>31</v>
      </c>
    </row>
    <row r="941" spans="1:43" x14ac:dyDescent="0.2">
      <c r="A941">
        <v>939</v>
      </c>
      <c r="B941">
        <v>96</v>
      </c>
      <c r="C941">
        <v>6</v>
      </c>
      <c r="F941" t="s">
        <v>29</v>
      </c>
      <c r="G941" t="s">
        <v>475</v>
      </c>
      <c r="I941">
        <v>2.1881761678236934E-5</v>
      </c>
      <c r="J941">
        <v>1.7946553694469001</v>
      </c>
      <c r="K941">
        <v>1.7946553694469001</v>
      </c>
      <c r="L941" s="1"/>
      <c r="M941" s="1"/>
      <c r="N941" s="1">
        <v>43021</v>
      </c>
      <c r="R941">
        <v>-1.9353706235684085E-2</v>
      </c>
      <c r="S941">
        <v>-1.9353706235684085E-2</v>
      </c>
      <c r="T941" t="s">
        <v>32</v>
      </c>
      <c r="U941" t="s">
        <v>32</v>
      </c>
      <c r="W941" t="s">
        <v>248</v>
      </c>
      <c r="Z941" t="s">
        <v>31</v>
      </c>
      <c r="AA941">
        <v>6.9237477832976837E-3</v>
      </c>
      <c r="AC941" t="s">
        <v>34</v>
      </c>
      <c r="AD941" t="s">
        <v>34</v>
      </c>
      <c r="AE941" t="s">
        <v>41</v>
      </c>
      <c r="AF941">
        <v>2.1800000000000002</v>
      </c>
      <c r="AG941">
        <v>2.1800000000000002</v>
      </c>
      <c r="AH941" t="s">
        <v>237</v>
      </c>
      <c r="AI941" t="s">
        <v>237</v>
      </c>
      <c r="AJ941">
        <v>-1.1306238408172E-3</v>
      </c>
      <c r="AK941">
        <v>0</v>
      </c>
      <c r="AL941">
        <v>1.1306238408172E-3</v>
      </c>
      <c r="AM941" t="s">
        <v>41</v>
      </c>
      <c r="AN941" t="s">
        <v>34</v>
      </c>
      <c r="AO941" t="s">
        <v>34</v>
      </c>
      <c r="AP941" t="s">
        <v>31</v>
      </c>
    </row>
    <row r="942" spans="1:43" x14ac:dyDescent="0.2">
      <c r="A942">
        <v>940</v>
      </c>
      <c r="B942">
        <v>101</v>
      </c>
      <c r="C942">
        <v>6</v>
      </c>
      <c r="F942" t="s">
        <v>29</v>
      </c>
      <c r="G942" t="s">
        <v>1724</v>
      </c>
      <c r="I942">
        <v>1.4841259228600824E-5</v>
      </c>
      <c r="J942">
        <v>8.8543463746539004</v>
      </c>
      <c r="K942">
        <v>8.8543463746539004</v>
      </c>
      <c r="L942" s="1"/>
      <c r="M942" s="1"/>
      <c r="N942" s="1">
        <v>43021</v>
      </c>
      <c r="R942">
        <v>-2.4503300094715318E-2</v>
      </c>
      <c r="S942">
        <v>-2.4503300094715318E-2</v>
      </c>
      <c r="T942" t="s">
        <v>32</v>
      </c>
      <c r="U942" t="s">
        <v>32</v>
      </c>
      <c r="AA942">
        <v>4.6960174960488203E-3</v>
      </c>
      <c r="AC942" t="s">
        <v>42</v>
      </c>
      <c r="AD942" t="s">
        <v>42</v>
      </c>
      <c r="AF942">
        <v>3.42</v>
      </c>
      <c r="AG942">
        <v>3.42</v>
      </c>
      <c r="AH942" t="s">
        <v>237</v>
      </c>
      <c r="AI942" t="s">
        <v>237</v>
      </c>
      <c r="AJ942">
        <v>-6.0568409851870003E-4</v>
      </c>
      <c r="AK942">
        <v>0</v>
      </c>
      <c r="AL942">
        <v>6.0568409851870003E-4</v>
      </c>
      <c r="AN942" t="s">
        <v>42</v>
      </c>
      <c r="AO942" t="s">
        <v>42</v>
      </c>
    </row>
    <row r="943" spans="1:43" x14ac:dyDescent="0.2">
      <c r="A943">
        <v>941</v>
      </c>
      <c r="B943">
        <v>107</v>
      </c>
      <c r="C943">
        <v>6</v>
      </c>
      <c r="D943">
        <v>100000000</v>
      </c>
      <c r="E943" t="s">
        <v>430</v>
      </c>
      <c r="F943" t="s">
        <v>29</v>
      </c>
      <c r="G943" t="s">
        <v>945</v>
      </c>
      <c r="H943">
        <v>4.7494243490489325E-3</v>
      </c>
      <c r="I943">
        <v>7.1535525833426088E-7</v>
      </c>
      <c r="J943">
        <v>2.52</v>
      </c>
      <c r="K943">
        <v>2.5355968321903002</v>
      </c>
      <c r="L943" s="1">
        <v>44013</v>
      </c>
      <c r="M943" s="1">
        <v>43024</v>
      </c>
      <c r="N943" s="1">
        <v>43021</v>
      </c>
      <c r="R943">
        <v>-1.1244183189823643E-3</v>
      </c>
      <c r="S943">
        <v>-1.1244183189823643E-3</v>
      </c>
      <c r="T943" t="s">
        <v>39</v>
      </c>
      <c r="U943" t="s">
        <v>39</v>
      </c>
      <c r="V943">
        <v>104270229</v>
      </c>
      <c r="W943" t="s">
        <v>248</v>
      </c>
      <c r="X943" t="s">
        <v>432</v>
      </c>
      <c r="Y943">
        <v>100000000</v>
      </c>
      <c r="Z943" t="s">
        <v>31</v>
      </c>
      <c r="AA943">
        <v>2.2635012011342089E-4</v>
      </c>
      <c r="AB943">
        <v>102.69</v>
      </c>
      <c r="AC943" t="s">
        <v>34</v>
      </c>
      <c r="AD943" t="s">
        <v>34</v>
      </c>
      <c r="AE943" t="s">
        <v>41</v>
      </c>
      <c r="AF943">
        <v>4.2099999999999999E-2</v>
      </c>
      <c r="AG943">
        <v>4.21</v>
      </c>
      <c r="AH943" t="s">
        <v>237</v>
      </c>
      <c r="AI943" t="s">
        <v>237</v>
      </c>
      <c r="AJ943">
        <v>-6.3620028796905503E-4</v>
      </c>
      <c r="AK943">
        <v>1.8846922020035446E-3</v>
      </c>
      <c r="AL943">
        <v>2.5208924899725997E-3</v>
      </c>
      <c r="AM943" t="s">
        <v>41</v>
      </c>
      <c r="AN943" t="s">
        <v>54</v>
      </c>
      <c r="AO943" t="s">
        <v>34</v>
      </c>
      <c r="AP943" t="s">
        <v>31</v>
      </c>
      <c r="AQ943">
        <v>7.9345541704349231E-5</v>
      </c>
    </row>
    <row r="944" spans="1:43" x14ac:dyDescent="0.2">
      <c r="A944">
        <v>942</v>
      </c>
      <c r="B944">
        <v>110</v>
      </c>
      <c r="C944">
        <v>6</v>
      </c>
      <c r="F944" t="s">
        <v>29</v>
      </c>
      <c r="G944" t="s">
        <v>1605</v>
      </c>
      <c r="I944">
        <v>3.0297964434009529E-6</v>
      </c>
      <c r="J944">
        <v>3.8751008177664001</v>
      </c>
      <c r="K944">
        <v>3.8751008177664001</v>
      </c>
      <c r="L944" s="1"/>
      <c r="M944" s="1"/>
      <c r="N944" s="1">
        <v>43021</v>
      </c>
      <c r="R944">
        <v>-1.2005087764610177E-3</v>
      </c>
      <c r="S944">
        <v>-1.2005087764610177E-3</v>
      </c>
      <c r="T944" t="s">
        <v>39</v>
      </c>
      <c r="U944" t="s">
        <v>39</v>
      </c>
      <c r="AA944">
        <v>9.5867721791816735E-4</v>
      </c>
      <c r="AC944" t="s">
        <v>34</v>
      </c>
      <c r="AD944" t="s">
        <v>34</v>
      </c>
      <c r="AF944">
        <v>4.7</v>
      </c>
      <c r="AG944">
        <v>4.7</v>
      </c>
      <c r="AH944" t="s">
        <v>237</v>
      </c>
      <c r="AI944" t="s">
        <v>237</v>
      </c>
      <c r="AJ944">
        <v>-2.5237603446203001E-3</v>
      </c>
      <c r="AK944">
        <v>0</v>
      </c>
      <c r="AL944">
        <v>2.5237603446203001E-3</v>
      </c>
      <c r="AN944" t="s">
        <v>34</v>
      </c>
      <c r="AO944" t="s">
        <v>34</v>
      </c>
    </row>
    <row r="945" spans="1:43" x14ac:dyDescent="0.2">
      <c r="A945">
        <v>943</v>
      </c>
      <c r="B945">
        <v>87</v>
      </c>
      <c r="C945">
        <v>6</v>
      </c>
      <c r="D945">
        <v>5000</v>
      </c>
      <c r="E945" t="s">
        <v>363</v>
      </c>
      <c r="F945" t="s">
        <v>29</v>
      </c>
      <c r="G945" t="s">
        <v>403</v>
      </c>
      <c r="H945">
        <v>3.2388250775642816E-4</v>
      </c>
      <c r="I945">
        <v>-2.9039363053212082E-6</v>
      </c>
      <c r="J945">
        <v>0.66</v>
      </c>
      <c r="L945" s="1">
        <v>43358</v>
      </c>
      <c r="M945" s="1">
        <v>43024</v>
      </c>
      <c r="N945" s="1"/>
      <c r="R945">
        <v>-5.917571698417722E-3</v>
      </c>
      <c r="T945" t="s">
        <v>32</v>
      </c>
      <c r="V945">
        <v>27149601</v>
      </c>
      <c r="W945" t="s">
        <v>364</v>
      </c>
      <c r="X945" t="s">
        <v>404</v>
      </c>
      <c r="Y945">
        <v>5000</v>
      </c>
      <c r="Z945" t="s">
        <v>31</v>
      </c>
      <c r="AA945">
        <v>-9.1885300884171671E-4</v>
      </c>
      <c r="AB945">
        <v>101.44</v>
      </c>
      <c r="AC945" t="s">
        <v>142</v>
      </c>
      <c r="AE945" t="s">
        <v>44</v>
      </c>
      <c r="AF945">
        <v>-4.8882087023006601E-4</v>
      </c>
      <c r="AH945" t="s">
        <v>237</v>
      </c>
      <c r="AJ945">
        <v>4.9073107235822445E-4</v>
      </c>
      <c r="AK945">
        <v>4.9073107235822445E-4</v>
      </c>
      <c r="AL945">
        <v>0</v>
      </c>
      <c r="AN945" t="s">
        <v>146</v>
      </c>
      <c r="AQ945">
        <v>-2.3987958983908078E-7</v>
      </c>
    </row>
    <row r="946" spans="1:43" x14ac:dyDescent="0.2">
      <c r="A946">
        <v>944</v>
      </c>
      <c r="B946">
        <v>90</v>
      </c>
      <c r="C946">
        <v>6</v>
      </c>
      <c r="D946">
        <v>15000</v>
      </c>
      <c r="E946" t="s">
        <v>363</v>
      </c>
      <c r="F946" t="s">
        <v>29</v>
      </c>
      <c r="G946" t="s">
        <v>946</v>
      </c>
      <c r="H946">
        <v>5.1399166598490392E-2</v>
      </c>
      <c r="I946">
        <v>-4.2549336358651024E-5</v>
      </c>
      <c r="J946">
        <v>6.12</v>
      </c>
      <c r="L946" s="1">
        <v>47557</v>
      </c>
      <c r="M946" s="1">
        <v>43024</v>
      </c>
      <c r="N946" s="1"/>
      <c r="R946">
        <v>-5.0662677188737211E-3</v>
      </c>
      <c r="T946" t="s">
        <v>32</v>
      </c>
      <c r="V946">
        <v>464648510</v>
      </c>
      <c r="W946" t="s">
        <v>364</v>
      </c>
      <c r="X946" t="s">
        <v>404</v>
      </c>
      <c r="Y946">
        <v>15000</v>
      </c>
      <c r="Z946" t="s">
        <v>31</v>
      </c>
      <c r="AA946">
        <v>-1.3463306914040673E-2</v>
      </c>
      <c r="AB946">
        <v>115.67</v>
      </c>
      <c r="AC946" t="s">
        <v>142</v>
      </c>
      <c r="AE946" t="s">
        <v>44</v>
      </c>
      <c r="AF946">
        <v>4.1111791297699339E-3</v>
      </c>
      <c r="AH946" t="s">
        <v>237</v>
      </c>
      <c r="AJ946">
        <v>8.3985566337402597E-3</v>
      </c>
      <c r="AK946">
        <v>8.3985566337402597E-3</v>
      </c>
      <c r="AL946">
        <v>0</v>
      </c>
      <c r="AN946" t="s">
        <v>146</v>
      </c>
      <c r="AQ946">
        <v>3.4527970752823785E-5</v>
      </c>
    </row>
    <row r="947" spans="1:43" x14ac:dyDescent="0.2">
      <c r="A947">
        <v>945</v>
      </c>
      <c r="B947">
        <v>91</v>
      </c>
      <c r="C947">
        <v>6</v>
      </c>
      <c r="D947">
        <v>12500</v>
      </c>
      <c r="E947" t="s">
        <v>363</v>
      </c>
      <c r="F947" t="s">
        <v>29</v>
      </c>
      <c r="G947" t="s">
        <v>947</v>
      </c>
      <c r="H947">
        <v>5.6883978281460419E-2</v>
      </c>
      <c r="I947">
        <v>-9.2037315382305165E-5</v>
      </c>
      <c r="J947">
        <v>8.49</v>
      </c>
      <c r="K947">
        <v>8.5018904072697001</v>
      </c>
      <c r="L947" s="1">
        <v>48653</v>
      </c>
      <c r="M947" s="1">
        <v>43024</v>
      </c>
      <c r="N947" s="1">
        <v>43021</v>
      </c>
      <c r="R947">
        <v>-1.921820506815234E-2</v>
      </c>
      <c r="S947">
        <v>-1.921820506815234E-2</v>
      </c>
      <c r="T947" t="s">
        <v>32</v>
      </c>
      <c r="U947" t="s">
        <v>32</v>
      </c>
      <c r="V947">
        <v>370682570</v>
      </c>
      <c r="W947" t="s">
        <v>364</v>
      </c>
      <c r="X947" t="s">
        <v>404</v>
      </c>
      <c r="Y947">
        <v>12500</v>
      </c>
      <c r="Z947" t="s">
        <v>31</v>
      </c>
      <c r="AA947">
        <v>-2.9122114011171762E-2</v>
      </c>
      <c r="AB947">
        <v>110.86</v>
      </c>
      <c r="AC947" t="s">
        <v>142</v>
      </c>
      <c r="AD947" t="s">
        <v>142</v>
      </c>
      <c r="AE947" t="s">
        <v>44</v>
      </c>
      <c r="AF947">
        <v>3.7111791297699363E-3</v>
      </c>
      <c r="AG947">
        <v>2.74</v>
      </c>
      <c r="AH947" t="s">
        <v>237</v>
      </c>
      <c r="AI947" t="s">
        <v>237</v>
      </c>
      <c r="AJ947">
        <v>4.7890692734268827E-3</v>
      </c>
      <c r="AK947">
        <v>6.7001152274982828E-3</v>
      </c>
      <c r="AL947">
        <v>1.9110459540713999E-3</v>
      </c>
      <c r="AM947" t="s">
        <v>44</v>
      </c>
      <c r="AN947" t="s">
        <v>146</v>
      </c>
      <c r="AO947" t="s">
        <v>142</v>
      </c>
      <c r="AP947" t="s">
        <v>31</v>
      </c>
      <c r="AQ947">
        <v>2.4865327799345376E-5</v>
      </c>
    </row>
    <row r="948" spans="1:43" x14ac:dyDescent="0.2">
      <c r="A948">
        <v>946</v>
      </c>
      <c r="B948">
        <v>93</v>
      </c>
      <c r="C948">
        <v>6</v>
      </c>
      <c r="D948">
        <v>5000</v>
      </c>
      <c r="E948" t="s">
        <v>948</v>
      </c>
      <c r="F948" t="s">
        <v>29</v>
      </c>
      <c r="G948" t="s">
        <v>949</v>
      </c>
      <c r="H948">
        <v>3.1703180474168123E-4</v>
      </c>
      <c r="I948">
        <v>-1.0009058451287083E-5</v>
      </c>
      <c r="J948">
        <v>0.13</v>
      </c>
      <c r="K948">
        <v>0.13972602739726001</v>
      </c>
      <c r="L948" s="1">
        <v>43072</v>
      </c>
      <c r="M948" s="1">
        <v>43024</v>
      </c>
      <c r="N948" s="1">
        <v>43021</v>
      </c>
      <c r="R948">
        <v>-6.3814612918483005E-3</v>
      </c>
      <c r="S948">
        <v>-6.3814612918483005E-3</v>
      </c>
      <c r="T948" t="s">
        <v>32</v>
      </c>
      <c r="U948" t="s">
        <v>32</v>
      </c>
      <c r="V948">
        <v>134920945</v>
      </c>
      <c r="W948" t="s">
        <v>950</v>
      </c>
      <c r="X948" t="s">
        <v>951</v>
      </c>
      <c r="Y948">
        <v>5000</v>
      </c>
      <c r="Z948" t="s">
        <v>31</v>
      </c>
      <c r="AA948">
        <v>-3.1670300263767232E-3</v>
      </c>
      <c r="AB948">
        <v>99.97</v>
      </c>
      <c r="AC948" t="s">
        <v>33</v>
      </c>
      <c r="AD948" t="s">
        <v>33</v>
      </c>
      <c r="AE948" t="s">
        <v>35</v>
      </c>
      <c r="AF948">
        <v>1.2411179129769932E-2</v>
      </c>
      <c r="AG948">
        <v>3.45</v>
      </c>
      <c r="AH948" t="s">
        <v>237</v>
      </c>
      <c r="AI948" t="s">
        <v>237</v>
      </c>
      <c r="AJ948">
        <v>1.5684586952008448E-3</v>
      </c>
      <c r="AK948">
        <v>2.4387061903206248E-3</v>
      </c>
      <c r="AL948">
        <v>8.7024749511978002E-4</v>
      </c>
      <c r="AM948" t="s">
        <v>35</v>
      </c>
      <c r="AN948" t="s">
        <v>148</v>
      </c>
      <c r="AO948" t="s">
        <v>33</v>
      </c>
      <c r="AP948" t="s">
        <v>31</v>
      </c>
      <c r="AQ948">
        <v>3.0267219372948081E-5</v>
      </c>
    </row>
    <row r="949" spans="1:43" x14ac:dyDescent="0.2">
      <c r="A949">
        <v>947</v>
      </c>
      <c r="B949">
        <v>107</v>
      </c>
      <c r="C949">
        <v>6</v>
      </c>
      <c r="D949">
        <v>10000000</v>
      </c>
      <c r="E949" t="s">
        <v>952</v>
      </c>
      <c r="F949" t="s">
        <v>29</v>
      </c>
      <c r="G949" t="s">
        <v>953</v>
      </c>
      <c r="H949">
        <v>4.1228099193370006E-4</v>
      </c>
      <c r="I949">
        <v>6.9992116226382479E-7</v>
      </c>
      <c r="J949">
        <v>2.2200000000000002</v>
      </c>
      <c r="K949">
        <v>2.2273598249680999</v>
      </c>
      <c r="L949" s="1">
        <v>44531</v>
      </c>
      <c r="M949" s="1">
        <v>43024</v>
      </c>
      <c r="N949" s="1">
        <v>43021</v>
      </c>
      <c r="R949">
        <v>-1.1244183189823643E-3</v>
      </c>
      <c r="S949">
        <v>-1.1244183189823643E-3</v>
      </c>
      <c r="T949" t="s">
        <v>39</v>
      </c>
      <c r="U949" t="s">
        <v>39</v>
      </c>
      <c r="V949">
        <v>10274489</v>
      </c>
      <c r="W949" t="s">
        <v>954</v>
      </c>
      <c r="X949" t="s">
        <v>955</v>
      </c>
      <c r="Y949">
        <v>10000000</v>
      </c>
      <c r="Z949" t="s">
        <v>31</v>
      </c>
      <c r="AA949">
        <v>2.2146651933089491E-4</v>
      </c>
      <c r="AB949">
        <v>100.99</v>
      </c>
      <c r="AC949" t="s">
        <v>33</v>
      </c>
      <c r="AD949" t="s">
        <v>33</v>
      </c>
      <c r="AE949" t="s">
        <v>175</v>
      </c>
      <c r="AF949">
        <v>4.2299999999999997E-2</v>
      </c>
      <c r="AG949">
        <v>4.22</v>
      </c>
      <c r="AH949" t="s">
        <v>237</v>
      </c>
      <c r="AI949" t="s">
        <v>237</v>
      </c>
      <c r="AJ949">
        <v>-6.2247399428468628E-4</v>
      </c>
      <c r="AK949">
        <v>1.8571215852869371E-4</v>
      </c>
      <c r="AL949">
        <v>8.0818615281338002E-4</v>
      </c>
      <c r="AM949" t="s">
        <v>175</v>
      </c>
      <c r="AN949" t="s">
        <v>148</v>
      </c>
      <c r="AO949" t="s">
        <v>33</v>
      </c>
      <c r="AP949" t="s">
        <v>31</v>
      </c>
      <c r="AQ949">
        <v>7.8556243057637427E-6</v>
      </c>
    </row>
    <row r="950" spans="1:43" x14ac:dyDescent="0.2">
      <c r="A950">
        <v>948</v>
      </c>
      <c r="B950">
        <v>102</v>
      </c>
      <c r="C950">
        <v>6</v>
      </c>
      <c r="D950">
        <v>19000</v>
      </c>
      <c r="E950" t="s">
        <v>367</v>
      </c>
      <c r="F950" t="s">
        <v>29</v>
      </c>
      <c r="G950" t="s">
        <v>956</v>
      </c>
      <c r="H950">
        <v>7.0200737504691219E-2</v>
      </c>
      <c r="I950">
        <v>-1.6919606963626337E-4</v>
      </c>
      <c r="J950">
        <v>6.69</v>
      </c>
      <c r="K950">
        <v>6.6919778546647999</v>
      </c>
      <c r="L950" s="1">
        <v>47818</v>
      </c>
      <c r="M950" s="1">
        <v>43024</v>
      </c>
      <c r="N950" s="1">
        <v>43021</v>
      </c>
      <c r="R950">
        <v>-1.8769776239421981E-2</v>
      </c>
      <c r="S950">
        <v>-1.8769776239421981E-2</v>
      </c>
      <c r="T950" t="s">
        <v>32</v>
      </c>
      <c r="U950" t="s">
        <v>32</v>
      </c>
      <c r="V950">
        <v>580544414</v>
      </c>
      <c r="W950" t="s">
        <v>368</v>
      </c>
      <c r="X950" t="s">
        <v>957</v>
      </c>
      <c r="Y950">
        <v>19000</v>
      </c>
      <c r="Z950" t="s">
        <v>31</v>
      </c>
      <c r="AA950">
        <v>-5.3536407594269496E-2</v>
      </c>
      <c r="AB950">
        <v>112.73</v>
      </c>
      <c r="AC950" t="s">
        <v>34</v>
      </c>
      <c r="AD950" t="s">
        <v>34</v>
      </c>
      <c r="AE950" t="s">
        <v>179</v>
      </c>
      <c r="AF950">
        <v>2.5111791297699367E-3</v>
      </c>
      <c r="AG950">
        <v>2.65</v>
      </c>
      <c r="AH950" t="s">
        <v>237</v>
      </c>
      <c r="AI950" t="s">
        <v>237</v>
      </c>
      <c r="AJ950">
        <v>9.0142827212240546E-3</v>
      </c>
      <c r="AK950">
        <v>1.0493383782465055E-2</v>
      </c>
      <c r="AL950">
        <v>1.4791010612409999E-3</v>
      </c>
      <c r="AM950" t="s">
        <v>179</v>
      </c>
      <c r="AN950" t="s">
        <v>54</v>
      </c>
      <c r="AO950" t="s">
        <v>34</v>
      </c>
      <c r="AP950" t="s">
        <v>31</v>
      </c>
      <c r="AQ950">
        <v>2.6350766355192562E-5</v>
      </c>
    </row>
    <row r="951" spans="1:43" x14ac:dyDescent="0.2">
      <c r="A951">
        <v>949</v>
      </c>
      <c r="B951">
        <v>107</v>
      </c>
      <c r="C951">
        <v>6</v>
      </c>
      <c r="D951">
        <v>90000000</v>
      </c>
      <c r="E951" t="s">
        <v>367</v>
      </c>
      <c r="F951" t="s">
        <v>29</v>
      </c>
      <c r="G951" t="s">
        <v>958</v>
      </c>
      <c r="H951">
        <v>3.2734633724833379E-3</v>
      </c>
      <c r="I951">
        <v>-5.3837685013521758E-7</v>
      </c>
      <c r="J951">
        <v>1.92</v>
      </c>
      <c r="K951">
        <v>1.9274781731871</v>
      </c>
      <c r="L951" s="1">
        <v>43770</v>
      </c>
      <c r="M951" s="1">
        <v>43024</v>
      </c>
      <c r="N951" s="1">
        <v>43021</v>
      </c>
      <c r="R951">
        <v>-1.1244183189823643E-3</v>
      </c>
      <c r="S951">
        <v>-1.1244183189823643E-3</v>
      </c>
      <c r="T951" t="s">
        <v>39</v>
      </c>
      <c r="U951" t="s">
        <v>39</v>
      </c>
      <c r="V951">
        <v>94324856</v>
      </c>
      <c r="W951" t="s">
        <v>368</v>
      </c>
      <c r="X951" t="s">
        <v>957</v>
      </c>
      <c r="Y951">
        <v>90000000</v>
      </c>
      <c r="Z951" t="s">
        <v>31</v>
      </c>
      <c r="AA951">
        <v>-1.7035125313561328E-4</v>
      </c>
      <c r="AB951">
        <v>102.29</v>
      </c>
      <c r="AC951" t="s">
        <v>34</v>
      </c>
      <c r="AD951" t="s">
        <v>34</v>
      </c>
      <c r="AE951" t="s">
        <v>179</v>
      </c>
      <c r="AF951">
        <v>4.1500000000000002E-2</v>
      </c>
      <c r="AG951">
        <v>4.1500000000000004</v>
      </c>
      <c r="AH951" t="s">
        <v>237</v>
      </c>
      <c r="AI951" t="s">
        <v>237</v>
      </c>
      <c r="AJ951">
        <v>4.7880476602557174E-4</v>
      </c>
      <c r="AK951">
        <v>1.7049288398350718E-3</v>
      </c>
      <c r="AL951">
        <v>1.2261240738095001E-3</v>
      </c>
      <c r="AM951" t="s">
        <v>179</v>
      </c>
      <c r="AN951" t="s">
        <v>54</v>
      </c>
      <c r="AO951" t="s">
        <v>34</v>
      </c>
      <c r="AP951" t="s">
        <v>31</v>
      </c>
      <c r="AQ951">
        <v>7.0754546853155485E-5</v>
      </c>
    </row>
    <row r="952" spans="1:43" x14ac:dyDescent="0.2">
      <c r="A952">
        <v>950</v>
      </c>
      <c r="B952">
        <v>90</v>
      </c>
      <c r="C952">
        <v>6</v>
      </c>
      <c r="D952">
        <v>16000</v>
      </c>
      <c r="E952" t="s">
        <v>369</v>
      </c>
      <c r="F952" t="s">
        <v>29</v>
      </c>
      <c r="G952" t="s">
        <v>959</v>
      </c>
      <c r="H952">
        <v>5.2907591562456148E-2</v>
      </c>
      <c r="I952">
        <v>-2.4831104084405933E-5</v>
      </c>
      <c r="J952">
        <v>5.98</v>
      </c>
      <c r="K952">
        <v>5.9899486520404004</v>
      </c>
      <c r="L952" s="1">
        <v>47488</v>
      </c>
      <c r="M952" s="1">
        <v>43024</v>
      </c>
      <c r="N952" s="1">
        <v>43021</v>
      </c>
      <c r="R952">
        <v>-5.0662677188737211E-3</v>
      </c>
      <c r="S952">
        <v>-5.0662677188737211E-3</v>
      </c>
      <c r="T952" t="s">
        <v>32</v>
      </c>
      <c r="U952" t="s">
        <v>32</v>
      </c>
      <c r="V952">
        <v>489481973</v>
      </c>
      <c r="W952" t="s">
        <v>371</v>
      </c>
      <c r="X952" t="s">
        <v>739</v>
      </c>
      <c r="Y952">
        <v>16000</v>
      </c>
      <c r="Z952" t="s">
        <v>31</v>
      </c>
      <c r="AA952">
        <v>-7.8569680261270439E-3</v>
      </c>
      <c r="AB952">
        <v>113.2</v>
      </c>
      <c r="AC952" t="s">
        <v>142</v>
      </c>
      <c r="AD952" t="s">
        <v>142</v>
      </c>
      <c r="AE952" t="s">
        <v>177</v>
      </c>
      <c r="AF952">
        <v>3.4111791297699347E-3</v>
      </c>
      <c r="AG952">
        <v>2.7</v>
      </c>
      <c r="AH952" t="s">
        <v>237</v>
      </c>
      <c r="AI952" t="s">
        <v>237</v>
      </c>
      <c r="AJ952">
        <v>4.9012617299912685E-3</v>
      </c>
      <c r="AK952">
        <v>8.8474233382033682E-3</v>
      </c>
      <c r="AL952">
        <v>3.9461616082120997E-3</v>
      </c>
      <c r="AM952" t="s">
        <v>177</v>
      </c>
      <c r="AN952" t="s">
        <v>146</v>
      </c>
      <c r="AO952" t="s">
        <v>142</v>
      </c>
      <c r="AP952" t="s">
        <v>31</v>
      </c>
      <c r="AQ952">
        <v>3.0180145843518776E-5</v>
      </c>
    </row>
    <row r="953" spans="1:43" x14ac:dyDescent="0.2">
      <c r="A953">
        <v>951</v>
      </c>
      <c r="B953">
        <v>95</v>
      </c>
      <c r="C953">
        <v>6</v>
      </c>
      <c r="F953" t="s">
        <v>29</v>
      </c>
      <c r="G953" t="s">
        <v>1606</v>
      </c>
      <c r="I953">
        <v>7.4014914643244986E-5</v>
      </c>
      <c r="J953">
        <v>2.7207453694194998</v>
      </c>
      <c r="K953">
        <v>2.7207453694194998</v>
      </c>
      <c r="L953" s="1"/>
      <c r="M953" s="1"/>
      <c r="N953" s="1">
        <v>43021</v>
      </c>
      <c r="R953">
        <v>-1.7076343737775217E-2</v>
      </c>
      <c r="S953">
        <v>-1.7076343737775217E-2</v>
      </c>
      <c r="T953" t="s">
        <v>32</v>
      </c>
      <c r="U953" t="s">
        <v>32</v>
      </c>
      <c r="AA953">
        <v>2.3419531239197048E-2</v>
      </c>
      <c r="AC953" t="s">
        <v>42</v>
      </c>
      <c r="AD953" t="s">
        <v>42</v>
      </c>
      <c r="AF953">
        <v>2.1</v>
      </c>
      <c r="AG953">
        <v>2.1</v>
      </c>
      <c r="AH953" t="s">
        <v>237</v>
      </c>
      <c r="AI953" t="s">
        <v>237</v>
      </c>
      <c r="AJ953">
        <v>-4.3343537574447996E-3</v>
      </c>
      <c r="AK953">
        <v>0</v>
      </c>
      <c r="AL953">
        <v>4.3343537574447996E-3</v>
      </c>
      <c r="AN953" t="s">
        <v>42</v>
      </c>
      <c r="AO953" t="s">
        <v>42</v>
      </c>
    </row>
    <row r="954" spans="1:43" x14ac:dyDescent="0.2">
      <c r="A954">
        <v>952</v>
      </c>
      <c r="B954">
        <v>98</v>
      </c>
      <c r="C954">
        <v>6</v>
      </c>
      <c r="F954" t="s">
        <v>29</v>
      </c>
      <c r="G954" t="s">
        <v>1607</v>
      </c>
      <c r="I954">
        <v>1.1921153176339259E-4</v>
      </c>
      <c r="J954">
        <v>4.0993031617891997</v>
      </c>
      <c r="K954">
        <v>4.0993031617891997</v>
      </c>
      <c r="L954" s="1"/>
      <c r="M954" s="1"/>
      <c r="N954" s="1">
        <v>43021</v>
      </c>
      <c r="R954">
        <v>-2.7515108469385995E-2</v>
      </c>
      <c r="S954">
        <v>-2.7515108469385995E-2</v>
      </c>
      <c r="T954" t="s">
        <v>32</v>
      </c>
      <c r="U954" t="s">
        <v>32</v>
      </c>
      <c r="W954" t="s">
        <v>200</v>
      </c>
      <c r="Z954" t="s">
        <v>31</v>
      </c>
      <c r="AA954">
        <v>3.7720481144405488E-2</v>
      </c>
      <c r="AC954" t="s">
        <v>42</v>
      </c>
      <c r="AD954" t="s">
        <v>42</v>
      </c>
      <c r="AE954" t="s">
        <v>41</v>
      </c>
      <c r="AF954">
        <v>2.33</v>
      </c>
      <c r="AG954">
        <v>2.33</v>
      </c>
      <c r="AH954" t="s">
        <v>237</v>
      </c>
      <c r="AI954" t="s">
        <v>237</v>
      </c>
      <c r="AJ954">
        <v>-4.3325844743091002E-3</v>
      </c>
      <c r="AK954">
        <v>0</v>
      </c>
      <c r="AL954">
        <v>4.3325844743091002E-3</v>
      </c>
      <c r="AM954" t="s">
        <v>41</v>
      </c>
      <c r="AN954" t="s">
        <v>42</v>
      </c>
      <c r="AO954" t="s">
        <v>42</v>
      </c>
      <c r="AP954" t="s">
        <v>31</v>
      </c>
    </row>
    <row r="955" spans="1:43" x14ac:dyDescent="0.2">
      <c r="A955">
        <v>953</v>
      </c>
      <c r="B955">
        <v>101</v>
      </c>
      <c r="C955">
        <v>6</v>
      </c>
      <c r="F955" t="s">
        <v>29</v>
      </c>
      <c r="G955" t="s">
        <v>1608</v>
      </c>
      <c r="I955">
        <v>1.0726314976641446E-4</v>
      </c>
      <c r="J955">
        <v>5.8326126085101997</v>
      </c>
      <c r="K955">
        <v>5.8326126085101997</v>
      </c>
      <c r="L955" s="1"/>
      <c r="M955" s="1"/>
      <c r="N955" s="1">
        <v>43021</v>
      </c>
      <c r="R955">
        <v>-2.4503300094715318E-2</v>
      </c>
      <c r="S955">
        <v>-2.4503300094715318E-2</v>
      </c>
      <c r="T955" t="s">
        <v>32</v>
      </c>
      <c r="U955" t="s">
        <v>32</v>
      </c>
      <c r="AA955">
        <v>3.3939817385150207E-2</v>
      </c>
      <c r="AC955" t="s">
        <v>42</v>
      </c>
      <c r="AD955" t="s">
        <v>42</v>
      </c>
      <c r="AF955">
        <v>2.39</v>
      </c>
      <c r="AG955">
        <v>2.39</v>
      </c>
      <c r="AH955" t="s">
        <v>237</v>
      </c>
      <c r="AI955" t="s">
        <v>237</v>
      </c>
      <c r="AJ955">
        <v>-4.3774981064508998E-3</v>
      </c>
      <c r="AK955">
        <v>0</v>
      </c>
      <c r="AL955">
        <v>4.3774981064508998E-3</v>
      </c>
      <c r="AN955" t="s">
        <v>42</v>
      </c>
      <c r="AO955" t="s">
        <v>42</v>
      </c>
    </row>
    <row r="956" spans="1:43" x14ac:dyDescent="0.2">
      <c r="A956">
        <v>954</v>
      </c>
      <c r="B956">
        <v>109</v>
      </c>
      <c r="C956">
        <v>6</v>
      </c>
      <c r="F956" t="s">
        <v>29</v>
      </c>
      <c r="G956" t="s">
        <v>1609</v>
      </c>
      <c r="I956">
        <v>8.1427099532148838E-6</v>
      </c>
      <c r="J956">
        <v>3.4714596969892999</v>
      </c>
      <c r="K956">
        <v>3.4714596969892999</v>
      </c>
      <c r="L956" s="1"/>
      <c r="M956" s="1"/>
      <c r="N956" s="1">
        <v>43021</v>
      </c>
      <c r="R956">
        <v>-2.4289588067404359E-3</v>
      </c>
      <c r="S956">
        <v>-2.4289588067404359E-3</v>
      </c>
      <c r="T956" t="s">
        <v>39</v>
      </c>
      <c r="U956" t="s">
        <v>39</v>
      </c>
      <c r="AA956">
        <v>2.5764867937794877E-3</v>
      </c>
      <c r="AC956" t="s">
        <v>42</v>
      </c>
      <c r="AD956" t="s">
        <v>42</v>
      </c>
      <c r="AF956">
        <v>4.41</v>
      </c>
      <c r="AG956">
        <v>4.41</v>
      </c>
      <c r="AH956" t="s">
        <v>237</v>
      </c>
      <c r="AI956" t="s">
        <v>237</v>
      </c>
      <c r="AJ956">
        <v>-3.3523458407852002E-3</v>
      </c>
      <c r="AK956">
        <v>0</v>
      </c>
      <c r="AL956">
        <v>3.3523458407852002E-3</v>
      </c>
      <c r="AN956" t="s">
        <v>42</v>
      </c>
      <c r="AO956" t="s">
        <v>42</v>
      </c>
    </row>
    <row r="957" spans="1:43" x14ac:dyDescent="0.2">
      <c r="A957">
        <v>955</v>
      </c>
      <c r="B957">
        <v>92</v>
      </c>
      <c r="C957">
        <v>6</v>
      </c>
      <c r="D957">
        <v>4000</v>
      </c>
      <c r="E957" t="s">
        <v>414</v>
      </c>
      <c r="F957" t="s">
        <v>29</v>
      </c>
      <c r="G957" t="s">
        <v>415</v>
      </c>
      <c r="H957">
        <v>1.3786351470877849E-3</v>
      </c>
      <c r="I957">
        <v>9.9243649354751022E-6</v>
      </c>
      <c r="J957">
        <v>0.7</v>
      </c>
      <c r="K957">
        <v>0.70660739946618001</v>
      </c>
      <c r="L957" s="1">
        <v>43282</v>
      </c>
      <c r="M957" s="1">
        <v>43024</v>
      </c>
      <c r="N957" s="1">
        <v>43021</v>
      </c>
      <c r="R957">
        <v>-6.4270987235110688E-3</v>
      </c>
      <c r="S957">
        <v>-6.4270987235110688E-3</v>
      </c>
      <c r="T957" t="s">
        <v>32</v>
      </c>
      <c r="U957" t="s">
        <v>32</v>
      </c>
      <c r="V957">
        <v>108961030</v>
      </c>
      <c r="W957" t="s">
        <v>200</v>
      </c>
      <c r="X957" t="s">
        <v>305</v>
      </c>
      <c r="Y957">
        <v>4000</v>
      </c>
      <c r="Z957" t="s">
        <v>31</v>
      </c>
      <c r="AA957">
        <v>3.1402316108293084E-3</v>
      </c>
      <c r="AB957">
        <v>101.14</v>
      </c>
      <c r="AC957" t="s">
        <v>42</v>
      </c>
      <c r="AD957" t="s">
        <v>42</v>
      </c>
      <c r="AE957" t="s">
        <v>41</v>
      </c>
      <c r="AF957">
        <v>-4.9888208702300665E-3</v>
      </c>
      <c r="AG957">
        <v>1.88</v>
      </c>
      <c r="AH957" t="s">
        <v>237</v>
      </c>
      <c r="AI957" t="s">
        <v>237</v>
      </c>
      <c r="AJ957">
        <v>-1.5441438450557216E-3</v>
      </c>
      <c r="AK957">
        <v>1.9694787815539784E-3</v>
      </c>
      <c r="AL957">
        <v>3.5136226266097E-3</v>
      </c>
      <c r="AM957" t="s">
        <v>41</v>
      </c>
      <c r="AN957" t="s">
        <v>142</v>
      </c>
      <c r="AO957" t="s">
        <v>42</v>
      </c>
      <c r="AP957" t="s">
        <v>31</v>
      </c>
      <c r="AQ957">
        <v>-9.8253768488917697E-6</v>
      </c>
    </row>
    <row r="958" spans="1:43" x14ac:dyDescent="0.2">
      <c r="A958">
        <v>956</v>
      </c>
      <c r="B958">
        <v>95</v>
      </c>
      <c r="C958">
        <v>6</v>
      </c>
      <c r="F958" t="s">
        <v>29</v>
      </c>
      <c r="G958" t="s">
        <v>1610</v>
      </c>
      <c r="I958">
        <v>6.0753253243455055E-5</v>
      </c>
      <c r="J958">
        <v>1.6650109504032999</v>
      </c>
      <c r="K958">
        <v>1.6650109504032999</v>
      </c>
      <c r="L958" s="1"/>
      <c r="M958" s="1"/>
      <c r="N958" s="1">
        <v>43021</v>
      </c>
      <c r="R958">
        <v>-1.7076343737775217E-2</v>
      </c>
      <c r="S958">
        <v>-1.7076343737775217E-2</v>
      </c>
      <c r="T958" t="s">
        <v>32</v>
      </c>
      <c r="U958" t="s">
        <v>32</v>
      </c>
      <c r="W958" t="s">
        <v>200</v>
      </c>
      <c r="Z958" t="s">
        <v>31</v>
      </c>
      <c r="AA958">
        <v>1.9223324367473264E-2</v>
      </c>
      <c r="AC958" t="s">
        <v>42</v>
      </c>
      <c r="AD958" t="s">
        <v>42</v>
      </c>
      <c r="AE958" t="s">
        <v>41</v>
      </c>
      <c r="AF958">
        <v>2.06</v>
      </c>
      <c r="AG958">
        <v>2.06</v>
      </c>
      <c r="AH958" t="s">
        <v>237</v>
      </c>
      <c r="AI958" t="s">
        <v>237</v>
      </c>
      <c r="AJ958">
        <v>-3.5577436350768999E-3</v>
      </c>
      <c r="AK958">
        <v>0</v>
      </c>
      <c r="AL958">
        <v>3.5577436350768999E-3</v>
      </c>
      <c r="AM958" t="s">
        <v>41</v>
      </c>
      <c r="AN958" t="s">
        <v>42</v>
      </c>
      <c r="AO958" t="s">
        <v>42</v>
      </c>
      <c r="AP958" t="s">
        <v>31</v>
      </c>
    </row>
    <row r="959" spans="1:43" x14ac:dyDescent="0.2">
      <c r="A959">
        <v>957</v>
      </c>
      <c r="B959">
        <v>98</v>
      </c>
      <c r="C959">
        <v>6</v>
      </c>
      <c r="D959">
        <v>16000</v>
      </c>
      <c r="E959" t="s">
        <v>414</v>
      </c>
      <c r="F959" t="s">
        <v>29</v>
      </c>
      <c r="G959" t="s">
        <v>960</v>
      </c>
      <c r="H959">
        <v>3.3801295120774455E-2</v>
      </c>
      <c r="I959">
        <v>-1.236717492447534E-4</v>
      </c>
      <c r="J959">
        <v>4.17</v>
      </c>
      <c r="K959">
        <v>4.1796261503623997</v>
      </c>
      <c r="L959" s="1">
        <v>44652</v>
      </c>
      <c r="M959" s="1">
        <v>43024</v>
      </c>
      <c r="N959" s="1">
        <v>43021</v>
      </c>
      <c r="R959">
        <v>-2.7515108469385995E-2</v>
      </c>
      <c r="S959">
        <v>-2.7515108469385995E-2</v>
      </c>
      <c r="T959" t="s">
        <v>32</v>
      </c>
      <c r="U959" t="s">
        <v>32</v>
      </c>
      <c r="V959">
        <v>448453254</v>
      </c>
      <c r="W959" t="s">
        <v>200</v>
      </c>
      <c r="X959" t="s">
        <v>305</v>
      </c>
      <c r="Y959">
        <v>16000</v>
      </c>
      <c r="Z959" t="s">
        <v>31</v>
      </c>
      <c r="AA959">
        <v>-3.9131767006745873E-2</v>
      </c>
      <c r="AB959">
        <v>104.97</v>
      </c>
      <c r="AC959" t="s">
        <v>42</v>
      </c>
      <c r="AD959" t="s">
        <v>42</v>
      </c>
      <c r="AE959" t="s">
        <v>41</v>
      </c>
      <c r="AF959">
        <v>-2.8882087023006375E-4</v>
      </c>
      <c r="AG959">
        <v>2.34</v>
      </c>
      <c r="AH959" t="s">
        <v>237</v>
      </c>
      <c r="AI959" t="s">
        <v>237</v>
      </c>
      <c r="AJ959">
        <v>4.4946851429771284E-3</v>
      </c>
      <c r="AK959">
        <v>8.1058261680514287E-3</v>
      </c>
      <c r="AL959">
        <v>3.6111410250742998E-3</v>
      </c>
      <c r="AM959" t="s">
        <v>41</v>
      </c>
      <c r="AN959" t="s">
        <v>142</v>
      </c>
      <c r="AO959" t="s">
        <v>42</v>
      </c>
      <c r="AP959" t="s">
        <v>31</v>
      </c>
      <c r="AQ959">
        <v>-2.3411317677902365E-6</v>
      </c>
    </row>
    <row r="960" spans="1:43" x14ac:dyDescent="0.2">
      <c r="A960">
        <v>958</v>
      </c>
      <c r="B960">
        <v>109</v>
      </c>
      <c r="C960">
        <v>6</v>
      </c>
      <c r="F960" t="s">
        <v>29</v>
      </c>
      <c r="G960" t="s">
        <v>1725</v>
      </c>
      <c r="I960">
        <v>2.2117184818534068E-6</v>
      </c>
      <c r="J960">
        <v>4.3014721428657001</v>
      </c>
      <c r="K960">
        <v>4.3014721428657001</v>
      </c>
      <c r="L960" s="1"/>
      <c r="M960" s="1"/>
      <c r="N960" s="1">
        <v>43021</v>
      </c>
      <c r="R960">
        <v>-2.4289588067404359E-3</v>
      </c>
      <c r="S960">
        <v>-2.4289588067404359E-3</v>
      </c>
      <c r="T960" t="s">
        <v>39</v>
      </c>
      <c r="U960" t="s">
        <v>39</v>
      </c>
      <c r="AA960">
        <v>6.9982395207426819E-4</v>
      </c>
      <c r="AC960" t="s">
        <v>42</v>
      </c>
      <c r="AD960" t="s">
        <v>42</v>
      </c>
      <c r="AF960">
        <v>4.42</v>
      </c>
      <c r="AG960">
        <v>4.42</v>
      </c>
      <c r="AH960" t="s">
        <v>237</v>
      </c>
      <c r="AI960" t="s">
        <v>237</v>
      </c>
      <c r="AJ960">
        <v>-9.1056236759380995E-4</v>
      </c>
      <c r="AK960">
        <v>0</v>
      </c>
      <c r="AL960">
        <v>9.1056236759380995E-4</v>
      </c>
      <c r="AN960" t="s">
        <v>42</v>
      </c>
      <c r="AO960" t="s">
        <v>42</v>
      </c>
    </row>
    <row r="961" spans="1:43" x14ac:dyDescent="0.2">
      <c r="A961">
        <v>959</v>
      </c>
      <c r="B961">
        <v>98</v>
      </c>
      <c r="C961">
        <v>6</v>
      </c>
      <c r="F961" t="s">
        <v>29</v>
      </c>
      <c r="G961" t="s">
        <v>1611</v>
      </c>
      <c r="I961">
        <v>5.1273145936278106E-5</v>
      </c>
      <c r="J961">
        <v>4.7779480894719004</v>
      </c>
      <c r="K961">
        <v>4.7779480894719004</v>
      </c>
      <c r="L961" s="1"/>
      <c r="M961" s="1"/>
      <c r="N961" s="1">
        <v>43021</v>
      </c>
      <c r="R961">
        <v>-2.7515108469385995E-2</v>
      </c>
      <c r="S961">
        <v>-2.7515108469385995E-2</v>
      </c>
      <c r="T961" t="s">
        <v>32</v>
      </c>
      <c r="U961" t="s">
        <v>32</v>
      </c>
      <c r="W961" t="s">
        <v>200</v>
      </c>
      <c r="Z961" t="s">
        <v>31</v>
      </c>
      <c r="AA961">
        <v>1.6223663146467809E-2</v>
      </c>
      <c r="AC961" t="s">
        <v>42</v>
      </c>
      <c r="AD961" t="s">
        <v>42</v>
      </c>
      <c r="AE961" t="s">
        <v>41</v>
      </c>
      <c r="AF961">
        <v>2.31</v>
      </c>
      <c r="AG961">
        <v>2.31</v>
      </c>
      <c r="AH961" t="s">
        <v>237</v>
      </c>
      <c r="AI961" t="s">
        <v>237</v>
      </c>
      <c r="AJ961">
        <v>-1.8634542543536001E-3</v>
      </c>
      <c r="AK961">
        <v>0</v>
      </c>
      <c r="AL961">
        <v>1.8634542543536001E-3</v>
      </c>
      <c r="AM961" t="s">
        <v>41</v>
      </c>
      <c r="AN961" t="s">
        <v>42</v>
      </c>
      <c r="AO961" t="s">
        <v>42</v>
      </c>
      <c r="AP961" t="s">
        <v>31</v>
      </c>
    </row>
    <row r="962" spans="1:43" x14ac:dyDescent="0.2">
      <c r="A962">
        <v>960</v>
      </c>
      <c r="B962">
        <v>145</v>
      </c>
      <c r="C962">
        <v>6</v>
      </c>
      <c r="F962" t="s">
        <v>29</v>
      </c>
      <c r="G962" t="s">
        <v>1612</v>
      </c>
      <c r="I962">
        <v>-7.547585520947499E-7</v>
      </c>
      <c r="J962">
        <v>0.8699730361711</v>
      </c>
      <c r="K962">
        <v>0.8699730361711</v>
      </c>
      <c r="L962" s="1"/>
      <c r="M962" s="1"/>
      <c r="N962" s="1">
        <v>43021</v>
      </c>
      <c r="R962">
        <v>9.0766729747599232E-4</v>
      </c>
      <c r="S962">
        <v>9.0766729747599232E-4</v>
      </c>
      <c r="T962" t="s">
        <v>39</v>
      </c>
      <c r="U962" t="s">
        <v>39</v>
      </c>
      <c r="W962" t="s">
        <v>200</v>
      </c>
      <c r="Z962" t="s">
        <v>31</v>
      </c>
      <c r="AA962">
        <v>-2.3881796762225069E-4</v>
      </c>
      <c r="AC962" t="s">
        <v>42</v>
      </c>
      <c r="AD962" t="s">
        <v>42</v>
      </c>
      <c r="AE962" t="s">
        <v>41</v>
      </c>
      <c r="AF962">
        <v>3.41</v>
      </c>
      <c r="AG962">
        <v>3.41</v>
      </c>
      <c r="AH962" t="s">
        <v>237</v>
      </c>
      <c r="AI962" t="s">
        <v>237</v>
      </c>
      <c r="AJ962">
        <v>-8.3153657093690009E-4</v>
      </c>
      <c r="AK962">
        <v>0</v>
      </c>
      <c r="AL962">
        <v>8.3153657093690009E-4</v>
      </c>
      <c r="AM962" t="s">
        <v>41</v>
      </c>
      <c r="AN962" t="s">
        <v>42</v>
      </c>
      <c r="AO962" t="s">
        <v>42</v>
      </c>
      <c r="AP962" t="s">
        <v>31</v>
      </c>
    </row>
    <row r="963" spans="1:43" x14ac:dyDescent="0.2">
      <c r="A963">
        <v>961</v>
      </c>
      <c r="B963">
        <v>101</v>
      </c>
      <c r="C963">
        <v>6</v>
      </c>
      <c r="F963" t="s">
        <v>29</v>
      </c>
      <c r="G963" t="s">
        <v>1613</v>
      </c>
      <c r="I963">
        <v>4.4923023049823677E-5</v>
      </c>
      <c r="J963">
        <v>5.3705810423395004</v>
      </c>
      <c r="K963">
        <v>5.3705810423395004</v>
      </c>
      <c r="L963" s="1"/>
      <c r="M963" s="1"/>
      <c r="N963" s="1">
        <v>43021</v>
      </c>
      <c r="R963">
        <v>-2.4503300094715318E-2</v>
      </c>
      <c r="S963">
        <v>-2.4503300094715318E-2</v>
      </c>
      <c r="T963" t="s">
        <v>32</v>
      </c>
      <c r="U963" t="s">
        <v>32</v>
      </c>
      <c r="W963" t="s">
        <v>200</v>
      </c>
      <c r="Z963" t="s">
        <v>31</v>
      </c>
      <c r="AA963">
        <v>1.42143802603241E-2</v>
      </c>
      <c r="AC963" t="s">
        <v>42</v>
      </c>
      <c r="AD963" t="s">
        <v>42</v>
      </c>
      <c r="AE963" t="s">
        <v>41</v>
      </c>
      <c r="AF963">
        <v>2.38</v>
      </c>
      <c r="AG963">
        <v>2.38</v>
      </c>
      <c r="AH963" t="s">
        <v>237</v>
      </c>
      <c r="AI963" t="s">
        <v>237</v>
      </c>
      <c r="AJ963">
        <v>-1.8333458299975001E-3</v>
      </c>
      <c r="AK963">
        <v>0</v>
      </c>
      <c r="AL963">
        <v>1.8333458299975001E-3</v>
      </c>
      <c r="AM963" t="s">
        <v>41</v>
      </c>
      <c r="AN963" t="s">
        <v>42</v>
      </c>
      <c r="AO963" t="s">
        <v>42</v>
      </c>
      <c r="AP963" t="s">
        <v>31</v>
      </c>
    </row>
    <row r="964" spans="1:43" x14ac:dyDescent="0.2">
      <c r="A964">
        <v>962</v>
      </c>
      <c r="B964">
        <v>98</v>
      </c>
      <c r="C964">
        <v>6</v>
      </c>
      <c r="D964">
        <v>1000</v>
      </c>
      <c r="E964" t="s">
        <v>414</v>
      </c>
      <c r="F964" t="s">
        <v>29</v>
      </c>
      <c r="G964" t="s">
        <v>961</v>
      </c>
      <c r="H964">
        <v>1.5376421936187461E-3</v>
      </c>
      <c r="I964">
        <v>3.5668799890430006E-5</v>
      </c>
      <c r="J964">
        <v>3.04</v>
      </c>
      <c r="K964">
        <v>3.0502477256209999</v>
      </c>
      <c r="L964" s="1">
        <v>44197</v>
      </c>
      <c r="M964" s="1">
        <v>43024</v>
      </c>
      <c r="N964" s="1">
        <v>43021</v>
      </c>
      <c r="R964">
        <v>-2.7515108469385995E-2</v>
      </c>
      <c r="S964">
        <v>-2.7515108469385995E-2</v>
      </c>
      <c r="T964" t="s">
        <v>32</v>
      </c>
      <c r="U964" t="s">
        <v>32</v>
      </c>
      <c r="V964">
        <v>27983472</v>
      </c>
      <c r="W964" t="s">
        <v>200</v>
      </c>
      <c r="X964" t="s">
        <v>305</v>
      </c>
      <c r="Y964">
        <v>1000</v>
      </c>
      <c r="Z964" t="s">
        <v>31</v>
      </c>
      <c r="AA964">
        <v>1.1286192483298799E-2</v>
      </c>
      <c r="AB964">
        <v>103.89</v>
      </c>
      <c r="AC964" t="s">
        <v>42</v>
      </c>
      <c r="AD964" t="s">
        <v>42</v>
      </c>
      <c r="AE964" t="s">
        <v>41</v>
      </c>
      <c r="AF964">
        <v>-1.2888208702300646E-3</v>
      </c>
      <c r="AG964">
        <v>2.27</v>
      </c>
      <c r="AH964" t="s">
        <v>237</v>
      </c>
      <c r="AI964" t="s">
        <v>237</v>
      </c>
      <c r="AJ964">
        <v>-1.2963350637020389E-3</v>
      </c>
      <c r="AK964">
        <v>5.0580335316406124E-4</v>
      </c>
      <c r="AL964">
        <v>1.8021384168661E-3</v>
      </c>
      <c r="AM964" t="s">
        <v>41</v>
      </c>
      <c r="AN964" t="s">
        <v>142</v>
      </c>
      <c r="AO964" t="s">
        <v>42</v>
      </c>
      <c r="AP964" t="s">
        <v>31</v>
      </c>
      <c r="AQ964">
        <v>-6.5188991779019017E-7</v>
      </c>
    </row>
    <row r="965" spans="1:43" x14ac:dyDescent="0.2">
      <c r="A965">
        <v>963</v>
      </c>
      <c r="B965">
        <v>101</v>
      </c>
      <c r="C965">
        <v>6</v>
      </c>
      <c r="F965" t="s">
        <v>29</v>
      </c>
      <c r="G965" t="s">
        <v>1614</v>
      </c>
      <c r="I965">
        <v>5.4267261797963212E-5</v>
      </c>
      <c r="J965">
        <v>5.6316505782156998</v>
      </c>
      <c r="K965">
        <v>5.6316505782156998</v>
      </c>
      <c r="L965" s="1"/>
      <c r="M965" s="1"/>
      <c r="N965" s="1">
        <v>43021</v>
      </c>
      <c r="R965">
        <v>-2.4503300094715318E-2</v>
      </c>
      <c r="S965">
        <v>-2.4503300094715318E-2</v>
      </c>
      <c r="T965" t="s">
        <v>32</v>
      </c>
      <c r="U965" t="s">
        <v>32</v>
      </c>
      <c r="W965" t="s">
        <v>200</v>
      </c>
      <c r="Z965" t="s">
        <v>31</v>
      </c>
      <c r="AA965">
        <v>1.7171050443940149E-2</v>
      </c>
      <c r="AC965" t="s">
        <v>42</v>
      </c>
      <c r="AD965" t="s">
        <v>42</v>
      </c>
      <c r="AE965" t="s">
        <v>41</v>
      </c>
      <c r="AF965">
        <v>2.2999999999999998</v>
      </c>
      <c r="AG965">
        <v>2.2999999999999998</v>
      </c>
      <c r="AH965" t="s">
        <v>237</v>
      </c>
      <c r="AI965" t="s">
        <v>237</v>
      </c>
      <c r="AJ965">
        <v>-2.2146919634578998E-3</v>
      </c>
      <c r="AK965">
        <v>0</v>
      </c>
      <c r="AL965">
        <v>2.2146919634578998E-3</v>
      </c>
      <c r="AM965" t="s">
        <v>41</v>
      </c>
      <c r="AN965" t="s">
        <v>42</v>
      </c>
      <c r="AO965" t="s">
        <v>42</v>
      </c>
      <c r="AP965" t="s">
        <v>31</v>
      </c>
    </row>
    <row r="966" spans="1:43" x14ac:dyDescent="0.2">
      <c r="A966">
        <v>964</v>
      </c>
      <c r="B966">
        <v>101</v>
      </c>
      <c r="C966">
        <v>6</v>
      </c>
      <c r="F966" t="s">
        <v>29</v>
      </c>
      <c r="G966" t="s">
        <v>1615</v>
      </c>
      <c r="I966">
        <v>9.717324136466503E-5</v>
      </c>
      <c r="J966">
        <v>5.9603577435970996</v>
      </c>
      <c r="K966">
        <v>5.9603577435970996</v>
      </c>
      <c r="L966" s="1"/>
      <c r="M966" s="1"/>
      <c r="N966" s="1">
        <v>43021</v>
      </c>
      <c r="R966">
        <v>-2.4503300094715318E-2</v>
      </c>
      <c r="S966">
        <v>-2.4503300094715318E-2</v>
      </c>
      <c r="T966" t="s">
        <v>32</v>
      </c>
      <c r="U966" t="s">
        <v>32</v>
      </c>
      <c r="AA966">
        <v>3.074720511025416E-2</v>
      </c>
      <c r="AC966" t="s">
        <v>42</v>
      </c>
      <c r="AD966" t="s">
        <v>42</v>
      </c>
      <c r="AF966">
        <v>2.2200000000000002</v>
      </c>
      <c r="AG966">
        <v>2.2200000000000002</v>
      </c>
      <c r="AH966" t="s">
        <v>237</v>
      </c>
      <c r="AI966" t="s">
        <v>237</v>
      </c>
      <c r="AJ966">
        <v>-3.9657205759653005E-3</v>
      </c>
      <c r="AK966">
        <v>0</v>
      </c>
      <c r="AL966">
        <v>3.9657205759653005E-3</v>
      </c>
      <c r="AN966" t="s">
        <v>42</v>
      </c>
      <c r="AO966" t="s">
        <v>42</v>
      </c>
    </row>
    <row r="967" spans="1:43" x14ac:dyDescent="0.2">
      <c r="A967">
        <v>965</v>
      </c>
      <c r="B967">
        <v>95</v>
      </c>
      <c r="C967">
        <v>6</v>
      </c>
      <c r="F967" t="s">
        <v>29</v>
      </c>
      <c r="G967" t="s">
        <v>1616</v>
      </c>
      <c r="I967">
        <v>9.6242039673532591E-6</v>
      </c>
      <c r="J967">
        <v>1.9403317530118001</v>
      </c>
      <c r="K967">
        <v>1.9403317530118001</v>
      </c>
      <c r="L967" s="1"/>
      <c r="M967" s="1"/>
      <c r="N967" s="1">
        <v>43021</v>
      </c>
      <c r="R967">
        <v>-1.7076343737775217E-2</v>
      </c>
      <c r="S967">
        <v>-1.7076343737775217E-2</v>
      </c>
      <c r="T967" t="s">
        <v>32</v>
      </c>
      <c r="U967" t="s">
        <v>32</v>
      </c>
      <c r="AA967">
        <v>3.0452557643583606E-3</v>
      </c>
      <c r="AC967" t="s">
        <v>42</v>
      </c>
      <c r="AD967" t="s">
        <v>42</v>
      </c>
      <c r="AF967">
        <v>2.14</v>
      </c>
      <c r="AG967">
        <v>2.14</v>
      </c>
      <c r="AH967" t="s">
        <v>237</v>
      </c>
      <c r="AI967" t="s">
        <v>237</v>
      </c>
      <c r="AJ967">
        <v>-5.6359863183494006E-4</v>
      </c>
      <c r="AK967">
        <v>0</v>
      </c>
      <c r="AL967">
        <v>5.6359863183494006E-4</v>
      </c>
      <c r="AN967" t="s">
        <v>42</v>
      </c>
      <c r="AO967" t="s">
        <v>42</v>
      </c>
    </row>
    <row r="968" spans="1:43" x14ac:dyDescent="0.2">
      <c r="A968">
        <v>966</v>
      </c>
      <c r="B968">
        <v>106</v>
      </c>
      <c r="C968">
        <v>6</v>
      </c>
      <c r="F968" t="s">
        <v>29</v>
      </c>
      <c r="G968" t="s">
        <v>1617</v>
      </c>
      <c r="I968">
        <v>3.7580984423096466E-6</v>
      </c>
      <c r="J968">
        <v>2.0975661553913998</v>
      </c>
      <c r="K968">
        <v>2.0975661553913998</v>
      </c>
      <c r="L968" s="1"/>
      <c r="M968" s="1"/>
      <c r="N968" s="1">
        <v>43021</v>
      </c>
      <c r="R968">
        <v>-1.1192084561863695E-3</v>
      </c>
      <c r="S968">
        <v>-1.1192084561863695E-3</v>
      </c>
      <c r="T968" t="s">
        <v>39</v>
      </c>
      <c r="U968" t="s">
        <v>39</v>
      </c>
      <c r="W968" t="s">
        <v>200</v>
      </c>
      <c r="Z968" t="s">
        <v>31</v>
      </c>
      <c r="AA968">
        <v>1.189123898796269E-3</v>
      </c>
      <c r="AC968" t="s">
        <v>42</v>
      </c>
      <c r="AD968" t="s">
        <v>42</v>
      </c>
      <c r="AE968" t="s">
        <v>41</v>
      </c>
      <c r="AF968">
        <v>3.96</v>
      </c>
      <c r="AG968">
        <v>3.96</v>
      </c>
      <c r="AH968" t="s">
        <v>237</v>
      </c>
      <c r="AI968" t="s">
        <v>237</v>
      </c>
      <c r="AJ968">
        <v>-3.3578181272103003E-3</v>
      </c>
      <c r="AK968">
        <v>0</v>
      </c>
      <c r="AL968">
        <v>3.3578181272103003E-3</v>
      </c>
      <c r="AM968" t="s">
        <v>41</v>
      </c>
      <c r="AN968" t="s">
        <v>42</v>
      </c>
      <c r="AO968" t="s">
        <v>42</v>
      </c>
      <c r="AP968" t="s">
        <v>31</v>
      </c>
    </row>
    <row r="969" spans="1:43" x14ac:dyDescent="0.2">
      <c r="A969">
        <v>967</v>
      </c>
      <c r="B969">
        <v>106</v>
      </c>
      <c r="C969">
        <v>6</v>
      </c>
      <c r="D969">
        <v>100000000</v>
      </c>
      <c r="E969" t="s">
        <v>414</v>
      </c>
      <c r="F969" t="s">
        <v>29</v>
      </c>
      <c r="G969" t="s">
        <v>962</v>
      </c>
      <c r="H969">
        <v>4.1779264022086138E-3</v>
      </c>
      <c r="I969">
        <v>3.4672137823351547E-6</v>
      </c>
      <c r="J969">
        <v>2.2599999999999998</v>
      </c>
      <c r="K969">
        <v>2.2701743142262001</v>
      </c>
      <c r="L969" s="1">
        <v>43891</v>
      </c>
      <c r="M969" s="1">
        <v>43024</v>
      </c>
      <c r="N969" s="1">
        <v>43021</v>
      </c>
      <c r="R969">
        <v>-1.1192084561863695E-3</v>
      </c>
      <c r="S969">
        <v>-1.1192084561863695E-3</v>
      </c>
      <c r="T969" t="s">
        <v>39</v>
      </c>
      <c r="U969" t="s">
        <v>39</v>
      </c>
      <c r="V969">
        <v>102275648</v>
      </c>
      <c r="W969" t="s">
        <v>200</v>
      </c>
      <c r="X969" t="s">
        <v>305</v>
      </c>
      <c r="Y969">
        <v>100000000</v>
      </c>
      <c r="Z969" t="s">
        <v>31</v>
      </c>
      <c r="AA969">
        <v>1.0970832281542531E-3</v>
      </c>
      <c r="AB969">
        <v>101.68</v>
      </c>
      <c r="AC969" t="s">
        <v>42</v>
      </c>
      <c r="AD969" t="s">
        <v>42</v>
      </c>
      <c r="AE969" t="s">
        <v>41</v>
      </c>
      <c r="AF969">
        <v>4.0899999999999999E-2</v>
      </c>
      <c r="AG969">
        <v>4.0999999999999996</v>
      </c>
      <c r="AH969" t="s">
        <v>237</v>
      </c>
      <c r="AI969" t="s">
        <v>237</v>
      </c>
      <c r="AJ969">
        <v>-3.0979159987313369E-3</v>
      </c>
      <c r="AK969">
        <v>1.8486400009772629E-3</v>
      </c>
      <c r="AL969">
        <v>4.9465559997085998E-3</v>
      </c>
      <c r="AM969" t="s">
        <v>41</v>
      </c>
      <c r="AN969" t="s">
        <v>142</v>
      </c>
      <c r="AO969" t="s">
        <v>42</v>
      </c>
      <c r="AP969" t="s">
        <v>31</v>
      </c>
      <c r="AQ969">
        <v>7.5609376039970051E-5</v>
      </c>
    </row>
    <row r="970" spans="1:43" x14ac:dyDescent="0.2">
      <c r="A970">
        <v>968</v>
      </c>
      <c r="B970">
        <v>95</v>
      </c>
      <c r="C970">
        <v>6</v>
      </c>
      <c r="F970" t="s">
        <v>29</v>
      </c>
      <c r="G970" t="s">
        <v>1618</v>
      </c>
      <c r="I970">
        <v>4.4134639804664775E-5</v>
      </c>
      <c r="J970">
        <v>2.3285543189081999</v>
      </c>
      <c r="K970">
        <v>2.3285543189081999</v>
      </c>
      <c r="L970" s="1"/>
      <c r="M970" s="1"/>
      <c r="N970" s="1">
        <v>43021</v>
      </c>
      <c r="R970">
        <v>-1.7076343737775217E-2</v>
      </c>
      <c r="S970">
        <v>-1.7076343737775217E-2</v>
      </c>
      <c r="T970" t="s">
        <v>32</v>
      </c>
      <c r="U970" t="s">
        <v>32</v>
      </c>
      <c r="W970" t="s">
        <v>200</v>
      </c>
      <c r="Z970" t="s">
        <v>31</v>
      </c>
      <c r="AA970">
        <v>1.396492288909759E-2</v>
      </c>
      <c r="AC970" t="s">
        <v>42</v>
      </c>
      <c r="AD970" t="s">
        <v>42</v>
      </c>
      <c r="AE970" t="s">
        <v>41</v>
      </c>
      <c r="AF970">
        <v>2.2200000000000002</v>
      </c>
      <c r="AG970">
        <v>2.2200000000000002</v>
      </c>
      <c r="AH970" t="s">
        <v>237</v>
      </c>
      <c r="AI970" t="s">
        <v>237</v>
      </c>
      <c r="AJ970">
        <v>-2.5845485709586002E-3</v>
      </c>
      <c r="AK970">
        <v>0</v>
      </c>
      <c r="AL970">
        <v>2.5845485709586002E-3</v>
      </c>
      <c r="AM970" t="s">
        <v>41</v>
      </c>
      <c r="AN970" t="s">
        <v>42</v>
      </c>
      <c r="AO970" t="s">
        <v>42</v>
      </c>
      <c r="AP970" t="s">
        <v>31</v>
      </c>
    </row>
    <row r="971" spans="1:43" x14ac:dyDescent="0.2">
      <c r="A971">
        <v>969</v>
      </c>
      <c r="B971">
        <v>98</v>
      </c>
      <c r="C971">
        <v>6</v>
      </c>
      <c r="F971" t="s">
        <v>29</v>
      </c>
      <c r="G971" t="s">
        <v>1619</v>
      </c>
      <c r="I971">
        <v>7.1809285499499059E-5</v>
      </c>
      <c r="J971">
        <v>4.6301953881214004</v>
      </c>
      <c r="K971">
        <v>4.6301953881214004</v>
      </c>
      <c r="L971" s="1"/>
      <c r="M971" s="1"/>
      <c r="N971" s="1">
        <v>43021</v>
      </c>
      <c r="R971">
        <v>-2.7515108469385995E-2</v>
      </c>
      <c r="S971">
        <v>-2.7515108469385995E-2</v>
      </c>
      <c r="T971" t="s">
        <v>32</v>
      </c>
      <c r="U971" t="s">
        <v>32</v>
      </c>
      <c r="AA971">
        <v>2.272163405343362E-2</v>
      </c>
      <c r="AC971" t="s">
        <v>42</v>
      </c>
      <c r="AD971" t="s">
        <v>42</v>
      </c>
      <c r="AF971">
        <v>2.2200000000000002</v>
      </c>
      <c r="AG971">
        <v>2.2200000000000002</v>
      </c>
      <c r="AH971" t="s">
        <v>237</v>
      </c>
      <c r="AI971" t="s">
        <v>237</v>
      </c>
      <c r="AJ971">
        <v>-2.6098129171250001E-3</v>
      </c>
      <c r="AK971">
        <v>0</v>
      </c>
      <c r="AL971">
        <v>2.6098129171250001E-3</v>
      </c>
      <c r="AN971" t="s">
        <v>42</v>
      </c>
      <c r="AO971" t="s">
        <v>42</v>
      </c>
    </row>
    <row r="972" spans="1:43" x14ac:dyDescent="0.2">
      <c r="A972">
        <v>970</v>
      </c>
      <c r="B972">
        <v>95</v>
      </c>
      <c r="C972">
        <v>6</v>
      </c>
      <c r="D972">
        <v>4000</v>
      </c>
      <c r="E972" t="s">
        <v>414</v>
      </c>
      <c r="F972" t="s">
        <v>29</v>
      </c>
      <c r="G972" t="s">
        <v>963</v>
      </c>
      <c r="H972">
        <v>5.4342947456174368E-3</v>
      </c>
      <c r="I972">
        <v>1.1240291465283733E-5</v>
      </c>
      <c r="J972">
        <v>2.79</v>
      </c>
      <c r="K972">
        <v>2.8056151514574998</v>
      </c>
      <c r="L972" s="1">
        <v>44075</v>
      </c>
      <c r="M972" s="1">
        <v>43024</v>
      </c>
      <c r="N972" s="1">
        <v>43021</v>
      </c>
      <c r="R972">
        <v>-1.7076343737775217E-2</v>
      </c>
      <c r="S972">
        <v>-1.7076343737775217E-2</v>
      </c>
      <c r="T972" t="s">
        <v>32</v>
      </c>
      <c r="U972" t="s">
        <v>32</v>
      </c>
      <c r="V972">
        <v>107760322</v>
      </c>
      <c r="W972" t="s">
        <v>200</v>
      </c>
      <c r="X972" t="s">
        <v>305</v>
      </c>
      <c r="Y972">
        <v>4000</v>
      </c>
      <c r="Z972" t="s">
        <v>31</v>
      </c>
      <c r="AA972">
        <v>3.5566123176353258E-3</v>
      </c>
      <c r="AB972">
        <v>100.77</v>
      </c>
      <c r="AC972" t="s">
        <v>42</v>
      </c>
      <c r="AD972" t="s">
        <v>42</v>
      </c>
      <c r="AE972" t="s">
        <v>41</v>
      </c>
      <c r="AF972">
        <v>-3.7888208702300634E-3</v>
      </c>
      <c r="AG972">
        <v>1.97</v>
      </c>
      <c r="AH972" t="s">
        <v>237</v>
      </c>
      <c r="AI972" t="s">
        <v>237</v>
      </c>
      <c r="AJ972">
        <v>-6.582375968702636E-4</v>
      </c>
      <c r="AK972">
        <v>1.9477758944865366E-3</v>
      </c>
      <c r="AL972">
        <v>2.6060134913568002E-3</v>
      </c>
      <c r="AM972" t="s">
        <v>41</v>
      </c>
      <c r="AN972" t="s">
        <v>142</v>
      </c>
      <c r="AO972" t="s">
        <v>42</v>
      </c>
      <c r="AP972" t="s">
        <v>31</v>
      </c>
      <c r="AQ972">
        <v>-7.3797739595616194E-6</v>
      </c>
    </row>
    <row r="973" spans="1:43" x14ac:dyDescent="0.2">
      <c r="A973">
        <v>971</v>
      </c>
      <c r="B973">
        <v>98</v>
      </c>
      <c r="C973">
        <v>6</v>
      </c>
      <c r="F973" t="s">
        <v>29</v>
      </c>
      <c r="G973" t="s">
        <v>1620</v>
      </c>
      <c r="I973">
        <v>3.5851775946160248E-4</v>
      </c>
      <c r="J973">
        <v>3.2571774065076</v>
      </c>
      <c r="K973">
        <v>3.2571774065076</v>
      </c>
      <c r="L973" s="1"/>
      <c r="M973" s="1"/>
      <c r="N973" s="1">
        <v>43021</v>
      </c>
      <c r="R973">
        <v>-2.7515108469385995E-2</v>
      </c>
      <c r="S973">
        <v>-2.7515108469385995E-2</v>
      </c>
      <c r="T973" t="s">
        <v>32</v>
      </c>
      <c r="U973" t="s">
        <v>32</v>
      </c>
      <c r="W973" t="s">
        <v>200</v>
      </c>
      <c r="Z973" t="s">
        <v>31</v>
      </c>
      <c r="AA973">
        <v>0.11344089104187365</v>
      </c>
      <c r="AC973" t="s">
        <v>42</v>
      </c>
      <c r="AD973" t="s">
        <v>42</v>
      </c>
      <c r="AE973" t="s">
        <v>41</v>
      </c>
      <c r="AF973">
        <v>2.2799999999999998</v>
      </c>
      <c r="AG973">
        <v>2.2799999999999998</v>
      </c>
      <c r="AH973" t="s">
        <v>237</v>
      </c>
      <c r="AI973" t="s">
        <v>237</v>
      </c>
      <c r="AJ973">
        <v>-1.3029850849416E-2</v>
      </c>
      <c r="AK973">
        <v>0</v>
      </c>
      <c r="AL973">
        <v>1.3029850849416E-2</v>
      </c>
      <c r="AM973" t="s">
        <v>41</v>
      </c>
      <c r="AN973" t="s">
        <v>42</v>
      </c>
      <c r="AO973" t="s">
        <v>42</v>
      </c>
      <c r="AP973" t="s">
        <v>31</v>
      </c>
    </row>
    <row r="974" spans="1:43" x14ac:dyDescent="0.2">
      <c r="A974">
        <v>972</v>
      </c>
      <c r="B974">
        <v>101</v>
      </c>
      <c r="C974">
        <v>6</v>
      </c>
      <c r="F974" t="s">
        <v>29</v>
      </c>
      <c r="G974" t="s">
        <v>1621</v>
      </c>
      <c r="I974">
        <v>2.2089655063556527E-4</v>
      </c>
      <c r="J974">
        <v>7.4770177360733001</v>
      </c>
      <c r="K974">
        <v>7.4770177360733001</v>
      </c>
      <c r="L974" s="1"/>
      <c r="M974" s="1"/>
      <c r="N974" s="1">
        <v>43021</v>
      </c>
      <c r="R974">
        <v>-2.4503300094715318E-2</v>
      </c>
      <c r="S974">
        <v>-2.4503300094715318E-2</v>
      </c>
      <c r="T974" t="s">
        <v>32</v>
      </c>
      <c r="U974" t="s">
        <v>32</v>
      </c>
      <c r="AA974">
        <v>6.989528655374376E-2</v>
      </c>
      <c r="AC974" t="s">
        <v>42</v>
      </c>
      <c r="AD974" t="s">
        <v>42</v>
      </c>
      <c r="AF974">
        <v>2.42</v>
      </c>
      <c r="AG974">
        <v>2.42</v>
      </c>
      <c r="AH974" t="s">
        <v>237</v>
      </c>
      <c r="AI974" t="s">
        <v>237</v>
      </c>
      <c r="AJ974">
        <v>-9.0149714439161002E-3</v>
      </c>
      <c r="AK974">
        <v>0</v>
      </c>
      <c r="AL974">
        <v>9.0149714439161002E-3</v>
      </c>
      <c r="AN974" t="s">
        <v>42</v>
      </c>
      <c r="AO974" t="s">
        <v>42</v>
      </c>
    </row>
    <row r="975" spans="1:43" x14ac:dyDescent="0.2">
      <c r="A975">
        <v>973</v>
      </c>
      <c r="B975">
        <v>109</v>
      </c>
      <c r="C975">
        <v>6</v>
      </c>
      <c r="D975">
        <v>200000000</v>
      </c>
      <c r="E975" t="s">
        <v>414</v>
      </c>
      <c r="F975" t="s">
        <v>29</v>
      </c>
      <c r="G975" t="s">
        <v>964</v>
      </c>
      <c r="H975">
        <v>1.1755013810551737E-2</v>
      </c>
      <c r="I975">
        <v>-9.9444477313018225E-7</v>
      </c>
      <c r="J975">
        <v>3.11</v>
      </c>
      <c r="K975">
        <v>3.1209879428234002</v>
      </c>
      <c r="L975" s="1">
        <v>44256</v>
      </c>
      <c r="M975" s="1">
        <v>43024</v>
      </c>
      <c r="N975" s="1">
        <v>43021</v>
      </c>
      <c r="R975">
        <v>-2.4289588067404359E-3</v>
      </c>
      <c r="S975">
        <v>-2.4289588067404359E-3</v>
      </c>
      <c r="T975" t="s">
        <v>39</v>
      </c>
      <c r="U975" t="s">
        <v>39</v>
      </c>
      <c r="V975">
        <v>209113778</v>
      </c>
      <c r="W975" t="s">
        <v>200</v>
      </c>
      <c r="X975" t="s">
        <v>305</v>
      </c>
      <c r="Y975">
        <v>200000000</v>
      </c>
      <c r="Z975" t="s">
        <v>31</v>
      </c>
      <c r="AA975">
        <v>-3.146586136352999E-4</v>
      </c>
      <c r="AB975">
        <v>103.86</v>
      </c>
      <c r="AC975" t="s">
        <v>42</v>
      </c>
      <c r="AD975" t="s">
        <v>42</v>
      </c>
      <c r="AE975" t="s">
        <v>41</v>
      </c>
      <c r="AF975">
        <v>4.2999999999999997E-2</v>
      </c>
      <c r="AG975">
        <v>4.3</v>
      </c>
      <c r="AH975" t="s">
        <v>237</v>
      </c>
      <c r="AI975" t="s">
        <v>237</v>
      </c>
      <c r="AJ975">
        <v>4.0941195477278876E-4</v>
      </c>
      <c r="AK975">
        <v>3.7797472059651889E-3</v>
      </c>
      <c r="AL975">
        <v>3.3703352511924001E-3</v>
      </c>
      <c r="AM975" t="s">
        <v>41</v>
      </c>
      <c r="AN975" t="s">
        <v>142</v>
      </c>
      <c r="AO975" t="s">
        <v>42</v>
      </c>
      <c r="AP975" t="s">
        <v>31</v>
      </c>
      <c r="AQ975">
        <v>1.6252912985650312E-4</v>
      </c>
    </row>
    <row r="976" spans="1:43" x14ac:dyDescent="0.2">
      <c r="A976">
        <v>974</v>
      </c>
      <c r="B976">
        <v>98</v>
      </c>
      <c r="C976">
        <v>6</v>
      </c>
      <c r="F976" t="s">
        <v>29</v>
      </c>
      <c r="G976" t="s">
        <v>1622</v>
      </c>
      <c r="I976">
        <v>1.6950862891246477E-4</v>
      </c>
      <c r="J976">
        <v>4.8062353925506001</v>
      </c>
      <c r="K976">
        <v>4.8062353925506001</v>
      </c>
      <c r="L976" s="1"/>
      <c r="M976" s="1"/>
      <c r="N976" s="1">
        <v>43021</v>
      </c>
      <c r="R976">
        <v>-2.7515108469385995E-2</v>
      </c>
      <c r="S976">
        <v>-2.7515108469385995E-2</v>
      </c>
      <c r="T976" t="s">
        <v>32</v>
      </c>
      <c r="U976" t="s">
        <v>32</v>
      </c>
      <c r="AA976">
        <v>5.3635306468481296E-2</v>
      </c>
      <c r="AC976" t="s">
        <v>42</v>
      </c>
      <c r="AD976" t="s">
        <v>42</v>
      </c>
      <c r="AF976">
        <v>2.2799999999999998</v>
      </c>
      <c r="AG976">
        <v>2.2799999999999998</v>
      </c>
      <c r="AH976" t="s">
        <v>237</v>
      </c>
      <c r="AI976" t="s">
        <v>237</v>
      </c>
      <c r="AJ976">
        <v>-6.1605655344249997E-3</v>
      </c>
      <c r="AK976">
        <v>0</v>
      </c>
      <c r="AL976">
        <v>6.1605655344249997E-3</v>
      </c>
      <c r="AN976" t="s">
        <v>42</v>
      </c>
      <c r="AO976" t="s">
        <v>42</v>
      </c>
    </row>
    <row r="977" spans="1:43" x14ac:dyDescent="0.2">
      <c r="A977">
        <v>975</v>
      </c>
      <c r="B977">
        <v>101</v>
      </c>
      <c r="C977">
        <v>6</v>
      </c>
      <c r="D977">
        <v>10000</v>
      </c>
      <c r="E977" t="s">
        <v>414</v>
      </c>
      <c r="F977" t="s">
        <v>29</v>
      </c>
      <c r="G977" t="s">
        <v>965</v>
      </c>
      <c r="H977">
        <v>3.1867692313688731E-2</v>
      </c>
      <c r="I977">
        <v>2.9998246189345812E-5</v>
      </c>
      <c r="J977">
        <v>6.48</v>
      </c>
      <c r="K977">
        <v>6.4943339898687</v>
      </c>
      <c r="L977" s="1">
        <v>45627</v>
      </c>
      <c r="M977" s="1">
        <v>43024</v>
      </c>
      <c r="N977" s="1">
        <v>43021</v>
      </c>
      <c r="R977">
        <v>-2.4503300094715318E-2</v>
      </c>
      <c r="S977">
        <v>-2.4503300094715318E-2</v>
      </c>
      <c r="T977" t="s">
        <v>32</v>
      </c>
      <c r="U977" t="s">
        <v>32</v>
      </c>
      <c r="V977">
        <v>272079301</v>
      </c>
      <c r="W977" t="s">
        <v>200</v>
      </c>
      <c r="X977" t="s">
        <v>305</v>
      </c>
      <c r="Y977">
        <v>10000</v>
      </c>
      <c r="Z977" t="s">
        <v>31</v>
      </c>
      <c r="AA977">
        <v>9.491936417663981E-3</v>
      </c>
      <c r="AB977">
        <v>101.05</v>
      </c>
      <c r="AC977" t="s">
        <v>42</v>
      </c>
      <c r="AD977" t="s">
        <v>42</v>
      </c>
      <c r="AE977" t="s">
        <v>41</v>
      </c>
      <c r="AF977">
        <v>1.4111791297699364E-3</v>
      </c>
      <c r="AG977">
        <v>2.5</v>
      </c>
      <c r="AH977" t="s">
        <v>237</v>
      </c>
      <c r="AI977" t="s">
        <v>237</v>
      </c>
      <c r="AJ977">
        <v>-1.2242533076520417E-3</v>
      </c>
      <c r="AK977">
        <v>4.9178537521124581E-3</v>
      </c>
      <c r="AL977">
        <v>6.1421070597644997E-3</v>
      </c>
      <c r="AM977" t="s">
        <v>41</v>
      </c>
      <c r="AN977" t="s">
        <v>142</v>
      </c>
      <c r="AO977" t="s">
        <v>42</v>
      </c>
      <c r="AP977" t="s">
        <v>31</v>
      </c>
      <c r="AQ977">
        <v>6.9399725782418752E-6</v>
      </c>
    </row>
    <row r="978" spans="1:43" x14ac:dyDescent="0.2">
      <c r="A978">
        <v>976</v>
      </c>
      <c r="B978">
        <v>101</v>
      </c>
      <c r="C978">
        <v>6</v>
      </c>
      <c r="F978" t="s">
        <v>29</v>
      </c>
      <c r="G978" t="s">
        <v>1623</v>
      </c>
      <c r="I978">
        <v>1.107632864362162E-4</v>
      </c>
      <c r="J978">
        <v>6.1028724757530997</v>
      </c>
      <c r="K978">
        <v>6.1028724757530997</v>
      </c>
      <c r="L978" s="1"/>
      <c r="M978" s="1"/>
      <c r="N978" s="1">
        <v>43021</v>
      </c>
      <c r="R978">
        <v>-2.4503300094715318E-2</v>
      </c>
      <c r="S978">
        <v>-2.4503300094715318E-2</v>
      </c>
      <c r="T978" t="s">
        <v>32</v>
      </c>
      <c r="U978" t="s">
        <v>32</v>
      </c>
      <c r="AA978">
        <v>3.5047317954123199E-2</v>
      </c>
      <c r="AC978" t="s">
        <v>42</v>
      </c>
      <c r="AD978" t="s">
        <v>42</v>
      </c>
      <c r="AF978">
        <v>2.3199999999999998</v>
      </c>
      <c r="AG978">
        <v>2.3199999999999998</v>
      </c>
      <c r="AH978" t="s">
        <v>237</v>
      </c>
      <c r="AI978" t="s">
        <v>237</v>
      </c>
      <c r="AJ978">
        <v>-4.5203415869728E-3</v>
      </c>
      <c r="AK978">
        <v>0</v>
      </c>
      <c r="AL978">
        <v>4.5203415869728E-3</v>
      </c>
      <c r="AN978" t="s">
        <v>42</v>
      </c>
      <c r="AO978" t="s">
        <v>42</v>
      </c>
    </row>
    <row r="979" spans="1:43" x14ac:dyDescent="0.2">
      <c r="A979">
        <v>977</v>
      </c>
      <c r="B979">
        <v>95</v>
      </c>
      <c r="C979">
        <v>6</v>
      </c>
      <c r="F979" t="s">
        <v>29</v>
      </c>
      <c r="G979" t="s">
        <v>1624</v>
      </c>
      <c r="I979">
        <v>7.4778240483457781E-5</v>
      </c>
      <c r="J979">
        <v>1.6765682377958999</v>
      </c>
      <c r="K979">
        <v>1.6765682377958999</v>
      </c>
      <c r="L979" s="1"/>
      <c r="M979" s="1"/>
      <c r="N979" s="1">
        <v>43021</v>
      </c>
      <c r="R979">
        <v>-1.7076343737775217E-2</v>
      </c>
      <c r="S979">
        <v>-1.7076343737775217E-2</v>
      </c>
      <c r="T979" t="s">
        <v>32</v>
      </c>
      <c r="U979" t="s">
        <v>32</v>
      </c>
      <c r="W979" t="s">
        <v>200</v>
      </c>
      <c r="Z979" t="s">
        <v>31</v>
      </c>
      <c r="AA979">
        <v>2.3661060037098343E-2</v>
      </c>
      <c r="AC979" t="s">
        <v>42</v>
      </c>
      <c r="AD979" t="s">
        <v>42</v>
      </c>
      <c r="AE979" t="s">
        <v>41</v>
      </c>
      <c r="AF979">
        <v>2.0099999999999998</v>
      </c>
      <c r="AG979">
        <v>2.0099999999999998</v>
      </c>
      <c r="AH979" t="s">
        <v>237</v>
      </c>
      <c r="AI979" t="s">
        <v>237</v>
      </c>
      <c r="AJ979">
        <v>-4.3790545348438995E-3</v>
      </c>
      <c r="AK979">
        <v>0</v>
      </c>
      <c r="AL979">
        <v>4.3790545348438995E-3</v>
      </c>
      <c r="AM979" t="s">
        <v>41</v>
      </c>
      <c r="AN979" t="s">
        <v>42</v>
      </c>
      <c r="AO979" t="s">
        <v>42</v>
      </c>
      <c r="AP979" t="s">
        <v>31</v>
      </c>
    </row>
    <row r="980" spans="1:43" x14ac:dyDescent="0.2">
      <c r="A980">
        <v>978</v>
      </c>
      <c r="B980">
        <v>106</v>
      </c>
      <c r="C980">
        <v>6</v>
      </c>
      <c r="F980" t="s">
        <v>29</v>
      </c>
      <c r="G980" t="s">
        <v>1625</v>
      </c>
      <c r="I980">
        <v>7.5751251057289511E-6</v>
      </c>
      <c r="J980">
        <v>1.5556456761068</v>
      </c>
      <c r="K980">
        <v>1.5556456761068</v>
      </c>
      <c r="L980" s="1"/>
      <c r="M980" s="1"/>
      <c r="N980" s="1">
        <v>43021</v>
      </c>
      <c r="R980">
        <v>-1.1192084561863695E-3</v>
      </c>
      <c r="S980">
        <v>-1.1192084561863695E-3</v>
      </c>
      <c r="T980" t="s">
        <v>39</v>
      </c>
      <c r="U980" t="s">
        <v>39</v>
      </c>
      <c r="AA980">
        <v>2.3968936519017667E-3</v>
      </c>
      <c r="AC980" t="s">
        <v>42</v>
      </c>
      <c r="AD980" t="s">
        <v>42</v>
      </c>
      <c r="AF980">
        <v>3.66</v>
      </c>
      <c r="AG980">
        <v>3.66</v>
      </c>
      <c r="AH980" t="s">
        <v>237</v>
      </c>
      <c r="AI980" t="s">
        <v>237</v>
      </c>
      <c r="AJ980">
        <v>-6.7682879483779998E-3</v>
      </c>
      <c r="AK980">
        <v>0</v>
      </c>
      <c r="AL980">
        <v>6.7682879483779998E-3</v>
      </c>
      <c r="AN980" t="s">
        <v>42</v>
      </c>
      <c r="AO980" t="s">
        <v>42</v>
      </c>
    </row>
    <row r="981" spans="1:43" x14ac:dyDescent="0.2">
      <c r="A981">
        <v>979</v>
      </c>
      <c r="B981">
        <v>106</v>
      </c>
      <c r="C981">
        <v>6</v>
      </c>
      <c r="D981">
        <v>60000000</v>
      </c>
      <c r="E981" t="s">
        <v>414</v>
      </c>
      <c r="F981" t="s">
        <v>29</v>
      </c>
      <c r="G981" t="s">
        <v>523</v>
      </c>
      <c r="H981">
        <v>1.7547594210434371E-3</v>
      </c>
      <c r="I981">
        <v>6.1867861119946432E-7</v>
      </c>
      <c r="J981">
        <v>1.54</v>
      </c>
      <c r="K981">
        <v>1.5556456761068</v>
      </c>
      <c r="L981" s="1">
        <v>43617</v>
      </c>
      <c r="M981" s="1">
        <v>43024</v>
      </c>
      <c r="N981" s="1">
        <v>43021</v>
      </c>
      <c r="R981">
        <v>-1.1192084561863695E-3</v>
      </c>
      <c r="S981">
        <v>-1.1192084561863695E-3</v>
      </c>
      <c r="T981" t="s">
        <v>39</v>
      </c>
      <c r="U981" t="s">
        <v>39</v>
      </c>
      <c r="V981">
        <v>63040080</v>
      </c>
      <c r="W981" t="s">
        <v>200</v>
      </c>
      <c r="X981" t="s">
        <v>305</v>
      </c>
      <c r="Y981">
        <v>60000000</v>
      </c>
      <c r="Z981" t="s">
        <v>31</v>
      </c>
      <c r="AA981">
        <v>1.9576004555091738E-4</v>
      </c>
      <c r="AB981">
        <v>102.94</v>
      </c>
      <c r="AC981" t="s">
        <v>42</v>
      </c>
      <c r="AD981" t="s">
        <v>42</v>
      </c>
      <c r="AE981" t="s">
        <v>41</v>
      </c>
      <c r="AF981">
        <v>3.61E-2</v>
      </c>
      <c r="AG981">
        <v>3.66</v>
      </c>
      <c r="AH981" t="s">
        <v>237</v>
      </c>
      <c r="AI981" t="s">
        <v>237</v>
      </c>
      <c r="AJ981">
        <v>-5.5278228803557448E-4</v>
      </c>
      <c r="AK981">
        <v>1.1394541695087254E-3</v>
      </c>
      <c r="AL981">
        <v>1.6922364575442999E-3</v>
      </c>
      <c r="AM981" t="s">
        <v>41</v>
      </c>
      <c r="AN981" t="s">
        <v>142</v>
      </c>
      <c r="AO981" t="s">
        <v>42</v>
      </c>
      <c r="AP981" t="s">
        <v>31</v>
      </c>
      <c r="AQ981">
        <v>4.1134295519264986E-5</v>
      </c>
    </row>
    <row r="982" spans="1:43" x14ac:dyDescent="0.2">
      <c r="A982">
        <v>980</v>
      </c>
      <c r="B982">
        <v>95</v>
      </c>
      <c r="C982">
        <v>6</v>
      </c>
      <c r="F982" t="s">
        <v>29</v>
      </c>
      <c r="G982" t="s">
        <v>1626</v>
      </c>
      <c r="I982">
        <v>4.4923401737265047E-5</v>
      </c>
      <c r="J982">
        <v>2.3963964426320001</v>
      </c>
      <c r="K982">
        <v>2.3963964426320001</v>
      </c>
      <c r="L982" s="1"/>
      <c r="M982" s="1"/>
      <c r="N982" s="1">
        <v>43021</v>
      </c>
      <c r="R982">
        <v>-1.7076343737775217E-2</v>
      </c>
      <c r="S982">
        <v>-1.7076343737775217E-2</v>
      </c>
      <c r="T982" t="s">
        <v>32</v>
      </c>
      <c r="U982" t="s">
        <v>32</v>
      </c>
      <c r="W982" t="s">
        <v>200</v>
      </c>
      <c r="Z982" t="s">
        <v>31</v>
      </c>
      <c r="AA982">
        <v>1.4214500083232844E-2</v>
      </c>
      <c r="AC982" t="s">
        <v>42</v>
      </c>
      <c r="AD982" t="s">
        <v>42</v>
      </c>
      <c r="AE982" t="s">
        <v>41</v>
      </c>
      <c r="AF982">
        <v>2.2000000000000002</v>
      </c>
      <c r="AG982">
        <v>2.2000000000000002</v>
      </c>
      <c r="AH982" t="s">
        <v>237</v>
      </c>
      <c r="AI982" t="s">
        <v>237</v>
      </c>
      <c r="AJ982">
        <v>-2.6307388997967003E-3</v>
      </c>
      <c r="AK982">
        <v>0</v>
      </c>
      <c r="AL982">
        <v>2.6307388997967003E-3</v>
      </c>
      <c r="AM982" t="s">
        <v>41</v>
      </c>
      <c r="AN982" t="s">
        <v>42</v>
      </c>
      <c r="AO982" t="s">
        <v>42</v>
      </c>
      <c r="AP982" t="s">
        <v>31</v>
      </c>
    </row>
    <row r="983" spans="1:43" x14ac:dyDescent="0.2">
      <c r="A983">
        <v>981</v>
      </c>
      <c r="B983">
        <v>101</v>
      </c>
      <c r="C983">
        <v>6</v>
      </c>
      <c r="F983" t="s">
        <v>29</v>
      </c>
      <c r="G983" t="s">
        <v>1627</v>
      </c>
      <c r="I983">
        <v>6.6891299814669938E-5</v>
      </c>
      <c r="J983">
        <v>7.0986665155850002</v>
      </c>
      <c r="K983">
        <v>7.0986665155850002</v>
      </c>
      <c r="L983" s="1"/>
      <c r="M983" s="1"/>
      <c r="N983" s="1">
        <v>43021</v>
      </c>
      <c r="R983">
        <v>-2.4503300094715318E-2</v>
      </c>
      <c r="S983">
        <v>-2.4503300094715318E-2</v>
      </c>
      <c r="T983" t="s">
        <v>32</v>
      </c>
      <c r="U983" t="s">
        <v>32</v>
      </c>
      <c r="AA983">
        <v>2.11655028340039E-2</v>
      </c>
      <c r="AC983" t="s">
        <v>42</v>
      </c>
      <c r="AD983" t="s">
        <v>42</v>
      </c>
      <c r="AF983">
        <v>2.5099999999999998</v>
      </c>
      <c r="AG983">
        <v>2.5099999999999998</v>
      </c>
      <c r="AH983" t="s">
        <v>237</v>
      </c>
      <c r="AI983" t="s">
        <v>237</v>
      </c>
      <c r="AJ983">
        <v>-2.7298894253471001E-3</v>
      </c>
      <c r="AK983">
        <v>0</v>
      </c>
      <c r="AL983">
        <v>2.7298894253471001E-3</v>
      </c>
      <c r="AN983" t="s">
        <v>42</v>
      </c>
      <c r="AO983" t="s">
        <v>42</v>
      </c>
    </row>
    <row r="984" spans="1:43" x14ac:dyDescent="0.2">
      <c r="A984">
        <v>982</v>
      </c>
      <c r="B984">
        <v>92</v>
      </c>
      <c r="C984">
        <v>6</v>
      </c>
      <c r="D984">
        <v>3000</v>
      </c>
      <c r="E984" t="s">
        <v>414</v>
      </c>
      <c r="F984" t="s">
        <v>29</v>
      </c>
      <c r="G984" t="s">
        <v>416</v>
      </c>
      <c r="H984">
        <v>4.2410796081762681E-4</v>
      </c>
      <c r="I984">
        <v>1.7828057651240242E-6</v>
      </c>
      <c r="J984">
        <v>0.28999999999999998</v>
      </c>
      <c r="K984">
        <v>0.30410958904110003</v>
      </c>
      <c r="L984" s="1">
        <v>43132</v>
      </c>
      <c r="M984" s="1">
        <v>43024</v>
      </c>
      <c r="N984" s="1">
        <v>43021</v>
      </c>
      <c r="R984">
        <v>-6.4270987235110688E-3</v>
      </c>
      <c r="S984">
        <v>-6.4270987235110688E-3</v>
      </c>
      <c r="T984" t="s">
        <v>32</v>
      </c>
      <c r="U984" t="s">
        <v>32</v>
      </c>
      <c r="V984">
        <v>80909277</v>
      </c>
      <c r="W984" t="s">
        <v>200</v>
      </c>
      <c r="X984" t="s">
        <v>305</v>
      </c>
      <c r="Y984">
        <v>3000</v>
      </c>
      <c r="Z984" t="s">
        <v>31</v>
      </c>
      <c r="AA984">
        <v>5.6410894359591409E-4</v>
      </c>
      <c r="AB984">
        <v>100.37</v>
      </c>
      <c r="AC984" t="s">
        <v>42</v>
      </c>
      <c r="AD984" t="s">
        <v>42</v>
      </c>
      <c r="AE984" t="s">
        <v>41</v>
      </c>
      <c r="AF984">
        <v>1.2111791297699341E-3</v>
      </c>
      <c r="AG984">
        <v>2.41</v>
      </c>
      <c r="AH984" t="s">
        <v>237</v>
      </c>
      <c r="AI984" t="s">
        <v>237</v>
      </c>
      <c r="AJ984">
        <v>-2.7738888755548673E-4</v>
      </c>
      <c r="AK984">
        <v>1.4624412441987132E-3</v>
      </c>
      <c r="AL984">
        <v>1.7398301317541999E-3</v>
      </c>
      <c r="AM984" t="s">
        <v>41</v>
      </c>
      <c r="AN984" t="s">
        <v>142</v>
      </c>
      <c r="AO984" t="s">
        <v>42</v>
      </c>
      <c r="AP984" t="s">
        <v>31</v>
      </c>
      <c r="AQ984">
        <v>1.7712783134882572E-6</v>
      </c>
    </row>
    <row r="985" spans="1:43" x14ac:dyDescent="0.2">
      <c r="A985">
        <v>983</v>
      </c>
      <c r="B985">
        <v>87</v>
      </c>
      <c r="C985">
        <v>6</v>
      </c>
      <c r="F985" t="s">
        <v>29</v>
      </c>
      <c r="G985" t="s">
        <v>966</v>
      </c>
      <c r="I985">
        <v>7.5697063266646176E-6</v>
      </c>
      <c r="J985">
        <v>1.1991473549933001</v>
      </c>
      <c r="K985">
        <v>1.1991473549933001</v>
      </c>
      <c r="L985" s="1"/>
      <c r="M985" s="1"/>
      <c r="N985" s="1">
        <v>43021</v>
      </c>
      <c r="R985">
        <v>-5.917571698417722E-3</v>
      </c>
      <c r="S985">
        <v>-5.917571698417722E-3</v>
      </c>
      <c r="T985" t="s">
        <v>32</v>
      </c>
      <c r="U985" t="s">
        <v>32</v>
      </c>
      <c r="W985" t="s">
        <v>247</v>
      </c>
      <c r="Z985" t="s">
        <v>31</v>
      </c>
      <c r="AA985">
        <v>2.3951790614548663E-3</v>
      </c>
      <c r="AC985" t="s">
        <v>142</v>
      </c>
      <c r="AD985" t="s">
        <v>142</v>
      </c>
      <c r="AE985" t="s">
        <v>41</v>
      </c>
      <c r="AF985">
        <v>2.79</v>
      </c>
      <c r="AG985">
        <v>2.79</v>
      </c>
      <c r="AH985" t="s">
        <v>237</v>
      </c>
      <c r="AI985" t="s">
        <v>237</v>
      </c>
      <c r="AJ985">
        <v>-1.2791913157027999E-3</v>
      </c>
      <c r="AK985">
        <v>0</v>
      </c>
      <c r="AL985">
        <v>1.2791913157027999E-3</v>
      </c>
      <c r="AM985" t="s">
        <v>41</v>
      </c>
      <c r="AN985" t="s">
        <v>142</v>
      </c>
      <c r="AO985" t="s">
        <v>142</v>
      </c>
      <c r="AP985" t="s">
        <v>31</v>
      </c>
    </row>
    <row r="986" spans="1:43" x14ac:dyDescent="0.2">
      <c r="A986">
        <v>984</v>
      </c>
      <c r="B986">
        <v>87</v>
      </c>
      <c r="C986">
        <v>6</v>
      </c>
      <c r="F986" t="s">
        <v>29</v>
      </c>
      <c r="G986" t="s">
        <v>967</v>
      </c>
      <c r="I986">
        <v>5.134951347346388E-6</v>
      </c>
      <c r="J986">
        <v>1.8658601251333999</v>
      </c>
      <c r="K986">
        <v>1.8658601251333999</v>
      </c>
      <c r="L986" s="1"/>
      <c r="M986" s="1"/>
      <c r="N986" s="1">
        <v>43021</v>
      </c>
      <c r="R986">
        <v>-5.917571698417722E-3</v>
      </c>
      <c r="S986">
        <v>-5.917571698417722E-3</v>
      </c>
      <c r="T986" t="s">
        <v>32</v>
      </c>
      <c r="U986" t="s">
        <v>32</v>
      </c>
      <c r="W986" t="s">
        <v>247</v>
      </c>
      <c r="Z986" t="s">
        <v>31</v>
      </c>
      <c r="AA986">
        <v>1.6247827086011662E-3</v>
      </c>
      <c r="AC986" t="s">
        <v>142</v>
      </c>
      <c r="AD986" t="s">
        <v>142</v>
      </c>
      <c r="AE986" t="s">
        <v>41</v>
      </c>
      <c r="AF986">
        <v>2.89</v>
      </c>
      <c r="AG986">
        <v>2.89</v>
      </c>
      <c r="AH986" t="s">
        <v>237</v>
      </c>
      <c r="AI986" t="s">
        <v>237</v>
      </c>
      <c r="AJ986">
        <v>-8.6774636777437006E-4</v>
      </c>
      <c r="AK986">
        <v>0</v>
      </c>
      <c r="AL986">
        <v>8.6774636777437006E-4</v>
      </c>
      <c r="AM986" t="s">
        <v>41</v>
      </c>
      <c r="AN986" t="s">
        <v>142</v>
      </c>
      <c r="AO986" t="s">
        <v>142</v>
      </c>
      <c r="AP986" t="s">
        <v>31</v>
      </c>
    </row>
    <row r="987" spans="1:43" x14ac:dyDescent="0.2">
      <c r="A987">
        <v>985</v>
      </c>
      <c r="B987">
        <v>88</v>
      </c>
      <c r="C987">
        <v>6</v>
      </c>
      <c r="F987" t="s">
        <v>29</v>
      </c>
      <c r="G987" t="s">
        <v>968</v>
      </c>
      <c r="I987">
        <v>3.4878417543086952E-6</v>
      </c>
      <c r="J987">
        <v>2.7116427580742002</v>
      </c>
      <c r="K987">
        <v>2.7116427580742002</v>
      </c>
      <c r="L987" s="1"/>
      <c r="M987" s="1"/>
      <c r="N987" s="1">
        <v>43021</v>
      </c>
      <c r="R987">
        <v>-4.0769158578341852E-3</v>
      </c>
      <c r="S987">
        <v>-4.0769158578341852E-3</v>
      </c>
      <c r="T987" t="s">
        <v>32</v>
      </c>
      <c r="U987" t="s">
        <v>32</v>
      </c>
      <c r="W987" t="s">
        <v>247</v>
      </c>
      <c r="Z987" t="s">
        <v>31</v>
      </c>
      <c r="AA987">
        <v>1.1036102563399123E-3</v>
      </c>
      <c r="AC987" t="s">
        <v>142</v>
      </c>
      <c r="AD987" t="s">
        <v>142</v>
      </c>
      <c r="AE987" t="s">
        <v>41</v>
      </c>
      <c r="AF987">
        <v>2.85</v>
      </c>
      <c r="AG987">
        <v>2.85</v>
      </c>
      <c r="AH987" t="s">
        <v>237</v>
      </c>
      <c r="AI987" t="s">
        <v>237</v>
      </c>
      <c r="AJ987">
        <v>-8.5550986969880002E-4</v>
      </c>
      <c r="AK987">
        <v>0</v>
      </c>
      <c r="AL987">
        <v>8.5550986969880002E-4</v>
      </c>
      <c r="AM987" t="s">
        <v>41</v>
      </c>
      <c r="AN987" t="s">
        <v>142</v>
      </c>
      <c r="AO987" t="s">
        <v>142</v>
      </c>
      <c r="AP987" t="s">
        <v>31</v>
      </c>
    </row>
    <row r="988" spans="1:43" x14ac:dyDescent="0.2">
      <c r="A988">
        <v>986</v>
      </c>
      <c r="B988">
        <v>88</v>
      </c>
      <c r="C988">
        <v>6</v>
      </c>
      <c r="F988" t="s">
        <v>29</v>
      </c>
      <c r="G988" t="s">
        <v>1628</v>
      </c>
      <c r="I988">
        <v>7.2365213523826535E-6</v>
      </c>
      <c r="J988">
        <v>2.7807084712551999</v>
      </c>
      <c r="K988">
        <v>2.7807084712551999</v>
      </c>
      <c r="L988" s="1"/>
      <c r="M988" s="1"/>
      <c r="N988" s="1">
        <v>43021</v>
      </c>
      <c r="R988">
        <v>-4.0769158578341852E-3</v>
      </c>
      <c r="S988">
        <v>-4.0769158578341852E-3</v>
      </c>
      <c r="T988" t="s">
        <v>32</v>
      </c>
      <c r="U988" t="s">
        <v>32</v>
      </c>
      <c r="AA988">
        <v>2.2897538785543862E-3</v>
      </c>
      <c r="AC988" t="s">
        <v>142</v>
      </c>
      <c r="AD988" t="s">
        <v>142</v>
      </c>
      <c r="AF988">
        <v>2.7</v>
      </c>
      <c r="AG988">
        <v>2.7</v>
      </c>
      <c r="AH988" t="s">
        <v>237</v>
      </c>
      <c r="AI988" t="s">
        <v>237</v>
      </c>
      <c r="AJ988">
        <v>-1.7749989464406E-3</v>
      </c>
      <c r="AK988">
        <v>0</v>
      </c>
      <c r="AL988">
        <v>1.7749989464406E-3</v>
      </c>
      <c r="AN988" t="s">
        <v>142</v>
      </c>
      <c r="AO988" t="s">
        <v>142</v>
      </c>
    </row>
    <row r="989" spans="1:43" x14ac:dyDescent="0.2">
      <c r="A989">
        <v>987</v>
      </c>
      <c r="B989">
        <v>89</v>
      </c>
      <c r="C989">
        <v>6</v>
      </c>
      <c r="D989">
        <v>22000</v>
      </c>
      <c r="E989" t="s">
        <v>246</v>
      </c>
      <c r="F989" t="s">
        <v>29</v>
      </c>
      <c r="G989" t="s">
        <v>1629</v>
      </c>
      <c r="H989">
        <v>3.8228641388301801E-2</v>
      </c>
      <c r="I989">
        <v>-1.1204460066726613E-4</v>
      </c>
      <c r="J989">
        <v>3.51</v>
      </c>
      <c r="K989">
        <v>3.5161537972749999</v>
      </c>
      <c r="L989" s="1">
        <v>44382</v>
      </c>
      <c r="M989" s="1">
        <v>43024</v>
      </c>
      <c r="N989" s="1">
        <v>43021</v>
      </c>
      <c r="R989">
        <v>-1.1711705840867699E-2</v>
      </c>
      <c r="S989">
        <v>-1.1711705840867699E-2</v>
      </c>
      <c r="T989" t="s">
        <v>32</v>
      </c>
      <c r="U989" t="s">
        <v>32</v>
      </c>
      <c r="V989">
        <v>602561863</v>
      </c>
      <c r="W989" t="s">
        <v>247</v>
      </c>
      <c r="X989" t="s">
        <v>1011</v>
      </c>
      <c r="Y989">
        <v>22000</v>
      </c>
      <c r="Z989" t="s">
        <v>31</v>
      </c>
      <c r="AA989">
        <v>-3.54527467627078E-2</v>
      </c>
      <c r="AB989">
        <v>101.81</v>
      </c>
      <c r="AC989" t="s">
        <v>142</v>
      </c>
      <c r="AD989" t="s">
        <v>142</v>
      </c>
      <c r="AE989" t="s">
        <v>41</v>
      </c>
      <c r="AF989">
        <v>3.6111791297699335E-3</v>
      </c>
      <c r="AG989">
        <v>2.72</v>
      </c>
      <c r="AH989" t="s">
        <v>237</v>
      </c>
      <c r="AI989" t="s">
        <v>237</v>
      </c>
      <c r="AJ989">
        <v>9.5668899295856067E-3</v>
      </c>
      <c r="AK989">
        <v>1.0891350822878006E-2</v>
      </c>
      <c r="AL989">
        <v>1.3244608932924001E-3</v>
      </c>
      <c r="AM989" t="s">
        <v>41</v>
      </c>
      <c r="AN989" t="s">
        <v>146</v>
      </c>
      <c r="AO989" t="s">
        <v>142</v>
      </c>
      <c r="AP989" t="s">
        <v>31</v>
      </c>
      <c r="AQ989">
        <v>3.9330618786579645E-5</v>
      </c>
    </row>
    <row r="990" spans="1:43" x14ac:dyDescent="0.2">
      <c r="A990">
        <v>988</v>
      </c>
      <c r="B990">
        <v>102</v>
      </c>
      <c r="C990">
        <v>6</v>
      </c>
      <c r="D990">
        <v>20500</v>
      </c>
      <c r="E990" t="s">
        <v>496</v>
      </c>
      <c r="F990" t="s">
        <v>29</v>
      </c>
      <c r="G990" t="s">
        <v>969</v>
      </c>
      <c r="H990">
        <v>5.8160528183490157E-2</v>
      </c>
      <c r="I990">
        <v>-1.4800489904447187E-4</v>
      </c>
      <c r="J990">
        <v>5.45</v>
      </c>
      <c r="K990">
        <v>5.4568358036294002</v>
      </c>
      <c r="L990" s="1">
        <v>45203</v>
      </c>
      <c r="M990" s="1">
        <v>43024</v>
      </c>
      <c r="N990" s="1">
        <v>43021</v>
      </c>
      <c r="R990">
        <v>-1.8769776239421981E-2</v>
      </c>
      <c r="S990">
        <v>-1.8769776239421981E-2</v>
      </c>
      <c r="T990" t="s">
        <v>32</v>
      </c>
      <c r="U990" t="s">
        <v>32</v>
      </c>
      <c r="V990">
        <v>590407320</v>
      </c>
      <c r="W990" t="s">
        <v>498</v>
      </c>
      <c r="X990" t="s">
        <v>499</v>
      </c>
      <c r="Y990">
        <v>20500</v>
      </c>
      <c r="Z990" t="s">
        <v>31</v>
      </c>
      <c r="AA990">
        <v>-4.6831174141502029E-2</v>
      </c>
      <c r="AB990">
        <v>107.89</v>
      </c>
      <c r="AC990" t="s">
        <v>33</v>
      </c>
      <c r="AD990" t="s">
        <v>33</v>
      </c>
      <c r="AE990" t="s">
        <v>43</v>
      </c>
      <c r="AF990">
        <v>-1.9888208702300639E-3</v>
      </c>
      <c r="AG990">
        <v>2.16</v>
      </c>
      <c r="AH990" t="s">
        <v>237</v>
      </c>
      <c r="AI990" t="s">
        <v>237</v>
      </c>
      <c r="AJ990">
        <v>7.8852777548630865E-3</v>
      </c>
      <c r="AK990">
        <v>1.0671656547429386E-2</v>
      </c>
      <c r="AL990">
        <v>2.7863787925662999E-3</v>
      </c>
      <c r="AM990" t="s">
        <v>43</v>
      </c>
      <c r="AN990" t="s">
        <v>148</v>
      </c>
      <c r="AO990" t="s">
        <v>33</v>
      </c>
      <c r="AP990" t="s">
        <v>31</v>
      </c>
      <c r="AQ990">
        <v>-2.122401326145487E-5</v>
      </c>
    </row>
    <row r="991" spans="1:43" x14ac:dyDescent="0.2">
      <c r="A991">
        <v>989</v>
      </c>
      <c r="B991">
        <v>96</v>
      </c>
      <c r="C991">
        <v>6</v>
      </c>
      <c r="F991" t="s">
        <v>29</v>
      </c>
      <c r="G991" t="s">
        <v>1630</v>
      </c>
      <c r="I991">
        <v>3.3396200435440486E-5</v>
      </c>
      <c r="J991">
        <v>2.6074277449172998</v>
      </c>
      <c r="K991">
        <v>2.6074277449172998</v>
      </c>
      <c r="L991" s="1"/>
      <c r="M991" s="1"/>
      <c r="N991" s="1">
        <v>43021</v>
      </c>
      <c r="R991">
        <v>-1.9353706235684085E-2</v>
      </c>
      <c r="S991">
        <v>-1.9353706235684085E-2</v>
      </c>
      <c r="T991" t="s">
        <v>32</v>
      </c>
      <c r="U991" t="s">
        <v>32</v>
      </c>
      <c r="W991" t="s">
        <v>498</v>
      </c>
      <c r="Z991" t="s">
        <v>31</v>
      </c>
      <c r="AA991">
        <v>1.0567104794191174E-2</v>
      </c>
      <c r="AC991" t="s">
        <v>33</v>
      </c>
      <c r="AD991" t="s">
        <v>33</v>
      </c>
      <c r="AE991" t="s">
        <v>43</v>
      </c>
      <c r="AF991">
        <v>2.2999999999999998</v>
      </c>
      <c r="AG991">
        <v>2.2999999999999998</v>
      </c>
      <c r="AH991" t="s">
        <v>237</v>
      </c>
      <c r="AI991" t="s">
        <v>237</v>
      </c>
      <c r="AJ991">
        <v>-1.7255713210044001E-3</v>
      </c>
      <c r="AK991">
        <v>0</v>
      </c>
      <c r="AL991">
        <v>1.7255713210044001E-3</v>
      </c>
      <c r="AM991" t="s">
        <v>43</v>
      </c>
      <c r="AN991" t="s">
        <v>33</v>
      </c>
      <c r="AO991" t="s">
        <v>33</v>
      </c>
      <c r="AP991" t="s">
        <v>31</v>
      </c>
    </row>
    <row r="992" spans="1:43" x14ac:dyDescent="0.2">
      <c r="A992">
        <v>990</v>
      </c>
      <c r="B992">
        <v>96</v>
      </c>
      <c r="C992">
        <v>6</v>
      </c>
      <c r="D992">
        <v>1000</v>
      </c>
      <c r="E992" t="s">
        <v>496</v>
      </c>
      <c r="F992" t="s">
        <v>29</v>
      </c>
      <c r="G992" t="s">
        <v>497</v>
      </c>
      <c r="H992">
        <v>1.3215199405056349E-3</v>
      </c>
      <c r="I992">
        <v>2.4160666116945781E-5</v>
      </c>
      <c r="J992">
        <v>2.76</v>
      </c>
      <c r="K992">
        <v>2.7667286920733001</v>
      </c>
      <c r="L992" s="1">
        <v>44057</v>
      </c>
      <c r="M992" s="1">
        <v>43024</v>
      </c>
      <c r="N992" s="1">
        <v>43021</v>
      </c>
      <c r="R992">
        <v>-1.9353706235684085E-2</v>
      </c>
      <c r="S992">
        <v>-1.9353706235684085E-2</v>
      </c>
      <c r="T992" t="s">
        <v>32</v>
      </c>
      <c r="U992" t="s">
        <v>32</v>
      </c>
      <c r="V992">
        <v>26490157</v>
      </c>
      <c r="W992" t="s">
        <v>498</v>
      </c>
      <c r="X992" t="s">
        <v>499</v>
      </c>
      <c r="Y992">
        <v>1000</v>
      </c>
      <c r="Z992" t="s">
        <v>31</v>
      </c>
      <c r="AA992">
        <v>7.6448304725196667E-3</v>
      </c>
      <c r="AB992">
        <v>99.03</v>
      </c>
      <c r="AC992" t="s">
        <v>33</v>
      </c>
      <c r="AD992" t="s">
        <v>33</v>
      </c>
      <c r="AE992" t="s">
        <v>43</v>
      </c>
      <c r="AF992">
        <v>-4.8882087023006601E-4</v>
      </c>
      <c r="AG992">
        <v>2.3199999999999998</v>
      </c>
      <c r="AH992" t="s">
        <v>237</v>
      </c>
      <c r="AI992" t="s">
        <v>237</v>
      </c>
      <c r="AJ992">
        <v>-1.248374126522531E-3</v>
      </c>
      <c r="AK992">
        <v>4.7881157264696917E-4</v>
      </c>
      <c r="AL992">
        <v>1.7271856991695001E-3</v>
      </c>
      <c r="AM992" t="s">
        <v>43</v>
      </c>
      <c r="AN992" t="s">
        <v>148</v>
      </c>
      <c r="AO992" t="s">
        <v>33</v>
      </c>
      <c r="AP992" t="s">
        <v>31</v>
      </c>
      <c r="AQ992">
        <v>-2.3405308961751795E-7</v>
      </c>
    </row>
    <row r="993" spans="1:43" x14ac:dyDescent="0.2">
      <c r="A993">
        <v>991</v>
      </c>
      <c r="B993">
        <v>110</v>
      </c>
      <c r="C993">
        <v>6</v>
      </c>
      <c r="D993">
        <v>600000000</v>
      </c>
      <c r="E993" t="s">
        <v>496</v>
      </c>
      <c r="F993" t="s">
        <v>29</v>
      </c>
      <c r="G993" t="s">
        <v>970</v>
      </c>
      <c r="H993">
        <v>3.977595413724825E-2</v>
      </c>
      <c r="I993">
        <v>-9.5433483545999319E-6</v>
      </c>
      <c r="J993">
        <v>3.6</v>
      </c>
      <c r="K993">
        <v>3.6069848123467998</v>
      </c>
      <c r="L993" s="1">
        <v>44452</v>
      </c>
      <c r="M993" s="1">
        <v>43024</v>
      </c>
      <c r="N993" s="1">
        <v>43021</v>
      </c>
      <c r="R993">
        <v>-1.2005087764610177E-3</v>
      </c>
      <c r="S993">
        <v>-1.2005087764610177E-3</v>
      </c>
      <c r="T993" t="s">
        <v>39</v>
      </c>
      <c r="U993" t="s">
        <v>39</v>
      </c>
      <c r="V993">
        <v>611276921</v>
      </c>
      <c r="W993" t="s">
        <v>498</v>
      </c>
      <c r="X993" t="s">
        <v>499</v>
      </c>
      <c r="Y993">
        <v>600000000</v>
      </c>
      <c r="Z993" t="s">
        <v>31</v>
      </c>
      <c r="AA993">
        <v>-3.0196717241974254E-3</v>
      </c>
      <c r="AB993">
        <v>101.44</v>
      </c>
      <c r="AC993" t="s">
        <v>33</v>
      </c>
      <c r="AD993" t="s">
        <v>33</v>
      </c>
      <c r="AE993" t="s">
        <v>43</v>
      </c>
      <c r="AF993">
        <v>4.48E-2</v>
      </c>
      <c r="AG993">
        <v>4.4800000000000004</v>
      </c>
      <c r="AH993" t="s">
        <v>237</v>
      </c>
      <c r="AI993" t="s">
        <v>237</v>
      </c>
      <c r="AJ993">
        <v>7.9494198973978254E-3</v>
      </c>
      <c r="AK993">
        <v>1.1048876149235625E-2</v>
      </c>
      <c r="AL993">
        <v>3.0994562518377997E-3</v>
      </c>
      <c r="AM993" t="s">
        <v>43</v>
      </c>
      <c r="AN993" t="s">
        <v>148</v>
      </c>
      <c r="AO993" t="s">
        <v>33</v>
      </c>
      <c r="AP993" t="s">
        <v>31</v>
      </c>
      <c r="AQ993">
        <v>4.9498965148575601E-4</v>
      </c>
    </row>
    <row r="994" spans="1:43" x14ac:dyDescent="0.2">
      <c r="A994">
        <v>992</v>
      </c>
      <c r="B994">
        <v>129</v>
      </c>
      <c r="C994">
        <v>6</v>
      </c>
      <c r="D994">
        <v>1625000000</v>
      </c>
      <c r="E994" t="s">
        <v>276</v>
      </c>
      <c r="F994" t="s">
        <v>29</v>
      </c>
      <c r="G994" t="s">
        <v>277</v>
      </c>
      <c r="H994">
        <v>9.5319041372864538E-2</v>
      </c>
      <c r="I994">
        <v>-3.1116847823593047E-5</v>
      </c>
      <c r="J994">
        <v>3.15</v>
      </c>
      <c r="L994" s="1">
        <v>44256</v>
      </c>
      <c r="M994" s="1">
        <v>43024</v>
      </c>
      <c r="N994" s="1"/>
      <c r="R994">
        <v>-1.0283157408276444E-3</v>
      </c>
      <c r="T994" t="s">
        <v>39</v>
      </c>
      <c r="V994">
        <v>1674129333</v>
      </c>
      <c r="W994" t="s">
        <v>278</v>
      </c>
      <c r="X994" t="s">
        <v>279</v>
      </c>
      <c r="Y994">
        <v>1625000000</v>
      </c>
      <c r="Z994" t="s">
        <v>31</v>
      </c>
      <c r="AA994">
        <v>-9.8458802956477784E-3</v>
      </c>
      <c r="AB994">
        <v>102.46</v>
      </c>
      <c r="AC994" t="s">
        <v>42</v>
      </c>
      <c r="AE994" t="s">
        <v>182</v>
      </c>
      <c r="AF994">
        <v>3.7499999999999999E-2</v>
      </c>
      <c r="AH994" t="s">
        <v>280</v>
      </c>
      <c r="AJ994">
        <v>3.0260013134242713E-2</v>
      </c>
      <c r="AK994">
        <v>3.0260013134242713E-2</v>
      </c>
      <c r="AL994">
        <v>0</v>
      </c>
      <c r="AN994" t="s">
        <v>142</v>
      </c>
      <c r="AQ994">
        <v>1.1347504925341017E-3</v>
      </c>
    </row>
    <row r="995" spans="1:43" x14ac:dyDescent="0.2">
      <c r="A995">
        <v>993</v>
      </c>
      <c r="B995">
        <v>102</v>
      </c>
      <c r="C995">
        <v>6</v>
      </c>
      <c r="F995" t="s">
        <v>29</v>
      </c>
      <c r="G995" t="s">
        <v>1726</v>
      </c>
      <c r="I995">
        <v>3.2326446982100965E-5</v>
      </c>
      <c r="J995">
        <v>7.1087491809095997</v>
      </c>
      <c r="K995">
        <v>7.1087491809095997</v>
      </c>
      <c r="L995" s="1"/>
      <c r="M995" s="1"/>
      <c r="N995" s="1">
        <v>43021</v>
      </c>
      <c r="R995">
        <v>-1.8769776239421981E-2</v>
      </c>
      <c r="S995">
        <v>-1.8769776239421981E-2</v>
      </c>
      <c r="T995" t="s">
        <v>32</v>
      </c>
      <c r="U995" t="s">
        <v>32</v>
      </c>
      <c r="AA995">
        <v>1.0228617280701751E-2</v>
      </c>
      <c r="AC995" t="s">
        <v>34</v>
      </c>
      <c r="AD995" t="s">
        <v>34</v>
      </c>
      <c r="AF995">
        <v>2.6</v>
      </c>
      <c r="AG995">
        <v>2.6</v>
      </c>
      <c r="AH995" t="s">
        <v>237</v>
      </c>
      <c r="AI995" t="s">
        <v>237</v>
      </c>
      <c r="AJ995">
        <v>-1.7222606476365999E-3</v>
      </c>
      <c r="AK995">
        <v>0</v>
      </c>
      <c r="AL995">
        <v>1.7222606476365999E-3</v>
      </c>
      <c r="AN995" t="s">
        <v>34</v>
      </c>
      <c r="AO995" t="s">
        <v>34</v>
      </c>
    </row>
    <row r="996" spans="1:43" x14ac:dyDescent="0.2">
      <c r="A996">
        <v>994</v>
      </c>
      <c r="B996">
        <v>137</v>
      </c>
      <c r="C996">
        <v>6</v>
      </c>
      <c r="D996">
        <v>70000</v>
      </c>
      <c r="E996" t="s">
        <v>286</v>
      </c>
      <c r="F996" t="s">
        <v>29</v>
      </c>
      <c r="G996" t="s">
        <v>289</v>
      </c>
      <c r="H996">
        <v>0.11165650679083339</v>
      </c>
      <c r="I996">
        <v>-4.021904879755717E-4</v>
      </c>
      <c r="J996">
        <v>3.3</v>
      </c>
      <c r="L996" s="1">
        <v>44256</v>
      </c>
      <c r="M996" s="1">
        <v>43024</v>
      </c>
      <c r="N996" s="1"/>
      <c r="R996">
        <v>-1.1886710846199851E-2</v>
      </c>
      <c r="T996" t="s">
        <v>32</v>
      </c>
      <c r="V996">
        <v>1871931664</v>
      </c>
      <c r="W996" t="s">
        <v>278</v>
      </c>
      <c r="X996" t="s">
        <v>288</v>
      </c>
      <c r="Y996">
        <v>70000</v>
      </c>
      <c r="Z996" t="s">
        <v>31</v>
      </c>
      <c r="AA996">
        <v>-0.12725965763322605</v>
      </c>
      <c r="AB996">
        <v>100.12</v>
      </c>
      <c r="AC996" t="s">
        <v>42</v>
      </c>
      <c r="AE996" t="s">
        <v>182</v>
      </c>
      <c r="AF996">
        <v>-8.8888208702300655E-3</v>
      </c>
      <c r="AH996" t="s">
        <v>280</v>
      </c>
      <c r="AJ996">
        <v>3.3835305088131332E-2</v>
      </c>
      <c r="AK996">
        <v>3.3835305088131332E-2</v>
      </c>
      <c r="AL996">
        <v>0</v>
      </c>
      <c r="AN996" t="s">
        <v>142</v>
      </c>
      <c r="AQ996">
        <v>-3.0075596601798331E-4</v>
      </c>
    </row>
    <row r="997" spans="1:43" x14ac:dyDescent="0.2">
      <c r="A997">
        <v>995</v>
      </c>
      <c r="B997">
        <v>140</v>
      </c>
      <c r="C997">
        <v>6</v>
      </c>
      <c r="D997">
        <v>40000</v>
      </c>
      <c r="E997" t="s">
        <v>286</v>
      </c>
      <c r="F997" t="s">
        <v>29</v>
      </c>
      <c r="G997" t="s">
        <v>290</v>
      </c>
      <c r="H997">
        <v>0.14782082750978964</v>
      </c>
      <c r="I997">
        <v>-1.8424003683930094E-4</v>
      </c>
      <c r="J997">
        <v>7.88</v>
      </c>
      <c r="L997" s="1">
        <v>46082</v>
      </c>
      <c r="M997" s="1">
        <v>43024</v>
      </c>
      <c r="N997" s="1"/>
      <c r="R997">
        <v>-9.8214271611863566E-3</v>
      </c>
      <c r="T997" t="s">
        <v>32</v>
      </c>
      <c r="V997">
        <v>1037837372</v>
      </c>
      <c r="W997" t="s">
        <v>278</v>
      </c>
      <c r="X997" t="s">
        <v>288</v>
      </c>
      <c r="Y997">
        <v>40000</v>
      </c>
      <c r="Z997" t="s">
        <v>31</v>
      </c>
      <c r="AA997">
        <v>-5.8296565213462929E-2</v>
      </c>
      <c r="AB997">
        <v>97.14</v>
      </c>
      <c r="AC997" t="s">
        <v>42</v>
      </c>
      <c r="AE997" t="s">
        <v>182</v>
      </c>
      <c r="AF997">
        <v>-4.7888208702300643E-3</v>
      </c>
      <c r="AH997" t="s">
        <v>280</v>
      </c>
      <c r="AJ997">
        <v>1.8758988262663659E-2</v>
      </c>
      <c r="AK997">
        <v>1.8758988262663659E-2</v>
      </c>
      <c r="AL997">
        <v>0</v>
      </c>
      <c r="AN997" t="s">
        <v>142</v>
      </c>
      <c r="AQ997">
        <v>-8.9833434496644547E-5</v>
      </c>
    </row>
    <row r="998" spans="1:43" x14ac:dyDescent="0.2">
      <c r="A998">
        <v>996</v>
      </c>
      <c r="B998">
        <v>66</v>
      </c>
      <c r="C998">
        <v>6</v>
      </c>
      <c r="D998">
        <v>600000</v>
      </c>
      <c r="E998" t="s">
        <v>242</v>
      </c>
      <c r="F998" t="s">
        <v>29</v>
      </c>
      <c r="G998" t="s">
        <v>613</v>
      </c>
      <c r="H998">
        <v>5.4014495446203972E-2</v>
      </c>
      <c r="I998">
        <v>2.8314254704974035E-5</v>
      </c>
      <c r="J998">
        <v>7.86</v>
      </c>
      <c r="L998" s="1">
        <v>46481</v>
      </c>
      <c r="M998" s="1">
        <v>43024</v>
      </c>
      <c r="N998" s="1"/>
      <c r="R998">
        <v>4.1201910735747934E-3</v>
      </c>
      <c r="T998" t="s">
        <v>30</v>
      </c>
      <c r="V998">
        <v>380196112</v>
      </c>
      <c r="W998" t="s">
        <v>243</v>
      </c>
      <c r="X998" t="s">
        <v>244</v>
      </c>
      <c r="Y998">
        <v>600000</v>
      </c>
      <c r="Z998" t="s">
        <v>31</v>
      </c>
      <c r="AA998">
        <v>8.9590939309181546E-3</v>
      </c>
      <c r="AB998">
        <v>102.11020000000001</v>
      </c>
      <c r="AC998" t="s">
        <v>33</v>
      </c>
      <c r="AE998" t="s">
        <v>177</v>
      </c>
      <c r="AF998">
        <v>0</v>
      </c>
      <c r="AH998" t="s">
        <v>237</v>
      </c>
      <c r="AJ998">
        <v>6.8720732119852378E-3</v>
      </c>
      <c r="AK998">
        <v>6.8720732119852378E-3</v>
      </c>
      <c r="AL998">
        <v>0</v>
      </c>
      <c r="AN998" t="s">
        <v>148</v>
      </c>
      <c r="AQ998">
        <v>0</v>
      </c>
    </row>
    <row r="999" spans="1:43" x14ac:dyDescent="0.2">
      <c r="A999">
        <v>997</v>
      </c>
      <c r="B999">
        <v>0</v>
      </c>
      <c r="C999">
        <v>6</v>
      </c>
      <c r="D999">
        <v>0</v>
      </c>
      <c r="E999" t="s">
        <v>203</v>
      </c>
      <c r="F999" t="s">
        <v>29</v>
      </c>
      <c r="G999" t="s">
        <v>971</v>
      </c>
      <c r="H999">
        <v>0</v>
      </c>
      <c r="I999">
        <v>0</v>
      </c>
      <c r="J999">
        <v>0</v>
      </c>
      <c r="L999" s="1">
        <v>43147</v>
      </c>
      <c r="M999" s="1">
        <v>43024</v>
      </c>
      <c r="N999" s="1"/>
      <c r="R999">
        <v>0</v>
      </c>
      <c r="T999" t="s">
        <v>39</v>
      </c>
      <c r="V999">
        <v>524040000</v>
      </c>
      <c r="W999" t="s">
        <v>181</v>
      </c>
      <c r="X999" t="s">
        <v>267</v>
      </c>
      <c r="Y999">
        <v>0</v>
      </c>
      <c r="Z999" t="s">
        <v>47</v>
      </c>
      <c r="AA999">
        <v>0</v>
      </c>
      <c r="AB999">
        <v>0</v>
      </c>
      <c r="AC999" t="s">
        <v>47</v>
      </c>
      <c r="AE999" t="s">
        <v>108</v>
      </c>
      <c r="AF999">
        <v>0</v>
      </c>
      <c r="AH999" t="s">
        <v>202</v>
      </c>
      <c r="AJ999">
        <v>9.4720622656150263E-3</v>
      </c>
      <c r="AK999">
        <v>9.4720622656150263E-3</v>
      </c>
      <c r="AL999">
        <v>0</v>
      </c>
      <c r="AN999" t="s">
        <v>47</v>
      </c>
      <c r="AQ999">
        <v>0</v>
      </c>
    </row>
    <row r="1000" spans="1:43" x14ac:dyDescent="0.2">
      <c r="A1000">
        <v>998</v>
      </c>
      <c r="B1000">
        <v>66</v>
      </c>
      <c r="C1000">
        <v>6</v>
      </c>
      <c r="D1000">
        <v>0</v>
      </c>
      <c r="E1000" t="s">
        <v>203</v>
      </c>
      <c r="F1000" t="s">
        <v>29</v>
      </c>
      <c r="G1000" t="s">
        <v>971</v>
      </c>
      <c r="H1000">
        <v>0</v>
      </c>
      <c r="I1000">
        <v>-3.7065391725216797E-5</v>
      </c>
      <c r="J1000">
        <v>0</v>
      </c>
      <c r="L1000" s="1">
        <v>43147</v>
      </c>
      <c r="M1000" s="1">
        <v>43024</v>
      </c>
      <c r="N1000" s="1"/>
      <c r="R1000">
        <v>4.1201910735747934E-3</v>
      </c>
      <c r="T1000" t="s">
        <v>30</v>
      </c>
      <c r="V1000">
        <v>-497704000</v>
      </c>
      <c r="W1000" t="s">
        <v>181</v>
      </c>
      <c r="X1000" t="s">
        <v>271</v>
      </c>
      <c r="Y1000">
        <v>0</v>
      </c>
      <c r="Z1000" t="s">
        <v>47</v>
      </c>
      <c r="AA1000">
        <v>-1.1728097013768752E-2</v>
      </c>
      <c r="AB1000">
        <v>0</v>
      </c>
      <c r="AC1000" t="s">
        <v>47</v>
      </c>
      <c r="AE1000" t="s">
        <v>108</v>
      </c>
      <c r="AF1000">
        <v>0</v>
      </c>
      <c r="AH1000" t="s">
        <v>202</v>
      </c>
      <c r="AJ1000">
        <v>-8.9960370922938342E-3</v>
      </c>
      <c r="AK1000">
        <v>-8.9960370922938342E-3</v>
      </c>
      <c r="AL1000">
        <v>0</v>
      </c>
      <c r="AN1000" t="s">
        <v>47</v>
      </c>
      <c r="AQ1000">
        <v>0</v>
      </c>
    </row>
    <row r="1001" spans="1:43" x14ac:dyDescent="0.2">
      <c r="A1001">
        <v>999</v>
      </c>
      <c r="B1001">
        <v>0</v>
      </c>
      <c r="C1001">
        <v>6</v>
      </c>
      <c r="D1001">
        <v>0</v>
      </c>
      <c r="E1001" t="s">
        <v>203</v>
      </c>
      <c r="F1001" t="s">
        <v>29</v>
      </c>
      <c r="G1001" t="s">
        <v>972</v>
      </c>
      <c r="H1001">
        <v>0</v>
      </c>
      <c r="I1001">
        <v>0</v>
      </c>
      <c r="J1001">
        <v>0</v>
      </c>
      <c r="L1001" s="1">
        <v>43188</v>
      </c>
      <c r="M1001" s="1">
        <v>43024</v>
      </c>
      <c r="N1001" s="1"/>
      <c r="R1001">
        <v>0</v>
      </c>
      <c r="T1001" t="s">
        <v>39</v>
      </c>
      <c r="V1001">
        <v>404070016</v>
      </c>
      <c r="W1001" t="s">
        <v>181</v>
      </c>
      <c r="X1001" t="s">
        <v>267</v>
      </c>
      <c r="Y1001">
        <v>0</v>
      </c>
      <c r="Z1001" t="s">
        <v>47</v>
      </c>
      <c r="AA1001">
        <v>0</v>
      </c>
      <c r="AB1001">
        <v>0</v>
      </c>
      <c r="AC1001" t="s">
        <v>47</v>
      </c>
      <c r="AE1001" t="s">
        <v>108</v>
      </c>
      <c r="AF1001">
        <v>0</v>
      </c>
      <c r="AH1001" t="s">
        <v>202</v>
      </c>
      <c r="AJ1001">
        <v>7.3035958156248753E-3</v>
      </c>
      <c r="AK1001">
        <v>7.3035958156248753E-3</v>
      </c>
      <c r="AL1001">
        <v>0</v>
      </c>
      <c r="AN1001" t="s">
        <v>47</v>
      </c>
      <c r="AQ1001">
        <v>0</v>
      </c>
    </row>
    <row r="1002" spans="1:43" x14ac:dyDescent="0.2">
      <c r="A1002">
        <v>1000</v>
      </c>
      <c r="B1002">
        <v>66</v>
      </c>
      <c r="C1002">
        <v>6</v>
      </c>
      <c r="D1002">
        <v>0</v>
      </c>
      <c r="E1002" t="s">
        <v>203</v>
      </c>
      <c r="F1002" t="s">
        <v>29</v>
      </c>
      <c r="G1002" t="s">
        <v>972</v>
      </c>
      <c r="H1002">
        <v>0</v>
      </c>
      <c r="I1002">
        <v>-2.7799043793912598E-5</v>
      </c>
      <c r="J1002">
        <v>0</v>
      </c>
      <c r="L1002" s="1">
        <v>43188</v>
      </c>
      <c r="M1002" s="1">
        <v>43024</v>
      </c>
      <c r="N1002" s="1"/>
      <c r="R1002">
        <v>4.1201910735747934E-3</v>
      </c>
      <c r="T1002" t="s">
        <v>30</v>
      </c>
      <c r="V1002">
        <v>-373278000</v>
      </c>
      <c r="W1002" t="s">
        <v>181</v>
      </c>
      <c r="X1002" t="s">
        <v>271</v>
      </c>
      <c r="Y1002">
        <v>0</v>
      </c>
      <c r="Z1002" t="s">
        <v>47</v>
      </c>
      <c r="AA1002">
        <v>-8.7960727603265641E-3</v>
      </c>
      <c r="AB1002">
        <v>0</v>
      </c>
      <c r="AC1002" t="s">
        <v>47</v>
      </c>
      <c r="AE1002" t="s">
        <v>108</v>
      </c>
      <c r="AF1002">
        <v>0</v>
      </c>
      <c r="AH1002" t="s">
        <v>202</v>
      </c>
      <c r="AJ1002">
        <v>-6.7470278192203756E-3</v>
      </c>
      <c r="AK1002">
        <v>-6.7470278192203756E-3</v>
      </c>
      <c r="AL1002">
        <v>0</v>
      </c>
      <c r="AN1002" t="s">
        <v>47</v>
      </c>
      <c r="AQ1002">
        <v>0</v>
      </c>
    </row>
    <row r="1003" spans="1:43" x14ac:dyDescent="0.2">
      <c r="A1003">
        <v>1001</v>
      </c>
      <c r="B1003">
        <v>0</v>
      </c>
      <c r="C1003">
        <v>6</v>
      </c>
      <c r="D1003">
        <v>0</v>
      </c>
      <c r="E1003" t="s">
        <v>204</v>
      </c>
      <c r="F1003" t="s">
        <v>29</v>
      </c>
      <c r="G1003" t="s">
        <v>973</v>
      </c>
      <c r="H1003">
        <v>0</v>
      </c>
      <c r="I1003">
        <v>0</v>
      </c>
      <c r="J1003">
        <v>0</v>
      </c>
      <c r="L1003" s="1">
        <v>43315</v>
      </c>
      <c r="M1003" s="1">
        <v>43024</v>
      </c>
      <c r="N1003" s="1"/>
      <c r="R1003">
        <v>0</v>
      </c>
      <c r="T1003" t="s">
        <v>39</v>
      </c>
      <c r="V1003">
        <v>131476000</v>
      </c>
      <c r="W1003" t="s">
        <v>200</v>
      </c>
      <c r="X1003" t="s">
        <v>201</v>
      </c>
      <c r="Y1003">
        <v>0</v>
      </c>
      <c r="Z1003" t="s">
        <v>47</v>
      </c>
      <c r="AA1003">
        <v>0</v>
      </c>
      <c r="AB1003">
        <v>0</v>
      </c>
      <c r="AC1003" t="s">
        <v>47</v>
      </c>
      <c r="AE1003" t="s">
        <v>108</v>
      </c>
      <c r="AF1003">
        <v>0</v>
      </c>
      <c r="AH1003" t="s">
        <v>202</v>
      </c>
      <c r="AJ1003">
        <v>2.3764385513205121E-3</v>
      </c>
      <c r="AK1003">
        <v>2.3764385513205121E-3</v>
      </c>
      <c r="AL1003">
        <v>0</v>
      </c>
      <c r="AN1003" t="s">
        <v>47</v>
      </c>
      <c r="AQ1003">
        <v>0</v>
      </c>
    </row>
    <row r="1004" spans="1:43" x14ac:dyDescent="0.2">
      <c r="A1004">
        <v>1002</v>
      </c>
      <c r="B1004">
        <v>66</v>
      </c>
      <c r="C1004">
        <v>6</v>
      </c>
      <c r="D1004">
        <v>0</v>
      </c>
      <c r="E1004" t="s">
        <v>204</v>
      </c>
      <c r="F1004" t="s">
        <v>29</v>
      </c>
      <c r="G1004" t="s">
        <v>973</v>
      </c>
      <c r="H1004">
        <v>0</v>
      </c>
      <c r="I1004">
        <v>-9.2663479313041992E-6</v>
      </c>
      <c r="J1004">
        <v>0</v>
      </c>
      <c r="L1004" s="1">
        <v>43315</v>
      </c>
      <c r="M1004" s="1">
        <v>43024</v>
      </c>
      <c r="N1004" s="1"/>
      <c r="R1004">
        <v>4.1201910735747934E-3</v>
      </c>
      <c r="T1004" t="s">
        <v>30</v>
      </c>
      <c r="V1004">
        <v>-124426000</v>
      </c>
      <c r="W1004" t="s">
        <v>200</v>
      </c>
      <c r="X1004" t="s">
        <v>205</v>
      </c>
      <c r="Y1004">
        <v>0</v>
      </c>
      <c r="Z1004" t="s">
        <v>47</v>
      </c>
      <c r="AA1004">
        <v>-2.9320242534421879E-3</v>
      </c>
      <c r="AB1004">
        <v>0</v>
      </c>
      <c r="AC1004" t="s">
        <v>47</v>
      </c>
      <c r="AE1004" t="s">
        <v>108</v>
      </c>
      <c r="AF1004">
        <v>0</v>
      </c>
      <c r="AH1004" t="s">
        <v>202</v>
      </c>
      <c r="AJ1004">
        <v>-2.2490092730734585E-3</v>
      </c>
      <c r="AK1004">
        <v>-2.2490092730734585E-3</v>
      </c>
      <c r="AL1004">
        <v>0</v>
      </c>
      <c r="AN1004" t="s">
        <v>47</v>
      </c>
      <c r="AQ1004">
        <v>0</v>
      </c>
    </row>
    <row r="1005" spans="1:43" x14ac:dyDescent="0.2">
      <c r="A1005">
        <v>1003</v>
      </c>
      <c r="B1005">
        <v>0</v>
      </c>
      <c r="C1005">
        <v>6</v>
      </c>
      <c r="D1005">
        <v>0</v>
      </c>
      <c r="E1005" t="s">
        <v>204</v>
      </c>
      <c r="F1005" t="s">
        <v>29</v>
      </c>
      <c r="G1005" t="s">
        <v>974</v>
      </c>
      <c r="H1005">
        <v>0</v>
      </c>
      <c r="I1005">
        <v>0</v>
      </c>
      <c r="J1005">
        <v>0</v>
      </c>
      <c r="L1005" s="1">
        <v>43315</v>
      </c>
      <c r="M1005" s="1">
        <v>43024</v>
      </c>
      <c r="N1005" s="1"/>
      <c r="R1005">
        <v>0</v>
      </c>
      <c r="T1005" t="s">
        <v>39</v>
      </c>
      <c r="V1005">
        <v>-125850000</v>
      </c>
      <c r="W1005" t="s">
        <v>200</v>
      </c>
      <c r="X1005" t="s">
        <v>205</v>
      </c>
      <c r="Y1005">
        <v>0</v>
      </c>
      <c r="Z1005" t="s">
        <v>47</v>
      </c>
      <c r="AA1005">
        <v>0</v>
      </c>
      <c r="AB1005">
        <v>0</v>
      </c>
      <c r="AC1005" t="s">
        <v>47</v>
      </c>
      <c r="AE1005" t="s">
        <v>108</v>
      </c>
      <c r="AF1005">
        <v>0</v>
      </c>
      <c r="AH1005" t="s">
        <v>202</v>
      </c>
      <c r="AJ1005">
        <v>-2.2747481797718702E-3</v>
      </c>
      <c r="AK1005">
        <v>-2.2747481797718702E-3</v>
      </c>
      <c r="AL1005">
        <v>0</v>
      </c>
      <c r="AN1005" t="s">
        <v>47</v>
      </c>
      <c r="AQ1005">
        <v>0</v>
      </c>
    </row>
    <row r="1006" spans="1:43" x14ac:dyDescent="0.2">
      <c r="A1006">
        <v>1004</v>
      </c>
      <c r="B1006">
        <v>66</v>
      </c>
      <c r="C1006">
        <v>6</v>
      </c>
      <c r="D1006">
        <v>0</v>
      </c>
      <c r="E1006" t="s">
        <v>204</v>
      </c>
      <c r="F1006" t="s">
        <v>29</v>
      </c>
      <c r="G1006" t="s">
        <v>974</v>
      </c>
      <c r="H1006">
        <v>0</v>
      </c>
      <c r="I1006">
        <v>9.2663479313041992E-6</v>
      </c>
      <c r="J1006">
        <v>0</v>
      </c>
      <c r="L1006" s="1">
        <v>43315</v>
      </c>
      <c r="M1006" s="1">
        <v>43024</v>
      </c>
      <c r="N1006" s="1"/>
      <c r="R1006">
        <v>4.1201910735747934E-3</v>
      </c>
      <c r="T1006" t="s">
        <v>30</v>
      </c>
      <c r="V1006">
        <v>124426000</v>
      </c>
      <c r="W1006" t="s">
        <v>200</v>
      </c>
      <c r="X1006" t="s">
        <v>201</v>
      </c>
      <c r="Y1006">
        <v>0</v>
      </c>
      <c r="Z1006" t="s">
        <v>47</v>
      </c>
      <c r="AA1006">
        <v>2.9320242534421879E-3</v>
      </c>
      <c r="AB1006">
        <v>0</v>
      </c>
      <c r="AC1006" t="s">
        <v>47</v>
      </c>
      <c r="AE1006" t="s">
        <v>108</v>
      </c>
      <c r="AF1006">
        <v>0</v>
      </c>
      <c r="AH1006" t="s">
        <v>202</v>
      </c>
      <c r="AJ1006">
        <v>2.2490092730734585E-3</v>
      </c>
      <c r="AK1006">
        <v>2.2490092730734585E-3</v>
      </c>
      <c r="AL1006">
        <v>0</v>
      </c>
      <c r="AN1006" t="s">
        <v>47</v>
      </c>
      <c r="AQ1006">
        <v>0</v>
      </c>
    </row>
    <row r="1007" spans="1:43" x14ac:dyDescent="0.2">
      <c r="A1007">
        <v>1005</v>
      </c>
      <c r="B1007">
        <v>66</v>
      </c>
      <c r="C1007">
        <v>6</v>
      </c>
      <c r="D1007">
        <v>800000</v>
      </c>
      <c r="E1007" t="s">
        <v>682</v>
      </c>
      <c r="F1007" t="s">
        <v>29</v>
      </c>
      <c r="G1007" t="s">
        <v>683</v>
      </c>
      <c r="H1007">
        <v>8.6758308319845212E-2</v>
      </c>
      <c r="I1007">
        <v>3.889671463524222E-5</v>
      </c>
      <c r="J1007">
        <v>9.19</v>
      </c>
      <c r="L1007" s="1">
        <v>47330</v>
      </c>
      <c r="M1007" s="1">
        <v>43024</v>
      </c>
      <c r="N1007" s="1"/>
      <c r="R1007">
        <v>4.1201910735747934E-3</v>
      </c>
      <c r="T1007" t="s">
        <v>30</v>
      </c>
      <c r="V1007">
        <v>522294506</v>
      </c>
      <c r="W1007" t="s">
        <v>684</v>
      </c>
      <c r="X1007" t="s">
        <v>685</v>
      </c>
      <c r="Y1007">
        <v>800000</v>
      </c>
      <c r="Z1007" t="s">
        <v>31</v>
      </c>
      <c r="AA1007">
        <v>1.2307557576644803E-2</v>
      </c>
      <c r="AB1007">
        <v>104.37739999999999</v>
      </c>
      <c r="AC1007" t="s">
        <v>34</v>
      </c>
      <c r="AE1007" t="s">
        <v>175</v>
      </c>
      <c r="AF1007">
        <v>0</v>
      </c>
      <c r="AH1007" t="s">
        <v>237</v>
      </c>
      <c r="AJ1007">
        <v>9.440512330777499E-3</v>
      </c>
      <c r="AK1007">
        <v>9.440512330777499E-3</v>
      </c>
      <c r="AL1007">
        <v>0</v>
      </c>
      <c r="AN1007" t="s">
        <v>54</v>
      </c>
      <c r="AQ1007">
        <v>0</v>
      </c>
    </row>
    <row r="1008" spans="1:43" x14ac:dyDescent="0.2">
      <c r="A1008">
        <v>1006</v>
      </c>
      <c r="B1008">
        <v>145</v>
      </c>
      <c r="C1008">
        <v>6</v>
      </c>
      <c r="D1008">
        <v>1</v>
      </c>
      <c r="E1008" t="s">
        <v>256</v>
      </c>
      <c r="F1008" t="s">
        <v>29</v>
      </c>
      <c r="G1008" t="s">
        <v>207</v>
      </c>
      <c r="H1008">
        <v>9.3890850769802643E-4</v>
      </c>
      <c r="I1008">
        <v>1.0392884728774203E-6</v>
      </c>
      <c r="J1008">
        <v>0.82</v>
      </c>
      <c r="L1008" s="1">
        <v>43325</v>
      </c>
      <c r="M1008" s="1">
        <v>43024</v>
      </c>
      <c r="N1008" s="1"/>
      <c r="R1008">
        <v>9.0766729747599232E-4</v>
      </c>
      <c r="T1008" t="s">
        <v>39</v>
      </c>
      <c r="V1008">
        <v>63347476</v>
      </c>
      <c r="W1008" t="s">
        <v>248</v>
      </c>
      <c r="X1008" t="s">
        <v>257</v>
      </c>
      <c r="Y1008">
        <v>65000000</v>
      </c>
      <c r="Z1008" t="s">
        <v>31</v>
      </c>
      <c r="AA1008">
        <v>3.2884789470349695E-4</v>
      </c>
      <c r="AB1008">
        <v>97.457655000000003</v>
      </c>
      <c r="AC1008" t="s">
        <v>52</v>
      </c>
      <c r="AE1008" t="s">
        <v>41</v>
      </c>
      <c r="AF1008">
        <v>3.1199999999999999E-2</v>
      </c>
      <c r="AH1008" t="s">
        <v>209</v>
      </c>
      <c r="AJ1008">
        <v>1.1450103752414958E-3</v>
      </c>
      <c r="AK1008">
        <v>1.1450103752414958E-3</v>
      </c>
      <c r="AL1008">
        <v>0</v>
      </c>
      <c r="AQ1008">
        <v>3.5724323707534667E-5</v>
      </c>
    </row>
    <row r="1009" spans="1:43" x14ac:dyDescent="0.2">
      <c r="A1009">
        <v>1007</v>
      </c>
      <c r="B1009">
        <v>147</v>
      </c>
      <c r="C1009">
        <v>6</v>
      </c>
      <c r="D1009">
        <v>1</v>
      </c>
      <c r="E1009" t="s">
        <v>1727</v>
      </c>
      <c r="F1009" t="s">
        <v>29</v>
      </c>
      <c r="G1009" t="s">
        <v>207</v>
      </c>
      <c r="H1009">
        <v>5.2288175400109501E-5</v>
      </c>
      <c r="I1009">
        <v>2.4947159282306062E-7</v>
      </c>
      <c r="J1009">
        <v>0.08</v>
      </c>
      <c r="L1009" s="1">
        <v>43052</v>
      </c>
      <c r="M1009" s="1">
        <v>43024</v>
      </c>
      <c r="N1009" s="1"/>
      <c r="R1009">
        <v>3.8168720314159314E-4</v>
      </c>
      <c r="T1009" t="s">
        <v>39</v>
      </c>
      <c r="V1009">
        <v>36160414</v>
      </c>
      <c r="W1009" t="s">
        <v>1728</v>
      </c>
      <c r="X1009" t="s">
        <v>1729</v>
      </c>
      <c r="Y1009">
        <v>36337600</v>
      </c>
      <c r="Z1009" t="s">
        <v>31</v>
      </c>
      <c r="AA1009">
        <v>7.8936897915414051E-5</v>
      </c>
      <c r="AB1009">
        <v>99.512388999999999</v>
      </c>
      <c r="AC1009" t="s">
        <v>34</v>
      </c>
      <c r="AE1009" t="s">
        <v>178</v>
      </c>
      <c r="AF1009">
        <v>6.3E-2</v>
      </c>
      <c r="AH1009" t="s">
        <v>539</v>
      </c>
      <c r="AJ1009">
        <v>6.5360219250136878E-4</v>
      </c>
      <c r="AK1009">
        <v>6.5360219250136878E-4</v>
      </c>
      <c r="AL1009">
        <v>0</v>
      </c>
      <c r="AN1009" t="s">
        <v>54</v>
      </c>
      <c r="AQ1009">
        <v>4.1176938127586234E-5</v>
      </c>
    </row>
    <row r="1010" spans="1:43" x14ac:dyDescent="0.2">
      <c r="A1010">
        <v>1008</v>
      </c>
      <c r="B1010">
        <v>149</v>
      </c>
      <c r="C1010">
        <v>6</v>
      </c>
      <c r="D1010">
        <v>1</v>
      </c>
      <c r="E1010" t="s">
        <v>203</v>
      </c>
      <c r="F1010" t="s">
        <v>29</v>
      </c>
      <c r="G1010" t="s">
        <v>207</v>
      </c>
      <c r="H1010">
        <v>1.8029400479570597E-4</v>
      </c>
      <c r="I1010">
        <v>6.82151860212365E-7</v>
      </c>
      <c r="J1010">
        <v>0.1</v>
      </c>
      <c r="L1010" s="1">
        <v>43062</v>
      </c>
      <c r="M1010" s="1">
        <v>43024</v>
      </c>
      <c r="N1010" s="1"/>
      <c r="R1010">
        <v>3.7835526532638855E-4</v>
      </c>
      <c r="T1010" t="s">
        <v>39</v>
      </c>
      <c r="V1010">
        <v>99747307</v>
      </c>
      <c r="W1010" t="s">
        <v>181</v>
      </c>
      <c r="X1010" t="s">
        <v>236</v>
      </c>
      <c r="Y1010">
        <v>100000000</v>
      </c>
      <c r="Z1010" t="s">
        <v>31</v>
      </c>
      <c r="AA1010">
        <v>2.1584402112902917E-4</v>
      </c>
      <c r="AB1010">
        <v>99.747307000000006</v>
      </c>
      <c r="AC1010" t="s">
        <v>52</v>
      </c>
      <c r="AE1010" t="s">
        <v>41</v>
      </c>
      <c r="AF1010">
        <v>2.4E-2</v>
      </c>
      <c r="AH1010" t="s">
        <v>209</v>
      </c>
      <c r="AJ1010">
        <v>1.8029400479570596E-3</v>
      </c>
      <c r="AK1010">
        <v>1.8029400479570596E-3</v>
      </c>
      <c r="AL1010">
        <v>0</v>
      </c>
      <c r="AQ1010">
        <v>4.3270561150969432E-5</v>
      </c>
    </row>
    <row r="1011" spans="1:43" x14ac:dyDescent="0.2">
      <c r="A1011">
        <v>1009</v>
      </c>
      <c r="B1011">
        <v>150</v>
      </c>
      <c r="C1011">
        <v>6</v>
      </c>
      <c r="D1011">
        <v>1</v>
      </c>
      <c r="E1011" t="s">
        <v>215</v>
      </c>
      <c r="F1011" t="s">
        <v>29</v>
      </c>
      <c r="G1011" t="s">
        <v>207</v>
      </c>
      <c r="H1011">
        <v>1.3054260054931192E-4</v>
      </c>
      <c r="I1011">
        <v>1.737077662503262E-7</v>
      </c>
      <c r="J1011">
        <v>0.45</v>
      </c>
      <c r="L1011" s="1">
        <v>43188</v>
      </c>
      <c r="M1011" s="1">
        <v>43024</v>
      </c>
      <c r="N1011" s="1"/>
      <c r="R1011">
        <v>5.987968255858284E-4</v>
      </c>
      <c r="T1011" t="s">
        <v>39</v>
      </c>
      <c r="V1011">
        <v>16049431</v>
      </c>
      <c r="W1011" t="s">
        <v>216</v>
      </c>
      <c r="X1011" t="s">
        <v>217</v>
      </c>
      <c r="Y1011">
        <v>16260000</v>
      </c>
      <c r="Z1011" t="s">
        <v>31</v>
      </c>
      <c r="AA1011">
        <v>5.4963982297342766E-5</v>
      </c>
      <c r="AB1011">
        <v>98.704987000000003</v>
      </c>
      <c r="AC1011" t="s">
        <v>52</v>
      </c>
      <c r="AE1011" t="s">
        <v>41</v>
      </c>
      <c r="AF1011">
        <v>2.8799999999999999E-2</v>
      </c>
      <c r="AH1011" t="s">
        <v>209</v>
      </c>
      <c r="AJ1011">
        <v>2.900946678873598E-4</v>
      </c>
      <c r="AK1011">
        <v>2.900946678873598E-4</v>
      </c>
      <c r="AL1011">
        <v>0</v>
      </c>
      <c r="AQ1011">
        <v>8.3547264351559626E-6</v>
      </c>
    </row>
    <row r="1012" spans="1:43" x14ac:dyDescent="0.2">
      <c r="A1012">
        <v>1010</v>
      </c>
      <c r="B1012">
        <v>151</v>
      </c>
      <c r="C1012">
        <v>6</v>
      </c>
      <c r="D1012">
        <v>1</v>
      </c>
      <c r="E1012" t="s">
        <v>250</v>
      </c>
      <c r="F1012" t="s">
        <v>29</v>
      </c>
      <c r="G1012" t="s">
        <v>207</v>
      </c>
      <c r="H1012">
        <v>2.5857619886327199E-4</v>
      </c>
      <c r="I1012">
        <v>4.9634694659444355E-7</v>
      </c>
      <c r="J1012">
        <v>0.24</v>
      </c>
      <c r="L1012" s="1">
        <v>43110</v>
      </c>
      <c r="M1012" s="1">
        <v>43024</v>
      </c>
      <c r="N1012" s="1"/>
      <c r="R1012">
        <v>4.6068921929529782E-4</v>
      </c>
      <c r="T1012" t="s">
        <v>39</v>
      </c>
      <c r="V1012">
        <v>59606991</v>
      </c>
      <c r="W1012" t="s">
        <v>250</v>
      </c>
      <c r="X1012" t="s">
        <v>258</v>
      </c>
      <c r="Y1012">
        <v>60000000</v>
      </c>
      <c r="Z1012" t="s">
        <v>31</v>
      </c>
      <c r="AA1012">
        <v>1.5705230327262872E-4</v>
      </c>
      <c r="AB1012">
        <v>99.344984999999994</v>
      </c>
      <c r="AC1012" t="s">
        <v>52</v>
      </c>
      <c r="AE1012" t="s">
        <v>41</v>
      </c>
      <c r="AF1012">
        <v>2.76E-2</v>
      </c>
      <c r="AH1012" t="s">
        <v>209</v>
      </c>
      <c r="AJ1012">
        <v>1.0774008285969667E-3</v>
      </c>
      <c r="AK1012">
        <v>1.0774008285969667E-3</v>
      </c>
      <c r="AL1012">
        <v>0</v>
      </c>
      <c r="AQ1012">
        <v>2.9736262869276281E-5</v>
      </c>
    </row>
    <row r="1013" spans="1:43" x14ac:dyDescent="0.2">
      <c r="A1013">
        <v>1011</v>
      </c>
      <c r="B1013">
        <v>152</v>
      </c>
      <c r="C1013">
        <v>6</v>
      </c>
      <c r="D1013">
        <v>1</v>
      </c>
      <c r="E1013" t="s">
        <v>219</v>
      </c>
      <c r="F1013" t="s">
        <v>29</v>
      </c>
      <c r="G1013" t="s">
        <v>207</v>
      </c>
      <c r="H1013">
        <v>8.9064347886052327E-4</v>
      </c>
      <c r="I1013">
        <v>1.3349727108307719E-6</v>
      </c>
      <c r="J1013">
        <v>0.5</v>
      </c>
      <c r="L1013" s="1">
        <v>43208</v>
      </c>
      <c r="M1013" s="1">
        <v>43024</v>
      </c>
      <c r="N1013" s="1"/>
      <c r="R1013">
        <v>7.4944281439006169E-4</v>
      </c>
      <c r="T1013" t="s">
        <v>39</v>
      </c>
      <c r="V1013">
        <v>98549354</v>
      </c>
      <c r="W1013" t="s">
        <v>220</v>
      </c>
      <c r="X1013" t="s">
        <v>221</v>
      </c>
      <c r="Y1013">
        <v>100000000</v>
      </c>
      <c r="Z1013" t="s">
        <v>31</v>
      </c>
      <c r="AA1013">
        <v>4.2240723042744462E-4</v>
      </c>
      <c r="AB1013">
        <v>98.549353999999994</v>
      </c>
      <c r="AC1013" t="s">
        <v>52</v>
      </c>
      <c r="AE1013" t="s">
        <v>41</v>
      </c>
      <c r="AF1013">
        <v>2.8799999999999999E-2</v>
      </c>
      <c r="AH1013" t="s">
        <v>209</v>
      </c>
      <c r="AJ1013">
        <v>1.7812869577210465E-3</v>
      </c>
      <c r="AK1013">
        <v>1.7812869577210465E-3</v>
      </c>
      <c r="AL1013">
        <v>0</v>
      </c>
      <c r="AQ1013">
        <v>5.130106438236614E-5</v>
      </c>
    </row>
    <row r="1014" spans="1:43" x14ac:dyDescent="0.2">
      <c r="A1014">
        <v>1012</v>
      </c>
      <c r="B1014">
        <v>106</v>
      </c>
      <c r="C1014">
        <v>6</v>
      </c>
      <c r="D1014">
        <v>635000000</v>
      </c>
      <c r="E1014" t="s">
        <v>303</v>
      </c>
      <c r="F1014" t="s">
        <v>29</v>
      </c>
      <c r="G1014" t="s">
        <v>304</v>
      </c>
      <c r="H1014">
        <v>3.1533838388090402E-2</v>
      </c>
      <c r="I1014">
        <v>-1.3023224568252815E-5</v>
      </c>
      <c r="J1014">
        <v>2.71</v>
      </c>
      <c r="L1014" s="1">
        <v>44096</v>
      </c>
      <c r="M1014" s="1">
        <v>43024</v>
      </c>
      <c r="N1014" s="1"/>
      <c r="R1014">
        <v>-1.1192084561863695E-3</v>
      </c>
      <c r="T1014" t="s">
        <v>39</v>
      </c>
      <c r="V1014">
        <v>643765117</v>
      </c>
      <c r="W1014" t="s">
        <v>200</v>
      </c>
      <c r="X1014" t="s">
        <v>305</v>
      </c>
      <c r="Y1014">
        <v>635000000</v>
      </c>
      <c r="Z1014" t="s">
        <v>31</v>
      </c>
      <c r="AA1014">
        <v>-4.1207615530110065E-3</v>
      </c>
      <c r="AB1014">
        <v>100.947</v>
      </c>
      <c r="AC1014" t="s">
        <v>42</v>
      </c>
      <c r="AE1014" t="s">
        <v>41</v>
      </c>
      <c r="AF1014">
        <v>0</v>
      </c>
      <c r="AH1014" t="s">
        <v>237</v>
      </c>
      <c r="AJ1014">
        <v>1.163610272623262E-2</v>
      </c>
      <c r="AK1014">
        <v>1.163610272623262E-2</v>
      </c>
      <c r="AL1014">
        <v>0</v>
      </c>
      <c r="AN1014" t="s">
        <v>142</v>
      </c>
      <c r="AQ1014">
        <v>0</v>
      </c>
    </row>
    <row r="1015" spans="1:43" x14ac:dyDescent="0.2">
      <c r="A1015">
        <v>1013</v>
      </c>
      <c r="B1015">
        <v>99</v>
      </c>
      <c r="C1015">
        <v>6</v>
      </c>
      <c r="D1015">
        <v>20000</v>
      </c>
      <c r="E1015" t="s">
        <v>505</v>
      </c>
      <c r="F1015" t="s">
        <v>29</v>
      </c>
      <c r="G1015" t="s">
        <v>976</v>
      </c>
      <c r="H1015">
        <v>1.7385200890256157E-2</v>
      </c>
      <c r="I1015">
        <v>-8.1571388680252285E-5</v>
      </c>
      <c r="J1015">
        <v>3.19</v>
      </c>
      <c r="L1015" s="1">
        <v>45413</v>
      </c>
      <c r="M1015" s="1">
        <v>43024</v>
      </c>
      <c r="N1015" s="1"/>
      <c r="R1015">
        <v>-1.4967484789654954E-2</v>
      </c>
      <c r="T1015" t="s">
        <v>32</v>
      </c>
      <c r="V1015">
        <v>301515001</v>
      </c>
      <c r="W1015" t="s">
        <v>206</v>
      </c>
      <c r="X1015" t="s">
        <v>507</v>
      </c>
      <c r="Y1015">
        <v>20000</v>
      </c>
      <c r="Z1015" t="s">
        <v>31</v>
      </c>
      <c r="AA1015">
        <v>-2.581052338748057E-2</v>
      </c>
      <c r="AB1015">
        <v>113.02</v>
      </c>
      <c r="AC1015" t="s">
        <v>36</v>
      </c>
      <c r="AE1015" t="s">
        <v>41</v>
      </c>
      <c r="AF1015">
        <v>3.1117912976993609E-4</v>
      </c>
      <c r="AH1015" t="s">
        <v>237</v>
      </c>
      <c r="AJ1015">
        <v>5.4499062351900177E-3</v>
      </c>
      <c r="AK1015">
        <v>5.4499062351900177E-3</v>
      </c>
      <c r="AL1015">
        <v>0</v>
      </c>
      <c r="AN1015" t="s">
        <v>150</v>
      </c>
      <c r="AQ1015">
        <v>1.6958970795941784E-6</v>
      </c>
    </row>
    <row r="1016" spans="1:43" x14ac:dyDescent="0.2">
      <c r="A1016">
        <v>1014</v>
      </c>
      <c r="B1016">
        <v>102</v>
      </c>
      <c r="C1016">
        <v>6</v>
      </c>
      <c r="D1016">
        <v>10000</v>
      </c>
      <c r="E1016" t="s">
        <v>505</v>
      </c>
      <c r="F1016" t="s">
        <v>29</v>
      </c>
      <c r="G1016" t="s">
        <v>977</v>
      </c>
      <c r="H1016">
        <v>2.4100720842026142E-2</v>
      </c>
      <c r="I1016">
        <v>-7.2494413047051979E-5</v>
      </c>
      <c r="J1016">
        <v>6.24</v>
      </c>
      <c r="L1016" s="1">
        <v>47818</v>
      </c>
      <c r="M1016" s="1">
        <v>43024</v>
      </c>
      <c r="N1016" s="1"/>
      <c r="R1016">
        <v>-1.8769776239421981E-2</v>
      </c>
      <c r="T1016" t="s">
        <v>32</v>
      </c>
      <c r="V1016">
        <v>213680719</v>
      </c>
      <c r="W1016" t="s">
        <v>206</v>
      </c>
      <c r="X1016" t="s">
        <v>978</v>
      </c>
      <c r="Y1016">
        <v>10000</v>
      </c>
      <c r="Z1016" t="s">
        <v>31</v>
      </c>
      <c r="AA1016">
        <v>-2.2938419630774205E-2</v>
      </c>
      <c r="AB1016">
        <v>112.03</v>
      </c>
      <c r="AC1016" t="s">
        <v>34</v>
      </c>
      <c r="AE1016" t="s">
        <v>41</v>
      </c>
      <c r="AF1016">
        <v>2.1111791297699356E-3</v>
      </c>
      <c r="AH1016" t="s">
        <v>237</v>
      </c>
      <c r="AJ1016">
        <v>3.8622950067349585E-3</v>
      </c>
      <c r="AK1016">
        <v>3.8622950067349585E-3</v>
      </c>
      <c r="AL1016">
        <v>0</v>
      </c>
      <c r="AN1016" t="s">
        <v>54</v>
      </c>
      <c r="AQ1016">
        <v>8.1539966112334769E-6</v>
      </c>
    </row>
    <row r="1017" spans="1:43" x14ac:dyDescent="0.2">
      <c r="A1017">
        <v>1015</v>
      </c>
      <c r="B1017">
        <v>102</v>
      </c>
      <c r="C1017">
        <v>6</v>
      </c>
      <c r="D1017">
        <v>10000</v>
      </c>
      <c r="E1017" t="s">
        <v>505</v>
      </c>
      <c r="F1017" t="s">
        <v>29</v>
      </c>
      <c r="G1017" t="s">
        <v>979</v>
      </c>
      <c r="H1017">
        <v>2.4100720842026142E-2</v>
      </c>
      <c r="I1017">
        <v>-7.2494413047051979E-5</v>
      </c>
      <c r="J1017">
        <v>6.24</v>
      </c>
      <c r="L1017" s="1">
        <v>47818</v>
      </c>
      <c r="M1017" s="1">
        <v>43024</v>
      </c>
      <c r="N1017" s="1"/>
      <c r="R1017">
        <v>-1.8769776239421981E-2</v>
      </c>
      <c r="T1017" t="s">
        <v>32</v>
      </c>
      <c r="V1017">
        <v>213680719</v>
      </c>
      <c r="W1017" t="s">
        <v>206</v>
      </c>
      <c r="X1017" t="s">
        <v>507</v>
      </c>
      <c r="Y1017">
        <v>10000</v>
      </c>
      <c r="Z1017" t="s">
        <v>31</v>
      </c>
      <c r="AA1017">
        <v>-2.2938419630774205E-2</v>
      </c>
      <c r="AB1017">
        <v>112.03</v>
      </c>
      <c r="AC1017" t="s">
        <v>36</v>
      </c>
      <c r="AE1017" t="s">
        <v>41</v>
      </c>
      <c r="AF1017">
        <v>2.1111791297699356E-3</v>
      </c>
      <c r="AH1017" t="s">
        <v>237</v>
      </c>
      <c r="AJ1017">
        <v>3.8622950067349585E-3</v>
      </c>
      <c r="AK1017">
        <v>3.8622950067349585E-3</v>
      </c>
      <c r="AL1017">
        <v>0</v>
      </c>
      <c r="AN1017" t="s">
        <v>150</v>
      </c>
      <c r="AQ1017">
        <v>8.1539966112334769E-6</v>
      </c>
    </row>
    <row r="1018" spans="1:43" x14ac:dyDescent="0.2">
      <c r="A1018">
        <v>1016</v>
      </c>
      <c r="B1018">
        <v>96</v>
      </c>
      <c r="C1018">
        <v>6</v>
      </c>
      <c r="D1018">
        <v>30000</v>
      </c>
      <c r="E1018" t="s">
        <v>407</v>
      </c>
      <c r="F1018" t="s">
        <v>29</v>
      </c>
      <c r="G1018" t="s">
        <v>980</v>
      </c>
      <c r="H1018">
        <v>1.353062555082416E-2</v>
      </c>
      <c r="I1018">
        <v>-1.2067638345423591E-4</v>
      </c>
      <c r="J1018">
        <v>2.17</v>
      </c>
      <c r="L1018" s="1">
        <v>44562</v>
      </c>
      <c r="M1018" s="1">
        <v>43024</v>
      </c>
      <c r="N1018" s="1"/>
      <c r="R1018">
        <v>-1.9353706235684085E-2</v>
      </c>
      <c r="T1018" t="s">
        <v>32</v>
      </c>
      <c r="V1018">
        <v>344967384</v>
      </c>
      <c r="W1018" t="s">
        <v>229</v>
      </c>
      <c r="X1018" t="s">
        <v>981</v>
      </c>
      <c r="Y1018">
        <v>30000</v>
      </c>
      <c r="Z1018" t="s">
        <v>31</v>
      </c>
      <c r="AA1018">
        <v>-3.8183984211319133E-2</v>
      </c>
      <c r="AB1018">
        <v>108.93</v>
      </c>
      <c r="AC1018" t="s">
        <v>33</v>
      </c>
      <c r="AE1018" t="s">
        <v>41</v>
      </c>
      <c r="AF1018">
        <v>-4.8882087023006601E-4</v>
      </c>
      <c r="AH1018" t="s">
        <v>237</v>
      </c>
      <c r="AJ1018">
        <v>6.2353113137438524E-3</v>
      </c>
      <c r="AK1018">
        <v>6.2353113137438524E-3</v>
      </c>
      <c r="AL1018">
        <v>0</v>
      </c>
      <c r="AN1018" t="s">
        <v>148</v>
      </c>
      <c r="AQ1018">
        <v>-3.0479503025396462E-6</v>
      </c>
    </row>
    <row r="1019" spans="1:43" x14ac:dyDescent="0.2">
      <c r="A1019">
        <v>1017</v>
      </c>
      <c r="B1019">
        <v>99</v>
      </c>
      <c r="C1019">
        <v>6</v>
      </c>
      <c r="D1019">
        <v>15000</v>
      </c>
      <c r="E1019" t="s">
        <v>407</v>
      </c>
      <c r="F1019" t="s">
        <v>29</v>
      </c>
      <c r="G1019" t="s">
        <v>982</v>
      </c>
      <c r="H1019">
        <v>2.2044549346421013E-2</v>
      </c>
      <c r="I1019">
        <v>-7.637765209198023E-5</v>
      </c>
      <c r="J1019">
        <v>4.32</v>
      </c>
      <c r="L1019" s="1">
        <v>46113</v>
      </c>
      <c r="M1019" s="1">
        <v>43024</v>
      </c>
      <c r="N1019" s="1"/>
      <c r="R1019">
        <v>-1.4967484789654954E-2</v>
      </c>
      <c r="T1019" t="s">
        <v>32</v>
      </c>
      <c r="V1019">
        <v>282317222</v>
      </c>
      <c r="W1019" t="s">
        <v>229</v>
      </c>
      <c r="X1019" t="s">
        <v>981</v>
      </c>
      <c r="Y1019">
        <v>15000</v>
      </c>
      <c r="Z1019" t="s">
        <v>31</v>
      </c>
      <c r="AA1019">
        <v>-2.4167140065842179E-2</v>
      </c>
      <c r="AB1019">
        <v>109.1</v>
      </c>
      <c r="AC1019" t="s">
        <v>33</v>
      </c>
      <c r="AE1019" t="s">
        <v>41</v>
      </c>
      <c r="AF1019">
        <v>2.1117912976993669E-4</v>
      </c>
      <c r="AH1019" t="s">
        <v>237</v>
      </c>
      <c r="AJ1019">
        <v>5.1029049413011604E-3</v>
      </c>
      <c r="AK1019">
        <v>5.1029049413011604E-3</v>
      </c>
      <c r="AL1019">
        <v>0</v>
      </c>
      <c r="AN1019" t="s">
        <v>148</v>
      </c>
      <c r="AQ1019">
        <v>1.0776270248026889E-6</v>
      </c>
    </row>
    <row r="1020" spans="1:43" x14ac:dyDescent="0.2">
      <c r="A1020">
        <v>1018</v>
      </c>
      <c r="B1020">
        <v>95</v>
      </c>
      <c r="C1020">
        <v>6</v>
      </c>
      <c r="D1020">
        <v>5000</v>
      </c>
      <c r="E1020" t="s">
        <v>983</v>
      </c>
      <c r="F1020" t="s">
        <v>29</v>
      </c>
      <c r="G1020" t="s">
        <v>984</v>
      </c>
      <c r="H1020">
        <v>1.0613917817278472E-3</v>
      </c>
      <c r="I1020">
        <v>-1.1924138753443686E-5</v>
      </c>
      <c r="J1020">
        <v>1.52</v>
      </c>
      <c r="L1020" s="1">
        <v>44044</v>
      </c>
      <c r="M1020" s="1">
        <v>43024</v>
      </c>
      <c r="N1020" s="1"/>
      <c r="R1020">
        <v>-1.7076343737775217E-2</v>
      </c>
      <c r="T1020" t="s">
        <v>32</v>
      </c>
      <c r="V1020">
        <v>38632430</v>
      </c>
      <c r="W1020" t="s">
        <v>985</v>
      </c>
      <c r="X1020" t="s">
        <v>986</v>
      </c>
      <c r="Y1020">
        <v>5000</v>
      </c>
      <c r="Z1020" t="s">
        <v>31</v>
      </c>
      <c r="AA1020">
        <v>-3.7729927999353733E-3</v>
      </c>
      <c r="AB1020">
        <v>106.3</v>
      </c>
      <c r="AC1020" t="s">
        <v>42</v>
      </c>
      <c r="AE1020" t="s">
        <v>41</v>
      </c>
      <c r="AF1020">
        <v>3.8111791297699357E-3</v>
      </c>
      <c r="AH1020" t="s">
        <v>237</v>
      </c>
      <c r="AJ1020">
        <v>6.982840669262153E-4</v>
      </c>
      <c r="AK1020">
        <v>6.982840669262153E-4</v>
      </c>
      <c r="AL1020">
        <v>0</v>
      </c>
      <c r="AN1020" t="s">
        <v>142</v>
      </c>
      <c r="AQ1020">
        <v>2.6612856625200648E-6</v>
      </c>
    </row>
    <row r="1021" spans="1:43" x14ac:dyDescent="0.2">
      <c r="A1021">
        <v>1019</v>
      </c>
      <c r="B1021">
        <v>99</v>
      </c>
      <c r="C1021">
        <v>6</v>
      </c>
      <c r="D1021">
        <v>25000</v>
      </c>
      <c r="E1021" t="s">
        <v>411</v>
      </c>
      <c r="F1021" t="s">
        <v>29</v>
      </c>
      <c r="G1021" t="s">
        <v>987</v>
      </c>
      <c r="H1021">
        <v>2.357572585220781E-2</v>
      </c>
      <c r="I1021">
        <v>-1.0470899646824791E-4</v>
      </c>
      <c r="J1021">
        <v>3.37</v>
      </c>
      <c r="L1021" s="1">
        <v>45474</v>
      </c>
      <c r="M1021" s="1">
        <v>43024</v>
      </c>
      <c r="N1021" s="1"/>
      <c r="R1021">
        <v>-1.4967484789654954E-2</v>
      </c>
      <c r="T1021" t="s">
        <v>32</v>
      </c>
      <c r="V1021">
        <v>387039300</v>
      </c>
      <c r="W1021" t="s">
        <v>211</v>
      </c>
      <c r="X1021" t="s">
        <v>413</v>
      </c>
      <c r="Y1021">
        <v>25000</v>
      </c>
      <c r="Z1021" t="s">
        <v>31</v>
      </c>
      <c r="AA1021">
        <v>-3.3131641448659162E-2</v>
      </c>
      <c r="AB1021">
        <v>114.51</v>
      </c>
      <c r="AC1021" t="s">
        <v>33</v>
      </c>
      <c r="AE1021" t="s">
        <v>41</v>
      </c>
      <c r="AF1021">
        <v>-1.6888208702300657E-3</v>
      </c>
      <c r="AH1021" t="s">
        <v>237</v>
      </c>
      <c r="AJ1021">
        <v>6.9957643478361451E-3</v>
      </c>
      <c r="AK1021">
        <v>6.9957643478361451E-3</v>
      </c>
      <c r="AL1021">
        <v>0</v>
      </c>
      <c r="AN1021" t="s">
        <v>148</v>
      </c>
      <c r="AQ1021">
        <v>-1.1814592833837106E-5</v>
      </c>
    </row>
    <row r="1022" spans="1:43" x14ac:dyDescent="0.2">
      <c r="A1022">
        <v>1020</v>
      </c>
      <c r="B1022">
        <v>99</v>
      </c>
      <c r="C1022">
        <v>6</v>
      </c>
      <c r="D1022">
        <v>15000</v>
      </c>
      <c r="E1022" t="s">
        <v>411</v>
      </c>
      <c r="F1022" t="s">
        <v>29</v>
      </c>
      <c r="G1022" t="s">
        <v>988</v>
      </c>
      <c r="H1022">
        <v>2.4906111247511423E-2</v>
      </c>
      <c r="I1022">
        <v>-7.7825019053566052E-5</v>
      </c>
      <c r="J1022">
        <v>4.79</v>
      </c>
      <c r="L1022" s="1">
        <v>46478</v>
      </c>
      <c r="M1022" s="1">
        <v>43024</v>
      </c>
      <c r="N1022" s="1"/>
      <c r="R1022">
        <v>-1.4967484789654954E-2</v>
      </c>
      <c r="T1022" t="s">
        <v>32</v>
      </c>
      <c r="V1022">
        <v>287667172</v>
      </c>
      <c r="W1022" t="s">
        <v>211</v>
      </c>
      <c r="X1022" t="s">
        <v>989</v>
      </c>
      <c r="Y1022">
        <v>15000</v>
      </c>
      <c r="Z1022" t="s">
        <v>31</v>
      </c>
      <c r="AA1022">
        <v>-2.4625110678046815E-2</v>
      </c>
      <c r="AB1022">
        <v>110.68</v>
      </c>
      <c r="AC1022" t="s">
        <v>33</v>
      </c>
      <c r="AE1022" t="s">
        <v>41</v>
      </c>
      <c r="AF1022">
        <v>-8.8882087023006359E-4</v>
      </c>
      <c r="AH1022" t="s">
        <v>237</v>
      </c>
      <c r="AJ1022">
        <v>5.1996056884157458E-3</v>
      </c>
      <c r="AK1022">
        <v>5.1996056884157458E-3</v>
      </c>
      <c r="AL1022">
        <v>0</v>
      </c>
      <c r="AN1022" t="s">
        <v>148</v>
      </c>
      <c r="AQ1022">
        <v>-4.621518052830872E-6</v>
      </c>
    </row>
    <row r="1023" spans="1:43" x14ac:dyDescent="0.2">
      <c r="A1023">
        <v>1021</v>
      </c>
      <c r="B1023">
        <v>90</v>
      </c>
      <c r="C1023">
        <v>6</v>
      </c>
      <c r="D1023">
        <v>21000</v>
      </c>
      <c r="E1023" t="s">
        <v>300</v>
      </c>
      <c r="F1023" t="s">
        <v>29</v>
      </c>
      <c r="G1023" t="s">
        <v>990</v>
      </c>
      <c r="H1023">
        <v>4.7533361706466506E-2</v>
      </c>
      <c r="I1023">
        <v>-4.6579639455129509E-5</v>
      </c>
      <c r="J1023">
        <v>5.17</v>
      </c>
      <c r="L1023" s="1">
        <v>46919</v>
      </c>
      <c r="M1023" s="1">
        <v>43024</v>
      </c>
      <c r="N1023" s="1"/>
      <c r="R1023">
        <v>-5.0662677188737211E-3</v>
      </c>
      <c r="T1023" t="s">
        <v>32</v>
      </c>
      <c r="V1023">
        <v>508660344</v>
      </c>
      <c r="W1023" t="s">
        <v>213</v>
      </c>
      <c r="X1023" t="s">
        <v>991</v>
      </c>
      <c r="Y1023">
        <v>21000</v>
      </c>
      <c r="Z1023" t="s">
        <v>31</v>
      </c>
      <c r="AA1023">
        <v>-1.4738560823693393E-2</v>
      </c>
      <c r="AB1023">
        <v>108.1</v>
      </c>
      <c r="AC1023" t="s">
        <v>142</v>
      </c>
      <c r="AE1023" t="s">
        <v>41</v>
      </c>
      <c r="AF1023">
        <v>6.1117912976993427E-4</v>
      </c>
      <c r="AH1023" t="s">
        <v>237</v>
      </c>
      <c r="AJ1023">
        <v>9.1940738310380098E-3</v>
      </c>
      <c r="AK1023">
        <v>9.1940738310380098E-3</v>
      </c>
      <c r="AL1023">
        <v>0</v>
      </c>
      <c r="AN1023" t="s">
        <v>146</v>
      </c>
      <c r="AQ1023">
        <v>5.6192260430943367E-6</v>
      </c>
    </row>
    <row r="1024" spans="1:43" x14ac:dyDescent="0.2">
      <c r="A1024">
        <v>1022</v>
      </c>
      <c r="B1024">
        <v>102</v>
      </c>
      <c r="C1024">
        <v>6</v>
      </c>
      <c r="D1024">
        <v>20000</v>
      </c>
      <c r="E1024" t="s">
        <v>469</v>
      </c>
      <c r="F1024" t="s">
        <v>29</v>
      </c>
      <c r="G1024" t="s">
        <v>992</v>
      </c>
      <c r="H1024">
        <v>5.4522352902939143E-2</v>
      </c>
      <c r="I1024">
        <v>-1.4831483536738654E-4</v>
      </c>
      <c r="J1024">
        <v>6.9</v>
      </c>
      <c r="L1024" s="1">
        <v>48670</v>
      </c>
      <c r="M1024" s="1">
        <v>43024</v>
      </c>
      <c r="N1024" s="1"/>
      <c r="R1024">
        <v>-1.8769776239421981E-2</v>
      </c>
      <c r="T1024" t="s">
        <v>32</v>
      </c>
      <c r="V1024">
        <v>437165008</v>
      </c>
      <c r="W1024" t="s">
        <v>220</v>
      </c>
      <c r="X1024" t="s">
        <v>993</v>
      </c>
      <c r="Y1024">
        <v>20000</v>
      </c>
      <c r="Z1024" t="s">
        <v>31</v>
      </c>
      <c r="AA1024">
        <v>-4.6929243070334123E-2</v>
      </c>
      <c r="AB1024">
        <v>105.64</v>
      </c>
      <c r="AC1024" t="s">
        <v>34</v>
      </c>
      <c r="AE1024" t="s">
        <v>41</v>
      </c>
      <c r="AF1024">
        <v>3.1111791297699365E-3</v>
      </c>
      <c r="AH1024" t="s">
        <v>237</v>
      </c>
      <c r="AJ1024">
        <v>7.9017902757882817E-3</v>
      </c>
      <c r="AK1024">
        <v>7.9017902757882817E-3</v>
      </c>
      <c r="AL1024">
        <v>0</v>
      </c>
      <c r="AN1024" t="s">
        <v>54</v>
      </c>
      <c r="AQ1024">
        <v>2.4583884993851533E-5</v>
      </c>
    </row>
    <row r="1025" spans="1:43" x14ac:dyDescent="0.2">
      <c r="A1025">
        <v>1023</v>
      </c>
      <c r="B1025">
        <v>102</v>
      </c>
      <c r="C1025">
        <v>6</v>
      </c>
      <c r="D1025">
        <v>20000</v>
      </c>
      <c r="E1025" t="s">
        <v>414</v>
      </c>
      <c r="F1025" t="s">
        <v>29</v>
      </c>
      <c r="G1025" t="s">
        <v>994</v>
      </c>
      <c r="H1025">
        <v>8.4719301491264234E-2</v>
      </c>
      <c r="I1025">
        <v>-2.1373149625687616E-4</v>
      </c>
      <c r="J1025">
        <v>7.44</v>
      </c>
      <c r="L1025" s="1">
        <v>46266</v>
      </c>
      <c r="M1025" s="1">
        <v>43024</v>
      </c>
      <c r="N1025" s="1"/>
      <c r="R1025">
        <v>-1.8769776239421981E-2</v>
      </c>
      <c r="T1025" t="s">
        <v>32</v>
      </c>
      <c r="V1025">
        <v>629983717</v>
      </c>
      <c r="W1025" t="s">
        <v>200</v>
      </c>
      <c r="X1025" t="s">
        <v>305</v>
      </c>
      <c r="Y1025">
        <v>20000</v>
      </c>
      <c r="Z1025" t="s">
        <v>31</v>
      </c>
      <c r="AA1025">
        <v>-6.7628145996180888E-2</v>
      </c>
      <c r="AB1025">
        <v>117.45</v>
      </c>
      <c r="AC1025" t="s">
        <v>33</v>
      </c>
      <c r="AE1025" t="s">
        <v>41</v>
      </c>
      <c r="AF1025">
        <v>2.3111791297699344E-3</v>
      </c>
      <c r="AH1025" t="s">
        <v>237</v>
      </c>
      <c r="AJ1025">
        <v>1.1387002888610784E-2</v>
      </c>
      <c r="AK1025">
        <v>1.1387002888610784E-2</v>
      </c>
      <c r="AL1025">
        <v>0</v>
      </c>
      <c r="AN1025" t="s">
        <v>148</v>
      </c>
      <c r="AQ1025">
        <v>2.6317403426787201E-5</v>
      </c>
    </row>
    <row r="1026" spans="1:43" x14ac:dyDescent="0.2">
      <c r="A1026">
        <v>1024</v>
      </c>
      <c r="B1026">
        <v>0</v>
      </c>
      <c r="C1026">
        <v>8</v>
      </c>
      <c r="D1026">
        <v>34200460.072933748</v>
      </c>
      <c r="E1026" t="s">
        <v>995</v>
      </c>
      <c r="F1026" t="s">
        <v>87</v>
      </c>
      <c r="G1026" t="s">
        <v>996</v>
      </c>
      <c r="H1026">
        <v>0</v>
      </c>
      <c r="I1026">
        <v>0</v>
      </c>
      <c r="J1026">
        <v>0</v>
      </c>
      <c r="L1026" s="1">
        <v>2</v>
      </c>
      <c r="M1026" s="1">
        <v>43024</v>
      </c>
      <c r="N1026" s="1"/>
      <c r="R1026">
        <v>0</v>
      </c>
      <c r="T1026" t="s">
        <v>39</v>
      </c>
      <c r="V1026">
        <v>34428474.540200002</v>
      </c>
      <c r="W1026" t="s">
        <v>997</v>
      </c>
      <c r="X1026" t="s">
        <v>998</v>
      </c>
      <c r="Y1026">
        <v>34200460.072933748</v>
      </c>
      <c r="Z1026" t="s">
        <v>31</v>
      </c>
      <c r="AA1026">
        <v>0</v>
      </c>
      <c r="AB1026">
        <v>1.006667</v>
      </c>
      <c r="AC1026" t="s">
        <v>54</v>
      </c>
      <c r="AE1026" t="s">
        <v>41</v>
      </c>
      <c r="AF1026">
        <v>0</v>
      </c>
      <c r="AH1026" t="s">
        <v>597</v>
      </c>
      <c r="AJ1026">
        <v>8.533468179337297E-4</v>
      </c>
      <c r="AK1026">
        <v>8.533468179337297E-4</v>
      </c>
      <c r="AL1026">
        <v>0</v>
      </c>
      <c r="AN1026" t="s">
        <v>154</v>
      </c>
      <c r="AQ1026">
        <v>0</v>
      </c>
    </row>
    <row r="1027" spans="1:43" x14ac:dyDescent="0.2">
      <c r="A1027">
        <v>1025</v>
      </c>
      <c r="B1027">
        <v>0</v>
      </c>
      <c r="C1027">
        <v>8</v>
      </c>
      <c r="D1027">
        <v>45600584.579622224</v>
      </c>
      <c r="E1027" t="s">
        <v>999</v>
      </c>
      <c r="F1027" t="s">
        <v>87</v>
      </c>
      <c r="G1027" t="s">
        <v>1000</v>
      </c>
      <c r="H1027">
        <v>0</v>
      </c>
      <c r="I1027">
        <v>0</v>
      </c>
      <c r="J1027">
        <v>0</v>
      </c>
      <c r="L1027" s="1">
        <v>2</v>
      </c>
      <c r="M1027" s="1">
        <v>43024</v>
      </c>
      <c r="N1027" s="1"/>
      <c r="R1027">
        <v>0</v>
      </c>
      <c r="T1027" t="s">
        <v>39</v>
      </c>
      <c r="V1027">
        <v>45627944.930399999</v>
      </c>
      <c r="W1027" t="s">
        <v>1001</v>
      </c>
      <c r="X1027" t="s">
        <v>1002</v>
      </c>
      <c r="Y1027">
        <v>45600584.579622224</v>
      </c>
      <c r="Z1027" t="s">
        <v>31</v>
      </c>
      <c r="AA1027">
        <v>0</v>
      </c>
      <c r="AB1027">
        <v>1.0005999999999999</v>
      </c>
      <c r="AC1027" t="s">
        <v>1003</v>
      </c>
      <c r="AE1027" t="s">
        <v>41</v>
      </c>
      <c r="AF1027">
        <v>0</v>
      </c>
      <c r="AH1027" t="s">
        <v>597</v>
      </c>
      <c r="AJ1027">
        <v>1.1309377524045857E-3</v>
      </c>
      <c r="AK1027">
        <v>1.1309377524045857E-3</v>
      </c>
      <c r="AL1027">
        <v>0</v>
      </c>
      <c r="AN1027" t="s">
        <v>603</v>
      </c>
      <c r="AQ1027">
        <v>0</v>
      </c>
    </row>
    <row r="1028" spans="1:43" x14ac:dyDescent="0.2">
      <c r="A1028">
        <v>1026</v>
      </c>
      <c r="B1028">
        <v>0</v>
      </c>
      <c r="C1028">
        <v>8</v>
      </c>
      <c r="D1028">
        <v>0</v>
      </c>
      <c r="E1028" t="s">
        <v>204</v>
      </c>
      <c r="F1028" t="s">
        <v>87</v>
      </c>
      <c r="G1028" t="s">
        <v>1730</v>
      </c>
      <c r="H1028">
        <v>0</v>
      </c>
      <c r="I1028">
        <v>0</v>
      </c>
      <c r="J1028">
        <v>0</v>
      </c>
      <c r="L1028" s="1">
        <v>43042</v>
      </c>
      <c r="M1028" s="1">
        <v>43024</v>
      </c>
      <c r="N1028" s="1"/>
      <c r="R1028">
        <v>0</v>
      </c>
      <c r="T1028" t="s">
        <v>39</v>
      </c>
      <c r="V1028">
        <v>631270016</v>
      </c>
      <c r="W1028" t="s">
        <v>200</v>
      </c>
      <c r="X1028" t="s">
        <v>201</v>
      </c>
      <c r="Y1028">
        <v>0</v>
      </c>
      <c r="Z1028" t="s">
        <v>47</v>
      </c>
      <c r="AA1028">
        <v>0</v>
      </c>
      <c r="AB1028">
        <v>0</v>
      </c>
      <c r="AC1028" t="s">
        <v>47</v>
      </c>
      <c r="AE1028" t="s">
        <v>108</v>
      </c>
      <c r="AF1028">
        <v>0</v>
      </c>
      <c r="AH1028" t="s">
        <v>202</v>
      </c>
      <c r="AJ1028">
        <v>1.5646707169136319E-2</v>
      </c>
      <c r="AK1028">
        <v>1.5646707169136319E-2</v>
      </c>
      <c r="AL1028">
        <v>0</v>
      </c>
      <c r="AN1028" t="s">
        <v>47</v>
      </c>
      <c r="AQ1028">
        <v>0</v>
      </c>
    </row>
    <row r="1029" spans="1:43" x14ac:dyDescent="0.2">
      <c r="A1029">
        <v>1027</v>
      </c>
      <c r="B1029">
        <v>0</v>
      </c>
      <c r="C1029">
        <v>8</v>
      </c>
      <c r="D1029">
        <v>0</v>
      </c>
      <c r="E1029" t="s">
        <v>1004</v>
      </c>
      <c r="F1029" t="s">
        <v>87</v>
      </c>
      <c r="G1029" t="s">
        <v>159</v>
      </c>
      <c r="H1029">
        <v>0</v>
      </c>
      <c r="I1029">
        <v>0</v>
      </c>
      <c r="J1029">
        <v>0</v>
      </c>
      <c r="L1029" s="1">
        <v>43024</v>
      </c>
      <c r="M1029" s="1">
        <v>43024</v>
      </c>
      <c r="N1029" s="1"/>
      <c r="R1029">
        <v>0</v>
      </c>
      <c r="T1029" t="s">
        <v>39</v>
      </c>
      <c r="V1029">
        <v>27591690</v>
      </c>
      <c r="W1029" t="s">
        <v>45</v>
      </c>
      <c r="X1029" t="s">
        <v>46</v>
      </c>
      <c r="Y1029">
        <v>0</v>
      </c>
      <c r="Z1029" t="s">
        <v>47</v>
      </c>
      <c r="AA1029">
        <v>0</v>
      </c>
      <c r="AB1029">
        <v>0</v>
      </c>
      <c r="AC1029" t="s">
        <v>47</v>
      </c>
      <c r="AE1029" t="s">
        <v>45</v>
      </c>
      <c r="AF1029">
        <v>0</v>
      </c>
      <c r="AH1029" t="s">
        <v>174</v>
      </c>
      <c r="AJ1029">
        <v>6.8388975048608509E-4</v>
      </c>
      <c r="AK1029">
        <v>6.8388975048608509E-4</v>
      </c>
      <c r="AL1029">
        <v>0</v>
      </c>
      <c r="AN1029" t="s">
        <v>47</v>
      </c>
      <c r="AQ1029">
        <v>0</v>
      </c>
    </row>
    <row r="1030" spans="1:43" x14ac:dyDescent="0.2">
      <c r="A1030">
        <v>1028</v>
      </c>
      <c r="B1030">
        <v>0</v>
      </c>
      <c r="C1030">
        <v>8</v>
      </c>
      <c r="D1030">
        <v>0</v>
      </c>
      <c r="E1030" t="s">
        <v>1004</v>
      </c>
      <c r="F1030" t="s">
        <v>87</v>
      </c>
      <c r="G1030" t="s">
        <v>160</v>
      </c>
      <c r="H1030">
        <v>0</v>
      </c>
      <c r="I1030">
        <v>0</v>
      </c>
      <c r="J1030">
        <v>0</v>
      </c>
      <c r="L1030" s="1">
        <v>43024</v>
      </c>
      <c r="M1030" s="1">
        <v>43024</v>
      </c>
      <c r="N1030" s="1"/>
      <c r="R1030">
        <v>0</v>
      </c>
      <c r="T1030" t="s">
        <v>39</v>
      </c>
      <c r="V1030">
        <v>0</v>
      </c>
      <c r="W1030" t="s">
        <v>45</v>
      </c>
      <c r="X1030" t="s">
        <v>48</v>
      </c>
      <c r="Y1030">
        <v>0</v>
      </c>
      <c r="Z1030" t="s">
        <v>47</v>
      </c>
      <c r="AA1030">
        <v>0</v>
      </c>
      <c r="AB1030">
        <v>0</v>
      </c>
      <c r="AC1030" t="s">
        <v>47</v>
      </c>
      <c r="AE1030" t="s">
        <v>45</v>
      </c>
      <c r="AF1030">
        <v>0</v>
      </c>
      <c r="AH1030" t="s">
        <v>174</v>
      </c>
      <c r="AJ1030">
        <v>0</v>
      </c>
      <c r="AK1030">
        <v>0</v>
      </c>
      <c r="AL1030">
        <v>0</v>
      </c>
      <c r="AN1030" t="s">
        <v>47</v>
      </c>
      <c r="AQ1030">
        <v>0</v>
      </c>
    </row>
    <row r="1031" spans="1:43" x14ac:dyDescent="0.2">
      <c r="A1031">
        <v>1029</v>
      </c>
      <c r="B1031">
        <v>0</v>
      </c>
      <c r="C1031">
        <v>8</v>
      </c>
      <c r="D1031">
        <v>0</v>
      </c>
      <c r="E1031" t="s">
        <v>1004</v>
      </c>
      <c r="F1031" t="s">
        <v>87</v>
      </c>
      <c r="G1031" t="s">
        <v>294</v>
      </c>
      <c r="H1031">
        <v>0</v>
      </c>
      <c r="I1031">
        <v>0</v>
      </c>
      <c r="J1031">
        <v>0</v>
      </c>
      <c r="L1031" s="1">
        <v>43024</v>
      </c>
      <c r="M1031" s="1">
        <v>43024</v>
      </c>
      <c r="N1031" s="1"/>
      <c r="R1031">
        <v>0</v>
      </c>
      <c r="T1031" t="s">
        <v>240</v>
      </c>
      <c r="V1031">
        <v>-6634540805</v>
      </c>
      <c r="W1031" t="s">
        <v>45</v>
      </c>
      <c r="X1031" t="s">
        <v>295</v>
      </c>
      <c r="Y1031">
        <v>0</v>
      </c>
      <c r="Z1031" t="s">
        <v>47</v>
      </c>
      <c r="AA1031">
        <v>0</v>
      </c>
      <c r="AB1031">
        <v>0</v>
      </c>
      <c r="AC1031" t="s">
        <v>47</v>
      </c>
      <c r="AE1031" t="s">
        <v>45</v>
      </c>
      <c r="AF1031">
        <v>0</v>
      </c>
      <c r="AH1031" t="s">
        <v>240</v>
      </c>
      <c r="AJ1031">
        <v>-0.16444423867190447</v>
      </c>
      <c r="AK1031">
        <v>-0.16444423867190447</v>
      </c>
      <c r="AL1031">
        <v>0</v>
      </c>
      <c r="AN1031" t="s">
        <v>47</v>
      </c>
      <c r="AQ1031">
        <v>0</v>
      </c>
    </row>
    <row r="1032" spans="1:43" x14ac:dyDescent="0.2">
      <c r="A1032">
        <v>1030</v>
      </c>
      <c r="B1032">
        <v>62</v>
      </c>
      <c r="C1032">
        <v>8</v>
      </c>
      <c r="D1032">
        <v>9853829643.4319649</v>
      </c>
      <c r="E1032" t="s">
        <v>770</v>
      </c>
      <c r="F1032" t="s">
        <v>87</v>
      </c>
      <c r="G1032" t="s">
        <v>771</v>
      </c>
      <c r="H1032">
        <v>1.8071013567504866E-3</v>
      </c>
      <c r="I1032">
        <v>8.7509717607167394E-7</v>
      </c>
      <c r="J1032">
        <v>4.58</v>
      </c>
      <c r="L1032" s="1">
        <v>44773</v>
      </c>
      <c r="M1032" s="1">
        <v>43024</v>
      </c>
      <c r="N1032" s="1"/>
      <c r="R1032">
        <v>2.217886147579081E-3</v>
      </c>
      <c r="T1032" t="s">
        <v>30</v>
      </c>
      <c r="V1032">
        <v>15918760.2138</v>
      </c>
      <c r="W1032" t="s">
        <v>772</v>
      </c>
      <c r="X1032" t="s">
        <v>773</v>
      </c>
      <c r="Y1032">
        <v>9853829643.4319649</v>
      </c>
      <c r="Z1032" t="s">
        <v>774</v>
      </c>
      <c r="AA1032">
        <v>2.771586652580135E-5</v>
      </c>
      <c r="AB1032">
        <v>99.675299999999993</v>
      </c>
      <c r="AC1032" t="s">
        <v>42</v>
      </c>
      <c r="AE1032" t="s">
        <v>182</v>
      </c>
      <c r="AF1032">
        <v>0</v>
      </c>
      <c r="AH1032" t="s">
        <v>280</v>
      </c>
      <c r="AJ1032">
        <v>3.9456361501102324E-4</v>
      </c>
      <c r="AK1032">
        <v>3.9456361501102324E-4</v>
      </c>
      <c r="AL1032">
        <v>0</v>
      </c>
      <c r="AN1032" t="s">
        <v>142</v>
      </c>
      <c r="AQ1032">
        <v>0</v>
      </c>
    </row>
    <row r="1033" spans="1:43" x14ac:dyDescent="0.2">
      <c r="A1033">
        <v>1031</v>
      </c>
      <c r="B1033">
        <v>66</v>
      </c>
      <c r="C1033">
        <v>8</v>
      </c>
      <c r="D1033">
        <v>16751789593.291258</v>
      </c>
      <c r="E1033" t="s">
        <v>544</v>
      </c>
      <c r="F1033" t="s">
        <v>87</v>
      </c>
      <c r="G1033" t="s">
        <v>545</v>
      </c>
      <c r="H1033">
        <v>1.1136252372190032E-2</v>
      </c>
      <c r="I1033">
        <v>2.0880622054414255E-5</v>
      </c>
      <c r="J1033">
        <v>13.46</v>
      </c>
      <c r="L1033" s="1">
        <v>51225</v>
      </c>
      <c r="M1033" s="1">
        <v>43024</v>
      </c>
      <c r="N1033" s="1"/>
      <c r="R1033">
        <v>2.5237679917732014E-2</v>
      </c>
      <c r="T1033" t="s">
        <v>30</v>
      </c>
      <c r="V1033">
        <v>33379990.717</v>
      </c>
      <c r="W1033" t="s">
        <v>596</v>
      </c>
      <c r="X1033" t="s">
        <v>546</v>
      </c>
      <c r="Y1033">
        <v>16751789593.291258</v>
      </c>
      <c r="Z1033" t="s">
        <v>31</v>
      </c>
      <c r="AA1033">
        <v>6.6132602145255886E-4</v>
      </c>
      <c r="AB1033">
        <v>123.1528</v>
      </c>
      <c r="AC1033" t="s">
        <v>36</v>
      </c>
      <c r="AE1033" t="s">
        <v>41</v>
      </c>
      <c r="AF1033">
        <v>0</v>
      </c>
      <c r="AH1033" t="s">
        <v>237</v>
      </c>
      <c r="AJ1033">
        <v>8.2735901725037382E-4</v>
      </c>
      <c r="AK1033">
        <v>8.2735901725037382E-4</v>
      </c>
      <c r="AL1033">
        <v>0</v>
      </c>
      <c r="AN1033" t="s">
        <v>150</v>
      </c>
      <c r="AQ1033">
        <v>0</v>
      </c>
    </row>
    <row r="1034" spans="1:43" x14ac:dyDescent="0.2">
      <c r="A1034">
        <v>1032</v>
      </c>
      <c r="B1034">
        <v>66</v>
      </c>
      <c r="C1034">
        <v>8</v>
      </c>
      <c r="D1034">
        <v>24634910503.805027</v>
      </c>
      <c r="E1034" t="s">
        <v>552</v>
      </c>
      <c r="F1034" t="s">
        <v>87</v>
      </c>
      <c r="G1034" t="s">
        <v>553</v>
      </c>
      <c r="H1034">
        <v>8.0517445622496353E-3</v>
      </c>
      <c r="I1034">
        <v>2.5369207495804695E-5</v>
      </c>
      <c r="J1034">
        <v>8.01</v>
      </c>
      <c r="L1034" s="1">
        <v>46602</v>
      </c>
      <c r="M1034" s="1">
        <v>43024</v>
      </c>
      <c r="N1034" s="1"/>
      <c r="R1034">
        <v>2.5237679917732014E-2</v>
      </c>
      <c r="T1034" t="s">
        <v>30</v>
      </c>
      <c r="V1034">
        <v>40555492.480099998</v>
      </c>
      <c r="W1034" t="s">
        <v>554</v>
      </c>
      <c r="X1034" t="s">
        <v>555</v>
      </c>
      <c r="Y1034">
        <v>24634910503.805027</v>
      </c>
      <c r="Z1034" t="s">
        <v>143</v>
      </c>
      <c r="AA1034">
        <v>8.0348741607811215E-4</v>
      </c>
      <c r="AB1034">
        <v>101.0839</v>
      </c>
      <c r="AC1034" t="s">
        <v>142</v>
      </c>
      <c r="AE1034" t="s">
        <v>41</v>
      </c>
      <c r="AF1034">
        <v>0</v>
      </c>
      <c r="AH1034" t="s">
        <v>237</v>
      </c>
      <c r="AJ1034">
        <v>1.005211555836409E-3</v>
      </c>
      <c r="AK1034">
        <v>1.005211555836409E-3</v>
      </c>
      <c r="AL1034">
        <v>0</v>
      </c>
      <c r="AN1034" t="s">
        <v>146</v>
      </c>
      <c r="AQ1034">
        <v>0</v>
      </c>
    </row>
    <row r="1035" spans="1:43" x14ac:dyDescent="0.2">
      <c r="A1035">
        <v>1033</v>
      </c>
      <c r="B1035">
        <v>66</v>
      </c>
      <c r="C1035">
        <v>8</v>
      </c>
      <c r="D1035">
        <v>12317402242.950153</v>
      </c>
      <c r="E1035" t="s">
        <v>572</v>
      </c>
      <c r="F1035" t="s">
        <v>87</v>
      </c>
      <c r="G1035" t="s">
        <v>573</v>
      </c>
      <c r="H1035">
        <v>1.8082671128794832E-3</v>
      </c>
      <c r="I1035">
        <v>1.3956105994071494E-5</v>
      </c>
      <c r="J1035">
        <v>3.27</v>
      </c>
      <c r="L1035" s="1">
        <v>44350</v>
      </c>
      <c r="M1035" s="1">
        <v>43024</v>
      </c>
      <c r="N1035" s="1"/>
      <c r="R1035">
        <v>2.5237679917732014E-2</v>
      </c>
      <c r="T1035" t="s">
        <v>30</v>
      </c>
      <c r="V1035">
        <v>22310383.6329</v>
      </c>
      <c r="W1035" t="s">
        <v>241</v>
      </c>
      <c r="X1035" t="s">
        <v>574</v>
      </c>
      <c r="Y1035">
        <v>12317402242.950153</v>
      </c>
      <c r="Z1035" t="s">
        <v>143</v>
      </c>
      <c r="AA1035">
        <v>4.4201442025901451E-4</v>
      </c>
      <c r="AB1035">
        <v>109.9949</v>
      </c>
      <c r="AC1035" t="s">
        <v>34</v>
      </c>
      <c r="AE1035" t="s">
        <v>41</v>
      </c>
      <c r="AF1035">
        <v>0</v>
      </c>
      <c r="AH1035" t="s">
        <v>237</v>
      </c>
      <c r="AJ1035">
        <v>5.5298688467262486E-4</v>
      </c>
      <c r="AK1035">
        <v>5.5298688467262486E-4</v>
      </c>
      <c r="AL1035">
        <v>0</v>
      </c>
      <c r="AN1035" t="s">
        <v>54</v>
      </c>
      <c r="AQ1035">
        <v>0</v>
      </c>
    </row>
    <row r="1036" spans="1:43" x14ac:dyDescent="0.2">
      <c r="A1036">
        <v>1034</v>
      </c>
      <c r="B1036">
        <v>66</v>
      </c>
      <c r="C1036">
        <v>8</v>
      </c>
      <c r="D1036">
        <v>19707477827.768154</v>
      </c>
      <c r="E1036" t="s">
        <v>560</v>
      </c>
      <c r="F1036" t="s">
        <v>87</v>
      </c>
      <c r="G1036" t="s">
        <v>561</v>
      </c>
      <c r="H1036">
        <v>6.4282483504433559E-3</v>
      </c>
      <c r="I1036">
        <v>2.0028898061750398E-5</v>
      </c>
      <c r="J1036">
        <v>8.1</v>
      </c>
      <c r="L1036" s="1">
        <v>46606</v>
      </c>
      <c r="M1036" s="1">
        <v>43024</v>
      </c>
      <c r="N1036" s="1"/>
      <c r="R1036">
        <v>2.5237679917732014E-2</v>
      </c>
      <c r="T1036" t="s">
        <v>30</v>
      </c>
      <c r="V1036">
        <v>32018415.429900002</v>
      </c>
      <c r="W1036" t="s">
        <v>562</v>
      </c>
      <c r="X1036" t="s">
        <v>563</v>
      </c>
      <c r="Y1036">
        <v>19707477827.768154</v>
      </c>
      <c r="Z1036" t="s">
        <v>158</v>
      </c>
      <c r="AA1036">
        <v>6.3435042474972974E-4</v>
      </c>
      <c r="AB1036">
        <v>99.843900000000005</v>
      </c>
      <c r="AC1036" t="s">
        <v>33</v>
      </c>
      <c r="AE1036" t="s">
        <v>41</v>
      </c>
      <c r="AF1036">
        <v>0</v>
      </c>
      <c r="AH1036" t="s">
        <v>237</v>
      </c>
      <c r="AJ1036">
        <v>7.9361090746214269E-4</v>
      </c>
      <c r="AK1036">
        <v>7.9361090746214269E-4</v>
      </c>
      <c r="AL1036">
        <v>0</v>
      </c>
      <c r="AN1036" t="s">
        <v>148</v>
      </c>
      <c r="AQ1036">
        <v>0</v>
      </c>
    </row>
    <row r="1037" spans="1:43" x14ac:dyDescent="0.2">
      <c r="A1037">
        <v>1035</v>
      </c>
      <c r="B1037">
        <v>66</v>
      </c>
      <c r="C1037">
        <v>8</v>
      </c>
      <c r="D1037">
        <v>12317549062.045439</v>
      </c>
      <c r="E1037" t="s">
        <v>1264</v>
      </c>
      <c r="F1037" t="s">
        <v>87</v>
      </c>
      <c r="G1037" t="s">
        <v>1265</v>
      </c>
      <c r="H1037">
        <v>2.2411184405644433E-3</v>
      </c>
      <c r="I1037">
        <v>1.2458288515570955E-5</v>
      </c>
      <c r="J1037">
        <v>4.54</v>
      </c>
      <c r="L1037" s="1">
        <v>44823</v>
      </c>
      <c r="M1037" s="1">
        <v>43024</v>
      </c>
      <c r="N1037" s="1"/>
      <c r="R1037">
        <v>2.5237679917732014E-2</v>
      </c>
      <c r="T1037" t="s">
        <v>30</v>
      </c>
      <c r="V1037">
        <v>19915956.235199999</v>
      </c>
      <c r="W1037" t="s">
        <v>1266</v>
      </c>
      <c r="X1037" t="s">
        <v>1267</v>
      </c>
      <c r="Y1037">
        <v>12317549062.045439</v>
      </c>
      <c r="Z1037" t="s">
        <v>158</v>
      </c>
      <c r="AA1037">
        <v>3.9457590662960568E-4</v>
      </c>
      <c r="AB1037">
        <v>99.877200000000002</v>
      </c>
      <c r="AC1037" t="s">
        <v>142</v>
      </c>
      <c r="AE1037" t="s">
        <v>41</v>
      </c>
      <c r="AF1037">
        <v>0</v>
      </c>
      <c r="AH1037" t="s">
        <v>237</v>
      </c>
      <c r="AJ1037">
        <v>4.9363842303181565E-4</v>
      </c>
      <c r="AK1037">
        <v>4.9363842303181565E-4</v>
      </c>
      <c r="AL1037">
        <v>0</v>
      </c>
      <c r="AN1037" t="s">
        <v>146</v>
      </c>
      <c r="AQ1037">
        <v>0</v>
      </c>
    </row>
    <row r="1038" spans="1:43" x14ac:dyDescent="0.2">
      <c r="A1038">
        <v>1036</v>
      </c>
      <c r="B1038">
        <v>66</v>
      </c>
      <c r="C1038">
        <v>8</v>
      </c>
      <c r="D1038">
        <v>25128091706.498215</v>
      </c>
      <c r="E1038" t="s">
        <v>564</v>
      </c>
      <c r="F1038" t="s">
        <v>87</v>
      </c>
      <c r="G1038" t="s">
        <v>565</v>
      </c>
      <c r="H1038">
        <v>4.9523224983292116E-3</v>
      </c>
      <c r="I1038">
        <v>2.8864926111366184E-5</v>
      </c>
      <c r="J1038">
        <v>4.33</v>
      </c>
      <c r="L1038" s="1">
        <v>44834</v>
      </c>
      <c r="M1038" s="1">
        <v>43024</v>
      </c>
      <c r="N1038" s="1"/>
      <c r="R1038">
        <v>2.5237679917732014E-2</v>
      </c>
      <c r="T1038" t="s">
        <v>30</v>
      </c>
      <c r="V1038">
        <v>46143786.479800001</v>
      </c>
      <c r="W1038" t="s">
        <v>566</v>
      </c>
      <c r="X1038" t="s">
        <v>567</v>
      </c>
      <c r="Y1038">
        <v>25128091706.498215</v>
      </c>
      <c r="Z1038" t="s">
        <v>145</v>
      </c>
      <c r="AA1038">
        <v>9.14202972258499E-4</v>
      </c>
      <c r="AB1038">
        <v>113.4449</v>
      </c>
      <c r="AC1038" t="s">
        <v>33</v>
      </c>
      <c r="AE1038" t="s">
        <v>41</v>
      </c>
      <c r="AF1038">
        <v>0</v>
      </c>
      <c r="AH1038" t="s">
        <v>237</v>
      </c>
      <c r="AJ1038">
        <v>1.1437234407226816E-3</v>
      </c>
      <c r="AK1038">
        <v>1.1437234407226816E-3</v>
      </c>
      <c r="AL1038">
        <v>0</v>
      </c>
      <c r="AN1038" t="s">
        <v>148</v>
      </c>
      <c r="AQ1038">
        <v>0</v>
      </c>
    </row>
    <row r="1039" spans="1:43" x14ac:dyDescent="0.2">
      <c r="A1039">
        <v>1037</v>
      </c>
      <c r="B1039">
        <v>66</v>
      </c>
      <c r="C1039">
        <v>8</v>
      </c>
      <c r="D1039">
        <v>25374125818.336731</v>
      </c>
      <c r="E1039" t="s">
        <v>556</v>
      </c>
      <c r="F1039" t="s">
        <v>87</v>
      </c>
      <c r="G1039" t="s">
        <v>557</v>
      </c>
      <c r="H1039">
        <v>6.8839736648338423E-3</v>
      </c>
      <c r="I1039">
        <v>2.7709014978496513E-5</v>
      </c>
      <c r="J1039">
        <v>6.27</v>
      </c>
      <c r="L1039" s="1">
        <v>45768</v>
      </c>
      <c r="M1039" s="1">
        <v>43024</v>
      </c>
      <c r="N1039" s="1"/>
      <c r="R1039">
        <v>2.5237679917732014E-2</v>
      </c>
      <c r="T1039" t="s">
        <v>30</v>
      </c>
      <c r="V1039">
        <v>44295934.304499999</v>
      </c>
      <c r="W1039" t="s">
        <v>558</v>
      </c>
      <c r="X1039" t="s">
        <v>559</v>
      </c>
      <c r="Y1039">
        <v>25374125818.336731</v>
      </c>
      <c r="Z1039" t="s">
        <v>143</v>
      </c>
      <c r="AA1039">
        <v>8.7759323387707881E-4</v>
      </c>
      <c r="AB1039">
        <v>105.76139999999999</v>
      </c>
      <c r="AC1039" t="s">
        <v>33</v>
      </c>
      <c r="AE1039" t="s">
        <v>41</v>
      </c>
      <c r="AF1039">
        <v>0</v>
      </c>
      <c r="AH1039" t="s">
        <v>237</v>
      </c>
      <c r="AJ1039">
        <v>1.0979224345827501E-3</v>
      </c>
      <c r="AK1039">
        <v>1.0979224345827501E-3</v>
      </c>
      <c r="AL1039">
        <v>0</v>
      </c>
      <c r="AN1039" t="s">
        <v>148</v>
      </c>
      <c r="AQ1039">
        <v>0</v>
      </c>
    </row>
    <row r="1040" spans="1:43" x14ac:dyDescent="0.2">
      <c r="A1040">
        <v>1038</v>
      </c>
      <c r="B1040">
        <v>66</v>
      </c>
      <c r="C1040">
        <v>8</v>
      </c>
      <c r="D1040">
        <v>26143011384.844082</v>
      </c>
      <c r="E1040" t="s">
        <v>568</v>
      </c>
      <c r="F1040" t="s">
        <v>87</v>
      </c>
      <c r="G1040" t="s">
        <v>571</v>
      </c>
      <c r="H1040">
        <v>1.0388987261798018E-2</v>
      </c>
      <c r="I1040">
        <v>2.8749334998097979E-5</v>
      </c>
      <c r="J1040">
        <v>9.1199999999999992</v>
      </c>
      <c r="L1040" s="1">
        <v>47383</v>
      </c>
      <c r="M1040" s="1">
        <v>43024</v>
      </c>
      <c r="N1040" s="1"/>
      <c r="R1040">
        <v>2.5237679917732014E-2</v>
      </c>
      <c r="T1040" t="s">
        <v>30</v>
      </c>
      <c r="V1040">
        <v>45959001.2623</v>
      </c>
      <c r="W1040" t="s">
        <v>181</v>
      </c>
      <c r="X1040" t="s">
        <v>570</v>
      </c>
      <c r="Y1040">
        <v>26143011384.844082</v>
      </c>
      <c r="Z1040" t="s">
        <v>147</v>
      </c>
      <c r="AA1040">
        <v>9.1054199842095123E-4</v>
      </c>
      <c r="AB1040">
        <v>108.54130000000001</v>
      </c>
      <c r="AC1040" t="s">
        <v>142</v>
      </c>
      <c r="AE1040" t="s">
        <v>41</v>
      </c>
      <c r="AF1040">
        <v>0</v>
      </c>
      <c r="AH1040" t="s">
        <v>237</v>
      </c>
      <c r="AJ1040">
        <v>1.139143340109432E-3</v>
      </c>
      <c r="AK1040">
        <v>1.139143340109432E-3</v>
      </c>
      <c r="AL1040">
        <v>0</v>
      </c>
      <c r="AN1040" t="s">
        <v>146</v>
      </c>
      <c r="AQ1040">
        <v>0</v>
      </c>
    </row>
    <row r="1041" spans="1:43" x14ac:dyDescent="0.2">
      <c r="A1041">
        <v>1039</v>
      </c>
      <c r="B1041">
        <v>66</v>
      </c>
      <c r="C1041">
        <v>8</v>
      </c>
      <c r="D1041">
        <v>10297371787.154375</v>
      </c>
      <c r="E1041" t="s">
        <v>575</v>
      </c>
      <c r="F1041" t="s">
        <v>87</v>
      </c>
      <c r="G1041" t="s">
        <v>576</v>
      </c>
      <c r="H1041">
        <v>1.2329939407347108E-3</v>
      </c>
      <c r="I1041">
        <v>1.1398500518961784E-5</v>
      </c>
      <c r="J1041">
        <v>2.73</v>
      </c>
      <c r="L1041" s="1">
        <v>44090</v>
      </c>
      <c r="M1041" s="1">
        <v>43024</v>
      </c>
      <c r="N1041" s="1"/>
      <c r="R1041">
        <v>2.5237679917732014E-2</v>
      </c>
      <c r="T1041" t="s">
        <v>30</v>
      </c>
      <c r="V1041">
        <v>18221767.556499999</v>
      </c>
      <c r="W1041" t="s">
        <v>577</v>
      </c>
      <c r="X1041" t="s">
        <v>578</v>
      </c>
      <c r="Y1041">
        <v>10297371787.154375</v>
      </c>
      <c r="Z1041" t="s">
        <v>147</v>
      </c>
      <c r="AA1041">
        <v>3.6101055701720969E-4</v>
      </c>
      <c r="AB1041">
        <v>109.1601</v>
      </c>
      <c r="AC1041" t="s">
        <v>148</v>
      </c>
      <c r="AE1041" t="s">
        <v>41</v>
      </c>
      <c r="AF1041">
        <v>0</v>
      </c>
      <c r="AH1041" t="s">
        <v>237</v>
      </c>
      <c r="AJ1041">
        <v>4.5164613213725669E-4</v>
      </c>
      <c r="AK1041">
        <v>4.5164613213725669E-4</v>
      </c>
      <c r="AL1041">
        <v>0</v>
      </c>
      <c r="AN1041" t="s">
        <v>144</v>
      </c>
      <c r="AQ1041">
        <v>0</v>
      </c>
    </row>
    <row r="1042" spans="1:43" x14ac:dyDescent="0.2">
      <c r="A1042">
        <v>1040</v>
      </c>
      <c r="B1042">
        <v>66</v>
      </c>
      <c r="C1042">
        <v>8</v>
      </c>
      <c r="D1042">
        <v>19707406467.299965</v>
      </c>
      <c r="E1042" t="s">
        <v>579</v>
      </c>
      <c r="F1042" t="s">
        <v>87</v>
      </c>
      <c r="G1042" t="s">
        <v>580</v>
      </c>
      <c r="H1042">
        <v>6.1704272551411834E-3</v>
      </c>
      <c r="I1042">
        <v>1.9837868537694639E-5</v>
      </c>
      <c r="J1042">
        <v>7.85</v>
      </c>
      <c r="L1042" s="1">
        <v>46488</v>
      </c>
      <c r="M1042" s="1">
        <v>43024</v>
      </c>
      <c r="N1042" s="1"/>
      <c r="R1042">
        <v>2.5237679917732014E-2</v>
      </c>
      <c r="T1042" t="s">
        <v>30</v>
      </c>
      <c r="V1042">
        <v>31713033.544100001</v>
      </c>
      <c r="W1042" t="s">
        <v>581</v>
      </c>
      <c r="X1042" t="s">
        <v>582</v>
      </c>
      <c r="Y1042">
        <v>19707406467.299965</v>
      </c>
      <c r="Z1042" t="s">
        <v>145</v>
      </c>
      <c r="AA1042">
        <v>6.2830018377536833E-4</v>
      </c>
      <c r="AB1042">
        <v>99.6143</v>
      </c>
      <c r="AC1042" t="s">
        <v>33</v>
      </c>
      <c r="AE1042" t="s">
        <v>41</v>
      </c>
      <c r="AF1042">
        <v>0</v>
      </c>
      <c r="AH1042" t="s">
        <v>237</v>
      </c>
      <c r="AJ1042">
        <v>7.8604168855301703E-4</v>
      </c>
      <c r="AK1042">
        <v>7.8604168855301703E-4</v>
      </c>
      <c r="AL1042">
        <v>0</v>
      </c>
      <c r="AN1042" t="s">
        <v>148</v>
      </c>
      <c r="AQ1042">
        <v>0</v>
      </c>
    </row>
    <row r="1043" spans="1:43" x14ac:dyDescent="0.2">
      <c r="A1043">
        <v>1041</v>
      </c>
      <c r="B1043">
        <v>66</v>
      </c>
      <c r="C1043">
        <v>8</v>
      </c>
      <c r="D1043">
        <v>12662094219.486567</v>
      </c>
      <c r="E1043" t="s">
        <v>583</v>
      </c>
      <c r="F1043" t="s">
        <v>87</v>
      </c>
      <c r="G1043" t="s">
        <v>584</v>
      </c>
      <c r="H1043">
        <v>1.5462834292920677E-3</v>
      </c>
      <c r="I1043">
        <v>1.4037628147685687E-5</v>
      </c>
      <c r="J1043">
        <v>2.78</v>
      </c>
      <c r="L1043" s="1">
        <v>44111</v>
      </c>
      <c r="M1043" s="1">
        <v>43024</v>
      </c>
      <c r="N1043" s="1"/>
      <c r="R1043">
        <v>2.5237679917732014E-2</v>
      </c>
      <c r="T1043" t="s">
        <v>30</v>
      </c>
      <c r="V1043">
        <v>22440705.839000002</v>
      </c>
      <c r="W1043" t="s">
        <v>585</v>
      </c>
      <c r="X1043" t="s">
        <v>586</v>
      </c>
      <c r="Y1043">
        <v>12662094219.486567</v>
      </c>
      <c r="Z1043" t="s">
        <v>147</v>
      </c>
      <c r="AA1043">
        <v>4.4459637023011329E-4</v>
      </c>
      <c r="AB1043">
        <v>109.6327</v>
      </c>
      <c r="AC1043" t="s">
        <v>34</v>
      </c>
      <c r="AE1043" t="s">
        <v>41</v>
      </c>
      <c r="AF1043">
        <v>0</v>
      </c>
      <c r="AH1043" t="s">
        <v>237</v>
      </c>
      <c r="AJ1043">
        <v>5.5621706089642724E-4</v>
      </c>
      <c r="AK1043">
        <v>5.5621706089642724E-4</v>
      </c>
      <c r="AL1043">
        <v>0</v>
      </c>
      <c r="AN1043" t="s">
        <v>54</v>
      </c>
      <c r="AQ1043">
        <v>0</v>
      </c>
    </row>
    <row r="1044" spans="1:43" x14ac:dyDescent="0.2">
      <c r="A1044">
        <v>1042</v>
      </c>
      <c r="B1044">
        <v>66</v>
      </c>
      <c r="C1044">
        <v>8</v>
      </c>
      <c r="D1044">
        <v>9853665629.5512028</v>
      </c>
      <c r="E1044" t="s">
        <v>1688</v>
      </c>
      <c r="F1044" t="s">
        <v>87</v>
      </c>
      <c r="G1044" t="s">
        <v>1689</v>
      </c>
      <c r="H1044">
        <v>1.8728783511820436E-3</v>
      </c>
      <c r="I1044">
        <v>9.8885155548079726E-6</v>
      </c>
      <c r="J1044">
        <v>4.78</v>
      </c>
      <c r="L1044" s="1">
        <v>44936</v>
      </c>
      <c r="M1044" s="1">
        <v>43024</v>
      </c>
      <c r="N1044" s="1"/>
      <c r="R1044">
        <v>2.5237679917732014E-2</v>
      </c>
      <c r="T1044" t="s">
        <v>30</v>
      </c>
      <c r="V1044">
        <v>15807889.0832</v>
      </c>
      <c r="W1044" t="s">
        <v>1690</v>
      </c>
      <c r="X1044" t="s">
        <v>1691</v>
      </c>
      <c r="Y1044">
        <v>9853665629.5512028</v>
      </c>
      <c r="Z1044" t="s">
        <v>157</v>
      </c>
      <c r="AA1044">
        <v>3.1318667771923074E-4</v>
      </c>
      <c r="AB1044">
        <v>99.253100000000003</v>
      </c>
      <c r="AC1044" t="s">
        <v>154</v>
      </c>
      <c r="AE1044" t="s">
        <v>44</v>
      </c>
      <c r="AF1044">
        <v>0</v>
      </c>
      <c r="AH1044" t="s">
        <v>237</v>
      </c>
      <c r="AJ1044">
        <v>3.918155546405949E-4</v>
      </c>
      <c r="AK1044">
        <v>3.918155546405949E-4</v>
      </c>
      <c r="AL1044">
        <v>0</v>
      </c>
      <c r="AN1044" t="s">
        <v>603</v>
      </c>
      <c r="AQ1044">
        <v>0</v>
      </c>
    </row>
    <row r="1045" spans="1:43" x14ac:dyDescent="0.2">
      <c r="A1045">
        <v>1043</v>
      </c>
      <c r="B1045">
        <v>66</v>
      </c>
      <c r="C1045">
        <v>8</v>
      </c>
      <c r="D1045">
        <v>9853534303.2764568</v>
      </c>
      <c r="E1045" t="s">
        <v>1688</v>
      </c>
      <c r="F1045" t="s">
        <v>87</v>
      </c>
      <c r="G1045" t="s">
        <v>1692</v>
      </c>
      <c r="H1045">
        <v>3.1719240924024819E-3</v>
      </c>
      <c r="I1045">
        <v>9.7863086757208386E-6</v>
      </c>
      <c r="J1045">
        <v>8.18</v>
      </c>
      <c r="L1045" s="1">
        <v>46762</v>
      </c>
      <c r="M1045" s="1">
        <v>43024</v>
      </c>
      <c r="N1045" s="1"/>
      <c r="R1045">
        <v>2.5237679917732014E-2</v>
      </c>
      <c r="T1045" t="s">
        <v>30</v>
      </c>
      <c r="V1045">
        <v>15644500.048800001</v>
      </c>
      <c r="W1045" t="s">
        <v>1690</v>
      </c>
      <c r="X1045" t="s">
        <v>1691</v>
      </c>
      <c r="Y1045">
        <v>9853534303.2764568</v>
      </c>
      <c r="Z1045" t="s">
        <v>157</v>
      </c>
      <c r="AA1045">
        <v>3.0994960611592151E-4</v>
      </c>
      <c r="AB1045">
        <v>98.194000000000003</v>
      </c>
      <c r="AC1045" t="s">
        <v>154</v>
      </c>
      <c r="AE1045" t="s">
        <v>44</v>
      </c>
      <c r="AF1045">
        <v>0</v>
      </c>
      <c r="AH1045" t="s">
        <v>237</v>
      </c>
      <c r="AJ1045">
        <v>3.8776578146729608E-4</v>
      </c>
      <c r="AK1045">
        <v>3.8776578146729608E-4</v>
      </c>
      <c r="AL1045">
        <v>0</v>
      </c>
      <c r="AN1045" t="s">
        <v>603</v>
      </c>
      <c r="AQ1045">
        <v>0</v>
      </c>
    </row>
    <row r="1046" spans="1:43" x14ac:dyDescent="0.2">
      <c r="A1046">
        <v>1044</v>
      </c>
      <c r="B1046">
        <v>66</v>
      </c>
      <c r="C1046">
        <v>8</v>
      </c>
      <c r="D1046">
        <v>17736788352.767719</v>
      </c>
      <c r="E1046" t="s">
        <v>587</v>
      </c>
      <c r="F1046" t="s">
        <v>87</v>
      </c>
      <c r="G1046" t="s">
        <v>588</v>
      </c>
      <c r="H1046">
        <v>5.2557146305123913E-3</v>
      </c>
      <c r="I1046">
        <v>1.7732893527247715E-5</v>
      </c>
      <c r="J1046">
        <v>7.48</v>
      </c>
      <c r="L1046" s="1">
        <v>46294</v>
      </c>
      <c r="M1046" s="1">
        <v>43024</v>
      </c>
      <c r="N1046" s="1"/>
      <c r="R1046">
        <v>2.5237679917732014E-2</v>
      </c>
      <c r="T1046" t="s">
        <v>30</v>
      </c>
      <c r="V1046">
        <v>28347997.477400001</v>
      </c>
      <c r="W1046" t="s">
        <v>587</v>
      </c>
      <c r="X1046" t="s">
        <v>589</v>
      </c>
      <c r="Y1046">
        <v>17736788352.767719</v>
      </c>
      <c r="Z1046" t="s">
        <v>157</v>
      </c>
      <c r="AA1046">
        <v>5.616319233524643E-4</v>
      </c>
      <c r="AB1046">
        <v>98.792400000000001</v>
      </c>
      <c r="AC1046" t="s">
        <v>146</v>
      </c>
      <c r="AE1046" t="s">
        <v>88</v>
      </c>
      <c r="AF1046">
        <v>0</v>
      </c>
      <c r="AH1046" t="s">
        <v>237</v>
      </c>
      <c r="AJ1046">
        <v>7.0263564579042662E-4</v>
      </c>
      <c r="AK1046">
        <v>7.0263564579042662E-4</v>
      </c>
      <c r="AL1046">
        <v>0</v>
      </c>
      <c r="AN1046" t="s">
        <v>154</v>
      </c>
      <c r="AQ1046">
        <v>0</v>
      </c>
    </row>
    <row r="1047" spans="1:43" x14ac:dyDescent="0.2">
      <c r="A1047">
        <v>1045</v>
      </c>
      <c r="B1047">
        <v>66</v>
      </c>
      <c r="C1047">
        <v>8</v>
      </c>
      <c r="D1047">
        <v>2463134266.7133665</v>
      </c>
      <c r="E1047" t="s">
        <v>598</v>
      </c>
      <c r="F1047" t="s">
        <v>87</v>
      </c>
      <c r="G1047" t="s">
        <v>599</v>
      </c>
      <c r="H1047">
        <v>1.5748217951641044E-3</v>
      </c>
      <c r="I1047">
        <v>2.58924093770813E-6</v>
      </c>
      <c r="J1047">
        <v>15.35</v>
      </c>
      <c r="L1047" s="1">
        <v>53865</v>
      </c>
      <c r="M1047" s="1">
        <v>43024</v>
      </c>
      <c r="N1047" s="1"/>
      <c r="R1047">
        <v>2.5237679917732014E-2</v>
      </c>
      <c r="T1047" t="s">
        <v>30</v>
      </c>
      <c r="V1047">
        <v>4139188.8728</v>
      </c>
      <c r="W1047" t="s">
        <v>600</v>
      </c>
      <c r="X1047" t="s">
        <v>601</v>
      </c>
      <c r="Y1047">
        <v>2463134266.7133665</v>
      </c>
      <c r="Z1047" t="s">
        <v>31</v>
      </c>
      <c r="AA1047">
        <v>8.2005813976917212E-5</v>
      </c>
      <c r="AB1047">
        <v>102.26560000000001</v>
      </c>
      <c r="AC1047" t="s">
        <v>142</v>
      </c>
      <c r="AE1047" t="s">
        <v>89</v>
      </c>
      <c r="AF1047">
        <v>0</v>
      </c>
      <c r="AH1047" t="s">
        <v>237</v>
      </c>
      <c r="AJ1047">
        <v>1.0259425375661918E-4</v>
      </c>
      <c r="AK1047">
        <v>1.0259425375661918E-4</v>
      </c>
      <c r="AL1047">
        <v>0</v>
      </c>
      <c r="AN1047" t="s">
        <v>146</v>
      </c>
      <c r="AQ1047">
        <v>0</v>
      </c>
    </row>
    <row r="1048" spans="1:43" x14ac:dyDescent="0.2">
      <c r="A1048">
        <v>1046</v>
      </c>
      <c r="B1048">
        <v>66</v>
      </c>
      <c r="C1048">
        <v>8</v>
      </c>
      <c r="D1048">
        <v>11203974542.998009</v>
      </c>
      <c r="E1048" t="s">
        <v>326</v>
      </c>
      <c r="F1048" t="s">
        <v>87</v>
      </c>
      <c r="G1048" t="s">
        <v>602</v>
      </c>
      <c r="H1048">
        <v>2.2427002626742697E-3</v>
      </c>
      <c r="I1048">
        <v>1.2120032415586024E-5</v>
      </c>
      <c r="J1048">
        <v>4.67</v>
      </c>
      <c r="L1048" s="1">
        <v>44946</v>
      </c>
      <c r="M1048" s="1">
        <v>43024</v>
      </c>
      <c r="N1048" s="1"/>
      <c r="R1048">
        <v>2.5237679917732014E-2</v>
      </c>
      <c r="T1048" t="s">
        <v>30</v>
      </c>
      <c r="V1048">
        <v>19375216.3354</v>
      </c>
      <c r="W1048" t="s">
        <v>327</v>
      </c>
      <c r="X1048" t="s">
        <v>435</v>
      </c>
      <c r="Y1048">
        <v>11203974542.998009</v>
      </c>
      <c r="Z1048" t="s">
        <v>31</v>
      </c>
      <c r="AA1048">
        <v>3.8386274108060319E-4</v>
      </c>
      <c r="AB1048">
        <v>105.95099999999999</v>
      </c>
      <c r="AC1048" t="s">
        <v>154</v>
      </c>
      <c r="AE1048" t="s">
        <v>35</v>
      </c>
      <c r="AF1048">
        <v>0</v>
      </c>
      <c r="AH1048" t="s">
        <v>237</v>
      </c>
      <c r="AJ1048">
        <v>4.8023560228571086E-4</v>
      </c>
      <c r="AK1048">
        <v>4.8023560228571086E-4</v>
      </c>
      <c r="AL1048">
        <v>0</v>
      </c>
      <c r="AN1048" t="s">
        <v>603</v>
      </c>
      <c r="AQ1048">
        <v>0</v>
      </c>
    </row>
    <row r="1049" spans="1:43" x14ac:dyDescent="0.2">
      <c r="A1049">
        <v>1047</v>
      </c>
      <c r="B1049">
        <v>66</v>
      </c>
      <c r="C1049">
        <v>8</v>
      </c>
      <c r="D1049">
        <v>9853187947.6716309</v>
      </c>
      <c r="E1049" t="s">
        <v>326</v>
      </c>
      <c r="F1049" t="s">
        <v>87</v>
      </c>
      <c r="G1049" t="s">
        <v>604</v>
      </c>
      <c r="H1049">
        <v>2.6425951148004541E-3</v>
      </c>
      <c r="I1049">
        <v>1.077430850718839E-5</v>
      </c>
      <c r="J1049">
        <v>6.19</v>
      </c>
      <c r="L1049" s="1">
        <v>45700</v>
      </c>
      <c r="M1049" s="1">
        <v>43024</v>
      </c>
      <c r="N1049" s="1"/>
      <c r="R1049">
        <v>2.5237679917732014E-2</v>
      </c>
      <c r="T1049" t="s">
        <v>30</v>
      </c>
      <c r="V1049">
        <v>17223927.3818</v>
      </c>
      <c r="W1049" t="s">
        <v>327</v>
      </c>
      <c r="X1049" t="s">
        <v>435</v>
      </c>
      <c r="Y1049">
        <v>9853187947.6716309</v>
      </c>
      <c r="Z1049" t="s">
        <v>31</v>
      </c>
      <c r="AA1049">
        <v>3.412412982904899E-4</v>
      </c>
      <c r="AB1049">
        <v>107.3608</v>
      </c>
      <c r="AC1049" t="s">
        <v>146</v>
      </c>
      <c r="AE1049" t="s">
        <v>35</v>
      </c>
      <c r="AF1049">
        <v>0</v>
      </c>
      <c r="AH1049" t="s">
        <v>237</v>
      </c>
      <c r="AJ1049">
        <v>4.2691358882075182E-4</v>
      </c>
      <c r="AK1049">
        <v>4.2691358882075182E-4</v>
      </c>
      <c r="AL1049">
        <v>0</v>
      </c>
      <c r="AN1049" t="s">
        <v>154</v>
      </c>
      <c r="AQ1049">
        <v>0</v>
      </c>
    </row>
    <row r="1050" spans="1:43" x14ac:dyDescent="0.2">
      <c r="A1050">
        <v>1048</v>
      </c>
      <c r="B1050">
        <v>66</v>
      </c>
      <c r="C1050">
        <v>8</v>
      </c>
      <c r="D1050">
        <v>17982764794.317444</v>
      </c>
      <c r="E1050" t="s">
        <v>326</v>
      </c>
      <c r="F1050" t="s">
        <v>87</v>
      </c>
      <c r="G1050" t="s">
        <v>605</v>
      </c>
      <c r="H1050">
        <v>5.8090389962949188E-3</v>
      </c>
      <c r="I1050">
        <v>1.8417922967099802E-5</v>
      </c>
      <c r="J1050">
        <v>7.96</v>
      </c>
      <c r="L1050" s="1">
        <v>46585</v>
      </c>
      <c r="M1050" s="1">
        <v>43024</v>
      </c>
      <c r="N1050" s="1"/>
      <c r="R1050">
        <v>2.5237679917732014E-2</v>
      </c>
      <c r="T1050" t="s">
        <v>30</v>
      </c>
      <c r="V1050">
        <v>29443093.029800002</v>
      </c>
      <c r="W1050" t="s">
        <v>327</v>
      </c>
      <c r="X1050" t="s">
        <v>435</v>
      </c>
      <c r="Y1050">
        <v>17982764794.317444</v>
      </c>
      <c r="Z1050" t="s">
        <v>31</v>
      </c>
      <c r="AA1050">
        <v>5.8332801041609109E-4</v>
      </c>
      <c r="AB1050">
        <v>100.33410000000001</v>
      </c>
      <c r="AC1050" t="s">
        <v>34</v>
      </c>
      <c r="AE1050" t="s">
        <v>35</v>
      </c>
      <c r="AF1050">
        <v>0</v>
      </c>
      <c r="AH1050" t="s">
        <v>237</v>
      </c>
      <c r="AJ1050">
        <v>7.2977876837875867E-4</v>
      </c>
      <c r="AK1050">
        <v>7.2977876837875867E-4</v>
      </c>
      <c r="AL1050">
        <v>0</v>
      </c>
      <c r="AN1050" t="s">
        <v>54</v>
      </c>
      <c r="AQ1050">
        <v>0</v>
      </c>
    </row>
    <row r="1051" spans="1:43" x14ac:dyDescent="0.2">
      <c r="A1051">
        <v>1049</v>
      </c>
      <c r="B1051">
        <v>66</v>
      </c>
      <c r="C1051">
        <v>8</v>
      </c>
      <c r="D1051">
        <v>2955955924.2906032</v>
      </c>
      <c r="E1051" t="s">
        <v>606</v>
      </c>
      <c r="F1051" t="s">
        <v>87</v>
      </c>
      <c r="G1051" t="s">
        <v>607</v>
      </c>
      <c r="H1051">
        <v>6.9531134173952426E-4</v>
      </c>
      <c r="I1051">
        <v>3.2316841778988756E-6</v>
      </c>
      <c r="J1051">
        <v>5.43</v>
      </c>
      <c r="L1051" s="1">
        <v>45306</v>
      </c>
      <c r="M1051" s="1">
        <v>43024</v>
      </c>
      <c r="N1051" s="1"/>
      <c r="R1051">
        <v>2.5237679917732014E-2</v>
      </c>
      <c r="T1051" t="s">
        <v>30</v>
      </c>
      <c r="V1051">
        <v>5166205.6607999997</v>
      </c>
      <c r="W1051" t="s">
        <v>608</v>
      </c>
      <c r="X1051" t="s">
        <v>609</v>
      </c>
      <c r="Y1051">
        <v>2955955924.2906032</v>
      </c>
      <c r="Z1051" t="s">
        <v>145</v>
      </c>
      <c r="AA1051">
        <v>1.0235312120451095E-4</v>
      </c>
      <c r="AB1051">
        <v>107.02370000000001</v>
      </c>
      <c r="AC1051" t="s">
        <v>33</v>
      </c>
      <c r="AE1051" t="s">
        <v>89</v>
      </c>
      <c r="AF1051">
        <v>0</v>
      </c>
      <c r="AH1051" t="s">
        <v>237</v>
      </c>
      <c r="AJ1051">
        <v>1.2804997085442437E-4</v>
      </c>
      <c r="AK1051">
        <v>1.2804997085442437E-4</v>
      </c>
      <c r="AL1051">
        <v>0</v>
      </c>
      <c r="AN1051" t="s">
        <v>148</v>
      </c>
      <c r="AQ1051">
        <v>0</v>
      </c>
    </row>
    <row r="1052" spans="1:43" x14ac:dyDescent="0.2">
      <c r="A1052">
        <v>1050</v>
      </c>
      <c r="B1052">
        <v>66</v>
      </c>
      <c r="C1052">
        <v>8</v>
      </c>
      <c r="D1052">
        <v>3941204923.1965623</v>
      </c>
      <c r="E1052" t="s">
        <v>242</v>
      </c>
      <c r="F1052" t="s">
        <v>87</v>
      </c>
      <c r="G1052" t="s">
        <v>613</v>
      </c>
      <c r="H1052">
        <v>1.2675645401732597E-3</v>
      </c>
      <c r="I1052">
        <v>4.070023936381665E-6</v>
      </c>
      <c r="J1052">
        <v>7.86</v>
      </c>
      <c r="L1052" s="1">
        <v>46481</v>
      </c>
      <c r="M1052" s="1">
        <v>43024</v>
      </c>
      <c r="N1052" s="1"/>
      <c r="R1052">
        <v>2.5237679917732014E-2</v>
      </c>
      <c r="T1052" t="s">
        <v>30</v>
      </c>
      <c r="V1052">
        <v>6506384.7648</v>
      </c>
      <c r="W1052" t="s">
        <v>243</v>
      </c>
      <c r="X1052" t="s">
        <v>244</v>
      </c>
      <c r="Y1052">
        <v>3941204923.1965623</v>
      </c>
      <c r="Z1052" t="s">
        <v>31</v>
      </c>
      <c r="AA1052">
        <v>1.2890481567310157E-4</v>
      </c>
      <c r="AB1052">
        <v>102.11020000000001</v>
      </c>
      <c r="AC1052" t="s">
        <v>33</v>
      </c>
      <c r="AE1052" t="s">
        <v>177</v>
      </c>
      <c r="AF1052">
        <v>0</v>
      </c>
      <c r="AH1052" t="s">
        <v>237</v>
      </c>
      <c r="AJ1052">
        <v>1.6126775320270478E-4</v>
      </c>
      <c r="AK1052">
        <v>1.6126775320270478E-4</v>
      </c>
      <c r="AL1052">
        <v>0</v>
      </c>
      <c r="AN1052" t="s">
        <v>148</v>
      </c>
      <c r="AQ1052">
        <v>0</v>
      </c>
    </row>
    <row r="1053" spans="1:43" x14ac:dyDescent="0.2">
      <c r="A1053">
        <v>1051</v>
      </c>
      <c r="B1053">
        <v>66</v>
      </c>
      <c r="C1053">
        <v>8</v>
      </c>
      <c r="D1053">
        <v>5951436633.8001375</v>
      </c>
      <c r="E1053" t="s">
        <v>242</v>
      </c>
      <c r="F1053" t="s">
        <v>87</v>
      </c>
      <c r="G1053" t="s">
        <v>245</v>
      </c>
      <c r="H1053">
        <v>6.2662526022776421E-5</v>
      </c>
      <c r="I1053">
        <v>6.0825260561514786E-6</v>
      </c>
      <c r="J1053">
        <v>0.26</v>
      </c>
      <c r="L1053" s="1">
        <v>43119</v>
      </c>
      <c r="M1053" s="1">
        <v>43024</v>
      </c>
      <c r="N1053" s="1"/>
      <c r="R1053">
        <v>2.5237679917732014E-2</v>
      </c>
      <c r="T1053" t="s">
        <v>30</v>
      </c>
      <c r="V1053">
        <v>9723592.6574000008</v>
      </c>
      <c r="W1053" t="s">
        <v>243</v>
      </c>
      <c r="X1053" t="s">
        <v>244</v>
      </c>
      <c r="Y1053">
        <v>5951436633.8001375</v>
      </c>
      <c r="Z1053" t="s">
        <v>31</v>
      </c>
      <c r="AA1053">
        <v>1.9264429702398639E-4</v>
      </c>
      <c r="AB1053">
        <v>100.0527</v>
      </c>
      <c r="AC1053" t="s">
        <v>33</v>
      </c>
      <c r="AE1053" t="s">
        <v>177</v>
      </c>
      <c r="AF1053">
        <v>0</v>
      </c>
      <c r="AH1053" t="s">
        <v>237</v>
      </c>
      <c r="AJ1053">
        <v>2.4100971547221702E-4</v>
      </c>
      <c r="AK1053">
        <v>2.4100971547221702E-4</v>
      </c>
      <c r="AL1053">
        <v>0</v>
      </c>
      <c r="AN1053" t="s">
        <v>148</v>
      </c>
      <c r="AQ1053">
        <v>0</v>
      </c>
    </row>
    <row r="1054" spans="1:43" x14ac:dyDescent="0.2">
      <c r="A1054">
        <v>1052</v>
      </c>
      <c r="B1054">
        <v>66</v>
      </c>
      <c r="C1054">
        <v>8</v>
      </c>
      <c r="D1054">
        <v>19707287398.33778</v>
      </c>
      <c r="E1054" t="s">
        <v>330</v>
      </c>
      <c r="F1054" t="s">
        <v>87</v>
      </c>
      <c r="G1054" t="s">
        <v>1693</v>
      </c>
      <c r="H1054">
        <v>6.5909711293050018E-3</v>
      </c>
      <c r="I1054">
        <v>1.9944942411080615E-5</v>
      </c>
      <c r="J1054">
        <v>8.34</v>
      </c>
      <c r="L1054" s="1">
        <v>46671</v>
      </c>
      <c r="M1054" s="1">
        <v>43024</v>
      </c>
      <c r="N1054" s="1"/>
      <c r="R1054">
        <v>2.5237679917732014E-2</v>
      </c>
      <c r="T1054" t="s">
        <v>30</v>
      </c>
      <c r="V1054">
        <v>31884203.0088</v>
      </c>
      <c r="W1054" t="s">
        <v>331</v>
      </c>
      <c r="X1054" t="s">
        <v>860</v>
      </c>
      <c r="Y1054">
        <v>19707287398.33778</v>
      </c>
      <c r="Z1054" t="s">
        <v>31</v>
      </c>
      <c r="AA1054">
        <v>6.316914016472944E-4</v>
      </c>
      <c r="AB1054">
        <v>100.1588</v>
      </c>
      <c r="AC1054" t="s">
        <v>142</v>
      </c>
      <c r="AE1054" t="s">
        <v>175</v>
      </c>
      <c r="AF1054">
        <v>0</v>
      </c>
      <c r="AH1054" t="s">
        <v>237</v>
      </c>
      <c r="AJ1054">
        <v>7.9028430807014409E-4</v>
      </c>
      <c r="AK1054">
        <v>7.9028430807014409E-4</v>
      </c>
      <c r="AL1054">
        <v>0</v>
      </c>
      <c r="AN1054" t="s">
        <v>146</v>
      </c>
      <c r="AQ1054">
        <v>0</v>
      </c>
    </row>
    <row r="1055" spans="1:43" x14ac:dyDescent="0.2">
      <c r="A1055">
        <v>1053</v>
      </c>
      <c r="B1055">
        <v>66</v>
      </c>
      <c r="C1055">
        <v>8</v>
      </c>
      <c r="D1055">
        <v>17737149207.177925</v>
      </c>
      <c r="E1055" t="s">
        <v>610</v>
      </c>
      <c r="F1055" t="s">
        <v>87</v>
      </c>
      <c r="G1055" t="s">
        <v>611</v>
      </c>
      <c r="H1055">
        <v>5.7303350294574855E-3</v>
      </c>
      <c r="I1055">
        <v>1.8904622391479145E-5</v>
      </c>
      <c r="J1055">
        <v>7.65</v>
      </c>
      <c r="L1055" s="1">
        <v>46441</v>
      </c>
      <c r="M1055" s="1">
        <v>43024</v>
      </c>
      <c r="N1055" s="1"/>
      <c r="R1055">
        <v>2.5237679917732014E-2</v>
      </c>
      <c r="T1055" t="s">
        <v>30</v>
      </c>
      <c r="V1055">
        <v>30221136.050999999</v>
      </c>
      <c r="W1055" t="s">
        <v>608</v>
      </c>
      <c r="X1055" t="s">
        <v>612</v>
      </c>
      <c r="Y1055">
        <v>17737149207.177925</v>
      </c>
      <c r="Z1055" t="s">
        <v>145</v>
      </c>
      <c r="AA1055">
        <v>5.9874263710342187E-4</v>
      </c>
      <c r="AB1055">
        <v>104.8378</v>
      </c>
      <c r="AC1055" t="s">
        <v>33</v>
      </c>
      <c r="AE1055" t="s">
        <v>175</v>
      </c>
      <c r="AF1055">
        <v>0</v>
      </c>
      <c r="AH1055" t="s">
        <v>237</v>
      </c>
      <c r="AJ1055">
        <v>7.4906340254346211E-4</v>
      </c>
      <c r="AK1055">
        <v>7.4906340254346211E-4</v>
      </c>
      <c r="AL1055">
        <v>0</v>
      </c>
      <c r="AN1055" t="s">
        <v>148</v>
      </c>
      <c r="AQ1055">
        <v>0</v>
      </c>
    </row>
    <row r="1056" spans="1:43" x14ac:dyDescent="0.2">
      <c r="A1056">
        <v>1054</v>
      </c>
      <c r="B1056">
        <v>66</v>
      </c>
      <c r="C1056">
        <v>8</v>
      </c>
      <c r="D1056">
        <v>21482082457.000149</v>
      </c>
      <c r="E1056" t="s">
        <v>614</v>
      </c>
      <c r="F1056" t="s">
        <v>87</v>
      </c>
      <c r="G1056" t="s">
        <v>615</v>
      </c>
      <c r="H1056">
        <v>3.5223427692255131E-3</v>
      </c>
      <c r="I1056">
        <v>2.4762049963858301E-5</v>
      </c>
      <c r="J1056">
        <v>3.59</v>
      </c>
      <c r="L1056" s="1">
        <v>44523</v>
      </c>
      <c r="M1056" s="1">
        <v>43024</v>
      </c>
      <c r="N1056" s="1"/>
      <c r="R1056">
        <v>2.5237679917732014E-2</v>
      </c>
      <c r="T1056" t="s">
        <v>30</v>
      </c>
      <c r="V1056">
        <v>39584883.811099999</v>
      </c>
      <c r="W1056" t="s">
        <v>616</v>
      </c>
      <c r="X1056" t="s">
        <v>617</v>
      </c>
      <c r="Y1056">
        <v>21482082457.000149</v>
      </c>
      <c r="Z1056" t="s">
        <v>147</v>
      </c>
      <c r="AA1056">
        <v>7.8425766928461667E-4</v>
      </c>
      <c r="AB1056">
        <v>111.45699999999999</v>
      </c>
      <c r="AC1056" t="s">
        <v>34</v>
      </c>
      <c r="AE1056" t="s">
        <v>35</v>
      </c>
      <c r="AF1056">
        <v>0</v>
      </c>
      <c r="AH1056" t="s">
        <v>237</v>
      </c>
      <c r="AJ1056">
        <v>9.811539747146276E-4</v>
      </c>
      <c r="AK1056">
        <v>9.811539747146276E-4</v>
      </c>
      <c r="AL1056">
        <v>0</v>
      </c>
      <c r="AN1056" t="s">
        <v>54</v>
      </c>
      <c r="AQ1056">
        <v>0</v>
      </c>
    </row>
    <row r="1057" spans="1:43" x14ac:dyDescent="0.2">
      <c r="A1057">
        <v>1055</v>
      </c>
      <c r="B1057">
        <v>66</v>
      </c>
      <c r="C1057">
        <v>8</v>
      </c>
      <c r="D1057">
        <v>8375954926.5007582</v>
      </c>
      <c r="E1057" t="s">
        <v>618</v>
      </c>
      <c r="F1057" t="s">
        <v>87</v>
      </c>
      <c r="G1057" t="s">
        <v>619</v>
      </c>
      <c r="H1057">
        <v>9.4359714968102404E-5</v>
      </c>
      <c r="I1057">
        <v>8.5050724410478391E-6</v>
      </c>
      <c r="J1057">
        <v>0.28000000000000003</v>
      </c>
      <c r="L1057" s="1">
        <v>43129</v>
      </c>
      <c r="M1057" s="1">
        <v>43024</v>
      </c>
      <c r="N1057" s="1"/>
      <c r="R1057">
        <v>2.5237679917732014E-2</v>
      </c>
      <c r="T1057" t="s">
        <v>30</v>
      </c>
      <c r="V1057">
        <v>13596301.795499999</v>
      </c>
      <c r="W1057" t="s">
        <v>620</v>
      </c>
      <c r="X1057" t="s">
        <v>621</v>
      </c>
      <c r="Y1057">
        <v>8375954926.5007582</v>
      </c>
      <c r="Z1057" t="s">
        <v>143</v>
      </c>
      <c r="AA1057">
        <v>2.6937060136170127E-4</v>
      </c>
      <c r="AB1057">
        <v>99.915000000000006</v>
      </c>
      <c r="AC1057" t="s">
        <v>142</v>
      </c>
      <c r="AE1057" t="s">
        <v>41</v>
      </c>
      <c r="AF1057">
        <v>0</v>
      </c>
      <c r="AH1057" t="s">
        <v>237</v>
      </c>
      <c r="AJ1057">
        <v>3.3699898202893715E-4</v>
      </c>
      <c r="AK1057">
        <v>3.3699898202893715E-4</v>
      </c>
      <c r="AL1057">
        <v>0</v>
      </c>
      <c r="AN1057" t="s">
        <v>146</v>
      </c>
      <c r="AQ1057">
        <v>0</v>
      </c>
    </row>
    <row r="1058" spans="1:43" x14ac:dyDescent="0.2">
      <c r="A1058">
        <v>1056</v>
      </c>
      <c r="B1058">
        <v>66</v>
      </c>
      <c r="C1058">
        <v>8</v>
      </c>
      <c r="D1058">
        <v>7883216598.9160271</v>
      </c>
      <c r="E1058" t="s">
        <v>626</v>
      </c>
      <c r="F1058" t="s">
        <v>87</v>
      </c>
      <c r="G1058" t="s">
        <v>627</v>
      </c>
      <c r="H1058">
        <v>4.3386184251063258E-3</v>
      </c>
      <c r="I1058">
        <v>8.0512252277947069E-6</v>
      </c>
      <c r="J1058">
        <v>13.6</v>
      </c>
      <c r="L1058" s="1">
        <v>53110</v>
      </c>
      <c r="M1058" s="1">
        <v>43024</v>
      </c>
      <c r="N1058" s="1"/>
      <c r="R1058">
        <v>2.5237679917732014E-2</v>
      </c>
      <c r="T1058" t="s">
        <v>30</v>
      </c>
      <c r="V1058">
        <v>12870776.678200001</v>
      </c>
      <c r="W1058" t="s">
        <v>628</v>
      </c>
      <c r="X1058" t="s">
        <v>629</v>
      </c>
      <c r="Y1058">
        <v>7883216598.9160271</v>
      </c>
      <c r="Z1058" t="s">
        <v>143</v>
      </c>
      <c r="AA1058">
        <v>2.5499646197515107E-4</v>
      </c>
      <c r="AB1058">
        <v>98.877799999999993</v>
      </c>
      <c r="AC1058" t="s">
        <v>142</v>
      </c>
      <c r="AE1058" t="s">
        <v>175</v>
      </c>
      <c r="AF1058">
        <v>0</v>
      </c>
      <c r="AH1058" t="s">
        <v>237</v>
      </c>
      <c r="AJ1058">
        <v>3.1901606066958278E-4</v>
      </c>
      <c r="AK1058">
        <v>3.1901606066958278E-4</v>
      </c>
      <c r="AL1058">
        <v>0</v>
      </c>
      <c r="AN1058" t="s">
        <v>146</v>
      </c>
      <c r="AQ1058">
        <v>0</v>
      </c>
    </row>
    <row r="1059" spans="1:43" x14ac:dyDescent="0.2">
      <c r="A1059">
        <v>1057</v>
      </c>
      <c r="B1059">
        <v>66</v>
      </c>
      <c r="C1059">
        <v>8</v>
      </c>
      <c r="D1059">
        <v>22910096260.343403</v>
      </c>
      <c r="E1059" t="s">
        <v>626</v>
      </c>
      <c r="F1059" t="s">
        <v>87</v>
      </c>
      <c r="G1059" t="s">
        <v>630</v>
      </c>
      <c r="H1059">
        <v>6.9684635040302085E-3</v>
      </c>
      <c r="I1059">
        <v>2.5088138578189964E-5</v>
      </c>
      <c r="J1059">
        <v>7.01</v>
      </c>
      <c r="L1059" s="1">
        <v>46199</v>
      </c>
      <c r="M1059" s="1">
        <v>43024</v>
      </c>
      <c r="N1059" s="1"/>
      <c r="R1059">
        <v>2.5237679917732014E-2</v>
      </c>
      <c r="T1059" t="s">
        <v>30</v>
      </c>
      <c r="V1059">
        <v>40106172.635300003</v>
      </c>
      <c r="W1059" t="s">
        <v>628</v>
      </c>
      <c r="X1059" t="s">
        <v>631</v>
      </c>
      <c r="Y1059">
        <v>22910096260.343403</v>
      </c>
      <c r="Z1059" t="s">
        <v>143</v>
      </c>
      <c r="AA1059">
        <v>7.9458546916504925E-4</v>
      </c>
      <c r="AB1059">
        <v>106.79089999999999</v>
      </c>
      <c r="AC1059" t="s">
        <v>142</v>
      </c>
      <c r="AE1059" t="s">
        <v>175</v>
      </c>
      <c r="AF1059">
        <v>0</v>
      </c>
      <c r="AH1059" t="s">
        <v>237</v>
      </c>
      <c r="AJ1059">
        <v>9.9407467960487992E-4</v>
      </c>
      <c r="AK1059">
        <v>9.9407467960487992E-4</v>
      </c>
      <c r="AL1059">
        <v>0</v>
      </c>
      <c r="AN1059" t="s">
        <v>146</v>
      </c>
      <c r="AQ1059">
        <v>0</v>
      </c>
    </row>
    <row r="1060" spans="1:43" x14ac:dyDescent="0.2">
      <c r="A1060">
        <v>1058</v>
      </c>
      <c r="B1060">
        <v>66</v>
      </c>
      <c r="C1060">
        <v>8</v>
      </c>
      <c r="D1060">
        <v>4926916042.6541672</v>
      </c>
      <c r="E1060" t="s">
        <v>626</v>
      </c>
      <c r="F1060" t="s">
        <v>87</v>
      </c>
      <c r="G1060" t="s">
        <v>1694</v>
      </c>
      <c r="H1060">
        <v>3.6665778514337219E-4</v>
      </c>
      <c r="I1060">
        <v>5.5410729465826258E-6</v>
      </c>
      <c r="J1060">
        <v>1.67</v>
      </c>
      <c r="L1060" s="1">
        <v>43669</v>
      </c>
      <c r="M1060" s="1">
        <v>43024</v>
      </c>
      <c r="N1060" s="1"/>
      <c r="R1060">
        <v>2.5237679917732014E-2</v>
      </c>
      <c r="T1060" t="s">
        <v>30</v>
      </c>
      <c r="V1060">
        <v>8858019.7963999994</v>
      </c>
      <c r="W1060" t="s">
        <v>628</v>
      </c>
      <c r="X1060" t="s">
        <v>1695</v>
      </c>
      <c r="Y1060">
        <v>4926916042.6541672</v>
      </c>
      <c r="Z1060" t="s">
        <v>143</v>
      </c>
      <c r="AA1060">
        <v>1.7549552483601478E-4</v>
      </c>
      <c r="AB1060">
        <v>109.60469999999999</v>
      </c>
      <c r="AC1060" t="s">
        <v>142</v>
      </c>
      <c r="AE1060" t="s">
        <v>175</v>
      </c>
      <c r="AF1060">
        <v>0</v>
      </c>
      <c r="AH1060" t="s">
        <v>237</v>
      </c>
      <c r="AJ1060">
        <v>2.1955555996609115E-4</v>
      </c>
      <c r="AK1060">
        <v>2.1955555996609115E-4</v>
      </c>
      <c r="AL1060">
        <v>0</v>
      </c>
      <c r="AN1060" t="s">
        <v>146</v>
      </c>
      <c r="AQ1060">
        <v>0</v>
      </c>
    </row>
    <row r="1061" spans="1:43" x14ac:dyDescent="0.2">
      <c r="A1061">
        <v>1059</v>
      </c>
      <c r="B1061">
        <v>66</v>
      </c>
      <c r="C1061">
        <v>8</v>
      </c>
      <c r="D1061">
        <v>7882319336.9991341</v>
      </c>
      <c r="E1061" t="s">
        <v>626</v>
      </c>
      <c r="F1061" t="s">
        <v>87</v>
      </c>
      <c r="G1061" t="s">
        <v>632</v>
      </c>
      <c r="H1061">
        <v>1.8096083591809923E-3</v>
      </c>
      <c r="I1061">
        <v>8.9199837002855677E-6</v>
      </c>
      <c r="J1061">
        <v>5.12</v>
      </c>
      <c r="L1061" s="1">
        <v>45187</v>
      </c>
      <c r="M1061" s="1">
        <v>43024</v>
      </c>
      <c r="N1061" s="1"/>
      <c r="R1061">
        <v>2.5237679917732014E-2</v>
      </c>
      <c r="T1061" t="s">
        <v>30</v>
      </c>
      <c r="V1061">
        <v>14259583.471000001</v>
      </c>
      <c r="W1061" t="s">
        <v>628</v>
      </c>
      <c r="X1061" t="s">
        <v>631</v>
      </c>
      <c r="Y1061">
        <v>7882319336.9991341</v>
      </c>
      <c r="Z1061" t="s">
        <v>143</v>
      </c>
      <c r="AA1061">
        <v>2.825115706112046E-4</v>
      </c>
      <c r="AB1061">
        <v>111.598</v>
      </c>
      <c r="AC1061" t="s">
        <v>142</v>
      </c>
      <c r="AE1061" t="s">
        <v>175</v>
      </c>
      <c r="AF1061">
        <v>0</v>
      </c>
      <c r="AH1061" t="s">
        <v>237</v>
      </c>
      <c r="AJ1061">
        <v>3.5343913265253754E-4</v>
      </c>
      <c r="AK1061">
        <v>3.5343913265253754E-4</v>
      </c>
      <c r="AL1061">
        <v>0</v>
      </c>
      <c r="AN1061" t="s">
        <v>146</v>
      </c>
      <c r="AQ1061">
        <v>0</v>
      </c>
    </row>
    <row r="1062" spans="1:43" x14ac:dyDescent="0.2">
      <c r="A1062">
        <v>1060</v>
      </c>
      <c r="B1062">
        <v>66</v>
      </c>
      <c r="C1062">
        <v>8</v>
      </c>
      <c r="D1062">
        <v>3941367992.2133508</v>
      </c>
      <c r="E1062" t="s">
        <v>626</v>
      </c>
      <c r="F1062" t="s">
        <v>87</v>
      </c>
      <c r="G1062" t="s">
        <v>633</v>
      </c>
      <c r="H1062">
        <v>2.312591151695023E-3</v>
      </c>
      <c r="I1062">
        <v>4.5920090690053685E-6</v>
      </c>
      <c r="J1062">
        <v>12.71</v>
      </c>
      <c r="L1062" s="1">
        <v>52492</v>
      </c>
      <c r="M1062" s="1">
        <v>43024</v>
      </c>
      <c r="N1062" s="1"/>
      <c r="R1062">
        <v>2.5237679917732014E-2</v>
      </c>
      <c r="T1062" t="s">
        <v>30</v>
      </c>
      <c r="V1062">
        <v>7340835.9050000003</v>
      </c>
      <c r="W1062" t="s">
        <v>628</v>
      </c>
      <c r="X1062" t="s">
        <v>634</v>
      </c>
      <c r="Y1062">
        <v>3941367992.2133508</v>
      </c>
      <c r="Z1062" t="s">
        <v>143</v>
      </c>
      <c r="AA1062">
        <v>1.4543700279453088E-4</v>
      </c>
      <c r="AB1062">
        <v>114.7921</v>
      </c>
      <c r="AC1062" t="s">
        <v>142</v>
      </c>
      <c r="AE1062" t="s">
        <v>175</v>
      </c>
      <c r="AF1062">
        <v>0</v>
      </c>
      <c r="AH1062" t="s">
        <v>237</v>
      </c>
      <c r="AJ1062">
        <v>1.8195052334343218E-4</v>
      </c>
      <c r="AK1062">
        <v>1.8195052334343218E-4</v>
      </c>
      <c r="AL1062">
        <v>0</v>
      </c>
      <c r="AN1062" t="s">
        <v>146</v>
      </c>
      <c r="AQ1062">
        <v>0</v>
      </c>
    </row>
    <row r="1063" spans="1:43" x14ac:dyDescent="0.2">
      <c r="A1063">
        <v>1061</v>
      </c>
      <c r="B1063">
        <v>66</v>
      </c>
      <c r="C1063">
        <v>8</v>
      </c>
      <c r="D1063">
        <v>24535995672.274624</v>
      </c>
      <c r="E1063" t="s">
        <v>635</v>
      </c>
      <c r="F1063" t="s">
        <v>87</v>
      </c>
      <c r="G1063" t="s">
        <v>636</v>
      </c>
      <c r="H1063">
        <v>7.9695023471411039E-3</v>
      </c>
      <c r="I1063">
        <v>2.7070221983951708E-5</v>
      </c>
      <c r="J1063">
        <v>7.43</v>
      </c>
      <c r="L1063" s="1">
        <v>46419</v>
      </c>
      <c r="M1063" s="1">
        <v>43024</v>
      </c>
      <c r="R1063">
        <v>2.5237679917732014E-2</v>
      </c>
      <c r="T1063" t="s">
        <v>30</v>
      </c>
      <c r="V1063">
        <v>43274752.839100003</v>
      </c>
      <c r="W1063" t="s">
        <v>637</v>
      </c>
      <c r="X1063" t="s">
        <v>638</v>
      </c>
      <c r="Y1063">
        <v>24535995672.274624</v>
      </c>
      <c r="Z1063" t="s">
        <v>157</v>
      </c>
      <c r="AA1063">
        <v>8.5736153634847123E-4</v>
      </c>
      <c r="AB1063">
        <v>108.1219</v>
      </c>
      <c r="AC1063" t="s">
        <v>142</v>
      </c>
      <c r="AE1063" t="s">
        <v>44</v>
      </c>
      <c r="AF1063">
        <v>0</v>
      </c>
      <c r="AH1063" t="s">
        <v>237</v>
      </c>
      <c r="AJ1063">
        <v>1.0726113522397179E-3</v>
      </c>
      <c r="AK1063">
        <v>1.0726113522397179E-3</v>
      </c>
      <c r="AL1063">
        <v>0</v>
      </c>
      <c r="AN1063" t="s">
        <v>146</v>
      </c>
      <c r="AQ1063">
        <v>0</v>
      </c>
    </row>
    <row r="1064" spans="1:43" x14ac:dyDescent="0.2">
      <c r="A1064">
        <v>1062</v>
      </c>
      <c r="B1064">
        <v>66</v>
      </c>
      <c r="C1064">
        <v>8</v>
      </c>
      <c r="D1064">
        <v>3744026953.2144756</v>
      </c>
      <c r="E1064" t="s">
        <v>438</v>
      </c>
      <c r="F1064" t="s">
        <v>87</v>
      </c>
      <c r="G1064" t="s">
        <v>639</v>
      </c>
      <c r="H1064">
        <v>1.1344224616586197E-3</v>
      </c>
      <c r="I1064">
        <v>3.8072062471842903E-6</v>
      </c>
      <c r="J1064">
        <v>7.52</v>
      </c>
      <c r="L1064" s="1">
        <v>46239</v>
      </c>
      <c r="M1064" s="1">
        <v>43024</v>
      </c>
      <c r="R1064">
        <v>2.5237679917732014E-2</v>
      </c>
      <c r="T1064" t="s">
        <v>30</v>
      </c>
      <c r="V1064">
        <v>6086241.5333000002</v>
      </c>
      <c r="W1064" t="s">
        <v>438</v>
      </c>
      <c r="X1064" t="s">
        <v>640</v>
      </c>
      <c r="Y1064">
        <v>3744026953.2144756</v>
      </c>
      <c r="Z1064" t="s">
        <v>31</v>
      </c>
      <c r="AA1064">
        <v>1.2058091726091268E-4</v>
      </c>
      <c r="AB1064">
        <v>99.950900000000004</v>
      </c>
      <c r="AC1064" t="s">
        <v>36</v>
      </c>
      <c r="AE1064" t="s">
        <v>175</v>
      </c>
      <c r="AF1064">
        <v>0</v>
      </c>
      <c r="AH1064" t="s">
        <v>237</v>
      </c>
      <c r="AJ1064">
        <v>1.5085405075247602E-4</v>
      </c>
      <c r="AK1064">
        <v>1.5085405075247602E-4</v>
      </c>
      <c r="AL1064">
        <v>0</v>
      </c>
      <c r="AN1064" t="s">
        <v>150</v>
      </c>
      <c r="AQ1064">
        <v>0</v>
      </c>
    </row>
    <row r="1065" spans="1:43" x14ac:dyDescent="0.2">
      <c r="A1065">
        <v>1063</v>
      </c>
      <c r="B1065">
        <v>66</v>
      </c>
      <c r="C1065">
        <v>8</v>
      </c>
      <c r="D1065">
        <v>1969778857.2322245</v>
      </c>
      <c r="E1065" t="s">
        <v>438</v>
      </c>
      <c r="F1065" t="s">
        <v>87</v>
      </c>
      <c r="G1065" t="s">
        <v>641</v>
      </c>
      <c r="H1065">
        <v>5.0901406184392865E-4</v>
      </c>
      <c r="I1065">
        <v>2.1268764845102185E-6</v>
      </c>
      <c r="J1065">
        <v>6.04</v>
      </c>
      <c r="L1065" s="1">
        <v>45595</v>
      </c>
      <c r="M1065" s="1">
        <v>43024</v>
      </c>
      <c r="R1065">
        <v>2.5237679917732014E-2</v>
      </c>
      <c r="T1065" t="s">
        <v>30</v>
      </c>
      <c r="V1065">
        <v>3400048.0025999998</v>
      </c>
      <c r="W1065" t="s">
        <v>438</v>
      </c>
      <c r="X1065" t="s">
        <v>640</v>
      </c>
      <c r="Y1065">
        <v>1969778857.2322245</v>
      </c>
      <c r="Z1065" t="s">
        <v>31</v>
      </c>
      <c r="AA1065">
        <v>6.7361918622764155E-5</v>
      </c>
      <c r="AB1065">
        <v>104.8994</v>
      </c>
      <c r="AC1065" t="s">
        <v>36</v>
      </c>
      <c r="AE1065" t="s">
        <v>175</v>
      </c>
      <c r="AF1065">
        <v>0</v>
      </c>
      <c r="AH1065" t="s">
        <v>237</v>
      </c>
      <c r="AJ1065">
        <v>8.4273851298663681E-5</v>
      </c>
      <c r="AK1065">
        <v>8.4273851298663681E-5</v>
      </c>
      <c r="AL1065">
        <v>0</v>
      </c>
      <c r="AN1065" t="s">
        <v>150</v>
      </c>
      <c r="AQ1065">
        <v>0</v>
      </c>
    </row>
    <row r="1066" spans="1:43" x14ac:dyDescent="0.2">
      <c r="A1066">
        <v>1064</v>
      </c>
      <c r="B1066">
        <v>66</v>
      </c>
      <c r="C1066">
        <v>8</v>
      </c>
      <c r="D1066">
        <v>11331805265.624048</v>
      </c>
      <c r="E1066" t="s">
        <v>642</v>
      </c>
      <c r="F1066" t="s">
        <v>87</v>
      </c>
      <c r="G1066" t="s">
        <v>643</v>
      </c>
      <c r="H1066">
        <v>3.55045446257268E-3</v>
      </c>
      <c r="I1066">
        <v>1.1883983194813334E-5</v>
      </c>
      <c r="J1066">
        <v>7.54</v>
      </c>
      <c r="L1066" s="1">
        <v>46320</v>
      </c>
      <c r="M1066" s="1">
        <v>43024</v>
      </c>
      <c r="R1066">
        <v>2.5237679917732014E-2</v>
      </c>
      <c r="T1066" t="s">
        <v>30</v>
      </c>
      <c r="V1066">
        <v>18997865.470199998</v>
      </c>
      <c r="W1066" t="s">
        <v>644</v>
      </c>
      <c r="X1066" t="s">
        <v>645</v>
      </c>
      <c r="Y1066">
        <v>11331805265.624048</v>
      </c>
      <c r="Z1066" t="s">
        <v>31</v>
      </c>
      <c r="AA1066">
        <v>3.7638664713887226E-4</v>
      </c>
      <c r="AB1066">
        <v>101.94459999999999</v>
      </c>
      <c r="AC1066" t="s">
        <v>142</v>
      </c>
      <c r="AE1066" t="s">
        <v>89</v>
      </c>
      <c r="AF1066">
        <v>0</v>
      </c>
      <c r="AH1066" t="s">
        <v>237</v>
      </c>
      <c r="AJ1066">
        <v>4.7088255471786208E-4</v>
      </c>
      <c r="AK1066">
        <v>4.7088255471786208E-4</v>
      </c>
      <c r="AL1066">
        <v>0</v>
      </c>
      <c r="AN1066" t="s">
        <v>146</v>
      </c>
      <c r="AQ1066">
        <v>0</v>
      </c>
    </row>
    <row r="1067" spans="1:43" x14ac:dyDescent="0.2">
      <c r="A1067">
        <v>1065</v>
      </c>
      <c r="B1067">
        <v>66</v>
      </c>
      <c r="C1067">
        <v>8</v>
      </c>
      <c r="D1067">
        <v>4926611384.5306845</v>
      </c>
      <c r="E1067" t="s">
        <v>622</v>
      </c>
      <c r="F1067" t="s">
        <v>87</v>
      </c>
      <c r="G1067" t="s">
        <v>623</v>
      </c>
      <c r="H1067">
        <v>1.3080208099524502E-3</v>
      </c>
      <c r="I1067">
        <v>5.273388263148964E-6</v>
      </c>
      <c r="J1067">
        <v>6.26</v>
      </c>
      <c r="L1067" s="1">
        <v>45686</v>
      </c>
      <c r="M1067" s="1">
        <v>43024</v>
      </c>
      <c r="R1067">
        <v>2.5237679917732014E-2</v>
      </c>
      <c r="T1067" t="s">
        <v>30</v>
      </c>
      <c r="V1067">
        <v>8430096.1347000003</v>
      </c>
      <c r="W1067" t="s">
        <v>624</v>
      </c>
      <c r="X1067" t="s">
        <v>625</v>
      </c>
      <c r="Y1067">
        <v>4926611384.5306845</v>
      </c>
      <c r="Z1067" t="s">
        <v>31</v>
      </c>
      <c r="AA1067">
        <v>1.6701748015719034E-4</v>
      </c>
      <c r="AB1067">
        <v>105.0269</v>
      </c>
      <c r="AC1067" t="s">
        <v>34</v>
      </c>
      <c r="AE1067" t="s">
        <v>175</v>
      </c>
      <c r="AF1067">
        <v>0</v>
      </c>
      <c r="AH1067" t="s">
        <v>237</v>
      </c>
      <c r="AJ1067">
        <v>2.0894901117451281E-4</v>
      </c>
      <c r="AK1067">
        <v>2.0894901117451281E-4</v>
      </c>
      <c r="AL1067">
        <v>0</v>
      </c>
      <c r="AN1067" t="s">
        <v>54</v>
      </c>
      <c r="AQ1067">
        <v>0</v>
      </c>
    </row>
    <row r="1068" spans="1:43" x14ac:dyDescent="0.2">
      <c r="A1068">
        <v>1066</v>
      </c>
      <c r="B1068">
        <v>66</v>
      </c>
      <c r="C1068">
        <v>8</v>
      </c>
      <c r="D1068">
        <v>4433388350.674593</v>
      </c>
      <c r="E1068" t="s">
        <v>348</v>
      </c>
      <c r="F1068" t="s">
        <v>87</v>
      </c>
      <c r="G1068" t="s">
        <v>646</v>
      </c>
      <c r="H1068">
        <v>1.3478030817768777E-3</v>
      </c>
      <c r="I1068">
        <v>4.6917824510369134E-6</v>
      </c>
      <c r="J1068">
        <v>7.25</v>
      </c>
      <c r="L1068" s="1">
        <v>46235</v>
      </c>
      <c r="M1068" s="1">
        <v>43024</v>
      </c>
      <c r="R1068">
        <v>2.5237679917732014E-2</v>
      </c>
      <c r="T1068" t="s">
        <v>30</v>
      </c>
      <c r="V1068">
        <v>7500334.7243999997</v>
      </c>
      <c r="W1068" t="s">
        <v>348</v>
      </c>
      <c r="X1068" t="s">
        <v>647</v>
      </c>
      <c r="Y1068">
        <v>4433388350.674593</v>
      </c>
      <c r="Z1068" t="s">
        <v>31</v>
      </c>
      <c r="AA1068">
        <v>1.4859700126650354E-4</v>
      </c>
      <c r="AB1068">
        <v>103.80119999999999</v>
      </c>
      <c r="AC1068" t="s">
        <v>142</v>
      </c>
      <c r="AE1068" t="s">
        <v>58</v>
      </c>
      <c r="AF1068">
        <v>0</v>
      </c>
      <c r="AH1068" t="s">
        <v>237</v>
      </c>
      <c r="AJ1068">
        <v>1.8590387334853483E-4</v>
      </c>
      <c r="AK1068">
        <v>1.8590387334853483E-4</v>
      </c>
      <c r="AL1068">
        <v>0</v>
      </c>
      <c r="AN1068" t="s">
        <v>146</v>
      </c>
      <c r="AQ1068">
        <v>0</v>
      </c>
    </row>
    <row r="1069" spans="1:43" x14ac:dyDescent="0.2">
      <c r="A1069">
        <v>1067</v>
      </c>
      <c r="B1069">
        <v>66</v>
      </c>
      <c r="C1069">
        <v>8</v>
      </c>
      <c r="D1069">
        <v>20693471412.925552</v>
      </c>
      <c r="E1069" t="s">
        <v>348</v>
      </c>
      <c r="F1069" t="s">
        <v>87</v>
      </c>
      <c r="G1069" t="s">
        <v>648</v>
      </c>
      <c r="H1069">
        <v>5.277065613227357E-3</v>
      </c>
      <c r="I1069">
        <v>2.2421025732576136E-5</v>
      </c>
      <c r="J1069">
        <v>5.94</v>
      </c>
      <c r="L1069" s="1">
        <v>45595</v>
      </c>
      <c r="M1069" s="1">
        <v>43024</v>
      </c>
      <c r="R1069">
        <v>2.5237679917732014E-2</v>
      </c>
      <c r="T1069" t="s">
        <v>30</v>
      </c>
      <c r="V1069">
        <v>35842496.879100002</v>
      </c>
      <c r="W1069" t="s">
        <v>348</v>
      </c>
      <c r="X1069" t="s">
        <v>647</v>
      </c>
      <c r="Y1069">
        <v>20693471412.925552</v>
      </c>
      <c r="Z1069" t="s">
        <v>31</v>
      </c>
      <c r="AA1069">
        <v>7.1011331491800059E-4</v>
      </c>
      <c r="AB1069">
        <v>105.0381</v>
      </c>
      <c r="AC1069" t="s">
        <v>142</v>
      </c>
      <c r="AE1069" t="s">
        <v>58</v>
      </c>
      <c r="AF1069">
        <v>0</v>
      </c>
      <c r="AH1069" t="s">
        <v>237</v>
      </c>
      <c r="AJ1069">
        <v>8.8839488438170993E-4</v>
      </c>
      <c r="AK1069">
        <v>8.8839488438170993E-4</v>
      </c>
      <c r="AL1069">
        <v>0</v>
      </c>
      <c r="AN1069" t="s">
        <v>146</v>
      </c>
      <c r="AQ1069">
        <v>0</v>
      </c>
    </row>
    <row r="1070" spans="1:43" x14ac:dyDescent="0.2">
      <c r="A1070">
        <v>1068</v>
      </c>
      <c r="B1070">
        <v>66</v>
      </c>
      <c r="C1070">
        <v>8</v>
      </c>
      <c r="D1070">
        <v>20693040177.575066</v>
      </c>
      <c r="E1070" t="s">
        <v>1253</v>
      </c>
      <c r="F1070" t="s">
        <v>87</v>
      </c>
      <c r="G1070" t="s">
        <v>1254</v>
      </c>
      <c r="H1070">
        <v>6.7889481478597274E-3</v>
      </c>
      <c r="I1070">
        <v>2.1022981636044589E-5</v>
      </c>
      <c r="J1070">
        <v>8.15</v>
      </c>
      <c r="L1070" s="1">
        <v>46650</v>
      </c>
      <c r="M1070" s="1">
        <v>43024</v>
      </c>
      <c r="R1070">
        <v>2.5237679917732014E-2</v>
      </c>
      <c r="T1070" t="s">
        <v>30</v>
      </c>
      <c r="V1070">
        <v>33607568.300700001</v>
      </c>
      <c r="W1070" t="s">
        <v>1255</v>
      </c>
      <c r="X1070" t="s">
        <v>1256</v>
      </c>
      <c r="Y1070">
        <v>20693040177.575066</v>
      </c>
      <c r="Z1070" t="s">
        <v>147</v>
      </c>
      <c r="AA1070">
        <v>6.6583479975858327E-4</v>
      </c>
      <c r="AB1070">
        <v>100.28660000000001</v>
      </c>
      <c r="AC1070" t="s">
        <v>142</v>
      </c>
      <c r="AE1070" t="s">
        <v>89</v>
      </c>
      <c r="AF1070">
        <v>0</v>
      </c>
      <c r="AH1070" t="s">
        <v>237</v>
      </c>
      <c r="AJ1070">
        <v>8.3299977274352483E-4</v>
      </c>
      <c r="AK1070">
        <v>8.3299977274352483E-4</v>
      </c>
      <c r="AL1070">
        <v>0</v>
      </c>
      <c r="AN1070" t="s">
        <v>146</v>
      </c>
      <c r="AQ1070">
        <v>0</v>
      </c>
    </row>
    <row r="1071" spans="1:43" x14ac:dyDescent="0.2">
      <c r="A1071">
        <v>1069</v>
      </c>
      <c r="B1071">
        <v>66</v>
      </c>
      <c r="C1071">
        <v>8</v>
      </c>
      <c r="D1071">
        <v>26605968084.499569</v>
      </c>
      <c r="E1071" t="s">
        <v>649</v>
      </c>
      <c r="F1071" t="s">
        <v>87</v>
      </c>
      <c r="G1071" t="s">
        <v>650</v>
      </c>
      <c r="H1071">
        <v>1.2806111737214635E-2</v>
      </c>
      <c r="I1071">
        <v>2.7482699746133845E-5</v>
      </c>
      <c r="J1071">
        <v>11.76</v>
      </c>
      <c r="L1071" s="1">
        <v>50494</v>
      </c>
      <c r="M1071" s="1">
        <v>43024</v>
      </c>
      <c r="R1071">
        <v>2.5237679917732014E-2</v>
      </c>
      <c r="T1071" t="s">
        <v>30</v>
      </c>
      <c r="V1071">
        <v>43934144.299599998</v>
      </c>
      <c r="W1071" t="s">
        <v>651</v>
      </c>
      <c r="X1071" t="s">
        <v>652</v>
      </c>
      <c r="Y1071">
        <v>26605968084.499569</v>
      </c>
      <c r="Z1071" t="s">
        <v>145</v>
      </c>
      <c r="AA1071">
        <v>8.7042543246663789E-4</v>
      </c>
      <c r="AB1071">
        <v>109.9349</v>
      </c>
      <c r="AC1071" t="s">
        <v>142</v>
      </c>
      <c r="AE1071" t="s">
        <v>175</v>
      </c>
      <c r="AF1071">
        <v>0</v>
      </c>
      <c r="AH1071" t="s">
        <v>237</v>
      </c>
      <c r="AJ1071">
        <v>1.088955079695122E-3</v>
      </c>
      <c r="AK1071">
        <v>1.088955079695122E-3</v>
      </c>
      <c r="AL1071">
        <v>0</v>
      </c>
      <c r="AN1071" t="s">
        <v>146</v>
      </c>
      <c r="AQ1071">
        <v>0</v>
      </c>
    </row>
    <row r="1072" spans="1:43" x14ac:dyDescent="0.2">
      <c r="A1072">
        <v>1070</v>
      </c>
      <c r="B1072">
        <v>66</v>
      </c>
      <c r="C1072">
        <v>8</v>
      </c>
      <c r="D1072">
        <v>26113424273.567863</v>
      </c>
      <c r="E1072" t="s">
        <v>653</v>
      </c>
      <c r="F1072" t="s">
        <v>87</v>
      </c>
      <c r="G1072" t="s">
        <v>654</v>
      </c>
      <c r="H1072">
        <v>8.2890757337505446E-3</v>
      </c>
      <c r="I1072">
        <v>2.8462182337719172E-5</v>
      </c>
      <c r="J1072">
        <v>7.35</v>
      </c>
      <c r="L1072" s="1">
        <v>46404</v>
      </c>
      <c r="M1072" s="1">
        <v>43024</v>
      </c>
      <c r="R1072">
        <v>2.5237679917732014E-2</v>
      </c>
      <c r="T1072" t="s">
        <v>30</v>
      </c>
      <c r="V1072">
        <v>45499955.879799999</v>
      </c>
      <c r="W1072" t="s">
        <v>655</v>
      </c>
      <c r="X1072" t="s">
        <v>656</v>
      </c>
      <c r="Y1072">
        <v>26113424273.567863</v>
      </c>
      <c r="Z1072" t="s">
        <v>157</v>
      </c>
      <c r="AA1072">
        <v>9.0144736867558463E-4</v>
      </c>
      <c r="AB1072">
        <v>106.56610000000001</v>
      </c>
      <c r="AC1072" t="s">
        <v>142</v>
      </c>
      <c r="AE1072" t="s">
        <v>177</v>
      </c>
      <c r="AF1072">
        <v>0</v>
      </c>
      <c r="AH1072" t="s">
        <v>237</v>
      </c>
      <c r="AJ1072">
        <v>1.1277654059524552E-3</v>
      </c>
      <c r="AK1072">
        <v>1.1277654059524552E-3</v>
      </c>
      <c r="AL1072">
        <v>0</v>
      </c>
      <c r="AN1072" t="s">
        <v>146</v>
      </c>
      <c r="AQ1072">
        <v>0</v>
      </c>
    </row>
    <row r="1073" spans="1:43" x14ac:dyDescent="0.2">
      <c r="A1073">
        <v>1071</v>
      </c>
      <c r="B1073">
        <v>66</v>
      </c>
      <c r="C1073">
        <v>8</v>
      </c>
      <c r="D1073">
        <v>23649154278.536663</v>
      </c>
      <c r="E1073" t="s">
        <v>657</v>
      </c>
      <c r="F1073" t="s">
        <v>87</v>
      </c>
      <c r="G1073" t="s">
        <v>658</v>
      </c>
      <c r="H1073">
        <v>5.530903467352819E-3</v>
      </c>
      <c r="I1073">
        <v>2.6947330379329076E-5</v>
      </c>
      <c r="J1073">
        <v>5.18</v>
      </c>
      <c r="L1073" s="1">
        <v>45243</v>
      </c>
      <c r="M1073" s="1">
        <v>43024</v>
      </c>
      <c r="R1073">
        <v>2.5237679917732014E-2</v>
      </c>
      <c r="T1073" t="s">
        <v>30</v>
      </c>
      <c r="V1073">
        <v>43078296.976300001</v>
      </c>
      <c r="W1073" t="s">
        <v>659</v>
      </c>
      <c r="X1073" t="s">
        <v>660</v>
      </c>
      <c r="Y1073">
        <v>23649154278.536663</v>
      </c>
      <c r="Z1073" t="s">
        <v>145</v>
      </c>
      <c r="AA1073">
        <v>8.5346934311097012E-4</v>
      </c>
      <c r="AB1073">
        <v>110.49160000000001</v>
      </c>
      <c r="AC1073" t="s">
        <v>34</v>
      </c>
      <c r="AE1073" t="s">
        <v>180</v>
      </c>
      <c r="AF1073">
        <v>0</v>
      </c>
      <c r="AH1073" t="s">
        <v>237</v>
      </c>
      <c r="AJ1073">
        <v>1.0677419821144439E-3</v>
      </c>
      <c r="AK1073">
        <v>1.0677419821144439E-3</v>
      </c>
      <c r="AL1073">
        <v>0</v>
      </c>
      <c r="AN1073" t="s">
        <v>54</v>
      </c>
      <c r="AQ1073">
        <v>0</v>
      </c>
    </row>
    <row r="1074" spans="1:43" x14ac:dyDescent="0.2">
      <c r="A1074">
        <v>1072</v>
      </c>
      <c r="B1074">
        <v>66</v>
      </c>
      <c r="C1074">
        <v>8</v>
      </c>
      <c r="D1074">
        <v>17737194615.164669</v>
      </c>
      <c r="E1074" t="s">
        <v>592</v>
      </c>
      <c r="F1074" t="s">
        <v>87</v>
      </c>
      <c r="G1074" t="s">
        <v>593</v>
      </c>
      <c r="H1074">
        <v>3.6642810514836113E-3</v>
      </c>
      <c r="I1074">
        <v>1.8796331769502825E-5</v>
      </c>
      <c r="J1074">
        <v>4.92</v>
      </c>
      <c r="L1074" s="1">
        <v>45017</v>
      </c>
      <c r="M1074" s="1">
        <v>43024</v>
      </c>
      <c r="R1074">
        <v>2.5237679917732014E-2</v>
      </c>
      <c r="T1074" t="s">
        <v>30</v>
      </c>
      <c r="V1074">
        <v>30048021.478700001</v>
      </c>
      <c r="W1074" t="s">
        <v>594</v>
      </c>
      <c r="X1074" t="s">
        <v>595</v>
      </c>
      <c r="Y1074">
        <v>17737194615.164669</v>
      </c>
      <c r="Z1074" t="s">
        <v>147</v>
      </c>
      <c r="AA1074">
        <v>5.9531288266384649E-4</v>
      </c>
      <c r="AB1074">
        <v>104.75</v>
      </c>
      <c r="AC1074" t="s">
        <v>142</v>
      </c>
      <c r="AE1074" t="s">
        <v>175</v>
      </c>
      <c r="AF1074">
        <v>0</v>
      </c>
      <c r="AH1074" t="s">
        <v>237</v>
      </c>
      <c r="AJ1074">
        <v>7.4477257143975846E-4</v>
      </c>
      <c r="AK1074">
        <v>7.4477257143975846E-4</v>
      </c>
      <c r="AL1074">
        <v>0</v>
      </c>
      <c r="AN1074" t="s">
        <v>146</v>
      </c>
      <c r="AQ1074">
        <v>0</v>
      </c>
    </row>
    <row r="1075" spans="1:43" x14ac:dyDescent="0.2">
      <c r="A1075">
        <v>1073</v>
      </c>
      <c r="B1075">
        <v>66</v>
      </c>
      <c r="C1075">
        <v>8</v>
      </c>
      <c r="D1075">
        <v>19707841090.287888</v>
      </c>
      <c r="E1075" t="s">
        <v>665</v>
      </c>
      <c r="F1075" t="s">
        <v>87</v>
      </c>
      <c r="G1075" t="s">
        <v>666</v>
      </c>
      <c r="H1075">
        <v>2.6142298285246244E-3</v>
      </c>
      <c r="I1075">
        <v>2.1846720411818515E-5</v>
      </c>
      <c r="J1075">
        <v>3.02</v>
      </c>
      <c r="L1075" s="1">
        <v>44226</v>
      </c>
      <c r="M1075" s="1">
        <v>43024</v>
      </c>
      <c r="R1075">
        <v>2.5237679917732014E-2</v>
      </c>
      <c r="T1075" t="s">
        <v>30</v>
      </c>
      <c r="V1075">
        <v>34924406.114100002</v>
      </c>
      <c r="W1075" t="s">
        <v>667</v>
      </c>
      <c r="X1075" t="s">
        <v>668</v>
      </c>
      <c r="Y1075">
        <v>19707841090.287888</v>
      </c>
      <c r="Z1075" t="s">
        <v>157</v>
      </c>
      <c r="AA1075">
        <v>6.9192405542726717E-4</v>
      </c>
      <c r="AB1075">
        <v>108.5522</v>
      </c>
      <c r="AC1075" t="s">
        <v>142</v>
      </c>
      <c r="AE1075" t="s">
        <v>177</v>
      </c>
      <c r="AF1075">
        <v>0</v>
      </c>
      <c r="AH1075" t="s">
        <v>237</v>
      </c>
      <c r="AJ1075">
        <v>8.6563901606775636E-4</v>
      </c>
      <c r="AK1075">
        <v>8.6563901606775636E-4</v>
      </c>
      <c r="AL1075">
        <v>0</v>
      </c>
      <c r="AN1075" t="s">
        <v>146</v>
      </c>
      <c r="AQ1075">
        <v>0</v>
      </c>
    </row>
    <row r="1076" spans="1:43" x14ac:dyDescent="0.2">
      <c r="A1076">
        <v>1074</v>
      </c>
      <c r="B1076">
        <v>66</v>
      </c>
      <c r="C1076">
        <v>8</v>
      </c>
      <c r="D1076">
        <v>19707760923.074886</v>
      </c>
      <c r="E1076" t="s">
        <v>665</v>
      </c>
      <c r="F1076" t="s">
        <v>87</v>
      </c>
      <c r="G1076" t="s">
        <v>1697</v>
      </c>
      <c r="H1076">
        <v>6.3184961226050856E-3</v>
      </c>
      <c r="I1076">
        <v>1.9858553263230137E-5</v>
      </c>
      <c r="J1076">
        <v>8.0299999999999994</v>
      </c>
      <c r="L1076" s="1">
        <v>46684</v>
      </c>
      <c r="M1076" s="1">
        <v>43024</v>
      </c>
      <c r="R1076">
        <v>2.5237679917732014E-2</v>
      </c>
      <c r="T1076" t="s">
        <v>30</v>
      </c>
      <c r="V1076">
        <v>31746100.372499999</v>
      </c>
      <c r="W1076" t="s">
        <v>667</v>
      </c>
      <c r="X1076" t="s">
        <v>668</v>
      </c>
      <c r="Y1076">
        <v>19707760923.074886</v>
      </c>
      <c r="Z1076" t="s">
        <v>157</v>
      </c>
      <c r="AA1076">
        <v>6.2895530540956011E-4</v>
      </c>
      <c r="AB1076">
        <v>99.777199999999993</v>
      </c>
      <c r="AC1076" t="s">
        <v>142</v>
      </c>
      <c r="AE1076" t="s">
        <v>177</v>
      </c>
      <c r="AF1076">
        <v>0</v>
      </c>
      <c r="AH1076" t="s">
        <v>237</v>
      </c>
      <c r="AJ1076">
        <v>7.8686128550499207E-4</v>
      </c>
      <c r="AK1076">
        <v>7.8686128550499207E-4</v>
      </c>
      <c r="AL1076">
        <v>0</v>
      </c>
      <c r="AN1076" t="s">
        <v>146</v>
      </c>
      <c r="AQ1076">
        <v>0</v>
      </c>
    </row>
    <row r="1077" spans="1:43" x14ac:dyDescent="0.2">
      <c r="A1077">
        <v>1075</v>
      </c>
      <c r="B1077">
        <v>66</v>
      </c>
      <c r="C1077">
        <v>8</v>
      </c>
      <c r="D1077">
        <v>2956178895.4869909</v>
      </c>
      <c r="E1077" t="s">
        <v>669</v>
      </c>
      <c r="F1077" t="s">
        <v>87</v>
      </c>
      <c r="G1077" t="s">
        <v>670</v>
      </c>
      <c r="H1077">
        <v>2.4298639047407435E-4</v>
      </c>
      <c r="I1077">
        <v>3.1939649724738207E-6</v>
      </c>
      <c r="J1077">
        <v>1.92</v>
      </c>
      <c r="L1077" s="1">
        <v>43768</v>
      </c>
      <c r="M1077" s="1">
        <v>43024</v>
      </c>
      <c r="R1077">
        <v>2.5237679917732014E-2</v>
      </c>
      <c r="T1077" t="s">
        <v>30</v>
      </c>
      <c r="V1077">
        <v>5105907.3266000003</v>
      </c>
      <c r="W1077" t="s">
        <v>671</v>
      </c>
      <c r="X1077" t="s">
        <v>672</v>
      </c>
      <c r="Y1077">
        <v>2956178895.4869909</v>
      </c>
      <c r="Z1077" t="s">
        <v>158</v>
      </c>
      <c r="AA1077">
        <v>1.0115848763511353E-4</v>
      </c>
      <c r="AB1077">
        <v>104.6212</v>
      </c>
      <c r="AC1077" t="s">
        <v>142</v>
      </c>
      <c r="AE1077" t="s">
        <v>41</v>
      </c>
      <c r="AF1077">
        <v>0</v>
      </c>
      <c r="AH1077" t="s">
        <v>237</v>
      </c>
      <c r="AJ1077">
        <v>1.2655541170524705E-4</v>
      </c>
      <c r="AK1077">
        <v>1.2655541170524705E-4</v>
      </c>
      <c r="AL1077">
        <v>0</v>
      </c>
      <c r="AN1077" t="s">
        <v>146</v>
      </c>
      <c r="AQ1077">
        <v>0</v>
      </c>
    </row>
    <row r="1078" spans="1:43" x14ac:dyDescent="0.2">
      <c r="A1078">
        <v>1076</v>
      </c>
      <c r="B1078">
        <v>66</v>
      </c>
      <c r="C1078">
        <v>8</v>
      </c>
      <c r="D1078">
        <v>23157083283.00058</v>
      </c>
      <c r="E1078" t="s">
        <v>669</v>
      </c>
      <c r="F1078" t="s">
        <v>87</v>
      </c>
      <c r="G1078" t="s">
        <v>673</v>
      </c>
      <c r="H1078">
        <v>3.5284053760896855E-3</v>
      </c>
      <c r="I1078">
        <v>2.4463946566416574E-5</v>
      </c>
      <c r="J1078">
        <v>3.64</v>
      </c>
      <c r="L1078" s="1">
        <v>44489</v>
      </c>
      <c r="M1078" s="1">
        <v>43024</v>
      </c>
      <c r="R1078">
        <v>2.5237679917732014E-2</v>
      </c>
      <c r="T1078" t="s">
        <v>30</v>
      </c>
      <c r="V1078">
        <v>39108332.460600004</v>
      </c>
      <c r="W1078" t="s">
        <v>671</v>
      </c>
      <c r="X1078" t="s">
        <v>672</v>
      </c>
      <c r="Y1078">
        <v>23157083283.00058</v>
      </c>
      <c r="Z1078" t="s">
        <v>158</v>
      </c>
      <c r="AA1078">
        <v>7.7481621043832953E-4</v>
      </c>
      <c r="AB1078">
        <v>102.40770000000001</v>
      </c>
      <c r="AC1078" t="s">
        <v>142</v>
      </c>
      <c r="AE1078" t="s">
        <v>41</v>
      </c>
      <c r="AF1078">
        <v>0</v>
      </c>
      <c r="AH1078" t="s">
        <v>237</v>
      </c>
      <c r="AJ1078">
        <v>9.6934213628837511E-4</v>
      </c>
      <c r="AK1078">
        <v>9.6934213628837511E-4</v>
      </c>
      <c r="AL1078">
        <v>0</v>
      </c>
      <c r="AN1078" t="s">
        <v>146</v>
      </c>
      <c r="AQ1078">
        <v>0</v>
      </c>
    </row>
    <row r="1079" spans="1:43" x14ac:dyDescent="0.2">
      <c r="A1079">
        <v>1077</v>
      </c>
      <c r="B1079">
        <v>66</v>
      </c>
      <c r="C1079">
        <v>8</v>
      </c>
      <c r="D1079">
        <v>12869423357.236956</v>
      </c>
      <c r="E1079" t="s">
        <v>678</v>
      </c>
      <c r="F1079" t="s">
        <v>87</v>
      </c>
      <c r="G1079" t="s">
        <v>679</v>
      </c>
      <c r="H1079">
        <v>5.191127498008547E-3</v>
      </c>
      <c r="I1079">
        <v>1.2869549529162746E-5</v>
      </c>
      <c r="J1079">
        <v>10.18</v>
      </c>
      <c r="L1079" s="1">
        <v>48554</v>
      </c>
      <c r="M1079" s="1">
        <v>43024</v>
      </c>
      <c r="R1079">
        <v>2.5237679917732014E-2</v>
      </c>
      <c r="T1079" t="s">
        <v>30</v>
      </c>
      <c r="V1079">
        <v>20573402.588100001</v>
      </c>
      <c r="W1079" t="s">
        <v>680</v>
      </c>
      <c r="X1079" t="s">
        <v>681</v>
      </c>
      <c r="Y1079">
        <v>12869423357.236956</v>
      </c>
      <c r="Z1079" t="s">
        <v>145</v>
      </c>
      <c r="AA1079">
        <v>4.0760126618012298E-4</v>
      </c>
      <c r="AB1079">
        <v>106.0474</v>
      </c>
      <c r="AC1079" t="s">
        <v>34</v>
      </c>
      <c r="AE1079" t="s">
        <v>89</v>
      </c>
      <c r="AF1079">
        <v>0</v>
      </c>
      <c r="AH1079" t="s">
        <v>237</v>
      </c>
      <c r="AJ1079">
        <v>5.0993393890064317E-4</v>
      </c>
      <c r="AK1079">
        <v>5.0993393890064317E-4</v>
      </c>
      <c r="AL1079">
        <v>0</v>
      </c>
      <c r="AN1079" t="s">
        <v>54</v>
      </c>
      <c r="AQ1079">
        <v>0</v>
      </c>
    </row>
    <row r="1080" spans="1:43" x14ac:dyDescent="0.2">
      <c r="A1080">
        <v>1078</v>
      </c>
      <c r="B1080">
        <v>66</v>
      </c>
      <c r="C1080">
        <v>8</v>
      </c>
      <c r="D1080">
        <v>22861164875.615231</v>
      </c>
      <c r="E1080" t="s">
        <v>682</v>
      </c>
      <c r="F1080" t="s">
        <v>87</v>
      </c>
      <c r="G1080" t="s">
        <v>683</v>
      </c>
      <c r="H1080">
        <v>8.8573018184466105E-3</v>
      </c>
      <c r="I1080">
        <v>2.4324020481904383E-5</v>
      </c>
      <c r="J1080">
        <v>9.19</v>
      </c>
      <c r="L1080" s="1">
        <v>47330</v>
      </c>
      <c r="M1080" s="1">
        <v>43024</v>
      </c>
      <c r="R1080">
        <v>2.5237679917732014E-2</v>
      </c>
      <c r="T1080" t="s">
        <v>30</v>
      </c>
      <c r="V1080">
        <v>38884645.092</v>
      </c>
      <c r="W1080" t="s">
        <v>684</v>
      </c>
      <c r="X1080" t="s">
        <v>685</v>
      </c>
      <c r="Y1080">
        <v>22861164875.615231</v>
      </c>
      <c r="Z1080" t="s">
        <v>31</v>
      </c>
      <c r="AA1080">
        <v>7.7038450526562279E-4</v>
      </c>
      <c r="AB1080">
        <v>104.37739999999999</v>
      </c>
      <c r="AC1080" t="s">
        <v>34</v>
      </c>
      <c r="AE1080" t="s">
        <v>175</v>
      </c>
      <c r="AF1080">
        <v>0</v>
      </c>
      <c r="AH1080" t="s">
        <v>237</v>
      </c>
      <c r="AJ1080">
        <v>9.6379780396589892E-4</v>
      </c>
      <c r="AK1080">
        <v>9.6379780396589892E-4</v>
      </c>
      <c r="AL1080">
        <v>0</v>
      </c>
      <c r="AN1080" t="s">
        <v>54</v>
      </c>
      <c r="AQ1080">
        <v>0</v>
      </c>
    </row>
    <row r="1081" spans="1:43" x14ac:dyDescent="0.2">
      <c r="A1081">
        <v>1079</v>
      </c>
      <c r="B1081">
        <v>66</v>
      </c>
      <c r="C1081">
        <v>8</v>
      </c>
      <c r="D1081">
        <v>22171800643.431976</v>
      </c>
      <c r="E1081" t="s">
        <v>688</v>
      </c>
      <c r="F1081" t="s">
        <v>87</v>
      </c>
      <c r="G1081" t="s">
        <v>689</v>
      </c>
      <c r="H1081">
        <v>6.7793550066057714E-3</v>
      </c>
      <c r="I1081">
        <v>2.5013916915992757E-5</v>
      </c>
      <c r="J1081">
        <v>6.84</v>
      </c>
      <c r="L1081" s="1">
        <v>46141</v>
      </c>
      <c r="M1081" s="1">
        <v>43024</v>
      </c>
      <c r="R1081">
        <v>2.5237679917732014E-2</v>
      </c>
      <c r="T1081" t="s">
        <v>30</v>
      </c>
      <c r="V1081">
        <v>39987521.074600004</v>
      </c>
      <c r="W1081" t="s">
        <v>690</v>
      </c>
      <c r="X1081" t="s">
        <v>691</v>
      </c>
      <c r="Y1081">
        <v>22171800643.431976</v>
      </c>
      <c r="Z1081" t="s">
        <v>143</v>
      </c>
      <c r="AA1081">
        <v>7.9223473859588503E-4</v>
      </c>
      <c r="AB1081">
        <v>109.1611</v>
      </c>
      <c r="AC1081" t="s">
        <v>34</v>
      </c>
      <c r="AE1081" t="s">
        <v>41</v>
      </c>
      <c r="AF1081">
        <v>0</v>
      </c>
      <c r="AH1081" t="s">
        <v>237</v>
      </c>
      <c r="AJ1081">
        <v>9.911337728955806E-4</v>
      </c>
      <c r="AK1081">
        <v>9.911337728955806E-4</v>
      </c>
      <c r="AL1081">
        <v>0</v>
      </c>
      <c r="AN1081" t="s">
        <v>54</v>
      </c>
      <c r="AQ1081">
        <v>0</v>
      </c>
    </row>
    <row r="1082" spans="1:43" x14ac:dyDescent="0.2">
      <c r="A1082">
        <v>1080</v>
      </c>
      <c r="B1082">
        <v>66</v>
      </c>
      <c r="C1082">
        <v>8</v>
      </c>
      <c r="D1082">
        <v>10838636698.480696</v>
      </c>
      <c r="E1082" t="s">
        <v>1698</v>
      </c>
      <c r="F1082" t="s">
        <v>87</v>
      </c>
      <c r="G1082" t="s">
        <v>1699</v>
      </c>
      <c r="H1082">
        <v>3.5698885526438246E-3</v>
      </c>
      <c r="I1082">
        <v>1.0867998146393302E-5</v>
      </c>
      <c r="J1082">
        <v>8.2899999999999991</v>
      </c>
      <c r="L1082" s="1">
        <v>46679</v>
      </c>
      <c r="M1082" s="1">
        <v>43024</v>
      </c>
      <c r="R1082">
        <v>2.5237679917732014E-2</v>
      </c>
      <c r="T1082" t="s">
        <v>30</v>
      </c>
      <c r="V1082">
        <v>17373700.663400002</v>
      </c>
      <c r="W1082" t="s">
        <v>1700</v>
      </c>
      <c r="X1082" t="s">
        <v>1701</v>
      </c>
      <c r="Y1082">
        <v>10838636698.480696</v>
      </c>
      <c r="Z1082" t="s">
        <v>147</v>
      </c>
      <c r="AA1082">
        <v>3.4420861392817759E-4</v>
      </c>
      <c r="AB1082">
        <v>99.287800000000004</v>
      </c>
      <c r="AC1082" t="s">
        <v>34</v>
      </c>
      <c r="AE1082" t="s">
        <v>41</v>
      </c>
      <c r="AF1082">
        <v>0</v>
      </c>
      <c r="AH1082" t="s">
        <v>237</v>
      </c>
      <c r="AJ1082">
        <v>4.3062588089792824E-4</v>
      </c>
      <c r="AK1082">
        <v>4.3062588089792824E-4</v>
      </c>
      <c r="AL1082">
        <v>0</v>
      </c>
      <c r="AN1082" t="s">
        <v>54</v>
      </c>
      <c r="AQ1082">
        <v>0</v>
      </c>
    </row>
    <row r="1083" spans="1:43" x14ac:dyDescent="0.2">
      <c r="A1083">
        <v>1081</v>
      </c>
      <c r="B1083">
        <v>66</v>
      </c>
      <c r="C1083">
        <v>8</v>
      </c>
      <c r="D1083">
        <v>11587483612.724993</v>
      </c>
      <c r="E1083" t="s">
        <v>692</v>
      </c>
      <c r="F1083" t="s">
        <v>87</v>
      </c>
      <c r="G1083" t="s">
        <v>693</v>
      </c>
      <c r="H1083">
        <v>3.523996908720559E-3</v>
      </c>
      <c r="I1083">
        <v>1.2615249079910149E-5</v>
      </c>
      <c r="J1083">
        <v>7.05</v>
      </c>
      <c r="L1083" s="1">
        <v>46166</v>
      </c>
      <c r="M1083" s="1">
        <v>43024</v>
      </c>
      <c r="R1083">
        <v>2.5237679917732014E-2</v>
      </c>
      <c r="T1083" t="s">
        <v>30</v>
      </c>
      <c r="V1083">
        <v>20166875.109499998</v>
      </c>
      <c r="W1083" t="s">
        <v>694</v>
      </c>
      <c r="X1083" t="s">
        <v>695</v>
      </c>
      <c r="Y1083">
        <v>11587483612.724993</v>
      </c>
      <c r="Z1083" t="s">
        <v>147</v>
      </c>
      <c r="AA1083">
        <v>3.9954712373553683E-4</v>
      </c>
      <c r="AB1083">
        <v>105.8793</v>
      </c>
      <c r="AC1083" t="s">
        <v>142</v>
      </c>
      <c r="AE1083" t="s">
        <v>89</v>
      </c>
      <c r="AF1083">
        <v>0</v>
      </c>
      <c r="AH1083" t="s">
        <v>237</v>
      </c>
      <c r="AJ1083">
        <v>4.9985771754901547E-4</v>
      </c>
      <c r="AK1083">
        <v>4.9985771754901547E-4</v>
      </c>
      <c r="AL1083">
        <v>0</v>
      </c>
      <c r="AN1083" t="s">
        <v>146</v>
      </c>
      <c r="AQ1083">
        <v>0</v>
      </c>
    </row>
    <row r="1084" spans="1:43" x14ac:dyDescent="0.2">
      <c r="A1084">
        <v>1082</v>
      </c>
      <c r="B1084">
        <v>66</v>
      </c>
      <c r="C1084">
        <v>8</v>
      </c>
      <c r="D1084">
        <v>19707510321.573559</v>
      </c>
      <c r="E1084" t="s">
        <v>692</v>
      </c>
      <c r="F1084" t="s">
        <v>87</v>
      </c>
      <c r="G1084" t="s">
        <v>696</v>
      </c>
      <c r="H1084">
        <v>6.4308103140925214E-3</v>
      </c>
      <c r="I1084">
        <v>1.9987528610679402E-5</v>
      </c>
      <c r="J1084">
        <v>8.1199999999999992</v>
      </c>
      <c r="L1084" s="1">
        <v>46615</v>
      </c>
      <c r="M1084" s="1">
        <v>43024</v>
      </c>
      <c r="R1084">
        <v>2.5237679917732014E-2</v>
      </c>
      <c r="T1084" t="s">
        <v>30</v>
      </c>
      <c r="V1084">
        <v>31952281.7731</v>
      </c>
      <c r="W1084" t="s">
        <v>694</v>
      </c>
      <c r="X1084" t="s">
        <v>695</v>
      </c>
      <c r="Y1084">
        <v>19707510321.573559</v>
      </c>
      <c r="Z1084" t="s">
        <v>147</v>
      </c>
      <c r="AA1084">
        <v>6.330401814813462E-4</v>
      </c>
      <c r="AB1084">
        <v>99.739000000000004</v>
      </c>
      <c r="AC1084" t="s">
        <v>142</v>
      </c>
      <c r="AE1084" t="s">
        <v>89</v>
      </c>
      <c r="AF1084">
        <v>0</v>
      </c>
      <c r="AH1084" t="s">
        <v>237</v>
      </c>
      <c r="AJ1084">
        <v>7.9197171355819239E-4</v>
      </c>
      <c r="AK1084">
        <v>7.9197171355819239E-4</v>
      </c>
      <c r="AL1084">
        <v>0</v>
      </c>
      <c r="AN1084" t="s">
        <v>146</v>
      </c>
      <c r="AQ1084">
        <v>0</v>
      </c>
    </row>
    <row r="1085" spans="1:43" x14ac:dyDescent="0.2">
      <c r="A1085">
        <v>1083</v>
      </c>
      <c r="B1085">
        <v>66</v>
      </c>
      <c r="C1085">
        <v>8</v>
      </c>
      <c r="D1085">
        <v>24635482126.904449</v>
      </c>
      <c r="E1085" t="s">
        <v>355</v>
      </c>
      <c r="F1085" t="s">
        <v>87</v>
      </c>
      <c r="G1085" t="s">
        <v>1005</v>
      </c>
      <c r="H1085">
        <v>7.4639209501804089E-3</v>
      </c>
      <c r="I1085">
        <v>2.3198528063042783E-5</v>
      </c>
      <c r="J1085">
        <v>8.1199999999999992</v>
      </c>
      <c r="L1085" s="1">
        <v>46706</v>
      </c>
      <c r="M1085" s="1">
        <v>43024</v>
      </c>
      <c r="R1085">
        <v>2.5237679917732014E-2</v>
      </c>
      <c r="T1085" t="s">
        <v>30</v>
      </c>
      <c r="V1085">
        <v>37085420.605499998</v>
      </c>
      <c r="W1085" t="s">
        <v>355</v>
      </c>
      <c r="X1085" t="s">
        <v>1006</v>
      </c>
      <c r="Y1085">
        <v>24635482126.904449</v>
      </c>
      <c r="Z1085" t="s">
        <v>31</v>
      </c>
      <c r="AA1085">
        <v>7.3473818105166549E-4</v>
      </c>
      <c r="AB1085">
        <v>101.4901</v>
      </c>
      <c r="AC1085" t="s">
        <v>144</v>
      </c>
      <c r="AE1085" t="s">
        <v>57</v>
      </c>
      <c r="AF1085">
        <v>0</v>
      </c>
      <c r="AH1085" t="s">
        <v>237</v>
      </c>
      <c r="AJ1085">
        <v>9.1920208746064163E-4</v>
      </c>
      <c r="AK1085">
        <v>9.1920208746064163E-4</v>
      </c>
      <c r="AL1085">
        <v>0</v>
      </c>
      <c r="AN1085" t="s">
        <v>163</v>
      </c>
      <c r="AQ1085">
        <v>0</v>
      </c>
    </row>
    <row r="1086" spans="1:43" x14ac:dyDescent="0.2">
      <c r="A1086">
        <v>1084</v>
      </c>
      <c r="B1086">
        <v>66</v>
      </c>
      <c r="C1086">
        <v>8</v>
      </c>
      <c r="D1086">
        <v>19707411209.173515</v>
      </c>
      <c r="E1086" t="s">
        <v>1702</v>
      </c>
      <c r="F1086" t="s">
        <v>87</v>
      </c>
      <c r="G1086" t="s">
        <v>1703</v>
      </c>
      <c r="H1086">
        <v>9.673679682886677E-3</v>
      </c>
      <c r="I1086">
        <v>2.2074252392708979E-5</v>
      </c>
      <c r="J1086">
        <v>11.06</v>
      </c>
      <c r="L1086" s="1">
        <v>49130</v>
      </c>
      <c r="M1086" s="1">
        <v>43024</v>
      </c>
      <c r="R1086">
        <v>2.5237679917732014E-2</v>
      </c>
      <c r="T1086" t="s">
        <v>30</v>
      </c>
      <c r="V1086">
        <v>35288141.226499997</v>
      </c>
      <c r="W1086" t="s">
        <v>1704</v>
      </c>
      <c r="X1086" t="s">
        <v>1705</v>
      </c>
      <c r="Y1086">
        <v>19707411209.173515</v>
      </c>
      <c r="Z1086" t="s">
        <v>147</v>
      </c>
      <c r="AA1086">
        <v>6.9913039340337645E-4</v>
      </c>
      <c r="AB1086">
        <v>110.73220000000001</v>
      </c>
      <c r="AC1086" t="s">
        <v>34</v>
      </c>
      <c r="AE1086" t="s">
        <v>57</v>
      </c>
      <c r="AF1086">
        <v>0</v>
      </c>
      <c r="AH1086" t="s">
        <v>237</v>
      </c>
      <c r="AJ1086">
        <v>8.7465458253948257E-4</v>
      </c>
      <c r="AK1086">
        <v>8.7465458253948257E-4</v>
      </c>
      <c r="AL1086">
        <v>0</v>
      </c>
      <c r="AN1086" t="s">
        <v>54</v>
      </c>
      <c r="AQ1086">
        <v>0</v>
      </c>
    </row>
    <row r="1087" spans="1:43" x14ac:dyDescent="0.2">
      <c r="A1087">
        <v>1085</v>
      </c>
      <c r="B1087">
        <v>66</v>
      </c>
      <c r="C1087">
        <v>8</v>
      </c>
      <c r="D1087">
        <v>7389665526.6741362</v>
      </c>
      <c r="E1087" t="s">
        <v>697</v>
      </c>
      <c r="F1087" t="s">
        <v>87</v>
      </c>
      <c r="G1087" t="s">
        <v>698</v>
      </c>
      <c r="H1087">
        <v>2.2479495400910851E-3</v>
      </c>
      <c r="I1087">
        <v>7.4160824789583917E-6</v>
      </c>
      <c r="J1087">
        <v>7.65</v>
      </c>
      <c r="L1087" s="1">
        <v>46301</v>
      </c>
      <c r="M1087" s="1">
        <v>43024</v>
      </c>
      <c r="R1087">
        <v>2.5237679917732014E-2</v>
      </c>
      <c r="T1087" t="s">
        <v>30</v>
      </c>
      <c r="V1087">
        <v>11855430.535499999</v>
      </c>
      <c r="W1087" t="s">
        <v>699</v>
      </c>
      <c r="X1087" t="s">
        <v>700</v>
      </c>
      <c r="Y1087">
        <v>7389665526.6741362</v>
      </c>
      <c r="Z1087" t="s">
        <v>145</v>
      </c>
      <c r="AA1087">
        <v>2.3488037414751066E-4</v>
      </c>
      <c r="AB1087">
        <v>99.265900000000002</v>
      </c>
      <c r="AC1087" t="s">
        <v>33</v>
      </c>
      <c r="AE1087" t="s">
        <v>56</v>
      </c>
      <c r="AF1087">
        <v>0</v>
      </c>
      <c r="AH1087" t="s">
        <v>237</v>
      </c>
      <c r="AJ1087">
        <v>2.9384961308380199E-4</v>
      </c>
      <c r="AK1087">
        <v>2.9384961308380199E-4</v>
      </c>
      <c r="AL1087">
        <v>0</v>
      </c>
      <c r="AN1087" t="s">
        <v>148</v>
      </c>
      <c r="AQ1087">
        <v>0</v>
      </c>
    </row>
    <row r="1088" spans="1:43" x14ac:dyDescent="0.2">
      <c r="A1088">
        <v>1086</v>
      </c>
      <c r="B1088">
        <v>66</v>
      </c>
      <c r="C1088">
        <v>8</v>
      </c>
      <c r="D1088">
        <v>1970259557.560102</v>
      </c>
      <c r="E1088" t="s">
        <v>709</v>
      </c>
      <c r="F1088" t="s">
        <v>87</v>
      </c>
      <c r="G1088" t="s">
        <v>1706</v>
      </c>
      <c r="H1088">
        <v>1.1276304135105363E-3</v>
      </c>
      <c r="I1088">
        <v>1.9492311946355277E-6</v>
      </c>
      <c r="J1088">
        <v>14.6</v>
      </c>
      <c r="L1088" s="1">
        <v>54072</v>
      </c>
      <c r="M1088" s="1">
        <v>43024</v>
      </c>
      <c r="R1088">
        <v>2.5237679917732014E-2</v>
      </c>
      <c r="T1088" t="s">
        <v>30</v>
      </c>
      <c r="V1088">
        <v>3116062.2999</v>
      </c>
      <c r="W1088" t="s">
        <v>711</v>
      </c>
      <c r="X1088" t="s">
        <v>712</v>
      </c>
      <c r="Y1088">
        <v>1970259557.560102</v>
      </c>
      <c r="Z1088" t="s">
        <v>145</v>
      </c>
      <c r="AA1088">
        <v>6.1735579882641245E-5</v>
      </c>
      <c r="AB1088">
        <v>97.635999999999996</v>
      </c>
      <c r="AC1088" t="s">
        <v>142</v>
      </c>
      <c r="AE1088" t="s">
        <v>44</v>
      </c>
      <c r="AF1088">
        <v>0</v>
      </c>
      <c r="AH1088" t="s">
        <v>237</v>
      </c>
      <c r="AJ1088">
        <v>7.7234959829488784E-5</v>
      </c>
      <c r="AK1088">
        <v>7.7234959829488784E-5</v>
      </c>
      <c r="AL1088">
        <v>0</v>
      </c>
      <c r="AN1088" t="s">
        <v>146</v>
      </c>
      <c r="AQ1088">
        <v>0</v>
      </c>
    </row>
    <row r="1089" spans="1:43" x14ac:dyDescent="0.2">
      <c r="A1089">
        <v>1087</v>
      </c>
      <c r="B1089">
        <v>66</v>
      </c>
      <c r="C1089">
        <v>8</v>
      </c>
      <c r="D1089">
        <v>11824055827.172739</v>
      </c>
      <c r="E1089" t="s">
        <v>709</v>
      </c>
      <c r="F1089" t="s">
        <v>87</v>
      </c>
      <c r="G1089" t="s">
        <v>1707</v>
      </c>
      <c r="H1089">
        <v>3.9115264534246592E-3</v>
      </c>
      <c r="I1089">
        <v>1.189371718328591E-5</v>
      </c>
      <c r="J1089">
        <v>8.3000000000000007</v>
      </c>
      <c r="L1089" s="1">
        <v>46664</v>
      </c>
      <c r="M1089" s="1">
        <v>43024</v>
      </c>
      <c r="R1089">
        <v>2.5237679917732014E-2</v>
      </c>
      <c r="T1089" t="s">
        <v>30</v>
      </c>
      <c r="V1089">
        <v>19013426.330600001</v>
      </c>
      <c r="W1089" t="s">
        <v>711</v>
      </c>
      <c r="X1089" t="s">
        <v>712</v>
      </c>
      <c r="Y1089">
        <v>11824055827.172739</v>
      </c>
      <c r="Z1089" t="s">
        <v>145</v>
      </c>
      <c r="AA1089">
        <v>3.7669493967214338E-4</v>
      </c>
      <c r="AB1089">
        <v>99.4696</v>
      </c>
      <c r="AC1089" t="s">
        <v>142</v>
      </c>
      <c r="AE1089" t="s">
        <v>44</v>
      </c>
      <c r="AF1089">
        <v>0</v>
      </c>
      <c r="AH1089" t="s">
        <v>237</v>
      </c>
      <c r="AJ1089">
        <v>4.7126824740056136E-4</v>
      </c>
      <c r="AK1089">
        <v>4.7126824740056136E-4</v>
      </c>
      <c r="AL1089">
        <v>0</v>
      </c>
      <c r="AN1089" t="s">
        <v>146</v>
      </c>
      <c r="AQ1089">
        <v>0</v>
      </c>
    </row>
    <row r="1090" spans="1:43" x14ac:dyDescent="0.2">
      <c r="A1090">
        <v>1088</v>
      </c>
      <c r="B1090">
        <v>66</v>
      </c>
      <c r="C1090">
        <v>8</v>
      </c>
      <c r="D1090">
        <v>14780507257.40624</v>
      </c>
      <c r="E1090" t="s">
        <v>709</v>
      </c>
      <c r="F1090" t="s">
        <v>87</v>
      </c>
      <c r="G1090" t="s">
        <v>713</v>
      </c>
      <c r="H1090">
        <v>1.279038415381972E-3</v>
      </c>
      <c r="I1090">
        <v>1.7262011834167576E-5</v>
      </c>
      <c r="J1090">
        <v>1.87</v>
      </c>
      <c r="L1090" s="1">
        <v>43775</v>
      </c>
      <c r="M1090" s="1">
        <v>43024</v>
      </c>
      <c r="R1090">
        <v>2.5237679917732014E-2</v>
      </c>
      <c r="T1090" t="s">
        <v>30</v>
      </c>
      <c r="V1090">
        <v>27595240.854400001</v>
      </c>
      <c r="W1090" t="s">
        <v>711</v>
      </c>
      <c r="X1090" t="s">
        <v>712</v>
      </c>
      <c r="Y1090">
        <v>14780507257.40624</v>
      </c>
      <c r="Z1090" t="s">
        <v>145</v>
      </c>
      <c r="AA1090">
        <v>5.4671827203268963E-4</v>
      </c>
      <c r="AB1090">
        <v>111.7551</v>
      </c>
      <c r="AC1090" t="s">
        <v>142</v>
      </c>
      <c r="AE1090" t="s">
        <v>44</v>
      </c>
      <c r="AF1090">
        <v>0</v>
      </c>
      <c r="AH1090" t="s">
        <v>237</v>
      </c>
      <c r="AJ1090">
        <v>6.8397776223634858E-4</v>
      </c>
      <c r="AK1090">
        <v>6.8397776223634858E-4</v>
      </c>
      <c r="AL1090">
        <v>0</v>
      </c>
      <c r="AN1090" t="s">
        <v>146</v>
      </c>
      <c r="AQ1090">
        <v>0</v>
      </c>
    </row>
    <row r="1091" spans="1:43" x14ac:dyDescent="0.2">
      <c r="A1091">
        <v>1089</v>
      </c>
      <c r="B1091">
        <v>66</v>
      </c>
      <c r="C1091">
        <v>8</v>
      </c>
      <c r="D1091">
        <v>4926228034.2637777</v>
      </c>
      <c r="E1091" t="s">
        <v>701</v>
      </c>
      <c r="F1091" t="s">
        <v>87</v>
      </c>
      <c r="G1091" t="s">
        <v>1458</v>
      </c>
      <c r="H1091">
        <v>1.7017484360711205E-3</v>
      </c>
      <c r="I1091">
        <v>4.9083636948644548E-6</v>
      </c>
      <c r="J1091">
        <v>8.75</v>
      </c>
      <c r="L1091" s="1">
        <v>46873</v>
      </c>
      <c r="M1091" s="1">
        <v>43024</v>
      </c>
      <c r="R1091">
        <v>2.5237679917732014E-2</v>
      </c>
      <c r="T1091" t="s">
        <v>30</v>
      </c>
      <c r="V1091">
        <v>7846563.8688000003</v>
      </c>
      <c r="W1091" t="s">
        <v>703</v>
      </c>
      <c r="X1091" t="s">
        <v>704</v>
      </c>
      <c r="Y1091">
        <v>4926228034.2637777</v>
      </c>
      <c r="Z1091" t="s">
        <v>145</v>
      </c>
      <c r="AA1091">
        <v>1.5545651014169221E-4</v>
      </c>
      <c r="AB1091">
        <v>98.4315</v>
      </c>
      <c r="AC1091" t="s">
        <v>148</v>
      </c>
      <c r="AE1091" t="s">
        <v>57</v>
      </c>
      <c r="AF1091">
        <v>0</v>
      </c>
      <c r="AH1091" t="s">
        <v>237</v>
      </c>
      <c r="AJ1091">
        <v>1.944855355509852E-4</v>
      </c>
      <c r="AK1091">
        <v>1.944855355509852E-4</v>
      </c>
      <c r="AL1091">
        <v>0</v>
      </c>
      <c r="AN1091" t="s">
        <v>144</v>
      </c>
      <c r="AQ1091">
        <v>0</v>
      </c>
    </row>
    <row r="1092" spans="1:43" x14ac:dyDescent="0.2">
      <c r="A1092">
        <v>1090</v>
      </c>
      <c r="B1092">
        <v>66</v>
      </c>
      <c r="C1092">
        <v>8</v>
      </c>
      <c r="D1092">
        <v>1970226010.9005797</v>
      </c>
      <c r="E1092" t="s">
        <v>701</v>
      </c>
      <c r="F1092" t="s">
        <v>87</v>
      </c>
      <c r="G1092" t="s">
        <v>1459</v>
      </c>
      <c r="H1092">
        <v>1.2052992776102923E-3</v>
      </c>
      <c r="I1092">
        <v>1.9881671485883776E-6</v>
      </c>
      <c r="J1092">
        <v>15.3</v>
      </c>
      <c r="L1092" s="1">
        <v>53904</v>
      </c>
      <c r="M1092" s="1">
        <v>43024</v>
      </c>
      <c r="R1092">
        <v>2.5237679917732014E-2</v>
      </c>
      <c r="T1092" t="s">
        <v>30</v>
      </c>
      <c r="V1092">
        <v>3178305.7415999998</v>
      </c>
      <c r="W1092" t="s">
        <v>703</v>
      </c>
      <c r="X1092" t="s">
        <v>704</v>
      </c>
      <c r="Y1092">
        <v>1970226010.9005797</v>
      </c>
      <c r="Z1092" t="s">
        <v>145</v>
      </c>
      <c r="AA1092">
        <v>6.2968750017706969E-5</v>
      </c>
      <c r="AB1092">
        <v>99.690600000000003</v>
      </c>
      <c r="AC1092" t="s">
        <v>148</v>
      </c>
      <c r="AE1092" t="s">
        <v>57</v>
      </c>
      <c r="AF1092">
        <v>0</v>
      </c>
      <c r="AH1092" t="s">
        <v>237</v>
      </c>
      <c r="AJ1092">
        <v>7.8777730562764196E-5</v>
      </c>
      <c r="AK1092">
        <v>7.8777730562764196E-5</v>
      </c>
      <c r="AL1092">
        <v>0</v>
      </c>
      <c r="AN1092" t="s">
        <v>144</v>
      </c>
      <c r="AQ1092">
        <v>0</v>
      </c>
    </row>
    <row r="1093" spans="1:43" x14ac:dyDescent="0.2">
      <c r="A1093">
        <v>1091</v>
      </c>
      <c r="B1093">
        <v>66</v>
      </c>
      <c r="C1093">
        <v>8</v>
      </c>
      <c r="D1093">
        <v>9854106639.8921452</v>
      </c>
      <c r="E1093" t="s">
        <v>701</v>
      </c>
      <c r="F1093" t="s">
        <v>87</v>
      </c>
      <c r="G1093" t="s">
        <v>702</v>
      </c>
      <c r="H1093">
        <v>3.0651561616960531E-3</v>
      </c>
      <c r="I1093">
        <v>1.0355747002242171E-5</v>
      </c>
      <c r="J1093">
        <v>7.47</v>
      </c>
      <c r="L1093" s="1">
        <v>46326</v>
      </c>
      <c r="M1093" s="1">
        <v>43024</v>
      </c>
      <c r="R1093">
        <v>2.5237679917732014E-2</v>
      </c>
      <c r="T1093" t="s">
        <v>30</v>
      </c>
      <c r="V1093">
        <v>16554810.3836</v>
      </c>
      <c r="W1093" t="s">
        <v>703</v>
      </c>
      <c r="X1093" t="s">
        <v>704</v>
      </c>
      <c r="Y1093">
        <v>9854106639.8921452</v>
      </c>
      <c r="Z1093" t="s">
        <v>145</v>
      </c>
      <c r="AA1093">
        <v>3.2798471934001932E-4</v>
      </c>
      <c r="AB1093">
        <v>102.1006</v>
      </c>
      <c r="AC1093" t="s">
        <v>148</v>
      </c>
      <c r="AE1093" t="s">
        <v>57</v>
      </c>
      <c r="AF1093">
        <v>0</v>
      </c>
      <c r="AH1093" t="s">
        <v>237</v>
      </c>
      <c r="AJ1093">
        <v>4.1032880343990001E-4</v>
      </c>
      <c r="AK1093">
        <v>4.1032880343990001E-4</v>
      </c>
      <c r="AL1093">
        <v>0</v>
      </c>
      <c r="AN1093" t="s">
        <v>144</v>
      </c>
      <c r="AQ1093">
        <v>0</v>
      </c>
    </row>
    <row r="1094" spans="1:43" x14ac:dyDescent="0.2">
      <c r="A1094">
        <v>1092</v>
      </c>
      <c r="B1094">
        <v>66</v>
      </c>
      <c r="C1094">
        <v>8</v>
      </c>
      <c r="D1094">
        <v>21678877974.538506</v>
      </c>
      <c r="E1094" t="s">
        <v>705</v>
      </c>
      <c r="F1094" t="s">
        <v>87</v>
      </c>
      <c r="G1094" t="s">
        <v>706</v>
      </c>
      <c r="H1094">
        <v>5.1418306698037168E-3</v>
      </c>
      <c r="I1094">
        <v>2.4438394846644789E-5</v>
      </c>
      <c r="J1094">
        <v>5.31</v>
      </c>
      <c r="L1094" s="1">
        <v>45329</v>
      </c>
      <c r="M1094" s="1">
        <v>43024</v>
      </c>
      <c r="R1094">
        <v>2.5237679917732014E-2</v>
      </c>
      <c r="T1094" t="s">
        <v>30</v>
      </c>
      <c r="V1094">
        <v>39067485.202</v>
      </c>
      <c r="W1094" t="s">
        <v>707</v>
      </c>
      <c r="X1094" t="s">
        <v>708</v>
      </c>
      <c r="Y1094">
        <v>21678877974.538506</v>
      </c>
      <c r="Z1094" t="s">
        <v>147</v>
      </c>
      <c r="AA1094">
        <v>7.7400694253750219E-4</v>
      </c>
      <c r="AB1094">
        <v>110.4259</v>
      </c>
      <c r="AC1094" t="s">
        <v>55</v>
      </c>
      <c r="AE1094" t="s">
        <v>177</v>
      </c>
      <c r="AF1094">
        <v>0</v>
      </c>
      <c r="AH1094" t="s">
        <v>237</v>
      </c>
      <c r="AJ1094">
        <v>9.6832969299505032E-4</v>
      </c>
      <c r="AK1094">
        <v>9.6832969299505032E-4</v>
      </c>
      <c r="AL1094">
        <v>0</v>
      </c>
      <c r="AN1094" t="s">
        <v>149</v>
      </c>
      <c r="AQ1094">
        <v>0</v>
      </c>
    </row>
    <row r="1095" spans="1:43" x14ac:dyDescent="0.2">
      <c r="A1095">
        <v>1093</v>
      </c>
      <c r="B1095">
        <v>66</v>
      </c>
      <c r="C1095">
        <v>8</v>
      </c>
      <c r="D1095">
        <v>11125336841.336943</v>
      </c>
      <c r="E1095" t="s">
        <v>714</v>
      </c>
      <c r="F1095" t="s">
        <v>87</v>
      </c>
      <c r="G1095" t="s">
        <v>715</v>
      </c>
      <c r="H1095">
        <v>1.5451620278097581E-3</v>
      </c>
      <c r="I1095">
        <v>1.1817062023908003E-5</v>
      </c>
      <c r="J1095">
        <v>3.3</v>
      </c>
      <c r="L1095" s="1">
        <v>44323</v>
      </c>
      <c r="M1095" s="1">
        <v>43024</v>
      </c>
      <c r="R1095">
        <v>2.5237679917732014E-2</v>
      </c>
      <c r="T1095" t="s">
        <v>30</v>
      </c>
      <c r="V1095">
        <v>18890884.554699998</v>
      </c>
      <c r="W1095" t="s">
        <v>716</v>
      </c>
      <c r="X1095" t="s">
        <v>717</v>
      </c>
      <c r="Y1095">
        <v>11125336841.336943</v>
      </c>
      <c r="Z1095" t="s">
        <v>143</v>
      </c>
      <c r="AA1095">
        <v>3.7426713596768022E-4</v>
      </c>
      <c r="AB1095">
        <v>103.40949999999999</v>
      </c>
      <c r="AC1095" t="s">
        <v>55</v>
      </c>
      <c r="AE1095" t="s">
        <v>175</v>
      </c>
      <c r="AF1095">
        <v>0</v>
      </c>
      <c r="AH1095" t="s">
        <v>237</v>
      </c>
      <c r="AJ1095">
        <v>4.6823091751810851E-4</v>
      </c>
      <c r="AK1095">
        <v>4.6823091751810851E-4</v>
      </c>
      <c r="AL1095">
        <v>0</v>
      </c>
      <c r="AN1095" t="s">
        <v>149</v>
      </c>
      <c r="AQ1095">
        <v>0</v>
      </c>
    </row>
    <row r="1096" spans="1:43" x14ac:dyDescent="0.2">
      <c r="A1096">
        <v>1094</v>
      </c>
      <c r="B1096">
        <v>66</v>
      </c>
      <c r="C1096">
        <v>8</v>
      </c>
      <c r="D1096">
        <v>14780377438.981897</v>
      </c>
      <c r="E1096" t="s">
        <v>720</v>
      </c>
      <c r="F1096" t="s">
        <v>87</v>
      </c>
      <c r="G1096" t="s">
        <v>721</v>
      </c>
      <c r="H1096">
        <v>4.6935424745938236E-3</v>
      </c>
      <c r="I1096">
        <v>1.6338499676424659E-5</v>
      </c>
      <c r="J1096">
        <v>7.25</v>
      </c>
      <c r="L1096" s="1">
        <v>46459</v>
      </c>
      <c r="M1096" s="1">
        <v>43024</v>
      </c>
      <c r="R1096">
        <v>2.5237679917732014E-2</v>
      </c>
      <c r="T1096" t="s">
        <v>30</v>
      </c>
      <c r="V1096">
        <v>26118904.221700002</v>
      </c>
      <c r="W1096" t="s">
        <v>722</v>
      </c>
      <c r="X1096" t="s">
        <v>723</v>
      </c>
      <c r="Y1096">
        <v>14780377438.981897</v>
      </c>
      <c r="Z1096" t="s">
        <v>145</v>
      </c>
      <c r="AA1096">
        <v>5.1746901789401429E-4</v>
      </c>
      <c r="AB1096">
        <v>108.8622</v>
      </c>
      <c r="AC1096" t="s">
        <v>33</v>
      </c>
      <c r="AE1096" t="s">
        <v>44</v>
      </c>
      <c r="AF1096">
        <v>0</v>
      </c>
      <c r="AH1096" t="s">
        <v>237</v>
      </c>
      <c r="AJ1096">
        <v>6.4738516890949294E-4</v>
      </c>
      <c r="AK1096">
        <v>6.4738516890949294E-4</v>
      </c>
      <c r="AL1096">
        <v>0</v>
      </c>
      <c r="AN1096" t="s">
        <v>148</v>
      </c>
      <c r="AQ1096">
        <v>0</v>
      </c>
    </row>
    <row r="1097" spans="1:43" x14ac:dyDescent="0.2">
      <c r="A1097">
        <v>1095</v>
      </c>
      <c r="B1097">
        <v>66</v>
      </c>
      <c r="C1097">
        <v>8</v>
      </c>
      <c r="D1097">
        <v>2463533825.2505517</v>
      </c>
      <c r="E1097" t="s">
        <v>724</v>
      </c>
      <c r="F1097" t="s">
        <v>87</v>
      </c>
      <c r="G1097" t="s">
        <v>725</v>
      </c>
      <c r="H1097">
        <v>1.0910894065718245E-3</v>
      </c>
      <c r="I1097">
        <v>2.5904576862359246E-6</v>
      </c>
      <c r="J1097">
        <v>10.63</v>
      </c>
      <c r="L1097" s="1">
        <v>48384</v>
      </c>
      <c r="M1097" s="1">
        <v>43024</v>
      </c>
      <c r="R1097">
        <v>2.5237679917732014E-2</v>
      </c>
      <c r="T1097" t="s">
        <v>30</v>
      </c>
      <c r="V1097">
        <v>4141133.9802999999</v>
      </c>
      <c r="W1097" t="s">
        <v>726</v>
      </c>
      <c r="X1097" t="s">
        <v>727</v>
      </c>
      <c r="Y1097">
        <v>2463533825.2505517</v>
      </c>
      <c r="Z1097" t="s">
        <v>147</v>
      </c>
      <c r="AA1097">
        <v>8.2044350542585494E-5</v>
      </c>
      <c r="AB1097">
        <v>102.5774</v>
      </c>
      <c r="AC1097" t="s">
        <v>142</v>
      </c>
      <c r="AE1097" t="s">
        <v>175</v>
      </c>
      <c r="AF1097">
        <v>0</v>
      </c>
      <c r="AH1097" t="s">
        <v>237</v>
      </c>
      <c r="AJ1097">
        <v>1.0264246534071726E-4</v>
      </c>
      <c r="AK1097">
        <v>1.0264246534071726E-4</v>
      </c>
      <c r="AL1097">
        <v>0</v>
      </c>
      <c r="AN1097" t="s">
        <v>146</v>
      </c>
      <c r="AQ1097">
        <v>0</v>
      </c>
    </row>
    <row r="1098" spans="1:43" x14ac:dyDescent="0.2">
      <c r="A1098">
        <v>1096</v>
      </c>
      <c r="B1098">
        <v>66</v>
      </c>
      <c r="C1098">
        <v>8</v>
      </c>
      <c r="D1098">
        <v>19708381114.956783</v>
      </c>
      <c r="E1098" t="s">
        <v>754</v>
      </c>
      <c r="F1098" t="s">
        <v>87</v>
      </c>
      <c r="G1098" t="s">
        <v>755</v>
      </c>
      <c r="H1098">
        <v>3.7672904069992186E-3</v>
      </c>
      <c r="I1098">
        <v>2.1462227866588861E-5</v>
      </c>
      <c r="J1098">
        <v>4.43</v>
      </c>
      <c r="L1098" s="1">
        <v>44875</v>
      </c>
      <c r="M1098" s="1">
        <v>43024</v>
      </c>
      <c r="R1098">
        <v>2.5237679917732014E-2</v>
      </c>
      <c r="T1098" t="s">
        <v>30</v>
      </c>
      <c r="V1098">
        <v>34309752.127400003</v>
      </c>
      <c r="W1098" t="s">
        <v>756</v>
      </c>
      <c r="X1098" t="s">
        <v>757</v>
      </c>
      <c r="Y1098">
        <v>19708381114.956783</v>
      </c>
      <c r="Z1098" t="s">
        <v>145</v>
      </c>
      <c r="AA1098">
        <v>6.797465003452269E-4</v>
      </c>
      <c r="AB1098">
        <v>105.55629999999999</v>
      </c>
      <c r="AC1098" t="s">
        <v>146</v>
      </c>
      <c r="AE1098" t="s">
        <v>41</v>
      </c>
      <c r="AF1098">
        <v>0</v>
      </c>
      <c r="AH1098" t="s">
        <v>237</v>
      </c>
      <c r="AJ1098">
        <v>8.5040415507883044E-4</v>
      </c>
      <c r="AK1098">
        <v>8.5040415507883044E-4</v>
      </c>
      <c r="AL1098">
        <v>0</v>
      </c>
      <c r="AN1098" t="s">
        <v>154</v>
      </c>
      <c r="AQ1098">
        <v>0</v>
      </c>
    </row>
    <row r="1099" spans="1:43" x14ac:dyDescent="0.2">
      <c r="A1099">
        <v>1097</v>
      </c>
      <c r="B1099">
        <v>66</v>
      </c>
      <c r="C1099">
        <v>8</v>
      </c>
      <c r="D1099">
        <v>9853728023.1344376</v>
      </c>
      <c r="E1099" t="s">
        <v>674</v>
      </c>
      <c r="F1099" t="s">
        <v>87</v>
      </c>
      <c r="G1099" t="s">
        <v>675</v>
      </c>
      <c r="H1099">
        <v>3.0609646464611682E-3</v>
      </c>
      <c r="I1099">
        <v>1.0151333244005348E-5</v>
      </c>
      <c r="J1099">
        <v>7.61</v>
      </c>
      <c r="L1099" s="1">
        <v>46477</v>
      </c>
      <c r="M1099" s="1">
        <v>43024</v>
      </c>
      <c r="R1099">
        <v>2.5237679917732014E-2</v>
      </c>
      <c r="T1099" t="s">
        <v>30</v>
      </c>
      <c r="V1099">
        <v>16228032.3147</v>
      </c>
      <c r="W1099" t="s">
        <v>676</v>
      </c>
      <c r="X1099" t="s">
        <v>677</v>
      </c>
      <c r="Y1099">
        <v>9853728023.1344376</v>
      </c>
      <c r="Z1099" t="s">
        <v>157</v>
      </c>
      <c r="AA1099">
        <v>3.2151057613141965E-4</v>
      </c>
      <c r="AB1099">
        <v>101.7824</v>
      </c>
      <c r="AC1099" t="s">
        <v>142</v>
      </c>
      <c r="AE1099" t="s">
        <v>165</v>
      </c>
      <c r="AF1099">
        <v>0</v>
      </c>
      <c r="AH1099" t="s">
        <v>237</v>
      </c>
      <c r="AJ1099">
        <v>4.0222925709082366E-4</v>
      </c>
      <c r="AK1099">
        <v>4.0222925709082366E-4</v>
      </c>
      <c r="AL1099">
        <v>0</v>
      </c>
      <c r="AN1099" t="s">
        <v>146</v>
      </c>
      <c r="AQ1099">
        <v>0</v>
      </c>
    </row>
    <row r="1100" spans="1:43" x14ac:dyDescent="0.2">
      <c r="A1100">
        <v>1098</v>
      </c>
      <c r="B1100">
        <v>66</v>
      </c>
      <c r="C1100">
        <v>8</v>
      </c>
      <c r="D1100">
        <v>14287627345.985529</v>
      </c>
      <c r="E1100" t="s">
        <v>728</v>
      </c>
      <c r="F1100" t="s">
        <v>87</v>
      </c>
      <c r="G1100" t="s">
        <v>729</v>
      </c>
      <c r="H1100">
        <v>4.5127297446632391E-3</v>
      </c>
      <c r="I1100">
        <v>1.539065254743775E-5</v>
      </c>
      <c r="J1100">
        <v>7.4</v>
      </c>
      <c r="L1100" s="1">
        <v>46407</v>
      </c>
      <c r="M1100" s="1">
        <v>43024</v>
      </c>
      <c r="R1100">
        <v>2.5237679917732014E-2</v>
      </c>
      <c r="T1100" t="s">
        <v>30</v>
      </c>
      <c r="V1100">
        <v>24603665.437899999</v>
      </c>
      <c r="W1100" t="s">
        <v>730</v>
      </c>
      <c r="X1100" t="s">
        <v>731</v>
      </c>
      <c r="Y1100">
        <v>14287627345.985529</v>
      </c>
      <c r="Z1100" t="s">
        <v>157</v>
      </c>
      <c r="AA1100">
        <v>4.8744903242017986E-4</v>
      </c>
      <c r="AB1100">
        <v>105.39790000000001</v>
      </c>
      <c r="AC1100" t="s">
        <v>142</v>
      </c>
      <c r="AE1100" t="s">
        <v>175</v>
      </c>
      <c r="AF1100">
        <v>0</v>
      </c>
      <c r="AH1100" t="s">
        <v>237</v>
      </c>
      <c r="AJ1100">
        <v>6.0982834387341063E-4</v>
      </c>
      <c r="AK1100">
        <v>6.0982834387341063E-4</v>
      </c>
      <c r="AL1100">
        <v>0</v>
      </c>
      <c r="AN1100" t="s">
        <v>146</v>
      </c>
      <c r="AQ1100">
        <v>0</v>
      </c>
    </row>
    <row r="1101" spans="1:43" x14ac:dyDescent="0.2">
      <c r="A1101">
        <v>1099</v>
      </c>
      <c r="B1101">
        <v>66</v>
      </c>
      <c r="C1101">
        <v>8</v>
      </c>
      <c r="D1101">
        <v>3940276187.1099401</v>
      </c>
      <c r="E1101" t="s">
        <v>547</v>
      </c>
      <c r="F1101" t="s">
        <v>87</v>
      </c>
      <c r="G1101" t="s">
        <v>548</v>
      </c>
      <c r="H1101">
        <v>3.5528804695351095E-4</v>
      </c>
      <c r="I1101">
        <v>2.4566153445503708E-6</v>
      </c>
      <c r="J1101">
        <v>3.65</v>
      </c>
      <c r="L1101" s="1">
        <v>44727</v>
      </c>
      <c r="M1101" s="1">
        <v>43024</v>
      </c>
      <c r="R1101">
        <v>2.5237679917732014E-2</v>
      </c>
      <c r="T1101" t="s">
        <v>30</v>
      </c>
      <c r="V1101">
        <v>3927172.1494999998</v>
      </c>
      <c r="W1101" t="s">
        <v>549</v>
      </c>
      <c r="X1101" t="s">
        <v>550</v>
      </c>
      <c r="Y1101">
        <v>3940276187.1099401</v>
      </c>
      <c r="Z1101" t="s">
        <v>31</v>
      </c>
      <c r="AA1101">
        <v>7.780532820416387E-5</v>
      </c>
      <c r="AB1101">
        <v>108.3368</v>
      </c>
      <c r="AC1101" t="s">
        <v>55</v>
      </c>
      <c r="AE1101" t="s">
        <v>551</v>
      </c>
      <c r="AF1101">
        <v>0</v>
      </c>
      <c r="AH1101" t="s">
        <v>237</v>
      </c>
      <c r="AJ1101">
        <v>9.733919094616739E-5</v>
      </c>
      <c r="AK1101">
        <v>9.733919094616739E-5</v>
      </c>
      <c r="AL1101">
        <v>0</v>
      </c>
      <c r="AN1101" t="s">
        <v>149</v>
      </c>
      <c r="AQ1101">
        <v>0</v>
      </c>
    </row>
    <row r="1102" spans="1:43" x14ac:dyDescent="0.2">
      <c r="A1102">
        <v>1100</v>
      </c>
      <c r="B1102">
        <v>66</v>
      </c>
      <c r="C1102">
        <v>8</v>
      </c>
      <c r="D1102">
        <v>19707794473.011013</v>
      </c>
      <c r="E1102" t="s">
        <v>734</v>
      </c>
      <c r="F1102" t="s">
        <v>87</v>
      </c>
      <c r="G1102" t="s">
        <v>735</v>
      </c>
      <c r="H1102">
        <v>5.7529125148954047E-3</v>
      </c>
      <c r="I1102">
        <v>2.0306316733656635E-5</v>
      </c>
      <c r="J1102">
        <v>7.15</v>
      </c>
      <c r="L1102" s="1">
        <v>46144</v>
      </c>
      <c r="M1102" s="1">
        <v>43024</v>
      </c>
      <c r="R1102">
        <v>2.5237679917732014E-2</v>
      </c>
      <c r="T1102" t="s">
        <v>30</v>
      </c>
      <c r="V1102">
        <v>32461899.952</v>
      </c>
      <c r="W1102" t="s">
        <v>736</v>
      </c>
      <c r="X1102" t="s">
        <v>737</v>
      </c>
      <c r="Y1102">
        <v>19707794473.011013</v>
      </c>
      <c r="Z1102" t="s">
        <v>145</v>
      </c>
      <c r="AA1102">
        <v>6.4313676196182533E-4</v>
      </c>
      <c r="AB1102">
        <v>100.1476</v>
      </c>
      <c r="AC1102" t="s">
        <v>142</v>
      </c>
      <c r="AE1102" t="s">
        <v>88</v>
      </c>
      <c r="AF1102">
        <v>0</v>
      </c>
      <c r="AH1102" t="s">
        <v>237</v>
      </c>
      <c r="AJ1102">
        <v>8.0460314893642025E-4</v>
      </c>
      <c r="AK1102">
        <v>8.0460314893642025E-4</v>
      </c>
      <c r="AL1102">
        <v>0</v>
      </c>
      <c r="AN1102" t="s">
        <v>146</v>
      </c>
      <c r="AQ1102">
        <v>0</v>
      </c>
    </row>
    <row r="1103" spans="1:43" x14ac:dyDescent="0.2">
      <c r="A1103">
        <v>1101</v>
      </c>
      <c r="B1103">
        <v>66</v>
      </c>
      <c r="C1103">
        <v>8</v>
      </c>
      <c r="D1103">
        <v>3940597209.4201055</v>
      </c>
      <c r="E1103" t="s">
        <v>369</v>
      </c>
      <c r="F1103" t="s">
        <v>87</v>
      </c>
      <c r="G1103" t="s">
        <v>738</v>
      </c>
      <c r="H1103">
        <v>1.0351663780821141E-3</v>
      </c>
      <c r="I1103">
        <v>4.1600633298780823E-6</v>
      </c>
      <c r="J1103">
        <v>6.28</v>
      </c>
      <c r="L1103" s="1">
        <v>45685</v>
      </c>
      <c r="M1103" s="1">
        <v>43024</v>
      </c>
      <c r="R1103">
        <v>2.5237679917732014E-2</v>
      </c>
      <c r="T1103" t="s">
        <v>30</v>
      </c>
      <c r="V1103">
        <v>6650322.7237</v>
      </c>
      <c r="W1103" t="s">
        <v>371</v>
      </c>
      <c r="X1103" t="s">
        <v>739</v>
      </c>
      <c r="Y1103">
        <v>3940597209.4201055</v>
      </c>
      <c r="Z1103" t="s">
        <v>31</v>
      </c>
      <c r="AA1103">
        <v>1.3175652160982192E-4</v>
      </c>
      <c r="AB1103">
        <v>103.5864</v>
      </c>
      <c r="AC1103" t="s">
        <v>142</v>
      </c>
      <c r="AE1103" t="s">
        <v>177</v>
      </c>
      <c r="AF1103">
        <v>0</v>
      </c>
      <c r="AH1103" t="s">
        <v>237</v>
      </c>
      <c r="AJ1103">
        <v>1.6483541052262962E-4</v>
      </c>
      <c r="AK1103">
        <v>1.6483541052262962E-4</v>
      </c>
      <c r="AL1103">
        <v>0</v>
      </c>
      <c r="AN1103" t="s">
        <v>146</v>
      </c>
      <c r="AQ1103">
        <v>0</v>
      </c>
    </row>
    <row r="1104" spans="1:43" x14ac:dyDescent="0.2">
      <c r="A1104">
        <v>1102</v>
      </c>
      <c r="B1104">
        <v>66</v>
      </c>
      <c r="C1104">
        <v>8</v>
      </c>
      <c r="D1104">
        <v>9853559899.2273979</v>
      </c>
      <c r="E1104" t="s">
        <v>369</v>
      </c>
      <c r="F1104" t="s">
        <v>87</v>
      </c>
      <c r="G1104" t="s">
        <v>740</v>
      </c>
      <c r="H1104">
        <v>1.0043692994395857E-3</v>
      </c>
      <c r="I1104">
        <v>1.0878948883456224E-5</v>
      </c>
      <c r="J1104">
        <v>2.33</v>
      </c>
      <c r="L1104" s="1">
        <v>43942</v>
      </c>
      <c r="M1104" s="1">
        <v>43024</v>
      </c>
      <c r="R1104">
        <v>2.5237679917732014E-2</v>
      </c>
      <c r="T1104" t="s">
        <v>30</v>
      </c>
      <c r="V1104">
        <v>17391206.6314</v>
      </c>
      <c r="W1104" t="s">
        <v>371</v>
      </c>
      <c r="X1104" t="s">
        <v>739</v>
      </c>
      <c r="Y1104">
        <v>9853559899.2273979</v>
      </c>
      <c r="Z1104" t="s">
        <v>31</v>
      </c>
      <c r="AA1104">
        <v>3.4455544302909819E-4</v>
      </c>
      <c r="AB1104">
        <v>106.6502</v>
      </c>
      <c r="AC1104" t="s">
        <v>142</v>
      </c>
      <c r="AE1104" t="s">
        <v>177</v>
      </c>
      <c r="AF1104">
        <v>0</v>
      </c>
      <c r="AH1104" t="s">
        <v>237</v>
      </c>
      <c r="AJ1104">
        <v>4.3105978516720412E-4</v>
      </c>
      <c r="AK1104">
        <v>4.3105978516720412E-4</v>
      </c>
      <c r="AL1104">
        <v>0</v>
      </c>
      <c r="AN1104" t="s">
        <v>146</v>
      </c>
      <c r="AQ1104">
        <v>0</v>
      </c>
    </row>
    <row r="1105" spans="1:43" x14ac:dyDescent="0.2">
      <c r="A1105">
        <v>1103</v>
      </c>
      <c r="B1105">
        <v>66</v>
      </c>
      <c r="C1105">
        <v>8</v>
      </c>
      <c r="D1105">
        <v>5586686388.3308201</v>
      </c>
      <c r="E1105" t="s">
        <v>741</v>
      </c>
      <c r="F1105" t="s">
        <v>87</v>
      </c>
      <c r="G1105" t="s">
        <v>742</v>
      </c>
      <c r="H1105">
        <v>1.3911163700994198E-3</v>
      </c>
      <c r="I1105">
        <v>6.1810826895926734E-6</v>
      </c>
      <c r="J1105">
        <v>5.68</v>
      </c>
      <c r="L1105" s="1">
        <v>45399</v>
      </c>
      <c r="M1105" s="1">
        <v>43024</v>
      </c>
      <c r="R1105">
        <v>2.5237679917732014E-2</v>
      </c>
      <c r="T1105" t="s">
        <v>30</v>
      </c>
      <c r="V1105">
        <v>9881146.3692000005</v>
      </c>
      <c r="W1105" t="s">
        <v>743</v>
      </c>
      <c r="X1105" t="s">
        <v>744</v>
      </c>
      <c r="Y1105">
        <v>5586686388.3308201</v>
      </c>
      <c r="Z1105" t="s">
        <v>143</v>
      </c>
      <c r="AA1105">
        <v>1.9576575892830953E-4</v>
      </c>
      <c r="AB1105">
        <v>107.13079999999999</v>
      </c>
      <c r="AC1105" t="s">
        <v>54</v>
      </c>
      <c r="AE1105" t="s">
        <v>41</v>
      </c>
      <c r="AF1105">
        <v>0</v>
      </c>
      <c r="AH1105" t="s">
        <v>237</v>
      </c>
      <c r="AJ1105">
        <v>2.4491485389074294E-4</v>
      </c>
      <c r="AK1105">
        <v>2.4491485389074294E-4</v>
      </c>
      <c r="AL1105">
        <v>0</v>
      </c>
      <c r="AN1105" t="s">
        <v>154</v>
      </c>
      <c r="AQ1105">
        <v>0</v>
      </c>
    </row>
    <row r="1106" spans="1:43" x14ac:dyDescent="0.2">
      <c r="A1106">
        <v>1104</v>
      </c>
      <c r="B1106">
        <v>66</v>
      </c>
      <c r="C1106">
        <v>8</v>
      </c>
      <c r="D1106">
        <v>15766573540.570498</v>
      </c>
      <c r="E1106" t="s">
        <v>741</v>
      </c>
      <c r="F1106" t="s">
        <v>87</v>
      </c>
      <c r="G1106" t="s">
        <v>745</v>
      </c>
      <c r="H1106">
        <v>5.0402840538085131E-3</v>
      </c>
      <c r="I1106">
        <v>1.6163287883668111E-5</v>
      </c>
      <c r="J1106">
        <v>7.87</v>
      </c>
      <c r="L1106" s="1">
        <v>46488</v>
      </c>
      <c r="M1106" s="1">
        <v>43024</v>
      </c>
      <c r="R1106">
        <v>2.5237679917732014E-2</v>
      </c>
      <c r="T1106" t="s">
        <v>30</v>
      </c>
      <c r="V1106">
        <v>25838808.734099999</v>
      </c>
      <c r="W1106" t="s">
        <v>743</v>
      </c>
      <c r="X1106" t="s">
        <v>744</v>
      </c>
      <c r="Y1106">
        <v>15766573540.570498</v>
      </c>
      <c r="Z1106" t="s">
        <v>143</v>
      </c>
      <c r="AA1106">
        <v>5.1191975228720909E-4</v>
      </c>
      <c r="AB1106">
        <v>101.4503</v>
      </c>
      <c r="AC1106" t="s">
        <v>54</v>
      </c>
      <c r="AE1106" t="s">
        <v>41</v>
      </c>
      <c r="AF1106">
        <v>0</v>
      </c>
      <c r="AH1106" t="s">
        <v>237</v>
      </c>
      <c r="AJ1106">
        <v>6.404427006109928E-4</v>
      </c>
      <c r="AK1106">
        <v>6.404427006109928E-4</v>
      </c>
      <c r="AL1106">
        <v>0</v>
      </c>
      <c r="AN1106" t="s">
        <v>154</v>
      </c>
      <c r="AQ1106">
        <v>0</v>
      </c>
    </row>
    <row r="1107" spans="1:43" x14ac:dyDescent="0.2">
      <c r="A1107">
        <v>1105</v>
      </c>
      <c r="B1107">
        <v>66</v>
      </c>
      <c r="C1107">
        <v>8</v>
      </c>
      <c r="D1107">
        <v>19708289892.803307</v>
      </c>
      <c r="E1107" t="s">
        <v>746</v>
      </c>
      <c r="F1107" t="s">
        <v>87</v>
      </c>
      <c r="G1107" t="s">
        <v>747</v>
      </c>
      <c r="H1107">
        <v>5.9968761542034121E-3</v>
      </c>
      <c r="I1107">
        <v>2.1714094818660755E-5</v>
      </c>
      <c r="J1107">
        <v>6.97</v>
      </c>
      <c r="L1107" s="1">
        <v>46217</v>
      </c>
      <c r="M1107" s="1">
        <v>43024</v>
      </c>
      <c r="R1107">
        <v>2.5237679917732014E-2</v>
      </c>
      <c r="T1107" t="s">
        <v>30</v>
      </c>
      <c r="V1107">
        <v>34712389.390799999</v>
      </c>
      <c r="W1107" t="s">
        <v>748</v>
      </c>
      <c r="X1107" t="s">
        <v>749</v>
      </c>
      <c r="Y1107">
        <v>19708289892.803307</v>
      </c>
      <c r="Z1107" t="s">
        <v>31</v>
      </c>
      <c r="AA1107">
        <v>6.8772356965451377E-4</v>
      </c>
      <c r="AB1107">
        <v>107.62779999999999</v>
      </c>
      <c r="AC1107" t="s">
        <v>55</v>
      </c>
      <c r="AE1107" t="s">
        <v>175</v>
      </c>
      <c r="AF1107">
        <v>0</v>
      </c>
      <c r="AH1107" t="s">
        <v>237</v>
      </c>
      <c r="AJ1107">
        <v>8.6038395325730452E-4</v>
      </c>
      <c r="AK1107">
        <v>8.6038395325730452E-4</v>
      </c>
      <c r="AL1107">
        <v>0</v>
      </c>
      <c r="AN1107" t="s">
        <v>149</v>
      </c>
      <c r="AQ1107">
        <v>0</v>
      </c>
    </row>
    <row r="1108" spans="1:43" x14ac:dyDescent="0.2">
      <c r="A1108">
        <v>1106</v>
      </c>
      <c r="B1108">
        <v>66</v>
      </c>
      <c r="C1108">
        <v>8</v>
      </c>
      <c r="D1108">
        <v>2660409475.1262898</v>
      </c>
      <c r="E1108" t="s">
        <v>746</v>
      </c>
      <c r="F1108" t="s">
        <v>87</v>
      </c>
      <c r="G1108" t="s">
        <v>1468</v>
      </c>
      <c r="H1108">
        <v>8.0917167876631358E-4</v>
      </c>
      <c r="I1108">
        <v>2.9299305347486502E-6</v>
      </c>
      <c r="J1108">
        <v>6.97</v>
      </c>
      <c r="L1108" s="1">
        <v>46217</v>
      </c>
      <c r="M1108" s="1">
        <v>43024</v>
      </c>
      <c r="R1108">
        <v>2.5237679917732014E-2</v>
      </c>
      <c r="T1108" t="s">
        <v>30</v>
      </c>
      <c r="V1108">
        <v>4683818.9875999996</v>
      </c>
      <c r="W1108" t="s">
        <v>748</v>
      </c>
      <c r="X1108" t="s">
        <v>749</v>
      </c>
      <c r="Y1108">
        <v>2660409475.1262898</v>
      </c>
      <c r="Z1108" t="s">
        <v>31</v>
      </c>
      <c r="AA1108">
        <v>9.2796052657256319E-5</v>
      </c>
      <c r="AB1108">
        <v>107.58159999999999</v>
      </c>
      <c r="AC1108" t="s">
        <v>55</v>
      </c>
      <c r="AE1108" t="s">
        <v>175</v>
      </c>
      <c r="AF1108">
        <v>0</v>
      </c>
      <c r="AH1108" t="s">
        <v>237</v>
      </c>
      <c r="AJ1108">
        <v>1.1609349767092017E-4</v>
      </c>
      <c r="AK1108">
        <v>1.1609349767092017E-4</v>
      </c>
      <c r="AL1108">
        <v>0</v>
      </c>
      <c r="AN1108" t="s">
        <v>149</v>
      </c>
      <c r="AQ1108">
        <v>0</v>
      </c>
    </row>
    <row r="1109" spans="1:43" x14ac:dyDescent="0.2">
      <c r="A1109">
        <v>1107</v>
      </c>
      <c r="B1109">
        <v>66</v>
      </c>
      <c r="C1109">
        <v>8</v>
      </c>
      <c r="D1109">
        <v>10326205379.167875</v>
      </c>
      <c r="E1109" t="s">
        <v>758</v>
      </c>
      <c r="F1109" t="s">
        <v>87</v>
      </c>
      <c r="G1109" t="s">
        <v>759</v>
      </c>
      <c r="H1109">
        <v>3.6942262314182475E-3</v>
      </c>
      <c r="I1109">
        <v>1.0994539996724424E-5</v>
      </c>
      <c r="J1109">
        <v>8.48</v>
      </c>
      <c r="L1109" s="1">
        <v>46873</v>
      </c>
      <c r="M1109" s="1">
        <v>43024</v>
      </c>
      <c r="R1109">
        <v>2.5237679917732014E-2</v>
      </c>
      <c r="T1109" t="s">
        <v>30</v>
      </c>
      <c r="V1109">
        <v>17575991.848900001</v>
      </c>
      <c r="W1109" t="s">
        <v>760</v>
      </c>
      <c r="X1109" t="s">
        <v>761</v>
      </c>
      <c r="Y1109">
        <v>10326205379.167875</v>
      </c>
      <c r="Z1109" t="s">
        <v>147</v>
      </c>
      <c r="AA1109">
        <v>3.4821641686664579E-4</v>
      </c>
      <c r="AB1109">
        <v>103.4686</v>
      </c>
      <c r="AC1109" t="s">
        <v>33</v>
      </c>
      <c r="AE1109" t="s">
        <v>89</v>
      </c>
      <c r="AF1109">
        <v>0</v>
      </c>
      <c r="AH1109" t="s">
        <v>237</v>
      </c>
      <c r="AJ1109">
        <v>4.3563988578045369E-4</v>
      </c>
      <c r="AK1109">
        <v>4.3563988578045369E-4</v>
      </c>
      <c r="AL1109">
        <v>0</v>
      </c>
      <c r="AN1109" t="s">
        <v>148</v>
      </c>
      <c r="AQ1109">
        <v>0</v>
      </c>
    </row>
    <row r="1110" spans="1:43" x14ac:dyDescent="0.2">
      <c r="A1110">
        <v>1108</v>
      </c>
      <c r="B1110">
        <v>66</v>
      </c>
      <c r="C1110">
        <v>8</v>
      </c>
      <c r="D1110">
        <v>7882854366.4301443</v>
      </c>
      <c r="E1110" t="s">
        <v>750</v>
      </c>
      <c r="F1110" t="s">
        <v>87</v>
      </c>
      <c r="G1110" t="s">
        <v>751</v>
      </c>
      <c r="H1110">
        <v>4.9372867511879399E-3</v>
      </c>
      <c r="I1110">
        <v>9.796042664193412E-6</v>
      </c>
      <c r="J1110">
        <v>12.72</v>
      </c>
      <c r="L1110" s="1">
        <v>51150</v>
      </c>
      <c r="M1110" s="1">
        <v>43024</v>
      </c>
      <c r="R1110">
        <v>2.5237679917732014E-2</v>
      </c>
      <c r="T1110" t="s">
        <v>30</v>
      </c>
      <c r="V1110">
        <v>15660060.9092</v>
      </c>
      <c r="W1110" t="s">
        <v>752</v>
      </c>
      <c r="X1110" t="s">
        <v>753</v>
      </c>
      <c r="Y1110">
        <v>7882854366.4301443</v>
      </c>
      <c r="Z1110" t="s">
        <v>145</v>
      </c>
      <c r="AA1110">
        <v>3.1025789864919258E-4</v>
      </c>
      <c r="AB1110">
        <v>121.3772</v>
      </c>
      <c r="AC1110" t="s">
        <v>33</v>
      </c>
      <c r="AE1110" t="s">
        <v>43</v>
      </c>
      <c r="AF1110">
        <v>0</v>
      </c>
      <c r="AH1110" t="s">
        <v>237</v>
      </c>
      <c r="AJ1110">
        <v>3.8815147414999524E-4</v>
      </c>
      <c r="AK1110">
        <v>3.8815147414999524E-4</v>
      </c>
      <c r="AL1110">
        <v>0</v>
      </c>
      <c r="AN1110" t="s">
        <v>148</v>
      </c>
      <c r="AQ1110">
        <v>0</v>
      </c>
    </row>
    <row r="1111" spans="1:43" x14ac:dyDescent="0.2">
      <c r="A1111">
        <v>1109</v>
      </c>
      <c r="B1111">
        <v>66</v>
      </c>
      <c r="C1111">
        <v>8</v>
      </c>
      <c r="D1111">
        <v>24339689215.333733</v>
      </c>
      <c r="E1111" t="s">
        <v>766</v>
      </c>
      <c r="F1111" t="s">
        <v>87</v>
      </c>
      <c r="G1111" t="s">
        <v>767</v>
      </c>
      <c r="H1111">
        <v>5.0757263186955864E-3</v>
      </c>
      <c r="I1111">
        <v>2.6089522643838585E-5</v>
      </c>
      <c r="J1111">
        <v>4.91</v>
      </c>
      <c r="L1111" s="1">
        <v>45053</v>
      </c>
      <c r="M1111" s="1">
        <v>43024</v>
      </c>
      <c r="R1111">
        <v>2.5237679917732014E-2</v>
      </c>
      <c r="T1111" t="s">
        <v>30</v>
      </c>
      <c r="V1111">
        <v>41706996.1514</v>
      </c>
      <c r="W1111" t="s">
        <v>768</v>
      </c>
      <c r="X1111" t="s">
        <v>769</v>
      </c>
      <c r="Y1111">
        <v>24339689215.333733</v>
      </c>
      <c r="Z1111" t="s">
        <v>147</v>
      </c>
      <c r="AA1111">
        <v>8.2630106357385613E-4</v>
      </c>
      <c r="AB1111">
        <v>104.206</v>
      </c>
      <c r="AC1111" t="s">
        <v>142</v>
      </c>
      <c r="AE1111" t="s">
        <v>175</v>
      </c>
      <c r="AF1111">
        <v>0</v>
      </c>
      <c r="AH1111" t="s">
        <v>237</v>
      </c>
      <c r="AJ1111">
        <v>1.0337528143982864E-3</v>
      </c>
      <c r="AK1111">
        <v>1.0337528143982864E-3</v>
      </c>
      <c r="AL1111">
        <v>0</v>
      </c>
      <c r="AN1111" t="s">
        <v>146</v>
      </c>
      <c r="AQ1111">
        <v>0</v>
      </c>
    </row>
    <row r="1112" spans="1:43" x14ac:dyDescent="0.2">
      <c r="A1112">
        <v>1110</v>
      </c>
      <c r="B1112">
        <v>66</v>
      </c>
      <c r="C1112">
        <v>8</v>
      </c>
      <c r="D1112">
        <v>23077909009.148537</v>
      </c>
      <c r="E1112" t="s">
        <v>762</v>
      </c>
      <c r="F1112" t="s">
        <v>87</v>
      </c>
      <c r="G1112" t="s">
        <v>763</v>
      </c>
      <c r="H1112">
        <v>3.7916338828146022E-3</v>
      </c>
      <c r="I1112">
        <v>2.4103788992368346E-5</v>
      </c>
      <c r="J1112">
        <v>3.97</v>
      </c>
      <c r="L1112" s="1">
        <v>44640</v>
      </c>
      <c r="M1112" s="1">
        <v>43024</v>
      </c>
      <c r="R1112">
        <v>2.5237679917732014E-2</v>
      </c>
      <c r="T1112" t="s">
        <v>30</v>
      </c>
      <c r="V1112">
        <v>38532580.624899998</v>
      </c>
      <c r="W1112" t="s">
        <v>764</v>
      </c>
      <c r="X1112" t="s">
        <v>765</v>
      </c>
      <c r="Y1112">
        <v>23077909009.148537</v>
      </c>
      <c r="Z1112" t="s">
        <v>143</v>
      </c>
      <c r="AA1112">
        <v>7.6340938668946674E-4</v>
      </c>
      <c r="AB1112">
        <v>103.00960000000001</v>
      </c>
      <c r="AC1112" t="s">
        <v>142</v>
      </c>
      <c r="AE1112" t="s">
        <v>175</v>
      </c>
      <c r="AF1112">
        <v>0</v>
      </c>
      <c r="AH1112" t="s">
        <v>237</v>
      </c>
      <c r="AJ1112">
        <v>9.5507150700619694E-4</v>
      </c>
      <c r="AK1112">
        <v>9.5507150700619694E-4</v>
      </c>
      <c r="AL1112">
        <v>0</v>
      </c>
      <c r="AN1112" t="s">
        <v>146</v>
      </c>
      <c r="AQ1112">
        <v>0</v>
      </c>
    </row>
    <row r="1113" spans="1:43" x14ac:dyDescent="0.2">
      <c r="A1113">
        <v>1111</v>
      </c>
      <c r="B1113">
        <v>66</v>
      </c>
      <c r="C1113">
        <v>8</v>
      </c>
      <c r="D1113">
        <v>17244611638.841972</v>
      </c>
      <c r="E1113" t="s">
        <v>661</v>
      </c>
      <c r="F1113" t="s">
        <v>87</v>
      </c>
      <c r="G1113" t="s">
        <v>662</v>
      </c>
      <c r="H1113">
        <v>4.5073763302233335E-3</v>
      </c>
      <c r="I1113">
        <v>1.8927740614132786E-5</v>
      </c>
      <c r="J1113">
        <v>6.01</v>
      </c>
      <c r="L1113" s="1">
        <v>45641</v>
      </c>
      <c r="M1113" s="1">
        <v>43024</v>
      </c>
      <c r="R1113">
        <v>2.5237679917732014E-2</v>
      </c>
      <c r="T1113" t="s">
        <v>30</v>
      </c>
      <c r="V1113">
        <v>30258093.094500002</v>
      </c>
      <c r="W1113" t="s">
        <v>663</v>
      </c>
      <c r="X1113" t="s">
        <v>664</v>
      </c>
      <c r="Y1113">
        <v>17244611638.841972</v>
      </c>
      <c r="Z1113" t="s">
        <v>145</v>
      </c>
      <c r="AA1113">
        <v>5.9947483187093142E-4</v>
      </c>
      <c r="AB1113">
        <v>106.9196</v>
      </c>
      <c r="AC1113" t="s">
        <v>34</v>
      </c>
      <c r="AE1113" t="s">
        <v>41</v>
      </c>
      <c r="AF1113">
        <v>0</v>
      </c>
      <c r="AH1113" t="s">
        <v>237</v>
      </c>
      <c r="AJ1113">
        <v>7.4997942266611208E-4</v>
      </c>
      <c r="AK1113">
        <v>7.4997942266611208E-4</v>
      </c>
      <c r="AL1113">
        <v>0</v>
      </c>
      <c r="AN1113" t="s">
        <v>54</v>
      </c>
      <c r="AQ1113">
        <v>0</v>
      </c>
    </row>
    <row r="1114" spans="1:43" x14ac:dyDescent="0.2">
      <c r="A1114">
        <v>1112</v>
      </c>
      <c r="B1114">
        <v>66</v>
      </c>
      <c r="C1114">
        <v>8</v>
      </c>
      <c r="D1114">
        <v>9853540696.8507633</v>
      </c>
      <c r="E1114" t="s">
        <v>1469</v>
      </c>
      <c r="F1114" t="s">
        <v>87</v>
      </c>
      <c r="G1114" t="s">
        <v>1470</v>
      </c>
      <c r="H1114">
        <v>3.176719216679817E-3</v>
      </c>
      <c r="I1114">
        <v>1.1486106415340056E-5</v>
      </c>
      <c r="J1114">
        <v>6.98</v>
      </c>
      <c r="L1114" s="1">
        <v>46244</v>
      </c>
      <c r="M1114" s="1">
        <v>43024</v>
      </c>
      <c r="R1114">
        <v>2.5237679917732014E-2</v>
      </c>
      <c r="T1114" t="s">
        <v>30</v>
      </c>
      <c r="V1114">
        <v>18361815.300299998</v>
      </c>
      <c r="W1114" t="s">
        <v>1471</v>
      </c>
      <c r="X1114" t="s">
        <v>1472</v>
      </c>
      <c r="Y1114">
        <v>9853540696.8507633</v>
      </c>
      <c r="Z1114" t="s">
        <v>157</v>
      </c>
      <c r="AA1114">
        <v>3.6378518982061218E-4</v>
      </c>
      <c r="AB1114">
        <v>114.2796</v>
      </c>
      <c r="AC1114" t="s">
        <v>55</v>
      </c>
      <c r="AE1114" t="s">
        <v>177</v>
      </c>
      <c r="AF1114">
        <v>0</v>
      </c>
      <c r="AH1114" t="s">
        <v>237</v>
      </c>
      <c r="AJ1114">
        <v>4.5511736628650671E-4</v>
      </c>
      <c r="AK1114">
        <v>4.5511736628650671E-4</v>
      </c>
      <c r="AL1114">
        <v>0</v>
      </c>
      <c r="AN1114" t="s">
        <v>149</v>
      </c>
      <c r="AQ1114">
        <v>0</v>
      </c>
    </row>
    <row r="1115" spans="1:43" x14ac:dyDescent="0.2">
      <c r="A1115">
        <v>1113</v>
      </c>
      <c r="B1115">
        <v>66</v>
      </c>
      <c r="C1115">
        <v>8</v>
      </c>
      <c r="D1115">
        <v>0</v>
      </c>
      <c r="E1115" t="s">
        <v>204</v>
      </c>
      <c r="F1115" t="s">
        <v>87</v>
      </c>
      <c r="G1115" t="s">
        <v>1730</v>
      </c>
      <c r="H1115">
        <v>0</v>
      </c>
      <c r="I1115">
        <v>-3.8916911358207373E-4</v>
      </c>
      <c r="J1115">
        <v>0</v>
      </c>
      <c r="L1115" s="1">
        <v>43042</v>
      </c>
      <c r="M1115" s="1">
        <v>43024</v>
      </c>
      <c r="R1115">
        <v>2.5237679917732014E-2</v>
      </c>
      <c r="T1115" t="s">
        <v>30</v>
      </c>
      <c r="V1115">
        <v>-622130000</v>
      </c>
      <c r="W1115" t="s">
        <v>200</v>
      </c>
      <c r="X1115" t="s">
        <v>205</v>
      </c>
      <c r="Y1115">
        <v>0</v>
      </c>
      <c r="Z1115" t="s">
        <v>47</v>
      </c>
      <c r="AA1115">
        <v>-1.2325670226047846E-2</v>
      </c>
      <c r="AB1115">
        <v>0</v>
      </c>
      <c r="AC1115" t="s">
        <v>47</v>
      </c>
      <c r="AE1115" t="s">
        <v>108</v>
      </c>
      <c r="AF1115">
        <v>0</v>
      </c>
      <c r="AH1115" t="s">
        <v>202</v>
      </c>
      <c r="AJ1115">
        <v>-1.5420162029578764E-2</v>
      </c>
      <c r="AK1115">
        <v>-1.5420162029578764E-2</v>
      </c>
      <c r="AL1115">
        <v>0</v>
      </c>
      <c r="AN1115" t="s">
        <v>47</v>
      </c>
      <c r="AQ1115">
        <v>0</v>
      </c>
    </row>
    <row r="1116" spans="1:43" x14ac:dyDescent="0.2">
      <c r="A1116">
        <v>1114</v>
      </c>
      <c r="B1116">
        <v>66</v>
      </c>
      <c r="C1116">
        <v>8</v>
      </c>
      <c r="D1116">
        <v>0</v>
      </c>
      <c r="E1116" t="s">
        <v>1004</v>
      </c>
      <c r="F1116" t="s">
        <v>87</v>
      </c>
      <c r="G1116" t="s">
        <v>161</v>
      </c>
      <c r="H1116">
        <v>0</v>
      </c>
      <c r="I1116">
        <v>1.5656229713945843E-5</v>
      </c>
      <c r="J1116">
        <v>0</v>
      </c>
      <c r="L1116" s="1">
        <v>43024</v>
      </c>
      <c r="M1116" s="1">
        <v>43024</v>
      </c>
      <c r="R1116">
        <v>2.5237679917732014E-2</v>
      </c>
      <c r="T1116" t="s">
        <v>30</v>
      </c>
      <c r="V1116">
        <v>25028220</v>
      </c>
      <c r="W1116" t="s">
        <v>45</v>
      </c>
      <c r="X1116" t="s">
        <v>51</v>
      </c>
      <c r="Y1116">
        <v>0</v>
      </c>
      <c r="Z1116" t="s">
        <v>47</v>
      </c>
      <c r="AA1116">
        <v>4.9586032833165926E-4</v>
      </c>
      <c r="AB1116">
        <v>0</v>
      </c>
      <c r="AC1116" t="s">
        <v>47</v>
      </c>
      <c r="AE1116" t="s">
        <v>45</v>
      </c>
      <c r="AF1116">
        <v>0</v>
      </c>
      <c r="AH1116" t="s">
        <v>174</v>
      </c>
      <c r="AJ1116">
        <v>6.2035138590317747E-4</v>
      </c>
      <c r="AK1116">
        <v>6.2035138590317747E-4</v>
      </c>
      <c r="AL1116">
        <v>0</v>
      </c>
      <c r="AN1116" t="s">
        <v>47</v>
      </c>
      <c r="AQ1116">
        <v>0</v>
      </c>
    </row>
    <row r="1117" spans="1:43" x14ac:dyDescent="0.2">
      <c r="A1117">
        <v>1115</v>
      </c>
      <c r="B1117">
        <v>73</v>
      </c>
      <c r="C1117">
        <v>8</v>
      </c>
      <c r="D1117">
        <v>0</v>
      </c>
      <c r="E1117" t="s">
        <v>1004</v>
      </c>
      <c r="F1117" t="s">
        <v>87</v>
      </c>
      <c r="G1117" t="s">
        <v>274</v>
      </c>
      <c r="H1117">
        <v>0</v>
      </c>
      <c r="I1117">
        <v>0</v>
      </c>
      <c r="J1117">
        <v>0</v>
      </c>
      <c r="L1117" s="1">
        <v>43024</v>
      </c>
      <c r="M1117" s="1">
        <v>43024</v>
      </c>
      <c r="R1117">
        <v>5.7031149408421121E-3</v>
      </c>
      <c r="T1117" t="s">
        <v>49</v>
      </c>
      <c r="V1117">
        <v>0</v>
      </c>
      <c r="W1117" t="s">
        <v>45</v>
      </c>
      <c r="X1117" t="s">
        <v>275</v>
      </c>
      <c r="Y1117">
        <v>0</v>
      </c>
      <c r="Z1117" t="s">
        <v>47</v>
      </c>
      <c r="AA1117">
        <v>0</v>
      </c>
      <c r="AB1117">
        <v>0</v>
      </c>
      <c r="AC1117" t="s">
        <v>47</v>
      </c>
      <c r="AE1117" t="s">
        <v>45</v>
      </c>
      <c r="AF1117">
        <v>0</v>
      </c>
      <c r="AH1117" t="s">
        <v>174</v>
      </c>
      <c r="AJ1117">
        <v>0</v>
      </c>
      <c r="AK1117">
        <v>0</v>
      </c>
      <c r="AL1117">
        <v>0</v>
      </c>
      <c r="AN1117" t="s">
        <v>47</v>
      </c>
      <c r="AQ1117">
        <v>0</v>
      </c>
    </row>
    <row r="1118" spans="1:43" x14ac:dyDescent="0.2">
      <c r="A1118">
        <v>1116</v>
      </c>
      <c r="B1118">
        <v>73</v>
      </c>
      <c r="C1118">
        <v>8</v>
      </c>
      <c r="D1118">
        <v>0</v>
      </c>
      <c r="E1118" t="s">
        <v>1004</v>
      </c>
      <c r="F1118" t="s">
        <v>87</v>
      </c>
      <c r="G1118" t="s">
        <v>162</v>
      </c>
      <c r="H1118">
        <v>0</v>
      </c>
      <c r="I1118">
        <v>0</v>
      </c>
      <c r="J1118">
        <v>0</v>
      </c>
      <c r="L1118" s="1">
        <v>43024</v>
      </c>
      <c r="M1118" s="1">
        <v>43024</v>
      </c>
      <c r="R1118">
        <v>5.7031149408421121E-3</v>
      </c>
      <c r="T1118" t="s">
        <v>49</v>
      </c>
      <c r="V1118">
        <v>0</v>
      </c>
      <c r="W1118" t="s">
        <v>45</v>
      </c>
      <c r="X1118" t="s">
        <v>50</v>
      </c>
      <c r="Y1118">
        <v>0</v>
      </c>
      <c r="Z1118" t="s">
        <v>47</v>
      </c>
      <c r="AA1118">
        <v>0</v>
      </c>
      <c r="AB1118">
        <v>0</v>
      </c>
      <c r="AC1118" t="s">
        <v>47</v>
      </c>
      <c r="AE1118" t="s">
        <v>45</v>
      </c>
      <c r="AF1118">
        <v>0</v>
      </c>
      <c r="AH1118" t="s">
        <v>174</v>
      </c>
      <c r="AJ1118">
        <v>0</v>
      </c>
      <c r="AK1118">
        <v>0</v>
      </c>
      <c r="AL1118">
        <v>0</v>
      </c>
      <c r="AN1118" t="s">
        <v>47</v>
      </c>
      <c r="AQ1118">
        <v>0</v>
      </c>
    </row>
    <row r="1119" spans="1:43" x14ac:dyDescent="0.2">
      <c r="A1119">
        <v>1117</v>
      </c>
      <c r="B1119">
        <v>87</v>
      </c>
      <c r="C1119">
        <v>8</v>
      </c>
      <c r="D1119">
        <v>8028466.478775586</v>
      </c>
      <c r="E1119" t="s">
        <v>400</v>
      </c>
      <c r="F1119" t="s">
        <v>87</v>
      </c>
      <c r="G1119" t="s">
        <v>401</v>
      </c>
      <c r="H1119">
        <v>2.4457762235955652E-2</v>
      </c>
      <c r="I1119">
        <v>1.7045450241930666E-4</v>
      </c>
      <c r="J1119">
        <v>1.43</v>
      </c>
      <c r="L1119" s="1">
        <v>43556</v>
      </c>
      <c r="M1119" s="1">
        <v>43024</v>
      </c>
      <c r="R1119">
        <v>9.966158641499457E-3</v>
      </c>
      <c r="T1119" t="s">
        <v>32</v>
      </c>
      <c r="V1119">
        <v>690037810.15069997</v>
      </c>
      <c r="W1119" t="s">
        <v>226</v>
      </c>
      <c r="X1119" t="s">
        <v>402</v>
      </c>
      <c r="Y1119">
        <v>8028466.478775586</v>
      </c>
      <c r="Z1119" t="s">
        <v>31</v>
      </c>
      <c r="AA1119">
        <v>5.3985938555793584E-3</v>
      </c>
      <c r="AB1119">
        <v>102.16</v>
      </c>
      <c r="AC1119" t="s">
        <v>142</v>
      </c>
      <c r="AE1119" t="s">
        <v>41</v>
      </c>
      <c r="AF1119">
        <v>-4.8888208702300637E-3</v>
      </c>
      <c r="AH1119" t="s">
        <v>237</v>
      </c>
      <c r="AJ1119">
        <v>1.7103330234934024E-2</v>
      </c>
      <c r="AK1119">
        <v>1.7103330234934024E-2</v>
      </c>
      <c r="AL1119">
        <v>0</v>
      </c>
      <c r="AN1119" t="s">
        <v>146</v>
      </c>
      <c r="AQ1119">
        <v>-8.3615117802982313E-5</v>
      </c>
    </row>
    <row r="1120" spans="1:43" x14ac:dyDescent="0.2">
      <c r="A1120">
        <v>1118</v>
      </c>
      <c r="B1120">
        <v>87</v>
      </c>
      <c r="C1120">
        <v>8</v>
      </c>
      <c r="D1120">
        <v>12165067.136377573</v>
      </c>
      <c r="E1120" t="s">
        <v>1007</v>
      </c>
      <c r="F1120" t="s">
        <v>87</v>
      </c>
      <c r="G1120" t="s">
        <v>1008</v>
      </c>
      <c r="H1120">
        <v>9.2276334082091026E-3</v>
      </c>
      <c r="I1120">
        <v>4.8658231974503829E-5</v>
      </c>
      <c r="J1120">
        <v>1.89</v>
      </c>
      <c r="L1120" s="1">
        <v>44287</v>
      </c>
      <c r="M1120" s="1">
        <v>43024</v>
      </c>
      <c r="R1120">
        <v>9.966158641499457E-3</v>
      </c>
      <c r="T1120" t="s">
        <v>32</v>
      </c>
      <c r="V1120">
        <v>196979366.11199999</v>
      </c>
      <c r="W1120" t="s">
        <v>1009</v>
      </c>
      <c r="X1120" t="s">
        <v>1010</v>
      </c>
      <c r="Y1120">
        <v>12165067.136377573</v>
      </c>
      <c r="Z1120" t="s">
        <v>31</v>
      </c>
      <c r="AA1120">
        <v>1.5410917777620293E-3</v>
      </c>
      <c r="AB1120">
        <v>101.53</v>
      </c>
      <c r="AC1120" t="s">
        <v>142</v>
      </c>
      <c r="AE1120" t="s">
        <v>41</v>
      </c>
      <c r="AF1120">
        <v>6.1111791297699357E-3</v>
      </c>
      <c r="AH1120" t="s">
        <v>237</v>
      </c>
      <c r="AJ1120">
        <v>4.8823457186291551E-3</v>
      </c>
      <c r="AK1120">
        <v>4.8823457186291551E-3</v>
      </c>
      <c r="AL1120">
        <v>0</v>
      </c>
      <c r="AN1120" t="s">
        <v>146</v>
      </c>
      <c r="AQ1120">
        <v>2.9836889260008092E-5</v>
      </c>
    </row>
    <row r="1121" spans="1:43" x14ac:dyDescent="0.2">
      <c r="A1121">
        <v>1119</v>
      </c>
      <c r="B1121">
        <v>87</v>
      </c>
      <c r="C1121">
        <v>8</v>
      </c>
      <c r="D1121">
        <v>16867710.723354731</v>
      </c>
      <c r="E1121" t="s">
        <v>1098</v>
      </c>
      <c r="F1121" t="s">
        <v>87</v>
      </c>
      <c r="G1121" t="s">
        <v>1099</v>
      </c>
      <c r="H1121">
        <v>5.1637611230797937E-5</v>
      </c>
      <c r="I1121">
        <v>4.2885718782850526E-6</v>
      </c>
      <c r="J1121">
        <v>0.12</v>
      </c>
      <c r="L1121" s="1">
        <v>43070</v>
      </c>
      <c r="M1121" s="1">
        <v>43024</v>
      </c>
      <c r="R1121">
        <v>9.966158641499457E-3</v>
      </c>
      <c r="T1121" t="s">
        <v>39</v>
      </c>
      <c r="V1121">
        <v>17361094.635600001</v>
      </c>
      <c r="W1121" t="s">
        <v>1100</v>
      </c>
      <c r="X1121" t="s">
        <v>1101</v>
      </c>
      <c r="Y1121">
        <v>16867710.723354731</v>
      </c>
      <c r="Z1121" t="s">
        <v>31</v>
      </c>
      <c r="AA1121">
        <v>1.3582661333501832E-4</v>
      </c>
      <c r="AB1121">
        <v>100.24</v>
      </c>
      <c r="AC1121" t="s">
        <v>150</v>
      </c>
      <c r="AE1121" t="s">
        <v>41</v>
      </c>
      <c r="AF1121">
        <v>5.1700000000000003E-2</v>
      </c>
      <c r="AH1121" t="s">
        <v>237</v>
      </c>
      <c r="AJ1121">
        <v>4.3031342692331618E-4</v>
      </c>
      <c r="AK1121">
        <v>4.3031342692331618E-4</v>
      </c>
      <c r="AL1121">
        <v>0</v>
      </c>
      <c r="AN1121" t="s">
        <v>144</v>
      </c>
      <c r="AQ1121">
        <v>2.2247204171935447E-5</v>
      </c>
    </row>
    <row r="1122" spans="1:43" x14ac:dyDescent="0.2">
      <c r="A1122">
        <v>1120</v>
      </c>
      <c r="B1122">
        <v>87</v>
      </c>
      <c r="C1122">
        <v>8</v>
      </c>
      <c r="D1122">
        <v>10932078.835958906</v>
      </c>
      <c r="E1122" t="s">
        <v>1098</v>
      </c>
      <c r="F1122" t="s">
        <v>87</v>
      </c>
      <c r="G1122" t="s">
        <v>1102</v>
      </c>
      <c r="H1122">
        <v>1.5311814658139426E-5</v>
      </c>
      <c r="I1122">
        <v>3.3911105327167621E-7</v>
      </c>
      <c r="J1122">
        <v>0.45</v>
      </c>
      <c r="L1122" s="1">
        <v>43191</v>
      </c>
      <c r="M1122" s="1">
        <v>43024</v>
      </c>
      <c r="R1122">
        <v>9.966158641499457E-3</v>
      </c>
      <c r="T1122" t="s">
        <v>39</v>
      </c>
      <c r="V1122">
        <v>1372797.1117</v>
      </c>
      <c r="W1122" t="s">
        <v>1100</v>
      </c>
      <c r="X1122" t="s">
        <v>1101</v>
      </c>
      <c r="Y1122">
        <v>10932078.835958906</v>
      </c>
      <c r="Z1122" t="s">
        <v>31</v>
      </c>
      <c r="AA1122">
        <v>1.0740243423128009E-5</v>
      </c>
      <c r="AB1122">
        <v>100.22</v>
      </c>
      <c r="AC1122" t="s">
        <v>150</v>
      </c>
      <c r="AE1122" t="s">
        <v>41</v>
      </c>
      <c r="AF1122">
        <v>5.5100000000000003E-2</v>
      </c>
      <c r="AH1122" t="s">
        <v>237</v>
      </c>
      <c r="AJ1122">
        <v>3.4026254795865392E-5</v>
      </c>
      <c r="AK1122">
        <v>3.4026254795865392E-5</v>
      </c>
      <c r="AL1122">
        <v>0</v>
      </c>
      <c r="AN1122" t="s">
        <v>144</v>
      </c>
      <c r="AQ1122">
        <v>1.8748466392521832E-6</v>
      </c>
    </row>
    <row r="1123" spans="1:43" x14ac:dyDescent="0.2">
      <c r="A1123">
        <v>1121</v>
      </c>
      <c r="B1123">
        <v>87</v>
      </c>
      <c r="C1123">
        <v>8</v>
      </c>
      <c r="D1123">
        <v>91170203.311890468</v>
      </c>
      <c r="E1123" t="s">
        <v>1098</v>
      </c>
      <c r="F1123" t="s">
        <v>87</v>
      </c>
      <c r="G1123" t="s">
        <v>1103</v>
      </c>
      <c r="H1123">
        <v>3.0731880284438348E-4</v>
      </c>
      <c r="I1123">
        <v>5.671829523449667E-6</v>
      </c>
      <c r="J1123">
        <v>0.54</v>
      </c>
      <c r="L1123" s="1">
        <v>43313</v>
      </c>
      <c r="M1123" s="1">
        <v>43024</v>
      </c>
      <c r="R1123">
        <v>9.966158641499457E-3</v>
      </c>
      <c r="T1123" t="s">
        <v>32</v>
      </c>
      <c r="V1123">
        <v>22960829.830600001</v>
      </c>
      <c r="W1123" t="s">
        <v>1100</v>
      </c>
      <c r="X1123" t="s">
        <v>1101</v>
      </c>
      <c r="Y1123">
        <v>91170203.311890468</v>
      </c>
      <c r="Z1123" t="s">
        <v>31</v>
      </c>
      <c r="AA1123">
        <v>1.7963681557595974E-4</v>
      </c>
      <c r="AB1123">
        <v>99.98</v>
      </c>
      <c r="AC1123" t="s">
        <v>150</v>
      </c>
      <c r="AE1123" t="s">
        <v>41</v>
      </c>
      <c r="AF1123">
        <v>1.3611179129769932E-2</v>
      </c>
      <c r="AH1123" t="s">
        <v>237</v>
      </c>
      <c r="AJ1123">
        <v>5.6910889415626566E-4</v>
      </c>
      <c r="AK1123">
        <v>5.6910889415626566E-4</v>
      </c>
      <c r="AL1123">
        <v>0</v>
      </c>
      <c r="AN1123" t="s">
        <v>144</v>
      </c>
      <c r="AQ1123">
        <v>7.746243102706209E-6</v>
      </c>
    </row>
    <row r="1124" spans="1:43" x14ac:dyDescent="0.2">
      <c r="A1124">
        <v>1122</v>
      </c>
      <c r="B1124">
        <v>87</v>
      </c>
      <c r="C1124">
        <v>8</v>
      </c>
      <c r="D1124">
        <v>3637909.4562564711</v>
      </c>
      <c r="E1124" t="s">
        <v>1098</v>
      </c>
      <c r="F1124" t="s">
        <v>87</v>
      </c>
      <c r="G1124" t="s">
        <v>1104</v>
      </c>
      <c r="H1124">
        <v>4.9266851709557366E-5</v>
      </c>
      <c r="I1124">
        <v>4.4636478173152493E-7</v>
      </c>
      <c r="J1124">
        <v>1.1000000000000001</v>
      </c>
      <c r="L1124" s="1">
        <v>43709</v>
      </c>
      <c r="M1124" s="1">
        <v>43024</v>
      </c>
      <c r="R1124">
        <v>9.966158641499457E-3</v>
      </c>
      <c r="T1124" t="s">
        <v>32</v>
      </c>
      <c r="V1124">
        <v>1806984.1051</v>
      </c>
      <c r="W1124" t="s">
        <v>1100</v>
      </c>
      <c r="X1124" t="s">
        <v>1101</v>
      </c>
      <c r="Y1124">
        <v>3637909.4562564711</v>
      </c>
      <c r="Z1124" t="s">
        <v>31</v>
      </c>
      <c r="AA1124">
        <v>1.4137157621539544E-5</v>
      </c>
      <c r="AB1124">
        <v>99.04</v>
      </c>
      <c r="AC1124" t="s">
        <v>150</v>
      </c>
      <c r="AE1124" t="s">
        <v>41</v>
      </c>
      <c r="AF1124">
        <v>1.0411179129769937E-2</v>
      </c>
      <c r="AH1124" t="s">
        <v>237</v>
      </c>
      <c r="AJ1124">
        <v>4.4788047008688512E-5</v>
      </c>
      <c r="AK1124">
        <v>4.4788047008688512E-5</v>
      </c>
      <c r="AL1124">
        <v>0</v>
      </c>
      <c r="AN1124" t="s">
        <v>144</v>
      </c>
      <c r="AQ1124">
        <v>4.6629638028001272E-7</v>
      </c>
    </row>
    <row r="1125" spans="1:43" x14ac:dyDescent="0.2">
      <c r="A1125">
        <v>1123</v>
      </c>
      <c r="B1125">
        <v>87</v>
      </c>
      <c r="C1125">
        <v>8</v>
      </c>
      <c r="D1125">
        <v>2161943.717911459</v>
      </c>
      <c r="E1125" t="s">
        <v>363</v>
      </c>
      <c r="F1125" t="s">
        <v>87</v>
      </c>
      <c r="G1125" t="s">
        <v>403</v>
      </c>
      <c r="H1125">
        <v>7.2030735353242289E-6</v>
      </c>
      <c r="I1125">
        <v>1.0876814175670848E-7</v>
      </c>
      <c r="J1125">
        <v>0.66</v>
      </c>
      <c r="L1125" s="1">
        <v>43358</v>
      </c>
      <c r="M1125" s="1">
        <v>43024</v>
      </c>
      <c r="R1125">
        <v>9.966158641499457E-3</v>
      </c>
      <c r="T1125" t="s">
        <v>32</v>
      </c>
      <c r="V1125">
        <v>440317.67589999997</v>
      </c>
      <c r="W1125" t="s">
        <v>364</v>
      </c>
      <c r="X1125" t="s">
        <v>404</v>
      </c>
      <c r="Y1125">
        <v>2161943.717911459</v>
      </c>
      <c r="Z1125" t="s">
        <v>31</v>
      </c>
      <c r="AA1125">
        <v>3.4448783307940474E-6</v>
      </c>
      <c r="AB1125">
        <v>101.44</v>
      </c>
      <c r="AC1125" t="s">
        <v>142</v>
      </c>
      <c r="AE1125" t="s">
        <v>44</v>
      </c>
      <c r="AF1125">
        <v>-4.8882087023006601E-4</v>
      </c>
      <c r="AH1125" t="s">
        <v>237</v>
      </c>
      <c r="AJ1125">
        <v>1.0913747780794285E-5</v>
      </c>
      <c r="AK1125">
        <v>1.0913747780794285E-5</v>
      </c>
      <c r="AL1125">
        <v>0</v>
      </c>
      <c r="AN1125" t="s">
        <v>146</v>
      </c>
      <c r="AQ1125">
        <v>-5.3348676876793138E-9</v>
      </c>
    </row>
    <row r="1126" spans="1:43" x14ac:dyDescent="0.2">
      <c r="A1126">
        <v>1124</v>
      </c>
      <c r="B1126">
        <v>87</v>
      </c>
      <c r="C1126">
        <v>8</v>
      </c>
      <c r="D1126">
        <v>12151780.117065698</v>
      </c>
      <c r="E1126" t="s">
        <v>246</v>
      </c>
      <c r="F1126" t="s">
        <v>87</v>
      </c>
      <c r="G1126" t="s">
        <v>966</v>
      </c>
      <c r="H1126">
        <v>3.6272620658421291E-4</v>
      </c>
      <c r="I1126">
        <v>3.0378041329811518E-6</v>
      </c>
      <c r="J1126">
        <v>1.19</v>
      </c>
      <c r="L1126" s="1">
        <v>43556</v>
      </c>
      <c r="M1126" s="1">
        <v>43024</v>
      </c>
      <c r="R1126">
        <v>9.966158641499457E-3</v>
      </c>
      <c r="T1126" t="s">
        <v>32</v>
      </c>
      <c r="V1126">
        <v>12297708.079500001</v>
      </c>
      <c r="W1126" t="s">
        <v>247</v>
      </c>
      <c r="X1126" t="s">
        <v>1011</v>
      </c>
      <c r="Y1126">
        <v>12151780.117065698</v>
      </c>
      <c r="Z1126" t="s">
        <v>31</v>
      </c>
      <c r="AA1126">
        <v>9.6212599221480479E-5</v>
      </c>
      <c r="AB1126">
        <v>101.04</v>
      </c>
      <c r="AC1126" t="s">
        <v>142</v>
      </c>
      <c r="AE1126" t="s">
        <v>41</v>
      </c>
      <c r="AF1126">
        <v>4.4111791297699356E-3</v>
      </c>
      <c r="AH1126" t="s">
        <v>237</v>
      </c>
      <c r="AJ1126">
        <v>3.0481193830606126E-4</v>
      </c>
      <c r="AK1126">
        <v>3.0481193830606126E-4</v>
      </c>
      <c r="AL1126">
        <v>0</v>
      </c>
      <c r="AN1126" t="s">
        <v>146</v>
      </c>
      <c r="AQ1126">
        <v>1.3445800607604186E-6</v>
      </c>
    </row>
    <row r="1127" spans="1:43" x14ac:dyDescent="0.2">
      <c r="A1127">
        <v>1125</v>
      </c>
      <c r="B1127">
        <v>87</v>
      </c>
      <c r="C1127">
        <v>8</v>
      </c>
      <c r="D1127">
        <v>33430837.339409128</v>
      </c>
      <c r="E1127" t="s">
        <v>246</v>
      </c>
      <c r="F1127" t="s">
        <v>87</v>
      </c>
      <c r="G1127" t="s">
        <v>967</v>
      </c>
      <c r="H1127">
        <v>1.5482420716805788E-3</v>
      </c>
      <c r="I1127">
        <v>8.3405546496283362E-6</v>
      </c>
      <c r="J1127">
        <v>1.85</v>
      </c>
      <c r="L1127" s="1">
        <v>43814</v>
      </c>
      <c r="M1127" s="1">
        <v>43024</v>
      </c>
      <c r="R1127">
        <v>9.966158641499457E-3</v>
      </c>
      <c r="T1127" t="s">
        <v>32</v>
      </c>
      <c r="V1127">
        <v>33764423.844400004</v>
      </c>
      <c r="W1127" t="s">
        <v>247</v>
      </c>
      <c r="X1127" t="s">
        <v>1011</v>
      </c>
      <c r="Y1127">
        <v>33430837.339409128</v>
      </c>
      <c r="Z1127" t="s">
        <v>31</v>
      </c>
      <c r="AA1127">
        <v>2.6416003358387873E-4</v>
      </c>
      <c r="AB1127">
        <v>100.03</v>
      </c>
      <c r="AC1127" t="s">
        <v>142</v>
      </c>
      <c r="AE1127" t="s">
        <v>41</v>
      </c>
      <c r="AF1127">
        <v>5.2111791297699342E-3</v>
      </c>
      <c r="AH1127" t="s">
        <v>237</v>
      </c>
      <c r="AJ1127">
        <v>8.3688760631382632E-4</v>
      </c>
      <c r="AK1127">
        <v>8.3688760631382632E-4</v>
      </c>
      <c r="AL1127">
        <v>0</v>
      </c>
      <c r="AN1127" t="s">
        <v>146</v>
      </c>
      <c r="AQ1127">
        <v>4.3611712279857284E-6</v>
      </c>
    </row>
    <row r="1128" spans="1:43" x14ac:dyDescent="0.2">
      <c r="A1128">
        <v>1126</v>
      </c>
      <c r="B1128">
        <v>88</v>
      </c>
      <c r="C1128">
        <v>8</v>
      </c>
      <c r="D1128">
        <v>9950234.9782906454</v>
      </c>
      <c r="E1128" t="s">
        <v>400</v>
      </c>
      <c r="F1128" t="s">
        <v>87</v>
      </c>
      <c r="G1128" t="s">
        <v>405</v>
      </c>
      <c r="H1128">
        <v>5.7774224434023024E-4</v>
      </c>
      <c r="I1128">
        <v>1.7700163234689316E-6</v>
      </c>
      <c r="J1128">
        <v>2.31</v>
      </c>
      <c r="L1128" s="1">
        <v>43891</v>
      </c>
      <c r="M1128" s="1">
        <v>43024</v>
      </c>
      <c r="R1128">
        <v>7.0770966590516264E-3</v>
      </c>
      <c r="T1128" t="s">
        <v>32</v>
      </c>
      <c r="V1128">
        <v>10090538.674699999</v>
      </c>
      <c r="W1128" t="s">
        <v>226</v>
      </c>
      <c r="X1128" t="s">
        <v>402</v>
      </c>
      <c r="Y1128">
        <v>9950234.9782906454</v>
      </c>
      <c r="Z1128" t="s">
        <v>31</v>
      </c>
      <c r="AA1128">
        <v>5.6059529742713434E-5</v>
      </c>
      <c r="AB1128">
        <v>101.09</v>
      </c>
      <c r="AC1128" t="s">
        <v>142</v>
      </c>
      <c r="AE1128" t="s">
        <v>41</v>
      </c>
      <c r="AF1128">
        <v>-2.3888208702300649E-3</v>
      </c>
      <c r="AH1128" t="s">
        <v>237</v>
      </c>
      <c r="AJ1128">
        <v>2.5010486767975337E-4</v>
      </c>
      <c r="AK1128">
        <v>2.5010486767975337E-4</v>
      </c>
      <c r="AL1128">
        <v>0</v>
      </c>
      <c r="AN1128" t="s">
        <v>146</v>
      </c>
      <c r="AQ1128">
        <v>-5.9745572765952369E-7</v>
      </c>
    </row>
    <row r="1129" spans="1:43" x14ac:dyDescent="0.2">
      <c r="A1129">
        <v>1127</v>
      </c>
      <c r="B1129">
        <v>88</v>
      </c>
      <c r="C1129">
        <v>8</v>
      </c>
      <c r="D1129">
        <v>72943797.354744315</v>
      </c>
      <c r="E1129" t="s">
        <v>1098</v>
      </c>
      <c r="F1129" t="s">
        <v>87</v>
      </c>
      <c r="G1129" t="s">
        <v>1114</v>
      </c>
      <c r="H1129">
        <v>5.1983681981189649E-3</v>
      </c>
      <c r="I1129">
        <v>1.3186148461443709E-5</v>
      </c>
      <c r="J1129">
        <v>2.79</v>
      </c>
      <c r="L1129" s="1">
        <v>44566</v>
      </c>
      <c r="M1129" s="1">
        <v>43024</v>
      </c>
      <c r="R1129">
        <v>7.0770966590516264E-3</v>
      </c>
      <c r="T1129" t="s">
        <v>32</v>
      </c>
      <c r="V1129">
        <v>75171815.794200003</v>
      </c>
      <c r="W1129" t="s">
        <v>1100</v>
      </c>
      <c r="X1129" t="s">
        <v>1115</v>
      </c>
      <c r="Y1129">
        <v>72943797.354744315</v>
      </c>
      <c r="Z1129" t="s">
        <v>31</v>
      </c>
      <c r="AA1129">
        <v>4.1762851114130622E-4</v>
      </c>
      <c r="AB1129">
        <v>101.92</v>
      </c>
      <c r="AC1129" t="s">
        <v>150</v>
      </c>
      <c r="AE1129" t="s">
        <v>41</v>
      </c>
      <c r="AF1129">
        <v>9.3111791297699337E-3</v>
      </c>
      <c r="AH1129" t="s">
        <v>237</v>
      </c>
      <c r="AJ1129">
        <v>1.8632144079279444E-3</v>
      </c>
      <c r="AK1129">
        <v>1.8632144079279444E-3</v>
      </c>
      <c r="AL1129">
        <v>0</v>
      </c>
      <c r="AN1129" t="s">
        <v>144</v>
      </c>
      <c r="AQ1129">
        <v>1.7348723109385322E-5</v>
      </c>
    </row>
    <row r="1130" spans="1:43" x14ac:dyDescent="0.2">
      <c r="A1130">
        <v>1128</v>
      </c>
      <c r="B1130">
        <v>88</v>
      </c>
      <c r="C1130">
        <v>8</v>
      </c>
      <c r="D1130">
        <v>60782652.65194878</v>
      </c>
      <c r="E1130" t="s">
        <v>246</v>
      </c>
      <c r="F1130" t="s">
        <v>87</v>
      </c>
      <c r="G1130" t="s">
        <v>968</v>
      </c>
      <c r="H1130">
        <v>4.0551382633455865E-3</v>
      </c>
      <c r="I1130">
        <v>1.0629113131672395E-5</v>
      </c>
      <c r="J1130">
        <v>2.7</v>
      </c>
      <c r="L1130" s="1">
        <v>44044</v>
      </c>
      <c r="M1130" s="1">
        <v>43024</v>
      </c>
      <c r="R1130">
        <v>7.0770966590516264E-3</v>
      </c>
      <c r="T1130" t="s">
        <v>32</v>
      </c>
      <c r="V1130">
        <v>60594625.9991</v>
      </c>
      <c r="W1130" t="s">
        <v>247</v>
      </c>
      <c r="X1130" t="s">
        <v>1011</v>
      </c>
      <c r="Y1130">
        <v>60782652.65194878</v>
      </c>
      <c r="Z1130" t="s">
        <v>31</v>
      </c>
      <c r="AA1130">
        <v>3.366427054050349E-4</v>
      </c>
      <c r="AB1130">
        <v>99.18</v>
      </c>
      <c r="AC1130" t="s">
        <v>142</v>
      </c>
      <c r="AE1130" t="s">
        <v>41</v>
      </c>
      <c r="AF1130">
        <v>4.511179129769935E-3</v>
      </c>
      <c r="AH1130" t="s">
        <v>237</v>
      </c>
      <c r="AJ1130">
        <v>1.5019030604983654E-3</v>
      </c>
      <c r="AK1130">
        <v>1.5019030604983654E-3</v>
      </c>
      <c r="AL1130">
        <v>0</v>
      </c>
      <c r="AN1130" t="s">
        <v>146</v>
      </c>
      <c r="AQ1130">
        <v>6.7753537414578181E-6</v>
      </c>
    </row>
    <row r="1131" spans="1:43" x14ac:dyDescent="0.2">
      <c r="A1131">
        <v>1129</v>
      </c>
      <c r="B1131">
        <v>88</v>
      </c>
      <c r="C1131">
        <v>8</v>
      </c>
      <c r="D1131">
        <v>143453975.96869835</v>
      </c>
      <c r="E1131" t="s">
        <v>1116</v>
      </c>
      <c r="F1131" t="s">
        <v>87</v>
      </c>
      <c r="G1131" t="s">
        <v>1117</v>
      </c>
      <c r="H1131">
        <v>7.7955700700076437E-3</v>
      </c>
      <c r="I1131">
        <v>1.8893836608854093E-5</v>
      </c>
      <c r="J1131">
        <v>2.92</v>
      </c>
      <c r="L1131" s="1">
        <v>44510</v>
      </c>
      <c r="M1131" s="1">
        <v>43024</v>
      </c>
      <c r="R1131">
        <v>7.0770966590516264E-3</v>
      </c>
      <c r="T1131" t="s">
        <v>32</v>
      </c>
      <c r="V1131">
        <v>107710299.89229999</v>
      </c>
      <c r="W1131" t="s">
        <v>1118</v>
      </c>
      <c r="X1131" t="s">
        <v>1119</v>
      </c>
      <c r="Y1131">
        <v>143453975.96869835</v>
      </c>
      <c r="Z1131" t="s">
        <v>31</v>
      </c>
      <c r="AA1131">
        <v>5.9840103239964008E-4</v>
      </c>
      <c r="AB1131">
        <v>106.68</v>
      </c>
      <c r="AC1131" t="s">
        <v>150</v>
      </c>
      <c r="AE1131" t="s">
        <v>1120</v>
      </c>
      <c r="AF1131">
        <v>1.2011179129769935E-2</v>
      </c>
      <c r="AH1131" t="s">
        <v>237</v>
      </c>
      <c r="AJ1131">
        <v>2.669715777399878E-3</v>
      </c>
      <c r="AK1131">
        <v>2.669715777399878E-3</v>
      </c>
      <c r="AL1131">
        <v>0</v>
      </c>
      <c r="AN1131" t="s">
        <v>144</v>
      </c>
      <c r="AQ1131">
        <v>3.206643442792293E-5</v>
      </c>
    </row>
    <row r="1132" spans="1:43" x14ac:dyDescent="0.2">
      <c r="A1132">
        <v>1130</v>
      </c>
      <c r="B1132">
        <v>89</v>
      </c>
      <c r="C1132">
        <v>8</v>
      </c>
      <c r="D1132">
        <v>579760061.99609375</v>
      </c>
      <c r="E1132" t="s">
        <v>915</v>
      </c>
      <c r="F1132" t="s">
        <v>87</v>
      </c>
      <c r="G1132" t="s">
        <v>916</v>
      </c>
      <c r="H1132">
        <v>6.0500870908697629E-2</v>
      </c>
      <c r="I1132">
        <v>2.1754240081300175E-4</v>
      </c>
      <c r="J1132">
        <v>4.16</v>
      </c>
      <c r="L1132" s="1">
        <v>44713</v>
      </c>
      <c r="M1132" s="1">
        <v>43024</v>
      </c>
      <c r="R1132">
        <v>1.4958072070529278E-2</v>
      </c>
      <c r="T1132" t="s">
        <v>39</v>
      </c>
      <c r="V1132">
        <v>586760003.81819999</v>
      </c>
      <c r="W1132" t="s">
        <v>223</v>
      </c>
      <c r="X1132" t="s">
        <v>917</v>
      </c>
      <c r="Y1132">
        <v>579760061.99609375</v>
      </c>
      <c r="Z1132" t="s">
        <v>31</v>
      </c>
      <c r="AA1132">
        <v>6.8899504072239244E-3</v>
      </c>
      <c r="AB1132">
        <v>99.55</v>
      </c>
      <c r="AC1132" t="s">
        <v>142</v>
      </c>
      <c r="AE1132" t="s">
        <v>41</v>
      </c>
      <c r="AF1132">
        <v>4.6100000000000002E-2</v>
      </c>
      <c r="AH1132" t="s">
        <v>237</v>
      </c>
      <c r="AJ1132">
        <v>1.4543478583821545E-2</v>
      </c>
      <c r="AK1132">
        <v>1.4543478583821545E-2</v>
      </c>
      <c r="AL1132">
        <v>0</v>
      </c>
      <c r="AN1132" t="s">
        <v>146</v>
      </c>
      <c r="AQ1132">
        <v>6.7045436271417327E-4</v>
      </c>
    </row>
    <row r="1133" spans="1:43" x14ac:dyDescent="0.2">
      <c r="A1133">
        <v>1131</v>
      </c>
      <c r="B1133">
        <v>89</v>
      </c>
      <c r="C1133">
        <v>8</v>
      </c>
      <c r="D1133">
        <v>18234496.665130612</v>
      </c>
      <c r="E1133" t="s">
        <v>430</v>
      </c>
      <c r="F1133" t="s">
        <v>87</v>
      </c>
      <c r="G1133" t="s">
        <v>1012</v>
      </c>
      <c r="H1133">
        <v>1.8249087581065418E-3</v>
      </c>
      <c r="I1133">
        <v>5.7832874419274857E-6</v>
      </c>
      <c r="J1133">
        <v>4.72</v>
      </c>
      <c r="L1133" s="1">
        <v>46874</v>
      </c>
      <c r="M1133" s="1">
        <v>43024</v>
      </c>
      <c r="R1133">
        <v>1.4958072070529278E-2</v>
      </c>
      <c r="T1133" t="s">
        <v>32</v>
      </c>
      <c r="V1133">
        <v>15598806.250299999</v>
      </c>
      <c r="W1133" t="s">
        <v>248</v>
      </c>
      <c r="X1133" t="s">
        <v>432</v>
      </c>
      <c r="Y1133">
        <v>18234496.665130612</v>
      </c>
      <c r="Z1133" t="s">
        <v>31</v>
      </c>
      <c r="AA1133">
        <v>1.8316688386579483E-4</v>
      </c>
      <c r="AB1133">
        <v>106.92</v>
      </c>
      <c r="AC1133" t="s">
        <v>55</v>
      </c>
      <c r="AE1133" t="s">
        <v>41</v>
      </c>
      <c r="AF1133">
        <v>1.5111791297699358E-3</v>
      </c>
      <c r="AH1133" t="s">
        <v>237</v>
      </c>
      <c r="AJ1133">
        <v>3.8663321146325039E-4</v>
      </c>
      <c r="AK1133">
        <v>3.8663321146325039E-4</v>
      </c>
      <c r="AL1133">
        <v>0</v>
      </c>
      <c r="AN1133" t="s">
        <v>149</v>
      </c>
      <c r="AQ1133">
        <v>5.8427204003919027E-7</v>
      </c>
    </row>
    <row r="1134" spans="1:43" x14ac:dyDescent="0.2">
      <c r="A1134">
        <v>1132</v>
      </c>
      <c r="B1134">
        <v>89</v>
      </c>
      <c r="C1134">
        <v>8</v>
      </c>
      <c r="D1134">
        <v>50806191.370245159</v>
      </c>
      <c r="E1134" t="s">
        <v>325</v>
      </c>
      <c r="F1134" t="s">
        <v>87</v>
      </c>
      <c r="G1134" t="s">
        <v>824</v>
      </c>
      <c r="H1134">
        <v>4.1073757267553863E-2</v>
      </c>
      <c r="I1134">
        <v>1.8449976619083975E-4</v>
      </c>
      <c r="J1134">
        <v>3.33</v>
      </c>
      <c r="L1134" s="1">
        <v>44378</v>
      </c>
      <c r="M1134" s="1">
        <v>43024</v>
      </c>
      <c r="R1134">
        <v>1.4958072070529278E-2</v>
      </c>
      <c r="T1134" t="s">
        <v>32</v>
      </c>
      <c r="V1134">
        <v>497636704.89069998</v>
      </c>
      <c r="W1134" t="s">
        <v>325</v>
      </c>
      <c r="X1134" t="s">
        <v>825</v>
      </c>
      <c r="Y1134">
        <v>50806191.370245159</v>
      </c>
      <c r="Z1134" t="s">
        <v>31</v>
      </c>
      <c r="AA1134">
        <v>5.8434320594448466E-3</v>
      </c>
      <c r="AB1134">
        <v>108.46</v>
      </c>
      <c r="AC1134" t="s">
        <v>142</v>
      </c>
      <c r="AE1134" t="s">
        <v>44</v>
      </c>
      <c r="AF1134">
        <v>1.3211179129769934E-2</v>
      </c>
      <c r="AH1134" t="s">
        <v>237</v>
      </c>
      <c r="AJ1134">
        <v>1.2334461641908066E-2</v>
      </c>
      <c r="AK1134">
        <v>1.2334461641908066E-2</v>
      </c>
      <c r="AL1134">
        <v>0</v>
      </c>
      <c r="AN1134" t="s">
        <v>146</v>
      </c>
      <c r="AQ1134">
        <v>1.6295278222052363E-4</v>
      </c>
    </row>
    <row r="1135" spans="1:43" x14ac:dyDescent="0.2">
      <c r="A1135">
        <v>1133</v>
      </c>
      <c r="B1135">
        <v>89</v>
      </c>
      <c r="C1135">
        <v>8</v>
      </c>
      <c r="D1135">
        <v>88891466.824204296</v>
      </c>
      <c r="E1135" t="s">
        <v>325</v>
      </c>
      <c r="F1135" t="s">
        <v>87</v>
      </c>
      <c r="G1135" t="s">
        <v>826</v>
      </c>
      <c r="H1135">
        <v>8.4910433780482405E-3</v>
      </c>
      <c r="I1135">
        <v>3.6288468229381702E-5</v>
      </c>
      <c r="J1135">
        <v>3.5</v>
      </c>
      <c r="L1135" s="1">
        <v>44440</v>
      </c>
      <c r="M1135" s="1">
        <v>43024</v>
      </c>
      <c r="R1135">
        <v>1.4958072070529278E-2</v>
      </c>
      <c r="T1135" t="s">
        <v>32</v>
      </c>
      <c r="V1135">
        <v>97878030.569000006</v>
      </c>
      <c r="W1135" t="s">
        <v>325</v>
      </c>
      <c r="X1135" t="s">
        <v>825</v>
      </c>
      <c r="Y1135">
        <v>88891466.824204296</v>
      </c>
      <c r="Z1135" t="s">
        <v>31</v>
      </c>
      <c r="AA1135">
        <v>1.1493196062935872E-3</v>
      </c>
      <c r="AB1135">
        <v>109.28</v>
      </c>
      <c r="AC1135" t="s">
        <v>142</v>
      </c>
      <c r="AE1135" t="s">
        <v>44</v>
      </c>
      <c r="AF1135">
        <v>1.2211179129769933E-2</v>
      </c>
      <c r="AH1135" t="s">
        <v>237</v>
      </c>
      <c r="AJ1135">
        <v>2.4260123937280688E-3</v>
      </c>
      <c r="AK1135">
        <v>2.4260123937280688E-3</v>
      </c>
      <c r="AL1135">
        <v>0</v>
      </c>
      <c r="AN1135" t="s">
        <v>146</v>
      </c>
      <c r="AQ1135">
        <v>2.962447191085539E-5</v>
      </c>
    </row>
    <row r="1136" spans="1:43" x14ac:dyDescent="0.2">
      <c r="A1136">
        <v>1134</v>
      </c>
      <c r="B1136">
        <v>89</v>
      </c>
      <c r="C1136">
        <v>8</v>
      </c>
      <c r="D1136">
        <v>12156560.982049478</v>
      </c>
      <c r="E1136" t="s">
        <v>1013</v>
      </c>
      <c r="F1136" t="s">
        <v>87</v>
      </c>
      <c r="G1136" t="s">
        <v>1014</v>
      </c>
      <c r="H1136">
        <v>1.1071114609651491E-3</v>
      </c>
      <c r="I1136">
        <v>4.1924691198039651E-6</v>
      </c>
      <c r="J1136">
        <v>3.95</v>
      </c>
      <c r="L1136" s="1">
        <v>45992</v>
      </c>
      <c r="M1136" s="1">
        <v>43024</v>
      </c>
      <c r="R1136">
        <v>1.4958072070529278E-2</v>
      </c>
      <c r="T1136" t="s">
        <v>32</v>
      </c>
      <c r="V1136">
        <v>11308017.138499999</v>
      </c>
      <c r="W1136" t="s">
        <v>1015</v>
      </c>
      <c r="X1136" t="s">
        <v>1016</v>
      </c>
      <c r="Y1136">
        <v>12156560.982049478</v>
      </c>
      <c r="Z1136" t="s">
        <v>31</v>
      </c>
      <c r="AA1136">
        <v>1.3278286996610476E-4</v>
      </c>
      <c r="AB1136">
        <v>119.8</v>
      </c>
      <c r="AC1136" t="s">
        <v>55</v>
      </c>
      <c r="AE1136" t="s">
        <v>178</v>
      </c>
      <c r="AF1136">
        <v>-8.8820870230064963E-5</v>
      </c>
      <c r="AH1136" t="s">
        <v>237</v>
      </c>
      <c r="AJ1136">
        <v>2.8028138252282256E-4</v>
      </c>
      <c r="AK1136">
        <v>2.8028138252282256E-4</v>
      </c>
      <c r="AL1136">
        <v>0</v>
      </c>
      <c r="AN1136" t="s">
        <v>149</v>
      </c>
      <c r="AQ1136">
        <v>-2.489483630496282E-8</v>
      </c>
    </row>
    <row r="1137" spans="1:43" x14ac:dyDescent="0.2">
      <c r="A1137">
        <v>1135</v>
      </c>
      <c r="B1137">
        <v>89</v>
      </c>
      <c r="C1137">
        <v>8</v>
      </c>
      <c r="D1137">
        <v>48625685.327845864</v>
      </c>
      <c r="E1137" t="s">
        <v>1017</v>
      </c>
      <c r="F1137" t="s">
        <v>87</v>
      </c>
      <c r="G1137" t="s">
        <v>1018</v>
      </c>
      <c r="H1137">
        <v>5.4586848734715756E-3</v>
      </c>
      <c r="I1137">
        <v>1.8225759318682101E-5</v>
      </c>
      <c r="J1137">
        <v>4.4800000000000004</v>
      </c>
      <c r="L1137" s="1">
        <v>44742</v>
      </c>
      <c r="M1137" s="1">
        <v>43024</v>
      </c>
      <c r="R1137">
        <v>1.4958072070529278E-2</v>
      </c>
      <c r="T1137" t="s">
        <v>32</v>
      </c>
      <c r="V1137">
        <v>49158906.8037</v>
      </c>
      <c r="W1137" t="s">
        <v>1019</v>
      </c>
      <c r="X1137" t="s">
        <v>1020</v>
      </c>
      <c r="Y1137">
        <v>48625685.327845864</v>
      </c>
      <c r="Z1137" t="s">
        <v>31</v>
      </c>
      <c r="AA1137">
        <v>5.7724184972869814E-4</v>
      </c>
      <c r="AB1137">
        <v>100.39</v>
      </c>
      <c r="AC1137" t="s">
        <v>150</v>
      </c>
      <c r="AE1137" t="s">
        <v>40</v>
      </c>
      <c r="AF1137">
        <v>-4.8882087023006601E-4</v>
      </c>
      <c r="AH1137" t="s">
        <v>237</v>
      </c>
      <c r="AJ1137">
        <v>1.2184564449713338E-3</v>
      </c>
      <c r="AK1137">
        <v>1.2184564449713338E-3</v>
      </c>
      <c r="AL1137">
        <v>0</v>
      </c>
      <c r="AN1137" t="s">
        <v>144</v>
      </c>
      <c r="AQ1137">
        <v>-5.9560693976831991E-7</v>
      </c>
    </row>
    <row r="1138" spans="1:43" x14ac:dyDescent="0.2">
      <c r="A1138">
        <v>1136</v>
      </c>
      <c r="B1138">
        <v>89</v>
      </c>
      <c r="C1138">
        <v>8</v>
      </c>
      <c r="D1138">
        <v>20000</v>
      </c>
      <c r="E1138" t="s">
        <v>1021</v>
      </c>
      <c r="F1138" t="s">
        <v>87</v>
      </c>
      <c r="G1138" t="s">
        <v>1022</v>
      </c>
      <c r="H1138">
        <v>5.0267679263977204E-2</v>
      </c>
      <c r="I1138">
        <v>1.9479470705928008E-4</v>
      </c>
      <c r="J1138">
        <v>3.86</v>
      </c>
      <c r="L1138" s="1">
        <v>44484</v>
      </c>
      <c r="M1138" s="1">
        <v>43024</v>
      </c>
      <c r="R1138">
        <v>1.4958072070529278E-2</v>
      </c>
      <c r="T1138" t="s">
        <v>32</v>
      </c>
      <c r="V1138">
        <v>525404439</v>
      </c>
      <c r="W1138" t="s">
        <v>1023</v>
      </c>
      <c r="X1138" t="s">
        <v>1024</v>
      </c>
      <c r="Y1138">
        <v>20000</v>
      </c>
      <c r="Z1138" t="s">
        <v>31</v>
      </c>
      <c r="AA1138">
        <v>6.1694909415927418E-3</v>
      </c>
      <c r="AB1138">
        <v>98.53</v>
      </c>
      <c r="AC1138" t="s">
        <v>142</v>
      </c>
      <c r="AE1138" t="s">
        <v>35</v>
      </c>
      <c r="AF1138">
        <v>3.1117912976993609E-4</v>
      </c>
      <c r="AH1138" t="s">
        <v>237</v>
      </c>
      <c r="AJ1138">
        <v>1.3022714835227255E-2</v>
      </c>
      <c r="AK1138">
        <v>1.3022714835227255E-2</v>
      </c>
      <c r="AL1138">
        <v>0</v>
      </c>
      <c r="AN1138" t="s">
        <v>146</v>
      </c>
      <c r="AQ1138">
        <v>4.0523970696680538E-6</v>
      </c>
    </row>
    <row r="1139" spans="1:43" x14ac:dyDescent="0.2">
      <c r="A1139">
        <v>1137</v>
      </c>
      <c r="B1139">
        <v>89</v>
      </c>
      <c r="C1139">
        <v>8</v>
      </c>
      <c r="D1139">
        <v>53665868.925941102</v>
      </c>
      <c r="E1139" t="s">
        <v>547</v>
      </c>
      <c r="F1139" t="s">
        <v>87</v>
      </c>
      <c r="G1139" t="s">
        <v>548</v>
      </c>
      <c r="H1139">
        <v>2.998607225785291E-3</v>
      </c>
      <c r="I1139">
        <v>1.2288598080686642E-5</v>
      </c>
      <c r="J1139">
        <v>3.65</v>
      </c>
      <c r="L1139" s="1">
        <v>44727</v>
      </c>
      <c r="M1139" s="1">
        <v>43024</v>
      </c>
      <c r="R1139">
        <v>1.4958072070529278E-2</v>
      </c>
      <c r="T1139" t="s">
        <v>39</v>
      </c>
      <c r="V1139">
        <v>33145068.8684</v>
      </c>
      <c r="W1139" t="s">
        <v>549</v>
      </c>
      <c r="X1139" t="s">
        <v>550</v>
      </c>
      <c r="Y1139">
        <v>53665868.925941102</v>
      </c>
      <c r="Z1139" t="s">
        <v>31</v>
      </c>
      <c r="AA1139">
        <v>3.8920151213656074E-4</v>
      </c>
      <c r="AB1139">
        <v>108.3368</v>
      </c>
      <c r="AC1139" t="s">
        <v>55</v>
      </c>
      <c r="AE1139" t="s">
        <v>551</v>
      </c>
      <c r="AF1139">
        <v>0</v>
      </c>
      <c r="AH1139" t="s">
        <v>237</v>
      </c>
      <c r="AJ1139">
        <v>8.2153622624254552E-4</v>
      </c>
      <c r="AK1139">
        <v>8.2153622624254552E-4</v>
      </c>
      <c r="AL1139">
        <v>0</v>
      </c>
      <c r="AN1139" t="s">
        <v>149</v>
      </c>
      <c r="AQ1139">
        <v>0</v>
      </c>
    </row>
    <row r="1140" spans="1:43" x14ac:dyDescent="0.2">
      <c r="A1140">
        <v>1138</v>
      </c>
      <c r="B1140">
        <v>89</v>
      </c>
      <c r="C1140">
        <v>8</v>
      </c>
      <c r="D1140">
        <v>70302942.307561606</v>
      </c>
      <c r="E1140" t="s">
        <v>246</v>
      </c>
      <c r="F1140" t="s">
        <v>87</v>
      </c>
      <c r="G1140" t="s">
        <v>1629</v>
      </c>
      <c r="H1140">
        <v>6.2834137834504736E-3</v>
      </c>
      <c r="I1140">
        <v>2.6777138524731976E-5</v>
      </c>
      <c r="J1140">
        <v>3.51</v>
      </c>
      <c r="L1140" s="1">
        <v>44382</v>
      </c>
      <c r="M1140" s="1">
        <v>43024</v>
      </c>
      <c r="R1140">
        <v>1.4958072070529278E-2</v>
      </c>
      <c r="T1140" t="s">
        <v>32</v>
      </c>
      <c r="V1140">
        <v>72223869.205699995</v>
      </c>
      <c r="W1140" t="s">
        <v>247</v>
      </c>
      <c r="X1140" t="s">
        <v>1011</v>
      </c>
      <c r="Y1140">
        <v>70302942.307561606</v>
      </c>
      <c r="Z1140" t="s">
        <v>31</v>
      </c>
      <c r="AA1140">
        <v>8.4807906777381668E-4</v>
      </c>
      <c r="AB1140">
        <v>101.81</v>
      </c>
      <c r="AC1140" t="s">
        <v>142</v>
      </c>
      <c r="AE1140" t="s">
        <v>41</v>
      </c>
      <c r="AF1140">
        <v>3.6111791297699335E-3</v>
      </c>
      <c r="AH1140" t="s">
        <v>237</v>
      </c>
      <c r="AJ1140">
        <v>1.7901463770514171E-3</v>
      </c>
      <c r="AK1140">
        <v>1.7901463770514171E-3</v>
      </c>
      <c r="AL1140">
        <v>0</v>
      </c>
      <c r="AN1140" t="s">
        <v>146</v>
      </c>
      <c r="AQ1140">
        <v>6.4645392360413353E-6</v>
      </c>
    </row>
    <row r="1141" spans="1:43" x14ac:dyDescent="0.2">
      <c r="A1141">
        <v>1139</v>
      </c>
      <c r="B1141">
        <v>90</v>
      </c>
      <c r="C1141">
        <v>8</v>
      </c>
      <c r="D1141">
        <v>10937648.693181071</v>
      </c>
      <c r="E1141" t="s">
        <v>316</v>
      </c>
      <c r="F1141" t="s">
        <v>87</v>
      </c>
      <c r="G1141" t="s">
        <v>906</v>
      </c>
      <c r="H1141">
        <v>1.492351969907564E-3</v>
      </c>
      <c r="I1141">
        <v>3.4665589645552883E-6</v>
      </c>
      <c r="J1141">
        <v>5.15</v>
      </c>
      <c r="L1141" s="1">
        <v>47088</v>
      </c>
      <c r="M1141" s="1">
        <v>43024</v>
      </c>
      <c r="R1141">
        <v>1.1962847255507381E-2</v>
      </c>
      <c r="T1141" t="s">
        <v>32</v>
      </c>
      <c r="V1141">
        <v>11691123.3092</v>
      </c>
      <c r="W1141" t="s">
        <v>317</v>
      </c>
      <c r="X1141" t="s">
        <v>541</v>
      </c>
      <c r="Y1141">
        <v>10937648.693181071</v>
      </c>
      <c r="Z1141" t="s">
        <v>31</v>
      </c>
      <c r="AA1141">
        <v>1.0979201875240114E-4</v>
      </c>
      <c r="AB1141">
        <v>105.29</v>
      </c>
      <c r="AC1141" t="s">
        <v>142</v>
      </c>
      <c r="AE1141" t="s">
        <v>41</v>
      </c>
      <c r="AF1141">
        <v>6.9111791297699343E-3</v>
      </c>
      <c r="AH1141" t="s">
        <v>237</v>
      </c>
      <c r="AJ1141">
        <v>2.897770815354493E-4</v>
      </c>
      <c r="AK1141">
        <v>2.897770815354493E-4</v>
      </c>
      <c r="AL1141">
        <v>0</v>
      </c>
      <c r="AN1141" t="s">
        <v>146</v>
      </c>
      <c r="AQ1141">
        <v>2.002701318193438E-6</v>
      </c>
    </row>
    <row r="1142" spans="1:43" x14ac:dyDescent="0.2">
      <c r="A1142">
        <v>1140</v>
      </c>
      <c r="B1142">
        <v>90</v>
      </c>
      <c r="C1142">
        <v>8</v>
      </c>
      <c r="D1142">
        <v>85098071.191030979</v>
      </c>
      <c r="E1142" t="s">
        <v>1731</v>
      </c>
      <c r="F1142" t="s">
        <v>87</v>
      </c>
      <c r="G1142" t="s">
        <v>1732</v>
      </c>
      <c r="H1142">
        <v>1.3610937137641364E-2</v>
      </c>
      <c r="I1142">
        <v>2.8317489040333301E-5</v>
      </c>
      <c r="J1142">
        <v>5.75</v>
      </c>
      <c r="L1142" s="1">
        <v>45823</v>
      </c>
      <c r="M1142" s="1">
        <v>43024</v>
      </c>
      <c r="R1142">
        <v>1.1962847255507381E-2</v>
      </c>
      <c r="T1142" t="s">
        <v>32</v>
      </c>
      <c r="V1142">
        <v>95501983.252700001</v>
      </c>
      <c r="W1142" t="s">
        <v>1733</v>
      </c>
      <c r="X1142" t="s">
        <v>1734</v>
      </c>
      <c r="Y1142">
        <v>85098071.191030979</v>
      </c>
      <c r="Z1142" t="s">
        <v>31</v>
      </c>
      <c r="AA1142">
        <v>8.9686467748747317E-4</v>
      </c>
      <c r="AB1142">
        <v>110.45</v>
      </c>
      <c r="AC1142" t="s">
        <v>55</v>
      </c>
      <c r="AE1142" t="s">
        <v>1708</v>
      </c>
      <c r="AF1142">
        <v>6.8111791297699349E-3</v>
      </c>
      <c r="AH1142" t="s">
        <v>237</v>
      </c>
      <c r="AJ1142">
        <v>2.3671195021984981E-3</v>
      </c>
      <c r="AK1142">
        <v>2.3671195021984981E-3</v>
      </c>
      <c r="AL1142">
        <v>0</v>
      </c>
      <c r="AN1142" t="s">
        <v>149</v>
      </c>
      <c r="AQ1142">
        <v>1.6122874951045808E-5</v>
      </c>
    </row>
    <row r="1143" spans="1:43" x14ac:dyDescent="0.2">
      <c r="A1143">
        <v>1141</v>
      </c>
      <c r="B1143">
        <v>90</v>
      </c>
      <c r="C1143">
        <v>8</v>
      </c>
      <c r="D1143">
        <v>145904684.80394536</v>
      </c>
      <c r="E1143" t="s">
        <v>1025</v>
      </c>
      <c r="F1143" t="s">
        <v>87</v>
      </c>
      <c r="G1143" t="s">
        <v>1026</v>
      </c>
      <c r="H1143">
        <v>9.9100752861318989E-2</v>
      </c>
      <c r="I1143">
        <v>2.0725999464785754E-4</v>
      </c>
      <c r="J1143">
        <v>5.72</v>
      </c>
      <c r="L1143" s="1">
        <v>47102</v>
      </c>
      <c r="M1143" s="1">
        <v>43024</v>
      </c>
      <c r="R1143">
        <v>1.1962847255507381E-2</v>
      </c>
      <c r="T1143" t="s">
        <v>32</v>
      </c>
      <c r="V1143">
        <v>698993491.60590005</v>
      </c>
      <c r="W1143" t="s">
        <v>782</v>
      </c>
      <c r="X1143" t="s">
        <v>1027</v>
      </c>
      <c r="Y1143">
        <v>145904684.80394536</v>
      </c>
      <c r="Z1143" t="s">
        <v>31</v>
      </c>
      <c r="AA1143">
        <v>6.5642885211731426E-3</v>
      </c>
      <c r="AB1143">
        <v>116.26</v>
      </c>
      <c r="AC1143" t="s">
        <v>55</v>
      </c>
      <c r="AE1143" t="s">
        <v>1708</v>
      </c>
      <c r="AF1143">
        <v>1.3111791297699335E-3</v>
      </c>
      <c r="AH1143" t="s">
        <v>237</v>
      </c>
      <c r="AJ1143">
        <v>1.7325306444286537E-2</v>
      </c>
      <c r="AK1143">
        <v>1.7325306444286537E-2</v>
      </c>
      <c r="AL1143">
        <v>0</v>
      </c>
      <c r="AN1143" t="s">
        <v>149</v>
      </c>
      <c r="AQ1143">
        <v>2.2716580226617042E-5</v>
      </c>
    </row>
    <row r="1144" spans="1:43" x14ac:dyDescent="0.2">
      <c r="A1144">
        <v>1142</v>
      </c>
      <c r="B1144">
        <v>90</v>
      </c>
      <c r="C1144">
        <v>8</v>
      </c>
      <c r="D1144">
        <v>82028977.355744779</v>
      </c>
      <c r="E1144" t="s">
        <v>300</v>
      </c>
      <c r="F1144" t="s">
        <v>87</v>
      </c>
      <c r="G1144" t="s">
        <v>990</v>
      </c>
      <c r="H1144">
        <v>1.1101870004197661E-2</v>
      </c>
      <c r="I1144">
        <v>2.5688583193562031E-5</v>
      </c>
      <c r="J1144">
        <v>5.17</v>
      </c>
      <c r="L1144" s="1">
        <v>46919</v>
      </c>
      <c r="M1144" s="1">
        <v>43024</v>
      </c>
      <c r="R1144">
        <v>1.1962847255507381E-2</v>
      </c>
      <c r="T1144" t="s">
        <v>32</v>
      </c>
      <c r="V1144">
        <v>86635882.102500007</v>
      </c>
      <c r="W1144" t="s">
        <v>213</v>
      </c>
      <c r="X1144" t="s">
        <v>991</v>
      </c>
      <c r="Y1144">
        <v>82028977.355744779</v>
      </c>
      <c r="Z1144" t="s">
        <v>31</v>
      </c>
      <c r="AA1144">
        <v>8.1360260608519545E-4</v>
      </c>
      <c r="AB1144">
        <v>108.09999999999998</v>
      </c>
      <c r="AC1144" t="s">
        <v>142</v>
      </c>
      <c r="AE1144" t="s">
        <v>41</v>
      </c>
      <c r="AF1144">
        <v>6.1117912976993427E-4</v>
      </c>
      <c r="AH1144" t="s">
        <v>237</v>
      </c>
      <c r="AJ1144">
        <v>2.147363637175563E-3</v>
      </c>
      <c r="AK1144">
        <v>2.147363637175563E-3</v>
      </c>
      <c r="AL1144">
        <v>0</v>
      </c>
      <c r="AN1144" t="s">
        <v>146</v>
      </c>
      <c r="AQ1144">
        <v>1.3124238390685615E-6</v>
      </c>
    </row>
    <row r="1145" spans="1:43" x14ac:dyDescent="0.2">
      <c r="A1145">
        <v>1143</v>
      </c>
      <c r="B1145">
        <v>90</v>
      </c>
      <c r="C1145">
        <v>8</v>
      </c>
      <c r="D1145">
        <v>66890529.592995331</v>
      </c>
      <c r="E1145" t="s">
        <v>430</v>
      </c>
      <c r="F1145" t="s">
        <v>87</v>
      </c>
      <c r="G1145" t="s">
        <v>1028</v>
      </c>
      <c r="H1145">
        <v>0.13543526557931621</v>
      </c>
      <c r="I1145">
        <v>2.4290725564234429E-4</v>
      </c>
      <c r="J1145">
        <v>6.67</v>
      </c>
      <c r="L1145" s="1">
        <v>48183</v>
      </c>
      <c r="M1145" s="1">
        <v>43024</v>
      </c>
      <c r="R1145">
        <v>1.1962847255507381E-2</v>
      </c>
      <c r="T1145" t="s">
        <v>32</v>
      </c>
      <c r="V1145">
        <v>819215454.7062</v>
      </c>
      <c r="W1145" t="s">
        <v>248</v>
      </c>
      <c r="X1145" t="s">
        <v>1029</v>
      </c>
      <c r="Y1145">
        <v>66890529.592995331</v>
      </c>
      <c r="Z1145" t="s">
        <v>31</v>
      </c>
      <c r="AA1145">
        <v>7.693299966700512E-3</v>
      </c>
      <c r="AB1145">
        <v>102.34</v>
      </c>
      <c r="AC1145" t="s">
        <v>55</v>
      </c>
      <c r="AE1145" t="s">
        <v>41</v>
      </c>
      <c r="AF1145">
        <v>2.8111791297699348E-3</v>
      </c>
      <c r="AH1145" t="s">
        <v>237</v>
      </c>
      <c r="AJ1145">
        <v>2.0305137268263301E-2</v>
      </c>
      <c r="AK1145">
        <v>2.0305137268263301E-2</v>
      </c>
      <c r="AL1145">
        <v>0</v>
      </c>
      <c r="AN1145" t="s">
        <v>149</v>
      </c>
      <c r="AQ1145">
        <v>5.7081378115655497E-5</v>
      </c>
    </row>
    <row r="1146" spans="1:43" x14ac:dyDescent="0.2">
      <c r="A1146">
        <v>1144</v>
      </c>
      <c r="B1146">
        <v>90</v>
      </c>
      <c r="C1146">
        <v>8</v>
      </c>
      <c r="D1146">
        <v>1297249.839000667</v>
      </c>
      <c r="E1146" t="s">
        <v>330</v>
      </c>
      <c r="F1146" t="s">
        <v>87</v>
      </c>
      <c r="G1146" t="s">
        <v>859</v>
      </c>
      <c r="H1146">
        <v>2.0786532962633635E-4</v>
      </c>
      <c r="I1146">
        <v>4.4246640356504535E-7</v>
      </c>
      <c r="J1146">
        <v>5.62</v>
      </c>
      <c r="L1146" s="1">
        <v>47279</v>
      </c>
      <c r="M1146" s="1">
        <v>43024</v>
      </c>
      <c r="R1146">
        <v>1.1962847255507381E-2</v>
      </c>
      <c r="T1146" t="s">
        <v>32</v>
      </c>
      <c r="V1146">
        <v>1492237.5004</v>
      </c>
      <c r="W1146" t="s">
        <v>331</v>
      </c>
      <c r="X1146" t="s">
        <v>860</v>
      </c>
      <c r="Y1146">
        <v>1297249.839000667</v>
      </c>
      <c r="Z1146" t="s">
        <v>31</v>
      </c>
      <c r="AA1146">
        <v>1.4013689129258184E-5</v>
      </c>
      <c r="AB1146">
        <v>113.26</v>
      </c>
      <c r="AC1146" t="s">
        <v>142</v>
      </c>
      <c r="AE1146" t="s">
        <v>175</v>
      </c>
      <c r="AF1146">
        <v>-1.9888208702300639E-3</v>
      </c>
      <c r="AH1146" t="s">
        <v>237</v>
      </c>
      <c r="AJ1146">
        <v>3.6986713456643477E-5</v>
      </c>
      <c r="AK1146">
        <v>3.6986713456643477E-5</v>
      </c>
      <c r="AL1146">
        <v>0</v>
      </c>
      <c r="AN1146" t="s">
        <v>146</v>
      </c>
      <c r="AQ1146">
        <v>-7.3559947643791691E-8</v>
      </c>
    </row>
    <row r="1147" spans="1:43" x14ac:dyDescent="0.2">
      <c r="A1147">
        <v>1145</v>
      </c>
      <c r="B1147">
        <v>90</v>
      </c>
      <c r="C1147">
        <v>8</v>
      </c>
      <c r="D1147">
        <v>37686964.529456362</v>
      </c>
      <c r="E1147" t="s">
        <v>1030</v>
      </c>
      <c r="F1147" t="s">
        <v>87</v>
      </c>
      <c r="G1147" t="s">
        <v>1031</v>
      </c>
      <c r="H1147">
        <v>6.8419265138620683E-3</v>
      </c>
      <c r="I1147">
        <v>1.3330443292954078E-5</v>
      </c>
      <c r="J1147">
        <v>6.14</v>
      </c>
      <c r="L1147" s="1">
        <v>47596</v>
      </c>
      <c r="M1147" s="1">
        <v>43024</v>
      </c>
      <c r="R1147">
        <v>1.1962847255507381E-2</v>
      </c>
      <c r="T1147" t="s">
        <v>32</v>
      </c>
      <c r="V1147">
        <v>44957509.1316</v>
      </c>
      <c r="W1147" t="s">
        <v>1032</v>
      </c>
      <c r="X1147" t="s">
        <v>1033</v>
      </c>
      <c r="Y1147">
        <v>37686964.529456362</v>
      </c>
      <c r="Z1147" t="s">
        <v>31</v>
      </c>
      <c r="AA1147">
        <v>4.2219858221439219E-4</v>
      </c>
      <c r="AB1147">
        <v>116.43</v>
      </c>
      <c r="AC1147" t="s">
        <v>55</v>
      </c>
      <c r="AE1147" t="s">
        <v>35</v>
      </c>
      <c r="AF1147">
        <v>1.5111791297699358E-3</v>
      </c>
      <c r="AH1147" t="s">
        <v>237</v>
      </c>
      <c r="AJ1147">
        <v>1.1143202791306301E-3</v>
      </c>
      <c r="AK1147">
        <v>1.1143202791306301E-3</v>
      </c>
      <c r="AL1147">
        <v>0</v>
      </c>
      <c r="AN1147" t="s">
        <v>149</v>
      </c>
      <c r="AQ1147">
        <v>1.6839375497016175E-6</v>
      </c>
    </row>
    <row r="1148" spans="1:43" x14ac:dyDescent="0.2">
      <c r="A1148">
        <v>1146</v>
      </c>
      <c r="B1148">
        <v>90</v>
      </c>
      <c r="C1148">
        <v>8</v>
      </c>
      <c r="D1148">
        <v>22593861.961769171</v>
      </c>
      <c r="E1148" t="s">
        <v>348</v>
      </c>
      <c r="F1148" t="s">
        <v>87</v>
      </c>
      <c r="G1148" t="s">
        <v>648</v>
      </c>
      <c r="H1148">
        <v>3.5704018201441999E-3</v>
      </c>
      <c r="I1148">
        <v>7.1906012820152521E-6</v>
      </c>
      <c r="J1148">
        <v>5.94</v>
      </c>
      <c r="L1148" s="1">
        <v>45595</v>
      </c>
      <c r="M1148" s="1">
        <v>43024</v>
      </c>
      <c r="R1148">
        <v>1.1962847255507381E-2</v>
      </c>
      <c r="T1148" t="s">
        <v>39</v>
      </c>
      <c r="V1148">
        <v>24250620.605300002</v>
      </c>
      <c r="W1148" t="s">
        <v>348</v>
      </c>
      <c r="X1148" t="s">
        <v>647</v>
      </c>
      <c r="Y1148">
        <v>22593861.961769171</v>
      </c>
      <c r="Z1148" t="s">
        <v>31</v>
      </c>
      <c r="AA1148">
        <v>2.2773898810555396E-4</v>
      </c>
      <c r="AB1148">
        <v>105.0381</v>
      </c>
      <c r="AC1148" t="s">
        <v>142</v>
      </c>
      <c r="AE1148" t="s">
        <v>58</v>
      </c>
      <c r="AF1148">
        <v>0</v>
      </c>
      <c r="AH1148" t="s">
        <v>237</v>
      </c>
      <c r="AJ1148">
        <v>6.010777474990235E-4</v>
      </c>
      <c r="AK1148">
        <v>6.010777474990235E-4</v>
      </c>
      <c r="AL1148">
        <v>0</v>
      </c>
      <c r="AN1148" t="s">
        <v>146</v>
      </c>
      <c r="AQ1148">
        <v>0</v>
      </c>
    </row>
    <row r="1149" spans="1:43" x14ac:dyDescent="0.2">
      <c r="A1149">
        <v>1147</v>
      </c>
      <c r="B1149">
        <v>90</v>
      </c>
      <c r="C1149">
        <v>8</v>
      </c>
      <c r="D1149">
        <v>97259993.35107851</v>
      </c>
      <c r="E1149" t="s">
        <v>1034</v>
      </c>
      <c r="F1149" t="s">
        <v>87</v>
      </c>
      <c r="G1149" t="s">
        <v>1035</v>
      </c>
      <c r="H1149">
        <v>1.7748765530595519E-2</v>
      </c>
      <c r="I1149">
        <v>3.3809836149096909E-5</v>
      </c>
      <c r="J1149">
        <v>6.28</v>
      </c>
      <c r="L1149" s="1">
        <v>47644</v>
      </c>
      <c r="M1149" s="1">
        <v>43024</v>
      </c>
      <c r="R1149">
        <v>1.1962847255507381E-2</v>
      </c>
      <c r="T1149" t="s">
        <v>32</v>
      </c>
      <c r="V1149">
        <v>114025166.60600001</v>
      </c>
      <c r="W1149" t="s">
        <v>1023</v>
      </c>
      <c r="X1149" t="s">
        <v>1024</v>
      </c>
      <c r="Y1149">
        <v>97259993.35107851</v>
      </c>
      <c r="Z1149" t="s">
        <v>31</v>
      </c>
      <c r="AA1149">
        <v>1.0708169693497375E-3</v>
      </c>
      <c r="AB1149">
        <v>115.24</v>
      </c>
      <c r="AC1149" t="s">
        <v>55</v>
      </c>
      <c r="AE1149" t="s">
        <v>35</v>
      </c>
      <c r="AF1149">
        <v>2.4111791297699338E-3</v>
      </c>
      <c r="AH1149" t="s">
        <v>237</v>
      </c>
      <c r="AJ1149">
        <v>2.8262365494578848E-3</v>
      </c>
      <c r="AK1149">
        <v>2.8262365494578848E-3</v>
      </c>
      <c r="AL1149">
        <v>0</v>
      </c>
      <c r="AN1149" t="s">
        <v>149</v>
      </c>
      <c r="AQ1149">
        <v>6.8145625838458431E-6</v>
      </c>
    </row>
    <row r="1150" spans="1:43" x14ac:dyDescent="0.2">
      <c r="A1150">
        <v>1148</v>
      </c>
      <c r="B1150">
        <v>90</v>
      </c>
      <c r="C1150">
        <v>8</v>
      </c>
      <c r="D1150">
        <v>5466674.4759934852</v>
      </c>
      <c r="E1150" t="s">
        <v>1036</v>
      </c>
      <c r="F1150" t="s">
        <v>87</v>
      </c>
      <c r="G1150" t="s">
        <v>1037</v>
      </c>
      <c r="H1150">
        <v>9.7219340416432624E-4</v>
      </c>
      <c r="I1150">
        <v>1.7701980512678215E-6</v>
      </c>
      <c r="J1150">
        <v>6.57</v>
      </c>
      <c r="L1150" s="1">
        <v>47741</v>
      </c>
      <c r="M1150" s="1">
        <v>43024</v>
      </c>
      <c r="R1150">
        <v>1.1962847255507381E-2</v>
      </c>
      <c r="T1150" t="s">
        <v>32</v>
      </c>
      <c r="V1150">
        <v>5970071.1601</v>
      </c>
      <c r="W1150" t="s">
        <v>1038</v>
      </c>
      <c r="X1150" t="s">
        <v>1039</v>
      </c>
      <c r="Y1150">
        <v>5466674.4759934852</v>
      </c>
      <c r="Z1150" t="s">
        <v>31</v>
      </c>
      <c r="AA1150">
        <v>5.6065285381693631E-5</v>
      </c>
      <c r="AB1150">
        <v>108.81</v>
      </c>
      <c r="AC1150" t="s">
        <v>142</v>
      </c>
      <c r="AE1150" t="s">
        <v>35</v>
      </c>
      <c r="AF1150">
        <v>6.9111791297699343E-3</v>
      </c>
      <c r="AH1150" t="s">
        <v>237</v>
      </c>
      <c r="AJ1150">
        <v>1.4797464294738602E-4</v>
      </c>
      <c r="AK1150">
        <v>1.4797464294738602E-4</v>
      </c>
      <c r="AL1150">
        <v>0</v>
      </c>
      <c r="AN1150" t="s">
        <v>146</v>
      </c>
      <c r="AQ1150">
        <v>1.0226792640731321E-6</v>
      </c>
    </row>
    <row r="1151" spans="1:43" x14ac:dyDescent="0.2">
      <c r="A1151">
        <v>1149</v>
      </c>
      <c r="B1151">
        <v>90</v>
      </c>
      <c r="C1151">
        <v>8</v>
      </c>
      <c r="D1151">
        <v>18645588.452693168</v>
      </c>
      <c r="E1151" t="s">
        <v>363</v>
      </c>
      <c r="F1151" t="s">
        <v>87</v>
      </c>
      <c r="G1151" t="s">
        <v>946</v>
      </c>
      <c r="H1151">
        <v>3.2862219178784913E-3</v>
      </c>
      <c r="I1151">
        <v>6.423622688117796E-6</v>
      </c>
      <c r="J1151">
        <v>6.12</v>
      </c>
      <c r="L1151" s="1">
        <v>47557</v>
      </c>
      <c r="M1151" s="1">
        <v>43024</v>
      </c>
      <c r="R1151">
        <v>1.1962847255507381E-2</v>
      </c>
      <c r="T1151" t="s">
        <v>32</v>
      </c>
      <c r="V1151">
        <v>21663951.401500002</v>
      </c>
      <c r="W1151" t="s">
        <v>364</v>
      </c>
      <c r="X1151" t="s">
        <v>404</v>
      </c>
      <c r="Y1151">
        <v>18645588.452693168</v>
      </c>
      <c r="Z1151" t="s">
        <v>31</v>
      </c>
      <c r="AA1151">
        <v>2.0344742721624349E-4</v>
      </c>
      <c r="AB1151">
        <v>115.67</v>
      </c>
      <c r="AC1151" t="s">
        <v>142</v>
      </c>
      <c r="AE1151" t="s">
        <v>44</v>
      </c>
      <c r="AF1151">
        <v>4.1111791297699339E-3</v>
      </c>
      <c r="AH1151" t="s">
        <v>237</v>
      </c>
      <c r="AJ1151">
        <v>5.3696436566642012E-4</v>
      </c>
      <c r="AK1151">
        <v>5.3696436566642012E-4</v>
      </c>
      <c r="AL1151">
        <v>0</v>
      </c>
      <c r="AN1151" t="s">
        <v>146</v>
      </c>
      <c r="AQ1151">
        <v>2.2075566935579378E-6</v>
      </c>
    </row>
    <row r="1152" spans="1:43" x14ac:dyDescent="0.2">
      <c r="A1152">
        <v>1150</v>
      </c>
      <c r="B1152">
        <v>90</v>
      </c>
      <c r="C1152">
        <v>8</v>
      </c>
      <c r="D1152">
        <v>134585587.07209307</v>
      </c>
      <c r="E1152" t="s">
        <v>369</v>
      </c>
      <c r="F1152" t="s">
        <v>87</v>
      </c>
      <c r="G1152" t="s">
        <v>959</v>
      </c>
      <c r="H1152">
        <v>9.0904723406128485E-2</v>
      </c>
      <c r="I1152">
        <v>1.8185272924944174E-4</v>
      </c>
      <c r="J1152">
        <v>5.98</v>
      </c>
      <c r="L1152" s="1">
        <v>47488</v>
      </c>
      <c r="M1152" s="1">
        <v>43024</v>
      </c>
      <c r="R1152">
        <v>1.1962847255507381E-2</v>
      </c>
      <c r="T1152" t="s">
        <v>32</v>
      </c>
      <c r="V1152">
        <v>613306366.20009995</v>
      </c>
      <c r="W1152" t="s">
        <v>371</v>
      </c>
      <c r="X1152" t="s">
        <v>739</v>
      </c>
      <c r="Y1152">
        <v>134585587.07209307</v>
      </c>
      <c r="Z1152" t="s">
        <v>31</v>
      </c>
      <c r="AA1152">
        <v>5.7595957443901131E-3</v>
      </c>
      <c r="AB1152">
        <v>113.2</v>
      </c>
      <c r="AC1152" t="s">
        <v>142</v>
      </c>
      <c r="AE1152" t="s">
        <v>177</v>
      </c>
      <c r="AF1152">
        <v>3.4111791297699347E-3</v>
      </c>
      <c r="AH1152" t="s">
        <v>237</v>
      </c>
      <c r="AJ1152">
        <v>1.5201458763566635E-2</v>
      </c>
      <c r="AK1152">
        <v>1.5201458763566635E-2</v>
      </c>
      <c r="AL1152">
        <v>0</v>
      </c>
      <c r="AN1152" t="s">
        <v>146</v>
      </c>
      <c r="AQ1152">
        <v>5.1854898876336782E-5</v>
      </c>
    </row>
    <row r="1153" spans="1:43" x14ac:dyDescent="0.2">
      <c r="A1153">
        <v>1151</v>
      </c>
      <c r="B1153">
        <v>91</v>
      </c>
      <c r="C1153">
        <v>8</v>
      </c>
      <c r="D1153">
        <v>24310980.654570702</v>
      </c>
      <c r="E1153" t="s">
        <v>426</v>
      </c>
      <c r="F1153" t="s">
        <v>87</v>
      </c>
      <c r="G1153" t="s">
        <v>1040</v>
      </c>
      <c r="H1153">
        <v>7.7718735531232663E-3</v>
      </c>
      <c r="I1153">
        <v>2.9764785368891836E-5</v>
      </c>
      <c r="J1153">
        <v>10.25</v>
      </c>
      <c r="L1153" s="1">
        <v>47969</v>
      </c>
      <c r="M1153" s="1">
        <v>43024</v>
      </c>
      <c r="R1153">
        <v>3.9255534453276821E-2</v>
      </c>
      <c r="T1153" t="s">
        <v>32</v>
      </c>
      <c r="V1153">
        <v>30591027.7304</v>
      </c>
      <c r="W1153" t="s">
        <v>181</v>
      </c>
      <c r="X1153" t="s">
        <v>428</v>
      </c>
      <c r="Y1153">
        <v>24310980.654570702</v>
      </c>
      <c r="Z1153" t="s">
        <v>31</v>
      </c>
      <c r="AA1153">
        <v>9.4270309745093245E-4</v>
      </c>
      <c r="AB1153">
        <v>123.03</v>
      </c>
      <c r="AC1153" t="s">
        <v>142</v>
      </c>
      <c r="AE1153" t="s">
        <v>41</v>
      </c>
      <c r="AF1153">
        <v>4.911179129769936E-3</v>
      </c>
      <c r="AH1153" t="s">
        <v>237</v>
      </c>
      <c r="AJ1153">
        <v>7.5823156615836742E-4</v>
      </c>
      <c r="AK1153">
        <v>7.5823156615836742E-4</v>
      </c>
      <c r="AL1153">
        <v>0</v>
      </c>
      <c r="AN1153" t="s">
        <v>146</v>
      </c>
      <c r="AQ1153">
        <v>3.7238110432497466E-6</v>
      </c>
    </row>
    <row r="1154" spans="1:43" x14ac:dyDescent="0.2">
      <c r="A1154">
        <v>1152</v>
      </c>
      <c r="B1154">
        <v>91</v>
      </c>
      <c r="C1154">
        <v>8</v>
      </c>
      <c r="D1154">
        <v>24314648.007606652</v>
      </c>
      <c r="E1154" t="s">
        <v>426</v>
      </c>
      <c r="F1154" t="s">
        <v>87</v>
      </c>
      <c r="G1154" t="s">
        <v>1041</v>
      </c>
      <c r="H1154">
        <v>7.5330931231253791E-3</v>
      </c>
      <c r="I1154">
        <v>2.5558824255366551E-5</v>
      </c>
      <c r="J1154">
        <v>11.57</v>
      </c>
      <c r="L1154" s="1">
        <v>48366</v>
      </c>
      <c r="M1154" s="1">
        <v>43024</v>
      </c>
      <c r="R1154">
        <v>3.9255534453276821E-2</v>
      </c>
      <c r="T1154" t="s">
        <v>32</v>
      </c>
      <c r="V1154">
        <v>26268313.1043</v>
      </c>
      <c r="W1154" t="s">
        <v>181</v>
      </c>
      <c r="X1154" t="s">
        <v>428</v>
      </c>
      <c r="Y1154">
        <v>24314648.007606652</v>
      </c>
      <c r="Z1154" t="s">
        <v>31</v>
      </c>
      <c r="AA1154">
        <v>8.0949291231644188E-4</v>
      </c>
      <c r="AB1154">
        <v>106.65</v>
      </c>
      <c r="AC1154" t="s">
        <v>142</v>
      </c>
      <c r="AE1154" t="s">
        <v>41</v>
      </c>
      <c r="AF1154">
        <v>5.6111791297699352E-3</v>
      </c>
      <c r="AH1154" t="s">
        <v>237</v>
      </c>
      <c r="AJ1154">
        <v>6.510884289650284E-4</v>
      </c>
      <c r="AK1154">
        <v>6.510884289650284E-4</v>
      </c>
      <c r="AL1154">
        <v>0</v>
      </c>
      <c r="AN1154" t="s">
        <v>146</v>
      </c>
      <c r="AQ1154">
        <v>3.6533738042432622E-6</v>
      </c>
    </row>
    <row r="1155" spans="1:43" x14ac:dyDescent="0.2">
      <c r="A1155">
        <v>1153</v>
      </c>
      <c r="B1155">
        <v>91</v>
      </c>
      <c r="C1155">
        <v>8</v>
      </c>
      <c r="D1155">
        <v>54712920.992003068</v>
      </c>
      <c r="E1155" t="s">
        <v>459</v>
      </c>
      <c r="F1155" t="s">
        <v>87</v>
      </c>
      <c r="G1155" t="s">
        <v>1042</v>
      </c>
      <c r="H1155">
        <v>5.7056126926691882E-2</v>
      </c>
      <c r="I1155">
        <v>2.0251073746304596E-4</v>
      </c>
      <c r="J1155">
        <v>11.06</v>
      </c>
      <c r="L1155" s="1">
        <v>48136</v>
      </c>
      <c r="M1155" s="1">
        <v>43024</v>
      </c>
      <c r="R1155">
        <v>3.9255534453276821E-2</v>
      </c>
      <c r="T1155" t="s">
        <v>32</v>
      </c>
      <c r="V1155">
        <v>208132244.48480001</v>
      </c>
      <c r="W1155" t="s">
        <v>249</v>
      </c>
      <c r="X1155" t="s">
        <v>1043</v>
      </c>
      <c r="Y1155">
        <v>54712920.992003068</v>
      </c>
      <c r="Z1155" t="s">
        <v>31</v>
      </c>
      <c r="AA1155">
        <v>6.4138711940120276E-3</v>
      </c>
      <c r="AB1155">
        <v>110.68</v>
      </c>
      <c r="AC1155" t="s">
        <v>142</v>
      </c>
      <c r="AE1155" t="s">
        <v>41</v>
      </c>
      <c r="AF1155">
        <v>6.8111791297699349E-3</v>
      </c>
      <c r="AH1155" t="s">
        <v>237</v>
      </c>
      <c r="AJ1155">
        <v>5.1587818197732262E-3</v>
      </c>
      <c r="AK1155">
        <v>5.1587818197732262E-3</v>
      </c>
      <c r="AL1155">
        <v>0</v>
      </c>
      <c r="AN1155" t="s">
        <v>146</v>
      </c>
      <c r="AQ1155">
        <v>3.5137387065875966E-5</v>
      </c>
    </row>
    <row r="1156" spans="1:43" x14ac:dyDescent="0.2">
      <c r="A1156">
        <v>1154</v>
      </c>
      <c r="B1156">
        <v>91</v>
      </c>
      <c r="C1156">
        <v>8</v>
      </c>
      <c r="D1156">
        <v>14588928.819159012</v>
      </c>
      <c r="E1156" t="s">
        <v>459</v>
      </c>
      <c r="F1156" t="s">
        <v>87</v>
      </c>
      <c r="G1156" t="s">
        <v>1044</v>
      </c>
      <c r="H1156">
        <v>6.1063231984614958E-3</v>
      </c>
      <c r="I1156">
        <v>1.5916798187254235E-5</v>
      </c>
      <c r="J1156">
        <v>15.06</v>
      </c>
      <c r="L1156" s="1">
        <v>50861</v>
      </c>
      <c r="M1156" s="1">
        <v>43024</v>
      </c>
      <c r="R1156">
        <v>3.9255534453276821E-2</v>
      </c>
      <c r="T1156" t="s">
        <v>32</v>
      </c>
      <c r="V1156">
        <v>16358633.4889</v>
      </c>
      <c r="W1156" t="s">
        <v>249</v>
      </c>
      <c r="X1156" t="s">
        <v>1043</v>
      </c>
      <c r="Y1156">
        <v>14588928.819159012</v>
      </c>
      <c r="Z1156" t="s">
        <v>31</v>
      </c>
      <c r="AA1156">
        <v>5.0411299012113778E-4</v>
      </c>
      <c r="AB1156">
        <v>111.95</v>
      </c>
      <c r="AC1156" t="s">
        <v>142</v>
      </c>
      <c r="AE1156" t="s">
        <v>41</v>
      </c>
      <c r="AF1156">
        <v>8.5111791297699316E-3</v>
      </c>
      <c r="AH1156" t="s">
        <v>237</v>
      </c>
      <c r="AJ1156">
        <v>4.0546634783940875E-4</v>
      </c>
      <c r="AK1156">
        <v>4.0546634783940875E-4</v>
      </c>
      <c r="AL1156">
        <v>0</v>
      </c>
      <c r="AN1156" t="s">
        <v>146</v>
      </c>
      <c r="AQ1156">
        <v>3.4509967175548112E-6</v>
      </c>
    </row>
    <row r="1157" spans="1:43" x14ac:dyDescent="0.2">
      <c r="A1157">
        <v>1155</v>
      </c>
      <c r="B1157">
        <v>91</v>
      </c>
      <c r="C1157">
        <v>8</v>
      </c>
      <c r="D1157">
        <v>60785576.01203429</v>
      </c>
      <c r="E1157" t="s">
        <v>459</v>
      </c>
      <c r="F1157" t="s">
        <v>87</v>
      </c>
      <c r="G1157" t="s">
        <v>1045</v>
      </c>
      <c r="H1157">
        <v>2.5257495855282548E-2</v>
      </c>
      <c r="I1157">
        <v>6.5058825377332059E-5</v>
      </c>
      <c r="J1157">
        <v>15.24</v>
      </c>
      <c r="L1157" s="1">
        <v>51075</v>
      </c>
      <c r="M1157" s="1">
        <v>43024</v>
      </c>
      <c r="R1157">
        <v>3.9255534453276821E-2</v>
      </c>
      <c r="T1157" t="s">
        <v>32</v>
      </c>
      <c r="V1157">
        <v>66864796.992799997</v>
      </c>
      <c r="W1157" t="s">
        <v>249</v>
      </c>
      <c r="X1157" t="s">
        <v>1043</v>
      </c>
      <c r="Y1157">
        <v>60785576.01203429</v>
      </c>
      <c r="Z1157" t="s">
        <v>31</v>
      </c>
      <c r="AA1157">
        <v>2.0605274131702453E-3</v>
      </c>
      <c r="AB1157">
        <v>108.13</v>
      </c>
      <c r="AC1157" t="s">
        <v>142</v>
      </c>
      <c r="AE1157" t="s">
        <v>41</v>
      </c>
      <c r="AF1157">
        <v>9.011179129769932E-3</v>
      </c>
      <c r="AH1157" t="s">
        <v>237</v>
      </c>
      <c r="AJ1157">
        <v>1.6573160010027919E-3</v>
      </c>
      <c r="AK1157">
        <v>1.6573160010027919E-3</v>
      </c>
      <c r="AL1157">
        <v>0</v>
      </c>
      <c r="AN1157" t="s">
        <v>146</v>
      </c>
      <c r="AQ1157">
        <v>1.4934371359670121E-5</v>
      </c>
    </row>
    <row r="1158" spans="1:43" x14ac:dyDescent="0.2">
      <c r="A1158">
        <v>1156</v>
      </c>
      <c r="B1158">
        <v>91</v>
      </c>
      <c r="C1158">
        <v>8</v>
      </c>
      <c r="D1158">
        <v>36468714.923851877</v>
      </c>
      <c r="E1158" t="s">
        <v>466</v>
      </c>
      <c r="F1158" t="s">
        <v>87</v>
      </c>
      <c r="G1158" t="s">
        <v>1046</v>
      </c>
      <c r="H1158">
        <v>8.0315381904639566E-3</v>
      </c>
      <c r="I1158">
        <v>3.9959736900958996E-5</v>
      </c>
      <c r="J1158">
        <v>7.89</v>
      </c>
      <c r="L1158" s="1">
        <v>46419</v>
      </c>
      <c r="M1158" s="1">
        <v>43024</v>
      </c>
      <c r="R1158">
        <v>3.9255534453276821E-2</v>
      </c>
      <c r="T1158" t="s">
        <v>32</v>
      </c>
      <c r="V1158">
        <v>41068981.498999998</v>
      </c>
      <c r="W1158" t="s">
        <v>250</v>
      </c>
      <c r="X1158" t="s">
        <v>1047</v>
      </c>
      <c r="Y1158">
        <v>36468714.923851877</v>
      </c>
      <c r="Z1158" t="s">
        <v>31</v>
      </c>
      <c r="AA1158">
        <v>1.2655951414730748E-3</v>
      </c>
      <c r="AB1158">
        <v>111.69</v>
      </c>
      <c r="AC1158" t="s">
        <v>142</v>
      </c>
      <c r="AE1158" t="s">
        <v>41</v>
      </c>
      <c r="AF1158">
        <v>2.211179129769935E-3</v>
      </c>
      <c r="AH1158" t="s">
        <v>237</v>
      </c>
      <c r="AJ1158">
        <v>1.0179389341525929E-3</v>
      </c>
      <c r="AK1158">
        <v>1.0179389341525929E-3</v>
      </c>
      <c r="AL1158">
        <v>0</v>
      </c>
      <c r="AN1158" t="s">
        <v>146</v>
      </c>
      <c r="AQ1158">
        <v>2.2508453265784655E-6</v>
      </c>
    </row>
    <row r="1159" spans="1:43" x14ac:dyDescent="0.2">
      <c r="A1159">
        <v>1157</v>
      </c>
      <c r="B1159">
        <v>91</v>
      </c>
      <c r="C1159">
        <v>8</v>
      </c>
      <c r="D1159">
        <v>60804626.426703282</v>
      </c>
      <c r="E1159" t="s">
        <v>915</v>
      </c>
      <c r="F1159" t="s">
        <v>87</v>
      </c>
      <c r="G1159" t="s">
        <v>1048</v>
      </c>
      <c r="H1159">
        <v>0.12519001094788784</v>
      </c>
      <c r="I1159">
        <v>6.4493448661035618E-4</v>
      </c>
      <c r="J1159">
        <v>7.62</v>
      </c>
      <c r="L1159" s="1">
        <v>48228</v>
      </c>
      <c r="M1159" s="1">
        <v>43024</v>
      </c>
      <c r="R1159">
        <v>3.9255534453276821E-2</v>
      </c>
      <c r="T1159" t="s">
        <v>32</v>
      </c>
      <c r="V1159">
        <v>662837259.52240002</v>
      </c>
      <c r="W1159" t="s">
        <v>223</v>
      </c>
      <c r="X1159" t="s">
        <v>917</v>
      </c>
      <c r="Y1159">
        <v>60804626.426703282</v>
      </c>
      <c r="Z1159" t="s">
        <v>31</v>
      </c>
      <c r="AA1159">
        <v>2.0426209382847813E-2</v>
      </c>
      <c r="AB1159">
        <v>110.48</v>
      </c>
      <c r="AC1159" t="s">
        <v>55</v>
      </c>
      <c r="AE1159" t="s">
        <v>41</v>
      </c>
      <c r="AF1159">
        <v>2.7111791297699354E-3</v>
      </c>
      <c r="AH1159" t="s">
        <v>237</v>
      </c>
      <c r="AJ1159">
        <v>1.6429135294998405E-2</v>
      </c>
      <c r="AK1159">
        <v>1.6429135294998405E-2</v>
      </c>
      <c r="AL1159">
        <v>0</v>
      </c>
      <c r="AN1159" t="s">
        <v>149</v>
      </c>
      <c r="AQ1159">
        <v>4.4542328731966305E-5</v>
      </c>
    </row>
    <row r="1160" spans="1:43" x14ac:dyDescent="0.2">
      <c r="A1160">
        <v>1158</v>
      </c>
      <c r="B1160">
        <v>91</v>
      </c>
      <c r="C1160">
        <v>8</v>
      </c>
      <c r="D1160">
        <v>41940492.858551212</v>
      </c>
      <c r="E1160" t="s">
        <v>430</v>
      </c>
      <c r="F1160" t="s">
        <v>87</v>
      </c>
      <c r="G1160" t="s">
        <v>1049</v>
      </c>
      <c r="H1160">
        <v>1.3509143244216685E-2</v>
      </c>
      <c r="I1160">
        <v>4.5520054768892693E-5</v>
      </c>
      <c r="J1160">
        <v>11.65</v>
      </c>
      <c r="L1160" s="1">
        <v>50100</v>
      </c>
      <c r="M1160" s="1">
        <v>43024</v>
      </c>
      <c r="R1160">
        <v>3.9255534453276821E-2</v>
      </c>
      <c r="T1160" t="s">
        <v>32</v>
      </c>
      <c r="V1160">
        <v>46783648.545299999</v>
      </c>
      <c r="W1160" t="s">
        <v>248</v>
      </c>
      <c r="X1160" t="s">
        <v>1029</v>
      </c>
      <c r="Y1160">
        <v>41940492.858551212</v>
      </c>
      <c r="Z1160" t="s">
        <v>31</v>
      </c>
      <c r="AA1160">
        <v>1.4417001868126983E-3</v>
      </c>
      <c r="AB1160">
        <v>111</v>
      </c>
      <c r="AC1160" t="s">
        <v>55</v>
      </c>
      <c r="AE1160" t="s">
        <v>41</v>
      </c>
      <c r="AF1160">
        <v>7.0111791297699337E-3</v>
      </c>
      <c r="AH1160" t="s">
        <v>237</v>
      </c>
      <c r="AJ1160">
        <v>1.1595831110915609E-3</v>
      </c>
      <c r="AK1160">
        <v>1.1595831110915609E-3</v>
      </c>
      <c r="AL1160">
        <v>0</v>
      </c>
      <c r="AN1160" t="s">
        <v>149</v>
      </c>
      <c r="AQ1160">
        <v>8.1300449077188417E-6</v>
      </c>
    </row>
    <row r="1161" spans="1:43" x14ac:dyDescent="0.2">
      <c r="A1161">
        <v>1159</v>
      </c>
      <c r="B1161">
        <v>91</v>
      </c>
      <c r="C1161">
        <v>8</v>
      </c>
      <c r="D1161">
        <v>47412590.042280942</v>
      </c>
      <c r="E1161" t="s">
        <v>430</v>
      </c>
      <c r="F1161" t="s">
        <v>87</v>
      </c>
      <c r="G1161" t="s">
        <v>1050</v>
      </c>
      <c r="H1161">
        <v>1.6675897142882194E-2</v>
      </c>
      <c r="I1161">
        <v>5.1912867155568001E-5</v>
      </c>
      <c r="J1161">
        <v>12.61</v>
      </c>
      <c r="L1161" s="1">
        <v>50679</v>
      </c>
      <c r="M1161" s="1">
        <v>43024</v>
      </c>
      <c r="R1161">
        <v>3.9255534453276821E-2</v>
      </c>
      <c r="T1161" t="s">
        <v>32</v>
      </c>
      <c r="V1161">
        <v>53353919.3728</v>
      </c>
      <c r="W1161" t="s">
        <v>248</v>
      </c>
      <c r="X1161" t="s">
        <v>1029</v>
      </c>
      <c r="Y1161">
        <v>47412590.042280942</v>
      </c>
      <c r="Z1161" t="s">
        <v>31</v>
      </c>
      <c r="AA1161">
        <v>1.6441717975987792E-3</v>
      </c>
      <c r="AB1161">
        <v>112.34</v>
      </c>
      <c r="AC1161" t="s">
        <v>55</v>
      </c>
      <c r="AE1161" t="s">
        <v>41</v>
      </c>
      <c r="AF1161">
        <v>6.7111791297699355E-3</v>
      </c>
      <c r="AH1161" t="s">
        <v>237</v>
      </c>
      <c r="AJ1161">
        <v>1.3224343491579852E-3</v>
      </c>
      <c r="AK1161">
        <v>1.3224343491579852E-3</v>
      </c>
      <c r="AL1161">
        <v>0</v>
      </c>
      <c r="AN1161" t="s">
        <v>149</v>
      </c>
      <c r="AQ1161">
        <v>8.875093804559959E-6</v>
      </c>
    </row>
    <row r="1162" spans="1:43" x14ac:dyDescent="0.2">
      <c r="A1162">
        <v>1160</v>
      </c>
      <c r="B1162">
        <v>91</v>
      </c>
      <c r="C1162">
        <v>8</v>
      </c>
      <c r="D1162">
        <v>79032525.008275568</v>
      </c>
      <c r="E1162" t="s">
        <v>598</v>
      </c>
      <c r="F1162" t="s">
        <v>87</v>
      </c>
      <c r="G1162" t="s">
        <v>1051</v>
      </c>
      <c r="H1162">
        <v>0.10877895498565333</v>
      </c>
      <c r="I1162">
        <v>3.5145481606837554E-4</v>
      </c>
      <c r="J1162">
        <v>12.15</v>
      </c>
      <c r="L1162" s="1">
        <v>53865</v>
      </c>
      <c r="M1162" s="1">
        <v>43024</v>
      </c>
      <c r="R1162">
        <v>3.9255534453276821E-2</v>
      </c>
      <c r="T1162" t="s">
        <v>32</v>
      </c>
      <c r="V1162">
        <v>361210870.1972</v>
      </c>
      <c r="W1162" t="s">
        <v>600</v>
      </c>
      <c r="X1162" t="s">
        <v>601</v>
      </c>
      <c r="Y1162">
        <v>79032525.008275568</v>
      </c>
      <c r="Z1162" t="s">
        <v>31</v>
      </c>
      <c r="AA1162">
        <v>1.1131192098834225E-2</v>
      </c>
      <c r="AB1162">
        <v>103.42</v>
      </c>
      <c r="AC1162" t="s">
        <v>142</v>
      </c>
      <c r="AE1162" t="s">
        <v>89</v>
      </c>
      <c r="AF1162">
        <v>7.0111791297699337E-3</v>
      </c>
      <c r="AH1162" t="s">
        <v>237</v>
      </c>
      <c r="AJ1162">
        <v>8.9530004103418378E-3</v>
      </c>
      <c r="AK1162">
        <v>8.9530004103418378E-3</v>
      </c>
      <c r="AL1162">
        <v>0</v>
      </c>
      <c r="AN1162" t="s">
        <v>146</v>
      </c>
      <c r="AQ1162">
        <v>6.277108962581034E-5</v>
      </c>
    </row>
    <row r="1163" spans="1:43" x14ac:dyDescent="0.2">
      <c r="A1163">
        <v>1161</v>
      </c>
      <c r="B1163">
        <v>91</v>
      </c>
      <c r="C1163">
        <v>8</v>
      </c>
      <c r="D1163">
        <v>52879711.041161992</v>
      </c>
      <c r="E1163" t="s">
        <v>1030</v>
      </c>
      <c r="F1163" t="s">
        <v>87</v>
      </c>
      <c r="G1163" t="s">
        <v>1052</v>
      </c>
      <c r="H1163">
        <v>1.6024362416060596E-2</v>
      </c>
      <c r="I1163">
        <v>5.5131017608716993E-5</v>
      </c>
      <c r="J1163">
        <v>11.41</v>
      </c>
      <c r="L1163" s="1">
        <v>49444</v>
      </c>
      <c r="M1163" s="1">
        <v>43024</v>
      </c>
      <c r="R1163">
        <v>3.9255534453276821E-2</v>
      </c>
      <c r="T1163" t="s">
        <v>32</v>
      </c>
      <c r="V1163">
        <v>56661402.646499999</v>
      </c>
      <c r="W1163" t="s">
        <v>1032</v>
      </c>
      <c r="X1163" t="s">
        <v>1033</v>
      </c>
      <c r="Y1163">
        <v>52879711.041161992</v>
      </c>
      <c r="Z1163" t="s">
        <v>31</v>
      </c>
      <c r="AA1163">
        <v>1.7460962819398408E-3</v>
      </c>
      <c r="AB1163">
        <v>105.48</v>
      </c>
      <c r="AC1163" t="s">
        <v>55</v>
      </c>
      <c r="AE1163" t="s">
        <v>35</v>
      </c>
      <c r="AF1163">
        <v>9.5111791297699325E-3</v>
      </c>
      <c r="AH1163" t="s">
        <v>237</v>
      </c>
      <c r="AJ1163">
        <v>1.4044138839667481E-3</v>
      </c>
      <c r="AK1163">
        <v>1.4044138839667481E-3</v>
      </c>
      <c r="AL1163">
        <v>0</v>
      </c>
      <c r="AN1163" t="s">
        <v>149</v>
      </c>
      <c r="AQ1163">
        <v>1.3357632022743666E-5</v>
      </c>
    </row>
    <row r="1164" spans="1:43" x14ac:dyDescent="0.2">
      <c r="A1164">
        <v>1162</v>
      </c>
      <c r="B1164">
        <v>91</v>
      </c>
      <c r="C1164">
        <v>8</v>
      </c>
      <c r="D1164">
        <v>36472043.061747819</v>
      </c>
      <c r="E1164" t="s">
        <v>1013</v>
      </c>
      <c r="F1164" t="s">
        <v>87</v>
      </c>
      <c r="G1164" t="s">
        <v>1054</v>
      </c>
      <c r="H1164">
        <v>1.1018714177261918E-2</v>
      </c>
      <c r="I1164">
        <v>5.106794734549173E-5</v>
      </c>
      <c r="J1164">
        <v>8.4700000000000006</v>
      </c>
      <c r="L1164" s="1">
        <v>47178</v>
      </c>
      <c r="M1164" s="1">
        <v>43024</v>
      </c>
      <c r="R1164">
        <v>3.9255534453276821E-2</v>
      </c>
      <c r="T1164" t="s">
        <v>32</v>
      </c>
      <c r="V1164">
        <v>52485545.385899998</v>
      </c>
      <c r="W1164" t="s">
        <v>1015</v>
      </c>
      <c r="X1164" t="s">
        <v>1016</v>
      </c>
      <c r="Y1164">
        <v>36472043.061747819</v>
      </c>
      <c r="Z1164" t="s">
        <v>31</v>
      </c>
      <c r="AA1164">
        <v>1.6174117013244413E-3</v>
      </c>
      <c r="AB1164">
        <v>142.61000000000001</v>
      </c>
      <c r="AC1164" t="s">
        <v>55</v>
      </c>
      <c r="AE1164" t="s">
        <v>178</v>
      </c>
      <c r="AF1164">
        <v>5.6111791297699352E-3</v>
      </c>
      <c r="AH1164" t="s">
        <v>237</v>
      </c>
      <c r="AJ1164">
        <v>1.3009107647298603E-3</v>
      </c>
      <c r="AK1164">
        <v>1.3009107647298603E-3</v>
      </c>
      <c r="AL1164">
        <v>0</v>
      </c>
      <c r="AN1164" t="s">
        <v>149</v>
      </c>
      <c r="AQ1164">
        <v>7.2996433327452387E-6</v>
      </c>
    </row>
    <row r="1165" spans="1:43" x14ac:dyDescent="0.2">
      <c r="A1165">
        <v>1163</v>
      </c>
      <c r="B1165">
        <v>91</v>
      </c>
      <c r="C1165">
        <v>8</v>
      </c>
      <c r="D1165">
        <v>6075972.4716748483</v>
      </c>
      <c r="E1165" t="s">
        <v>1013</v>
      </c>
      <c r="F1165" t="s">
        <v>87</v>
      </c>
      <c r="G1165" t="s">
        <v>1055</v>
      </c>
      <c r="H1165">
        <v>1.2595110996482504E-3</v>
      </c>
      <c r="I1165">
        <v>6.0076283555925228E-6</v>
      </c>
      <c r="J1165">
        <v>8.23</v>
      </c>
      <c r="L1165" s="1">
        <v>46997</v>
      </c>
      <c r="M1165" s="1">
        <v>43024</v>
      </c>
      <c r="R1165">
        <v>3.9255534453276821E-2</v>
      </c>
      <c r="T1165" t="s">
        <v>32</v>
      </c>
      <c r="V1165">
        <v>6174394.4511000002</v>
      </c>
      <c r="W1165" t="s">
        <v>1015</v>
      </c>
      <c r="X1165" t="s">
        <v>1016</v>
      </c>
      <c r="Y1165">
        <v>6075972.4716748483</v>
      </c>
      <c r="Z1165" t="s">
        <v>31</v>
      </c>
      <c r="AA1165">
        <v>1.90272155131014E-4</v>
      </c>
      <c r="AB1165">
        <v>101.19</v>
      </c>
      <c r="AC1165" t="s">
        <v>55</v>
      </c>
      <c r="AE1165" t="s">
        <v>178</v>
      </c>
      <c r="AF1165">
        <v>9.911179129769937E-3</v>
      </c>
      <c r="AH1165" t="s">
        <v>237</v>
      </c>
      <c r="AJ1165">
        <v>1.5303901575312883E-4</v>
      </c>
      <c r="AK1165">
        <v>1.5303901575312883E-4</v>
      </c>
      <c r="AL1165">
        <v>0</v>
      </c>
      <c r="AN1165" t="s">
        <v>149</v>
      </c>
      <c r="AQ1165">
        <v>1.516797098972943E-6</v>
      </c>
    </row>
    <row r="1166" spans="1:43" x14ac:dyDescent="0.2">
      <c r="A1166">
        <v>1164</v>
      </c>
      <c r="B1166">
        <v>91</v>
      </c>
      <c r="C1166">
        <v>8</v>
      </c>
      <c r="D1166">
        <v>12153379.383607667</v>
      </c>
      <c r="E1166" t="s">
        <v>1056</v>
      </c>
      <c r="F1166" t="s">
        <v>87</v>
      </c>
      <c r="G1166" t="s">
        <v>1057</v>
      </c>
      <c r="H1166">
        <v>3.1197327797792902E-3</v>
      </c>
      <c r="I1166">
        <v>1.2891239749646631E-5</v>
      </c>
      <c r="J1166">
        <v>9.5</v>
      </c>
      <c r="L1166" s="1">
        <v>49278</v>
      </c>
      <c r="M1166" s="1">
        <v>43024</v>
      </c>
      <c r="R1166">
        <v>3.9255534453276821E-2</v>
      </c>
      <c r="T1166" t="s">
        <v>32</v>
      </c>
      <c r="V1166">
        <v>13249088.4034</v>
      </c>
      <c r="W1166" t="s">
        <v>1056</v>
      </c>
      <c r="X1166" t="s">
        <v>1058</v>
      </c>
      <c r="Y1166">
        <v>12153379.383607667</v>
      </c>
      <c r="Z1166" t="s">
        <v>31</v>
      </c>
      <c r="AA1166">
        <v>4.0828823360760936E-4</v>
      </c>
      <c r="AB1166">
        <v>107.42</v>
      </c>
      <c r="AC1166" t="s">
        <v>142</v>
      </c>
      <c r="AE1166" t="s">
        <v>40</v>
      </c>
      <c r="AF1166">
        <v>8.0111791297699381E-3</v>
      </c>
      <c r="AH1166" t="s">
        <v>237</v>
      </c>
      <c r="AJ1166">
        <v>3.2839292418729369E-4</v>
      </c>
      <c r="AK1166">
        <v>3.2839292418729369E-4</v>
      </c>
      <c r="AL1166">
        <v>0</v>
      </c>
      <c r="AN1166" t="s">
        <v>146</v>
      </c>
      <c r="AQ1166">
        <v>2.6308145406133688E-6</v>
      </c>
    </row>
    <row r="1167" spans="1:43" x14ac:dyDescent="0.2">
      <c r="A1167">
        <v>1165</v>
      </c>
      <c r="B1167">
        <v>91</v>
      </c>
      <c r="C1167">
        <v>8</v>
      </c>
      <c r="D1167">
        <v>606844.32559581206</v>
      </c>
      <c r="E1167" t="s">
        <v>1059</v>
      </c>
      <c r="F1167" t="s">
        <v>87</v>
      </c>
      <c r="G1167" t="s">
        <v>1060</v>
      </c>
      <c r="H1167">
        <v>1.3914997333316849E-4</v>
      </c>
      <c r="I1167">
        <v>6.3368985758152509E-7</v>
      </c>
      <c r="J1167">
        <v>8.6199999999999992</v>
      </c>
      <c r="L1167" s="1">
        <v>46905</v>
      </c>
      <c r="M1167" s="1">
        <v>43024</v>
      </c>
      <c r="R1167">
        <v>3.9255534453276821E-2</v>
      </c>
      <c r="T1167" t="s">
        <v>32</v>
      </c>
      <c r="V1167">
        <v>651280.4902</v>
      </c>
      <c r="W1167" t="s">
        <v>1059</v>
      </c>
      <c r="X1167" t="s">
        <v>1061</v>
      </c>
      <c r="Y1167">
        <v>606844.32559581206</v>
      </c>
      <c r="Z1167" t="s">
        <v>31</v>
      </c>
      <c r="AA1167">
        <v>2.0070072206523857E-5</v>
      </c>
      <c r="AB1167">
        <v>105.66</v>
      </c>
      <c r="AC1167" t="s">
        <v>142</v>
      </c>
      <c r="AE1167" t="s">
        <v>177</v>
      </c>
      <c r="AF1167">
        <v>1.2211179129769933E-2</v>
      </c>
      <c r="AH1167" t="s">
        <v>237</v>
      </c>
      <c r="AJ1167">
        <v>1.6142688321713282E-5</v>
      </c>
      <c r="AK1167">
        <v>1.6142688321713282E-5</v>
      </c>
      <c r="AL1167">
        <v>0</v>
      </c>
      <c r="AN1167" t="s">
        <v>146</v>
      </c>
      <c r="AQ1167">
        <v>1.9712125873248605E-7</v>
      </c>
    </row>
    <row r="1168" spans="1:43" x14ac:dyDescent="0.2">
      <c r="A1168">
        <v>1166</v>
      </c>
      <c r="B1168">
        <v>91</v>
      </c>
      <c r="C1168">
        <v>8</v>
      </c>
      <c r="D1168">
        <v>141027003.08752483</v>
      </c>
      <c r="E1168" t="s">
        <v>1062</v>
      </c>
      <c r="F1168" t="s">
        <v>87</v>
      </c>
      <c r="G1168" t="s">
        <v>1063</v>
      </c>
      <c r="H1168">
        <v>3.5481193711037085E-2</v>
      </c>
      <c r="I1168">
        <v>1.480162829082896E-4</v>
      </c>
      <c r="J1168">
        <v>9.41</v>
      </c>
      <c r="L1168" s="1">
        <v>49263</v>
      </c>
      <c r="M1168" s="1">
        <v>43024</v>
      </c>
      <c r="R1168">
        <v>3.9255534453276821E-2</v>
      </c>
      <c r="T1168" t="s">
        <v>32</v>
      </c>
      <c r="V1168">
        <v>152125075.28209999</v>
      </c>
      <c r="W1168" t="s">
        <v>1064</v>
      </c>
      <c r="X1168" t="s">
        <v>1065</v>
      </c>
      <c r="Y1168">
        <v>141027003.08752483</v>
      </c>
      <c r="Z1168" t="s">
        <v>31</v>
      </c>
      <c r="AA1168">
        <v>4.6879359834608855E-3</v>
      </c>
      <c r="AB1168">
        <v>106.1</v>
      </c>
      <c r="AC1168" t="s">
        <v>55</v>
      </c>
      <c r="AE1168" t="s">
        <v>176</v>
      </c>
      <c r="AF1168">
        <v>9.8111791297699341E-3</v>
      </c>
      <c r="AH1168" t="s">
        <v>237</v>
      </c>
      <c r="AJ1168">
        <v>3.7705838162632398E-3</v>
      </c>
      <c r="AK1168">
        <v>3.7705838162632398E-3</v>
      </c>
      <c r="AL1168">
        <v>0</v>
      </c>
      <c r="AN1168" t="s">
        <v>149</v>
      </c>
      <c r="AQ1168">
        <v>3.6993873245170167E-5</v>
      </c>
    </row>
    <row r="1169" spans="1:43" x14ac:dyDescent="0.2">
      <c r="A1169">
        <v>1167</v>
      </c>
      <c r="B1169">
        <v>91</v>
      </c>
      <c r="C1169">
        <v>8</v>
      </c>
      <c r="D1169">
        <v>73568089.510214239</v>
      </c>
      <c r="E1169" t="s">
        <v>1021</v>
      </c>
      <c r="F1169" t="s">
        <v>87</v>
      </c>
      <c r="G1169" t="s">
        <v>1066</v>
      </c>
      <c r="H1169">
        <v>0.17212721683545493</v>
      </c>
      <c r="I1169">
        <v>5.6260998258375106E-4</v>
      </c>
      <c r="J1169">
        <v>12.01</v>
      </c>
      <c r="L1169" s="1">
        <v>50328</v>
      </c>
      <c r="M1169" s="1">
        <v>43024</v>
      </c>
      <c r="R1169">
        <v>3.9255534453276821E-2</v>
      </c>
      <c r="T1169" t="s">
        <v>32</v>
      </c>
      <c r="V1169">
        <v>578227504.9296</v>
      </c>
      <c r="W1169" t="s">
        <v>1023</v>
      </c>
      <c r="X1169" t="s">
        <v>1024</v>
      </c>
      <c r="Y1169">
        <v>73568089.510214239</v>
      </c>
      <c r="Z1169" t="s">
        <v>31</v>
      </c>
      <c r="AA1169">
        <v>1.7818847563161967E-2</v>
      </c>
      <c r="AB1169">
        <v>95.29</v>
      </c>
      <c r="AC1169" t="s">
        <v>142</v>
      </c>
      <c r="AE1169" t="s">
        <v>35</v>
      </c>
      <c r="AF1169">
        <v>8.5111791297699316E-3</v>
      </c>
      <c r="AH1169" t="s">
        <v>237</v>
      </c>
      <c r="AJ1169">
        <v>1.4331991410112816E-2</v>
      </c>
      <c r="AK1169">
        <v>1.4331991410112816E-2</v>
      </c>
      <c r="AL1169">
        <v>0</v>
      </c>
      <c r="AN1169" t="s">
        <v>146</v>
      </c>
      <c r="AQ1169">
        <v>1.2198214617779412E-4</v>
      </c>
    </row>
    <row r="1170" spans="1:43" x14ac:dyDescent="0.2">
      <c r="A1170">
        <v>1168</v>
      </c>
      <c r="B1170">
        <v>91</v>
      </c>
      <c r="C1170">
        <v>8</v>
      </c>
      <c r="D1170">
        <v>48629851.513672747</v>
      </c>
      <c r="E1170" t="s">
        <v>1067</v>
      </c>
      <c r="F1170" t="s">
        <v>87</v>
      </c>
      <c r="G1170" t="s">
        <v>1068</v>
      </c>
      <c r="H1170">
        <v>1.329678617935471E-2</v>
      </c>
      <c r="I1170">
        <v>5.0334855157330178E-5</v>
      </c>
      <c r="J1170">
        <v>10.37</v>
      </c>
      <c r="L1170" s="1">
        <v>49628</v>
      </c>
      <c r="M1170" s="1">
        <v>43024</v>
      </c>
      <c r="R1170">
        <v>3.9255534453276821E-2</v>
      </c>
      <c r="T1170" t="s">
        <v>32</v>
      </c>
      <c r="V1170">
        <v>51732103.250200003</v>
      </c>
      <c r="W1170" t="s">
        <v>1069</v>
      </c>
      <c r="X1170" t="s">
        <v>1070</v>
      </c>
      <c r="Y1170">
        <v>48629851.513672747</v>
      </c>
      <c r="Z1170" t="s">
        <v>31</v>
      </c>
      <c r="AA1170">
        <v>1.5941933824979511E-3</v>
      </c>
      <c r="AB1170">
        <v>104.89</v>
      </c>
      <c r="AC1170" t="s">
        <v>142</v>
      </c>
      <c r="AE1170" t="s">
        <v>38</v>
      </c>
      <c r="AF1170">
        <v>5.6111791297699352E-3</v>
      </c>
      <c r="AH1170" t="s">
        <v>237</v>
      </c>
      <c r="AJ1170">
        <v>1.2822358900052759E-3</v>
      </c>
      <c r="AK1170">
        <v>1.2822358900052759E-3</v>
      </c>
      <c r="AL1170">
        <v>0</v>
      </c>
      <c r="AN1170" t="s">
        <v>146</v>
      </c>
      <c r="AQ1170">
        <v>7.1948552654395823E-6</v>
      </c>
    </row>
    <row r="1171" spans="1:43" x14ac:dyDescent="0.2">
      <c r="A1171">
        <v>1169</v>
      </c>
      <c r="B1171">
        <v>91</v>
      </c>
      <c r="C1171">
        <v>8</v>
      </c>
      <c r="D1171">
        <v>24310304.672773454</v>
      </c>
      <c r="E1171" t="s">
        <v>1067</v>
      </c>
      <c r="F1171" t="s">
        <v>87</v>
      </c>
      <c r="G1171" t="s">
        <v>1071</v>
      </c>
      <c r="H1171">
        <v>1.0373152245117766E-2</v>
      </c>
      <c r="I1171">
        <v>2.7074709797028345E-5</v>
      </c>
      <c r="J1171">
        <v>15.04</v>
      </c>
      <c r="L1171" s="1">
        <v>51789</v>
      </c>
      <c r="M1171" s="1">
        <v>43024</v>
      </c>
      <c r="R1171">
        <v>3.9255534453276821E-2</v>
      </c>
      <c r="T1171" t="s">
        <v>32</v>
      </c>
      <c r="V1171">
        <v>27826278.1985</v>
      </c>
      <c r="W1171" t="s">
        <v>1069</v>
      </c>
      <c r="X1171" t="s">
        <v>1070</v>
      </c>
      <c r="Y1171">
        <v>24310304.672773454</v>
      </c>
      <c r="Z1171" t="s">
        <v>31</v>
      </c>
      <c r="AA1171">
        <v>8.5750367328094675E-4</v>
      </c>
      <c r="AB1171">
        <v>114.45</v>
      </c>
      <c r="AC1171" t="s">
        <v>142</v>
      </c>
      <c r="AE1171" t="s">
        <v>38</v>
      </c>
      <c r="AF1171">
        <v>8.9111791297699361E-3</v>
      </c>
      <c r="AH1171" t="s">
        <v>237</v>
      </c>
      <c r="AJ1171">
        <v>6.8970427161687284E-4</v>
      </c>
      <c r="AK1171">
        <v>6.8970427161687284E-4</v>
      </c>
      <c r="AL1171">
        <v>0</v>
      </c>
      <c r="AN1171" t="s">
        <v>146</v>
      </c>
      <c r="AQ1171">
        <v>6.1460783109454529E-6</v>
      </c>
    </row>
    <row r="1172" spans="1:43" x14ac:dyDescent="0.2">
      <c r="A1172">
        <v>1170</v>
      </c>
      <c r="B1172">
        <v>91</v>
      </c>
      <c r="C1172">
        <v>8</v>
      </c>
      <c r="D1172">
        <v>75309153.503312454</v>
      </c>
      <c r="E1172" t="s">
        <v>363</v>
      </c>
      <c r="F1172" t="s">
        <v>87</v>
      </c>
      <c r="G1172" t="s">
        <v>947</v>
      </c>
      <c r="H1172">
        <v>1.7627214567223781E-2</v>
      </c>
      <c r="I1172">
        <v>8.1503619406237478E-5</v>
      </c>
      <c r="J1172">
        <v>8.49</v>
      </c>
      <c r="L1172" s="1">
        <v>48653</v>
      </c>
      <c r="M1172" s="1">
        <v>43024</v>
      </c>
      <c r="R1172">
        <v>3.9255534453276821E-2</v>
      </c>
      <c r="T1172" t="s">
        <v>32</v>
      </c>
      <c r="V1172">
        <v>83766082.989800006</v>
      </c>
      <c r="W1172" t="s">
        <v>364</v>
      </c>
      <c r="X1172" t="s">
        <v>404</v>
      </c>
      <c r="Y1172">
        <v>75309153.503312454</v>
      </c>
      <c r="Z1172" t="s">
        <v>31</v>
      </c>
      <c r="AA1172">
        <v>2.58136296013824E-3</v>
      </c>
      <c r="AB1172">
        <v>110.86</v>
      </c>
      <c r="AC1172" t="s">
        <v>142</v>
      </c>
      <c r="AE1172" t="s">
        <v>44</v>
      </c>
      <c r="AF1172">
        <v>3.7111791297699363E-3</v>
      </c>
      <c r="AH1172" t="s">
        <v>237</v>
      </c>
      <c r="AJ1172">
        <v>2.0762325756447327E-3</v>
      </c>
      <c r="AK1172">
        <v>2.0762325756447327E-3</v>
      </c>
      <c r="AL1172">
        <v>0</v>
      </c>
      <c r="AN1172" t="s">
        <v>146</v>
      </c>
      <c r="AQ1172">
        <v>7.7052710032812121E-6</v>
      </c>
    </row>
    <row r="1173" spans="1:43" x14ac:dyDescent="0.2">
      <c r="A1173">
        <v>1171</v>
      </c>
      <c r="B1173">
        <v>91</v>
      </c>
      <c r="C1173">
        <v>8</v>
      </c>
      <c r="D1173">
        <v>30390926.994382214</v>
      </c>
      <c r="E1173" t="s">
        <v>369</v>
      </c>
      <c r="F1173" t="s">
        <v>87</v>
      </c>
      <c r="G1173" t="s">
        <v>1631</v>
      </c>
      <c r="H1173">
        <v>9.5796125047881171E-3</v>
      </c>
      <c r="I1173">
        <v>3.1814958437457821E-5</v>
      </c>
      <c r="J1173">
        <v>11.82</v>
      </c>
      <c r="L1173" s="1">
        <v>48611</v>
      </c>
      <c r="M1173" s="1">
        <v>43024</v>
      </c>
      <c r="R1173">
        <v>3.9255534453276821E-2</v>
      </c>
      <c r="T1173" t="s">
        <v>32</v>
      </c>
      <c r="V1173">
        <v>32698111.669199999</v>
      </c>
      <c r="W1173" t="s">
        <v>371</v>
      </c>
      <c r="X1173" t="s">
        <v>739</v>
      </c>
      <c r="Y1173">
        <v>30390926.994382214</v>
      </c>
      <c r="Z1173" t="s">
        <v>31</v>
      </c>
      <c r="AA1173">
        <v>1.0076356839989131E-3</v>
      </c>
      <c r="AB1173">
        <v>106.76</v>
      </c>
      <c r="AC1173" t="s">
        <v>142</v>
      </c>
      <c r="AE1173" t="s">
        <v>177</v>
      </c>
      <c r="AF1173">
        <v>8.6111791297699344E-3</v>
      </c>
      <c r="AH1173" t="s">
        <v>237</v>
      </c>
      <c r="AJ1173">
        <v>8.104579107265751E-4</v>
      </c>
      <c r="AK1173">
        <v>8.104579107265751E-4</v>
      </c>
      <c r="AL1173">
        <v>0</v>
      </c>
      <c r="AN1173" t="s">
        <v>146</v>
      </c>
      <c r="AQ1173">
        <v>6.9789982464056282E-6</v>
      </c>
    </row>
    <row r="1174" spans="1:43" x14ac:dyDescent="0.2">
      <c r="A1174">
        <v>1172</v>
      </c>
      <c r="B1174">
        <v>91</v>
      </c>
      <c r="C1174">
        <v>8</v>
      </c>
      <c r="D1174">
        <v>65060318.943210788</v>
      </c>
      <c r="E1174" t="s">
        <v>1072</v>
      </c>
      <c r="F1174" t="s">
        <v>87</v>
      </c>
      <c r="G1174" t="s">
        <v>1073</v>
      </c>
      <c r="H1174">
        <v>0.20758171698933564</v>
      </c>
      <c r="I1174">
        <v>6.9174288991046039E-4</v>
      </c>
      <c r="J1174">
        <v>11.78</v>
      </c>
      <c r="L1174" s="1">
        <v>49195</v>
      </c>
      <c r="M1174" s="1">
        <v>43024</v>
      </c>
      <c r="R1174">
        <v>3.9255534453276821E-2</v>
      </c>
      <c r="T1174" t="s">
        <v>32</v>
      </c>
      <c r="V1174">
        <v>710945019.93869996</v>
      </c>
      <c r="W1174" t="s">
        <v>1074</v>
      </c>
      <c r="X1174" t="s">
        <v>1075</v>
      </c>
      <c r="Y1174">
        <v>65060318.943210788</v>
      </c>
      <c r="Z1174" t="s">
        <v>31</v>
      </c>
      <c r="AA1174">
        <v>2.1908713833353903E-2</v>
      </c>
      <c r="AB1174">
        <v>118.26</v>
      </c>
      <c r="AC1174" t="s">
        <v>142</v>
      </c>
      <c r="AE1174" t="s">
        <v>41</v>
      </c>
      <c r="AF1174">
        <v>8.3111791297699328E-3</v>
      </c>
      <c r="AH1174" t="s">
        <v>237</v>
      </c>
      <c r="AJ1174">
        <v>1.7621537944765335E-2</v>
      </c>
      <c r="AK1174">
        <v>1.7621537944765335E-2</v>
      </c>
      <c r="AL1174">
        <v>0</v>
      </c>
      <c r="AN1174" t="s">
        <v>146</v>
      </c>
      <c r="AQ1174">
        <v>1.4645575840098262E-4</v>
      </c>
    </row>
    <row r="1175" spans="1:43" x14ac:dyDescent="0.2">
      <c r="A1175">
        <v>1173</v>
      </c>
      <c r="B1175">
        <v>91</v>
      </c>
      <c r="C1175">
        <v>8</v>
      </c>
      <c r="D1175">
        <v>79020684.199878424</v>
      </c>
      <c r="E1175" t="s">
        <v>1072</v>
      </c>
      <c r="F1175" t="s">
        <v>87</v>
      </c>
      <c r="G1175" t="s">
        <v>1076</v>
      </c>
      <c r="H1175">
        <v>3.0774449503137079E-2</v>
      </c>
      <c r="I1175">
        <v>9.1381805049245486E-5</v>
      </c>
      <c r="J1175">
        <v>13.22</v>
      </c>
      <c r="L1175" s="1">
        <v>49926</v>
      </c>
      <c r="M1175" s="1">
        <v>43024</v>
      </c>
      <c r="R1175">
        <v>3.9255534453276821E-2</v>
      </c>
      <c r="T1175" t="s">
        <v>32</v>
      </c>
      <c r="V1175">
        <v>93918477.747099996</v>
      </c>
      <c r="W1175" t="s">
        <v>1074</v>
      </c>
      <c r="X1175" t="s">
        <v>1075</v>
      </c>
      <c r="Y1175">
        <v>79020684.199878424</v>
      </c>
      <c r="Z1175" t="s">
        <v>31</v>
      </c>
      <c r="AA1175">
        <v>2.8942224713844208E-3</v>
      </c>
      <c r="AB1175">
        <v>118.31</v>
      </c>
      <c r="AC1175" t="s">
        <v>142</v>
      </c>
      <c r="AE1175" t="s">
        <v>41</v>
      </c>
      <c r="AF1175">
        <v>7.9111791297699352E-3</v>
      </c>
      <c r="AH1175" t="s">
        <v>237</v>
      </c>
      <c r="AJ1175">
        <v>2.3278706129453161E-3</v>
      </c>
      <c r="AK1175">
        <v>2.3278706129453161E-3</v>
      </c>
      <c r="AL1175">
        <v>0</v>
      </c>
      <c r="AN1175" t="s">
        <v>146</v>
      </c>
      <c r="AQ1175">
        <v>1.841620140993773E-5</v>
      </c>
    </row>
    <row r="1176" spans="1:43" x14ac:dyDescent="0.2">
      <c r="A1176">
        <v>1174</v>
      </c>
      <c r="B1176">
        <v>91</v>
      </c>
      <c r="C1176">
        <v>8</v>
      </c>
      <c r="D1176">
        <v>24313738.523561545</v>
      </c>
      <c r="E1176" t="s">
        <v>398</v>
      </c>
      <c r="F1176" t="s">
        <v>87</v>
      </c>
      <c r="G1176" t="s">
        <v>1077</v>
      </c>
      <c r="H1176">
        <v>5.0932460621930962E-3</v>
      </c>
      <c r="I1176">
        <v>2.6801353387860268E-5</v>
      </c>
      <c r="J1176">
        <v>7.46</v>
      </c>
      <c r="L1176" s="1">
        <v>47939</v>
      </c>
      <c r="M1176" s="1">
        <v>43024</v>
      </c>
      <c r="R1176">
        <v>3.9255534453276821E-2</v>
      </c>
      <c r="T1176" t="s">
        <v>32</v>
      </c>
      <c r="V1176">
        <v>27545333.673300002</v>
      </c>
      <c r="W1176" t="s">
        <v>399</v>
      </c>
      <c r="X1176" t="s">
        <v>1078</v>
      </c>
      <c r="Y1176">
        <v>24313738.523561545</v>
      </c>
      <c r="Z1176" t="s">
        <v>31</v>
      </c>
      <c r="AA1176">
        <v>8.488459950737275E-4</v>
      </c>
      <c r="AB1176">
        <v>113.09</v>
      </c>
      <c r="AC1176" t="s">
        <v>55</v>
      </c>
      <c r="AE1176" t="s">
        <v>35</v>
      </c>
      <c r="AF1176">
        <v>1.1111791297699347E-3</v>
      </c>
      <c r="AH1176" t="s">
        <v>237</v>
      </c>
      <c r="AJ1176">
        <v>6.827407590071175E-4</v>
      </c>
      <c r="AK1176">
        <v>6.827407590071175E-4</v>
      </c>
      <c r="AL1176">
        <v>0</v>
      </c>
      <c r="AN1176" t="s">
        <v>149</v>
      </c>
      <c r="AQ1176">
        <v>7.5864728245199353E-7</v>
      </c>
    </row>
    <row r="1177" spans="1:43" x14ac:dyDescent="0.2">
      <c r="A1177">
        <v>1175</v>
      </c>
      <c r="B1177">
        <v>91</v>
      </c>
      <c r="C1177">
        <v>8</v>
      </c>
      <c r="D1177">
        <v>93000050.955005899</v>
      </c>
      <c r="E1177" t="s">
        <v>398</v>
      </c>
      <c r="F1177" t="s">
        <v>87</v>
      </c>
      <c r="G1177" t="s">
        <v>1079</v>
      </c>
      <c r="H1177">
        <v>2.9918839543597496E-2</v>
      </c>
      <c r="I1177">
        <v>1.028441362964757E-4</v>
      </c>
      <c r="J1177">
        <v>11.42</v>
      </c>
      <c r="L1177" s="1">
        <v>48533</v>
      </c>
      <c r="M1177" s="1">
        <v>43024</v>
      </c>
      <c r="R1177">
        <v>3.9255534453276821E-2</v>
      </c>
      <c r="T1177" t="s">
        <v>32</v>
      </c>
      <c r="V1177">
        <v>105698992.49609999</v>
      </c>
      <c r="W1177" t="s">
        <v>399</v>
      </c>
      <c r="X1177" t="s">
        <v>1078</v>
      </c>
      <c r="Y1177">
        <v>93000050.955005899</v>
      </c>
      <c r="Z1177" t="s">
        <v>31</v>
      </c>
      <c r="AA1177">
        <v>3.2572546598196111E-3</v>
      </c>
      <c r="AB1177">
        <v>111.7</v>
      </c>
      <c r="AC1177" t="s">
        <v>55</v>
      </c>
      <c r="AE1177" t="s">
        <v>35</v>
      </c>
      <c r="AF1177">
        <v>8.2111791297699369E-3</v>
      </c>
      <c r="AH1177" t="s">
        <v>237</v>
      </c>
      <c r="AJ1177">
        <v>2.6198633575829681E-3</v>
      </c>
      <c r="AK1177">
        <v>2.6198633575829681E-3</v>
      </c>
      <c r="AL1177">
        <v>0</v>
      </c>
      <c r="AN1177" t="s">
        <v>149</v>
      </c>
      <c r="AQ1177">
        <v>2.1512167324634261E-5</v>
      </c>
    </row>
    <row r="1178" spans="1:43" x14ac:dyDescent="0.2">
      <c r="A1178">
        <v>1176</v>
      </c>
      <c r="B1178">
        <v>92</v>
      </c>
      <c r="C1178">
        <v>8</v>
      </c>
      <c r="D1178">
        <v>432008.29703746486</v>
      </c>
      <c r="E1178" t="s">
        <v>407</v>
      </c>
      <c r="F1178" t="s">
        <v>87</v>
      </c>
      <c r="G1178" t="s">
        <v>408</v>
      </c>
      <c r="H1178">
        <v>8.4953857479372149E-6</v>
      </c>
      <c r="I1178">
        <v>9.267528092715133E-8</v>
      </c>
      <c r="J1178">
        <v>0.78</v>
      </c>
      <c r="L1178" s="1">
        <v>43313</v>
      </c>
      <c r="M1178" s="1">
        <v>43024</v>
      </c>
      <c r="R1178">
        <v>8.508939001472671E-3</v>
      </c>
      <c r="T1178" t="s">
        <v>32</v>
      </c>
      <c r="V1178">
        <v>439420.89860000001</v>
      </c>
      <c r="W1178" t="s">
        <v>229</v>
      </c>
      <c r="X1178" t="s">
        <v>409</v>
      </c>
      <c r="Y1178">
        <v>432008.29703746486</v>
      </c>
      <c r="Z1178" t="s">
        <v>31</v>
      </c>
      <c r="AA1178">
        <v>2.9351891271646538E-6</v>
      </c>
      <c r="AB1178">
        <v>101.01</v>
      </c>
      <c r="AC1178" t="s">
        <v>42</v>
      </c>
      <c r="AE1178" t="s">
        <v>41</v>
      </c>
      <c r="AF1178">
        <v>-2.788820870230066E-3</v>
      </c>
      <c r="AH1178" t="s">
        <v>237</v>
      </c>
      <c r="AJ1178">
        <v>1.0891520189663095E-5</v>
      </c>
      <c r="AK1178">
        <v>1.0891520189663095E-5</v>
      </c>
      <c r="AL1178">
        <v>0</v>
      </c>
      <c r="AN1178" t="s">
        <v>142</v>
      </c>
      <c r="AQ1178">
        <v>-3.0374498813464566E-8</v>
      </c>
    </row>
    <row r="1179" spans="1:43" x14ac:dyDescent="0.2">
      <c r="A1179">
        <v>1177</v>
      </c>
      <c r="B1179">
        <v>92</v>
      </c>
      <c r="C1179">
        <v>8</v>
      </c>
      <c r="D1179">
        <v>1730252.0608913</v>
      </c>
      <c r="E1179" t="s">
        <v>407</v>
      </c>
      <c r="F1179" t="s">
        <v>87</v>
      </c>
      <c r="G1179" t="s">
        <v>446</v>
      </c>
      <c r="H1179">
        <v>4.1218847016349316E-5</v>
      </c>
      <c r="I1179">
        <v>3.6918805786647387E-7</v>
      </c>
      <c r="J1179">
        <v>0.95</v>
      </c>
      <c r="L1179" s="1">
        <v>43374</v>
      </c>
      <c r="M1179" s="1">
        <v>43024</v>
      </c>
      <c r="R1179">
        <v>8.508939001472671E-3</v>
      </c>
      <c r="T1179" t="s">
        <v>32</v>
      </c>
      <c r="V1179">
        <v>1750509.3755000001</v>
      </c>
      <c r="W1179" t="s">
        <v>229</v>
      </c>
      <c r="X1179" t="s">
        <v>409</v>
      </c>
      <c r="Y1179">
        <v>1730252.0608913</v>
      </c>
      <c r="Z1179" t="s">
        <v>31</v>
      </c>
      <c r="AA1179">
        <v>1.1692835052537003E-5</v>
      </c>
      <c r="AB1179">
        <v>101.04</v>
      </c>
      <c r="AC1179" t="s">
        <v>42</v>
      </c>
      <c r="AE1179" t="s">
        <v>41</v>
      </c>
      <c r="AF1179">
        <v>-2.788820870230066E-3</v>
      </c>
      <c r="AH1179" t="s">
        <v>237</v>
      </c>
      <c r="AJ1179">
        <v>4.3388260017209809E-5</v>
      </c>
      <c r="AK1179">
        <v>4.3388260017209809E-5</v>
      </c>
      <c r="AL1179">
        <v>0</v>
      </c>
      <c r="AN1179" t="s">
        <v>142</v>
      </c>
      <c r="AQ1179">
        <v>-1.2100208505896342E-7</v>
      </c>
    </row>
    <row r="1180" spans="1:43" x14ac:dyDescent="0.2">
      <c r="A1180">
        <v>1178</v>
      </c>
      <c r="B1180">
        <v>92</v>
      </c>
      <c r="C1180">
        <v>8</v>
      </c>
      <c r="D1180">
        <v>648275.22354369669</v>
      </c>
      <c r="E1180" t="s">
        <v>411</v>
      </c>
      <c r="F1180" t="s">
        <v>87</v>
      </c>
      <c r="G1180" t="s">
        <v>412</v>
      </c>
      <c r="H1180">
        <v>1.9604736338419241E-6</v>
      </c>
      <c r="I1180">
        <v>1.3901292136963666E-7</v>
      </c>
      <c r="J1180">
        <v>0.12</v>
      </c>
      <c r="L1180" s="1">
        <v>43070</v>
      </c>
      <c r="M1180" s="1">
        <v>43024</v>
      </c>
      <c r="R1180">
        <v>8.508939001472671E-3</v>
      </c>
      <c r="T1180" t="s">
        <v>32</v>
      </c>
      <c r="V1180">
        <v>659131.34779999999</v>
      </c>
      <c r="W1180" t="s">
        <v>211</v>
      </c>
      <c r="X1180" t="s">
        <v>413</v>
      </c>
      <c r="Y1180">
        <v>648275.22354369669</v>
      </c>
      <c r="Z1180" t="s">
        <v>31</v>
      </c>
      <c r="AA1180">
        <v>4.4027836900790124E-6</v>
      </c>
      <c r="AB1180">
        <v>100.18</v>
      </c>
      <c r="AC1180" t="s">
        <v>42</v>
      </c>
      <c r="AE1180" t="s">
        <v>41</v>
      </c>
      <c r="AF1180">
        <v>8.1117912976993653E-4</v>
      </c>
      <c r="AH1180" t="s">
        <v>237</v>
      </c>
      <c r="AJ1180">
        <v>1.6337280282016034E-5</v>
      </c>
      <c r="AK1180">
        <v>1.6337280282016034E-5</v>
      </c>
      <c r="AL1180">
        <v>0</v>
      </c>
      <c r="AN1180" t="s">
        <v>142</v>
      </c>
      <c r="AQ1180">
        <v>1.325246080197331E-8</v>
      </c>
    </row>
    <row r="1181" spans="1:43" x14ac:dyDescent="0.2">
      <c r="A1181">
        <v>1179</v>
      </c>
      <c r="B1181">
        <v>92</v>
      </c>
      <c r="C1181">
        <v>8</v>
      </c>
      <c r="D1181">
        <v>1729942.843070511</v>
      </c>
      <c r="E1181" t="s">
        <v>414</v>
      </c>
      <c r="F1181" t="s">
        <v>87</v>
      </c>
      <c r="G1181" t="s">
        <v>415</v>
      </c>
      <c r="H1181">
        <v>3.066740898797191E-5</v>
      </c>
      <c r="I1181">
        <v>3.7278158915981106E-7</v>
      </c>
      <c r="J1181">
        <v>0.7</v>
      </c>
      <c r="L1181" s="1">
        <v>43282</v>
      </c>
      <c r="M1181" s="1">
        <v>43024</v>
      </c>
      <c r="R1181">
        <v>8.508939001472671E-3</v>
      </c>
      <c r="T1181" t="s">
        <v>32</v>
      </c>
      <c r="V1181">
        <v>1767548.145</v>
      </c>
      <c r="W1181" t="s">
        <v>200</v>
      </c>
      <c r="X1181" t="s">
        <v>305</v>
      </c>
      <c r="Y1181">
        <v>1729942.843070511</v>
      </c>
      <c r="Z1181" t="s">
        <v>31</v>
      </c>
      <c r="AA1181">
        <v>1.1806648508237455E-5</v>
      </c>
      <c r="AB1181">
        <v>101.14</v>
      </c>
      <c r="AC1181" t="s">
        <v>42</v>
      </c>
      <c r="AE1181" t="s">
        <v>41</v>
      </c>
      <c r="AF1181">
        <v>-4.9888208702300665E-3</v>
      </c>
      <c r="AH1181" t="s">
        <v>237</v>
      </c>
      <c r="AJ1181">
        <v>4.3810584268531304E-5</v>
      </c>
      <c r="AK1181">
        <v>4.3810584268531304E-5</v>
      </c>
      <c r="AL1181">
        <v>0</v>
      </c>
      <c r="AN1181" t="s">
        <v>142</v>
      </c>
      <c r="AQ1181">
        <v>-2.1856315713582201E-7</v>
      </c>
    </row>
    <row r="1182" spans="1:43" x14ac:dyDescent="0.2">
      <c r="A1182">
        <v>1180</v>
      </c>
      <c r="B1182">
        <v>92</v>
      </c>
      <c r="C1182">
        <v>8</v>
      </c>
      <c r="D1182">
        <v>1297837.5931770471</v>
      </c>
      <c r="E1182" t="s">
        <v>414</v>
      </c>
      <c r="F1182" t="s">
        <v>87</v>
      </c>
      <c r="G1182" t="s">
        <v>416</v>
      </c>
      <c r="H1182">
        <v>9.4369465535634328E-6</v>
      </c>
      <c r="I1182">
        <v>2.7689104339458279E-7</v>
      </c>
      <c r="J1182">
        <v>0.28999999999999998</v>
      </c>
      <c r="L1182" s="1">
        <v>43132</v>
      </c>
      <c r="M1182" s="1">
        <v>43024</v>
      </c>
      <c r="R1182">
        <v>8.508939001472671E-3</v>
      </c>
      <c r="T1182" t="s">
        <v>32</v>
      </c>
      <c r="V1182">
        <v>1312882.0316000001</v>
      </c>
      <c r="W1182" t="s">
        <v>200</v>
      </c>
      <c r="X1182" t="s">
        <v>305</v>
      </c>
      <c r="Y1182">
        <v>1297837.5931770471</v>
      </c>
      <c r="Z1182" t="s">
        <v>31</v>
      </c>
      <c r="AA1182">
        <v>8.7696262892357604E-6</v>
      </c>
      <c r="AB1182">
        <v>100.37</v>
      </c>
      <c r="AC1182" t="s">
        <v>42</v>
      </c>
      <c r="AE1182" t="s">
        <v>41</v>
      </c>
      <c r="AF1182">
        <v>1.2111791297699341E-3</v>
      </c>
      <c r="AH1182" t="s">
        <v>237</v>
      </c>
      <c r="AJ1182">
        <v>3.2541195012287703E-5</v>
      </c>
      <c r="AK1182">
        <v>3.2541195012287703E-5</v>
      </c>
      <c r="AL1182">
        <v>0</v>
      </c>
      <c r="AN1182" t="s">
        <v>142</v>
      </c>
      <c r="AQ1182">
        <v>3.9413216256656343E-8</v>
      </c>
    </row>
    <row r="1183" spans="1:43" x14ac:dyDescent="0.2">
      <c r="A1183">
        <v>1181</v>
      </c>
      <c r="B1183">
        <v>92</v>
      </c>
      <c r="C1183">
        <v>8</v>
      </c>
      <c r="D1183">
        <v>1297357.9903550416</v>
      </c>
      <c r="E1183" t="s">
        <v>417</v>
      </c>
      <c r="F1183" t="s">
        <v>87</v>
      </c>
      <c r="G1183" t="s">
        <v>816</v>
      </c>
      <c r="H1183">
        <v>9.1577679922002803E-8</v>
      </c>
      <c r="I1183">
        <v>1.9480722308817759E-8</v>
      </c>
      <c r="J1183">
        <v>0.04</v>
      </c>
      <c r="L1183" s="1">
        <v>43040</v>
      </c>
      <c r="M1183" s="1">
        <v>43024</v>
      </c>
      <c r="R1183">
        <v>8.508939001472671E-3</v>
      </c>
      <c r="T1183" t="s">
        <v>32</v>
      </c>
      <c r="V1183">
        <v>92368.066399999996</v>
      </c>
      <c r="W1183" t="s">
        <v>216</v>
      </c>
      <c r="X1183" t="s">
        <v>419</v>
      </c>
      <c r="Y1183">
        <v>1297357.9903550416</v>
      </c>
      <c r="Z1183" t="s">
        <v>31</v>
      </c>
      <c r="AA1183">
        <v>6.1698873462388104E-7</v>
      </c>
      <c r="AB1183">
        <v>99.94</v>
      </c>
      <c r="AC1183" t="s">
        <v>42</v>
      </c>
      <c r="AE1183" t="s">
        <v>41</v>
      </c>
      <c r="AF1183">
        <v>2.1311179129769937E-2</v>
      </c>
      <c r="AH1183" t="s">
        <v>237</v>
      </c>
      <c r="AJ1183">
        <v>2.28944199805007E-6</v>
      </c>
      <c r="AK1183">
        <v>2.28944199805007E-6</v>
      </c>
      <c r="AL1183">
        <v>0</v>
      </c>
      <c r="AN1183" t="s">
        <v>142</v>
      </c>
      <c r="AQ1183">
        <v>4.8790708527663439E-8</v>
      </c>
    </row>
    <row r="1184" spans="1:43" x14ac:dyDescent="0.2">
      <c r="A1184">
        <v>1182</v>
      </c>
      <c r="B1184">
        <v>92</v>
      </c>
      <c r="C1184">
        <v>8</v>
      </c>
      <c r="D1184">
        <v>3460758.5419114199</v>
      </c>
      <c r="E1184" t="s">
        <v>417</v>
      </c>
      <c r="F1184" t="s">
        <v>87</v>
      </c>
      <c r="G1184" t="s">
        <v>418</v>
      </c>
      <c r="H1184">
        <v>3.8829380852136297E-5</v>
      </c>
      <c r="I1184">
        <v>7.3421518474617474E-7</v>
      </c>
      <c r="J1184">
        <v>0.45</v>
      </c>
      <c r="L1184" s="1">
        <v>43191</v>
      </c>
      <c r="M1184" s="1">
        <v>43024</v>
      </c>
      <c r="R1184">
        <v>8.508939001472671E-3</v>
      </c>
      <c r="T1184" t="s">
        <v>32</v>
      </c>
      <c r="V1184">
        <v>3481289.6494</v>
      </c>
      <c r="W1184" t="s">
        <v>216</v>
      </c>
      <c r="X1184" t="s">
        <v>419</v>
      </c>
      <c r="Y1184">
        <v>3460758.5419114199</v>
      </c>
      <c r="Z1184" t="s">
        <v>31</v>
      </c>
      <c r="AA1184">
        <v>2.3253886103244449E-5</v>
      </c>
      <c r="AB1184">
        <v>100.45</v>
      </c>
      <c r="AC1184" t="s">
        <v>42</v>
      </c>
      <c r="AE1184" t="s">
        <v>41</v>
      </c>
      <c r="AF1184">
        <v>1.6111791297699352E-3</v>
      </c>
      <c r="AH1184" t="s">
        <v>237</v>
      </c>
      <c r="AJ1184">
        <v>8.6287513004747321E-5</v>
      </c>
      <c r="AK1184">
        <v>8.6287513004747321E-5</v>
      </c>
      <c r="AL1184">
        <v>0</v>
      </c>
      <c r="AN1184" t="s">
        <v>142</v>
      </c>
      <c r="AQ1184">
        <v>1.3902464011300074E-7</v>
      </c>
    </row>
    <row r="1185" spans="1:43" x14ac:dyDescent="0.2">
      <c r="A1185">
        <v>1183</v>
      </c>
      <c r="B1185">
        <v>93</v>
      </c>
      <c r="C1185">
        <v>8</v>
      </c>
      <c r="D1185">
        <v>3459221.8814909663</v>
      </c>
      <c r="E1185" t="s">
        <v>423</v>
      </c>
      <c r="F1185" t="s">
        <v>87</v>
      </c>
      <c r="G1185" t="s">
        <v>424</v>
      </c>
      <c r="H1185">
        <v>2.745107639389691E-5</v>
      </c>
      <c r="I1185">
        <v>1.9019259375835987E-7</v>
      </c>
      <c r="J1185">
        <v>0.95</v>
      </c>
      <c r="L1185" s="1">
        <v>43556</v>
      </c>
      <c r="M1185" s="1">
        <v>43024</v>
      </c>
      <c r="R1185">
        <v>6.5819992439572388E-3</v>
      </c>
      <c r="T1185" t="s">
        <v>32</v>
      </c>
      <c r="V1185">
        <v>1165810.5471999999</v>
      </c>
      <c r="W1185" t="s">
        <v>319</v>
      </c>
      <c r="X1185" t="s">
        <v>425</v>
      </c>
      <c r="Y1185">
        <v>3459221.8814909663</v>
      </c>
      <c r="Z1185" t="s">
        <v>31</v>
      </c>
      <c r="AA1185">
        <v>6.0237339200040071E-6</v>
      </c>
      <c r="AB1185">
        <v>100.96</v>
      </c>
      <c r="AC1185" t="s">
        <v>36</v>
      </c>
      <c r="AE1185" t="s">
        <v>178</v>
      </c>
      <c r="AF1185">
        <v>-9.8882087023006646E-4</v>
      </c>
      <c r="AH1185" t="s">
        <v>237</v>
      </c>
      <c r="AJ1185">
        <v>2.889586988831254E-5</v>
      </c>
      <c r="AK1185">
        <v>2.889586988831254E-5</v>
      </c>
      <c r="AL1185">
        <v>0</v>
      </c>
      <c r="AN1185" t="s">
        <v>150</v>
      </c>
      <c r="AQ1185">
        <v>-2.857283920901598E-8</v>
      </c>
    </row>
    <row r="1186" spans="1:43" x14ac:dyDescent="0.2">
      <c r="A1186">
        <v>1184</v>
      </c>
      <c r="B1186">
        <v>93</v>
      </c>
      <c r="C1186">
        <v>8</v>
      </c>
      <c r="D1186">
        <v>2162502.1775330715</v>
      </c>
      <c r="E1186" t="s">
        <v>426</v>
      </c>
      <c r="F1186" t="s">
        <v>87</v>
      </c>
      <c r="G1186" t="s">
        <v>427</v>
      </c>
      <c r="H1186">
        <v>2.417584067948242E-5</v>
      </c>
      <c r="I1186">
        <v>3.5361192238751989E-7</v>
      </c>
      <c r="J1186">
        <v>0.45</v>
      </c>
      <c r="L1186" s="1">
        <v>43191</v>
      </c>
      <c r="M1186" s="1">
        <v>43024</v>
      </c>
      <c r="R1186">
        <v>6.5819992439572388E-3</v>
      </c>
      <c r="T1186" t="s">
        <v>32</v>
      </c>
      <c r="V1186">
        <v>2167510.8404000001</v>
      </c>
      <c r="W1186" t="s">
        <v>181</v>
      </c>
      <c r="X1186" t="s">
        <v>428</v>
      </c>
      <c r="Y1186">
        <v>2162502.1775330715</v>
      </c>
      <c r="Z1186" t="s">
        <v>31</v>
      </c>
      <c r="AA1186">
        <v>1.1199511449482514E-5</v>
      </c>
      <c r="AB1186">
        <v>100.11</v>
      </c>
      <c r="AC1186" t="s">
        <v>33</v>
      </c>
      <c r="AE1186" t="s">
        <v>41</v>
      </c>
      <c r="AF1186">
        <v>4.1111791297699339E-3</v>
      </c>
      <c r="AH1186" t="s">
        <v>237</v>
      </c>
      <c r="AJ1186">
        <v>5.3724090398849819E-5</v>
      </c>
      <c r="AK1186">
        <v>5.3724090398849819E-5</v>
      </c>
      <c r="AL1186">
        <v>0</v>
      </c>
      <c r="AN1186" t="s">
        <v>148</v>
      </c>
      <c r="AQ1186">
        <v>2.2086935921362467E-7</v>
      </c>
    </row>
    <row r="1187" spans="1:43" x14ac:dyDescent="0.2">
      <c r="A1187">
        <v>1185</v>
      </c>
      <c r="B1187">
        <v>93</v>
      </c>
      <c r="C1187">
        <v>8</v>
      </c>
      <c r="D1187">
        <v>1514216.5999047006</v>
      </c>
      <c r="E1187" t="s">
        <v>426</v>
      </c>
      <c r="F1187" t="s">
        <v>87</v>
      </c>
      <c r="G1187" t="s">
        <v>429</v>
      </c>
      <c r="H1187">
        <v>1.8052361298268863E-5</v>
      </c>
      <c r="I1187">
        <v>2.4754297586843456E-7</v>
      </c>
      <c r="J1187">
        <v>0.48</v>
      </c>
      <c r="L1187" s="1">
        <v>43199</v>
      </c>
      <c r="M1187" s="1">
        <v>43024</v>
      </c>
      <c r="R1187">
        <v>6.5819992439572388E-3</v>
      </c>
      <c r="T1187" t="s">
        <v>32</v>
      </c>
      <c r="V1187">
        <v>1517347.2660000001</v>
      </c>
      <c r="W1187" t="s">
        <v>181</v>
      </c>
      <c r="X1187" t="s">
        <v>428</v>
      </c>
      <c r="Y1187">
        <v>1514216.5999047006</v>
      </c>
      <c r="Z1187" t="s">
        <v>31</v>
      </c>
      <c r="AA1187">
        <v>7.8401213787110485E-6</v>
      </c>
      <c r="AB1187">
        <v>100.15</v>
      </c>
      <c r="AC1187" t="s">
        <v>33</v>
      </c>
      <c r="AE1187" t="s">
        <v>41</v>
      </c>
      <c r="AF1187">
        <v>3.3111791297699353E-3</v>
      </c>
      <c r="AH1187" t="s">
        <v>237</v>
      </c>
      <c r="AJ1187">
        <v>3.7609086038060132E-5</v>
      </c>
      <c r="AK1187">
        <v>3.7609086038060132E-5</v>
      </c>
      <c r="AL1187">
        <v>0</v>
      </c>
      <c r="AN1187" t="s">
        <v>148</v>
      </c>
      <c r="AQ1187">
        <v>1.2453042077894657E-7</v>
      </c>
    </row>
    <row r="1188" spans="1:43" x14ac:dyDescent="0.2">
      <c r="A1188">
        <v>1186</v>
      </c>
      <c r="B1188">
        <v>93</v>
      </c>
      <c r="C1188">
        <v>8</v>
      </c>
      <c r="D1188">
        <v>1729703.154837861</v>
      </c>
      <c r="E1188" t="s">
        <v>459</v>
      </c>
      <c r="F1188" t="s">
        <v>87</v>
      </c>
      <c r="G1188" t="s">
        <v>854</v>
      </c>
      <c r="H1188">
        <v>2.8534671514708634E-5</v>
      </c>
      <c r="I1188">
        <v>2.8894644051750829E-7</v>
      </c>
      <c r="J1188">
        <v>0.65</v>
      </c>
      <c r="L1188" s="1">
        <v>43266</v>
      </c>
      <c r="M1188" s="1">
        <v>43024</v>
      </c>
      <c r="R1188">
        <v>6.5819992439572388E-3</v>
      </c>
      <c r="T1188" t="s">
        <v>32</v>
      </c>
      <c r="V1188">
        <v>1771135.2544</v>
      </c>
      <c r="W1188" t="s">
        <v>249</v>
      </c>
      <c r="X1188" t="s">
        <v>461</v>
      </c>
      <c r="Y1188">
        <v>1729703.154837861</v>
      </c>
      <c r="Z1188" t="s">
        <v>31</v>
      </c>
      <c r="AA1188">
        <v>9.1514419169291648E-6</v>
      </c>
      <c r="AB1188">
        <v>101.15</v>
      </c>
      <c r="AC1188" t="s">
        <v>34</v>
      </c>
      <c r="AE1188" t="s">
        <v>41</v>
      </c>
      <c r="AF1188">
        <v>-4.5888208702300655E-3</v>
      </c>
      <c r="AH1188" t="s">
        <v>237</v>
      </c>
      <c r="AJ1188">
        <v>4.3899494638013282E-5</v>
      </c>
      <c r="AK1188">
        <v>4.3899494638013282E-5</v>
      </c>
      <c r="AL1188">
        <v>0</v>
      </c>
      <c r="AN1188" t="s">
        <v>54</v>
      </c>
      <c r="AQ1188">
        <v>-2.014469171874682E-7</v>
      </c>
    </row>
    <row r="1189" spans="1:43" x14ac:dyDescent="0.2">
      <c r="A1189">
        <v>1187</v>
      </c>
      <c r="B1189">
        <v>93</v>
      </c>
      <c r="C1189">
        <v>8</v>
      </c>
      <c r="D1189">
        <v>4326176.1159523437</v>
      </c>
      <c r="E1189" t="s">
        <v>459</v>
      </c>
      <c r="F1189" t="s">
        <v>87</v>
      </c>
      <c r="G1189" t="s">
        <v>855</v>
      </c>
      <c r="H1189">
        <v>5.7501225146759354E-5</v>
      </c>
      <c r="I1189">
        <v>7.1410003857091514E-7</v>
      </c>
      <c r="J1189">
        <v>0.53</v>
      </c>
      <c r="L1189" s="1">
        <v>43221</v>
      </c>
      <c r="M1189" s="1">
        <v>43024</v>
      </c>
      <c r="R1189">
        <v>6.5819992439572388E-3</v>
      </c>
      <c r="T1189" t="s">
        <v>32</v>
      </c>
      <c r="V1189">
        <v>4377170.2160999998</v>
      </c>
      <c r="W1189" t="s">
        <v>249</v>
      </c>
      <c r="X1189" t="s">
        <v>461</v>
      </c>
      <c r="Y1189">
        <v>4326176.1159523437</v>
      </c>
      <c r="Z1189" t="s">
        <v>31</v>
      </c>
      <c r="AA1189">
        <v>2.2616804049062599E-5</v>
      </c>
      <c r="AB1189">
        <v>100.17</v>
      </c>
      <c r="AC1189" t="s">
        <v>34</v>
      </c>
      <c r="AE1189" t="s">
        <v>41</v>
      </c>
      <c r="AF1189">
        <v>-4.7888208702300643E-3</v>
      </c>
      <c r="AH1189" t="s">
        <v>237</v>
      </c>
      <c r="AJ1189">
        <v>1.08492877635395E-4</v>
      </c>
      <c r="AK1189">
        <v>1.08492877635395E-4</v>
      </c>
      <c r="AL1189">
        <v>0</v>
      </c>
      <c r="AN1189" t="s">
        <v>54</v>
      </c>
      <c r="AQ1189">
        <v>-5.195529566916962E-7</v>
      </c>
    </row>
    <row r="1190" spans="1:43" x14ac:dyDescent="0.2">
      <c r="A1190">
        <v>1188</v>
      </c>
      <c r="B1190">
        <v>93</v>
      </c>
      <c r="C1190">
        <v>8</v>
      </c>
      <c r="D1190">
        <v>2163067.3297158265</v>
      </c>
      <c r="E1190" t="s">
        <v>505</v>
      </c>
      <c r="F1190" t="s">
        <v>87</v>
      </c>
      <c r="G1190" t="s">
        <v>806</v>
      </c>
      <c r="H1190">
        <v>3.7015609327344769E-5</v>
      </c>
      <c r="I1190">
        <v>3.4805244658171404E-7</v>
      </c>
      <c r="J1190">
        <v>0.7</v>
      </c>
      <c r="L1190" s="1">
        <v>43282</v>
      </c>
      <c r="M1190" s="1">
        <v>43024</v>
      </c>
      <c r="R1190">
        <v>6.5819992439572388E-3</v>
      </c>
      <c r="T1190" t="s">
        <v>32</v>
      </c>
      <c r="V1190">
        <v>2133433.3014000002</v>
      </c>
      <c r="W1190" t="s">
        <v>206</v>
      </c>
      <c r="X1190" t="s">
        <v>507</v>
      </c>
      <c r="Y1190">
        <v>2163067.3297158265</v>
      </c>
      <c r="Z1190" t="s">
        <v>31</v>
      </c>
      <c r="AA1190">
        <v>1.1023433073731344E-5</v>
      </c>
      <c r="AB1190">
        <v>98.64</v>
      </c>
      <c r="AC1190" t="s">
        <v>36</v>
      </c>
      <c r="AE1190" t="s">
        <v>41</v>
      </c>
      <c r="AF1190">
        <v>-3.8888208702300663E-3</v>
      </c>
      <c r="AH1190" t="s">
        <v>237</v>
      </c>
      <c r="AJ1190">
        <v>5.2879441896206821E-5</v>
      </c>
      <c r="AK1190">
        <v>5.2879441896206821E-5</v>
      </c>
      <c r="AL1190">
        <v>0</v>
      </c>
      <c r="AN1190" t="s">
        <v>150</v>
      </c>
      <c r="AQ1190">
        <v>-2.0563867725208725E-7</v>
      </c>
    </row>
    <row r="1191" spans="1:43" x14ac:dyDescent="0.2">
      <c r="A1191">
        <v>1189</v>
      </c>
      <c r="B1191">
        <v>93</v>
      </c>
      <c r="C1191">
        <v>8</v>
      </c>
      <c r="D1191">
        <v>3460388.5106506161</v>
      </c>
      <c r="E1191" t="s">
        <v>430</v>
      </c>
      <c r="F1191" t="s">
        <v>87</v>
      </c>
      <c r="G1191" t="s">
        <v>431</v>
      </c>
      <c r="H1191">
        <v>3.4799518382258382E-6</v>
      </c>
      <c r="I1191">
        <v>5.7262600920525179E-7</v>
      </c>
      <c r="J1191">
        <v>0.04</v>
      </c>
      <c r="L1191" s="1">
        <v>43040</v>
      </c>
      <c r="M1191" s="1">
        <v>43024</v>
      </c>
      <c r="R1191">
        <v>6.5819992439572388E-3</v>
      </c>
      <c r="T1191" t="s">
        <v>32</v>
      </c>
      <c r="V1191">
        <v>3509986.5244</v>
      </c>
      <c r="W1191" t="s">
        <v>248</v>
      </c>
      <c r="X1191" t="s">
        <v>432</v>
      </c>
      <c r="Y1191">
        <v>3460388.5106506161</v>
      </c>
      <c r="Z1191" t="s">
        <v>31</v>
      </c>
      <c r="AA1191">
        <v>1.8136072740606318E-5</v>
      </c>
      <c r="AB1191">
        <v>99.94</v>
      </c>
      <c r="AC1191" t="s">
        <v>34</v>
      </c>
      <c r="AE1191" t="s">
        <v>41</v>
      </c>
      <c r="AF1191">
        <v>2.1411179129769933E-2</v>
      </c>
      <c r="AH1191" t="s">
        <v>237</v>
      </c>
      <c r="AJ1191">
        <v>8.6998795955645954E-5</v>
      </c>
      <c r="AK1191">
        <v>8.6998795955645954E-5</v>
      </c>
      <c r="AL1191">
        <v>0</v>
      </c>
      <c r="AN1191" t="s">
        <v>54</v>
      </c>
      <c r="AQ1191">
        <v>1.8627468042806395E-6</v>
      </c>
    </row>
    <row r="1192" spans="1:43" x14ac:dyDescent="0.2">
      <c r="A1192">
        <v>1190</v>
      </c>
      <c r="B1192">
        <v>93</v>
      </c>
      <c r="C1192">
        <v>8</v>
      </c>
      <c r="D1192">
        <v>1297256.7014080768</v>
      </c>
      <c r="E1192" t="s">
        <v>430</v>
      </c>
      <c r="F1192" t="s">
        <v>87</v>
      </c>
      <c r="G1192" t="s">
        <v>433</v>
      </c>
      <c r="H1192">
        <v>6.8196475696472585E-6</v>
      </c>
      <c r="I1192">
        <v>2.1374721498796702E-7</v>
      </c>
      <c r="J1192">
        <v>0.21</v>
      </c>
      <c r="L1192" s="1">
        <v>43101</v>
      </c>
      <c r="M1192" s="1">
        <v>43024</v>
      </c>
      <c r="R1192">
        <v>6.5819992439572388E-3</v>
      </c>
      <c r="T1192" t="s">
        <v>32</v>
      </c>
      <c r="V1192">
        <v>1310191.6995999999</v>
      </c>
      <c r="W1192" t="s">
        <v>248</v>
      </c>
      <c r="X1192" t="s">
        <v>432</v>
      </c>
      <c r="Y1192">
        <v>1297256.7014080768</v>
      </c>
      <c r="Z1192" t="s">
        <v>31</v>
      </c>
      <c r="AA1192">
        <v>6.7697501978717905E-6</v>
      </c>
      <c r="AB1192">
        <v>100.11</v>
      </c>
      <c r="AC1192" t="s">
        <v>34</v>
      </c>
      <c r="AE1192" t="s">
        <v>41</v>
      </c>
      <c r="AF1192">
        <v>4.1117912976993548E-4</v>
      </c>
      <c r="AH1192" t="s">
        <v>237</v>
      </c>
      <c r="AJ1192">
        <v>3.2474512236415517E-5</v>
      </c>
      <c r="AK1192">
        <v>3.2474512236415517E-5</v>
      </c>
      <c r="AL1192">
        <v>0</v>
      </c>
      <c r="AN1192" t="s">
        <v>54</v>
      </c>
      <c r="AQ1192">
        <v>1.3352841681072453E-8</v>
      </c>
    </row>
    <row r="1193" spans="1:43" x14ac:dyDescent="0.2">
      <c r="A1193">
        <v>1191</v>
      </c>
      <c r="B1193">
        <v>93</v>
      </c>
      <c r="C1193">
        <v>8</v>
      </c>
      <c r="D1193">
        <v>3027859.9714941131</v>
      </c>
      <c r="E1193" t="s">
        <v>332</v>
      </c>
      <c r="F1193" t="s">
        <v>87</v>
      </c>
      <c r="G1193" t="s">
        <v>436</v>
      </c>
      <c r="H1193">
        <v>2.0729007954347163E-5</v>
      </c>
      <c r="I1193">
        <v>2.5266354571017893E-7</v>
      </c>
      <c r="J1193">
        <v>0.54</v>
      </c>
      <c r="L1193" s="1">
        <v>43409</v>
      </c>
      <c r="M1193" s="1">
        <v>43024</v>
      </c>
      <c r="R1193">
        <v>6.5819992439572388E-3</v>
      </c>
      <c r="T1193" t="s">
        <v>32</v>
      </c>
      <c r="V1193">
        <v>1548734.4731000001</v>
      </c>
      <c r="W1193" t="s">
        <v>333</v>
      </c>
      <c r="X1193" t="s">
        <v>437</v>
      </c>
      <c r="Y1193">
        <v>3027859.9714941131</v>
      </c>
      <c r="Z1193" t="s">
        <v>31</v>
      </c>
      <c r="AA1193">
        <v>8.0022988307134828E-6</v>
      </c>
      <c r="AB1193">
        <v>100.72</v>
      </c>
      <c r="AC1193" t="s">
        <v>34</v>
      </c>
      <c r="AE1193" t="s">
        <v>35</v>
      </c>
      <c r="AF1193">
        <v>-2.4888208702300643E-3</v>
      </c>
      <c r="AH1193" t="s">
        <v>237</v>
      </c>
      <c r="AJ1193">
        <v>3.8387051767309559E-5</v>
      </c>
      <c r="AK1193">
        <v>3.8387051767309559E-5</v>
      </c>
      <c r="AL1193">
        <v>0</v>
      </c>
      <c r="AN1193" t="s">
        <v>54</v>
      </c>
      <c r="AQ1193">
        <v>-9.5538495585081908E-8</v>
      </c>
    </row>
    <row r="1194" spans="1:43" x14ac:dyDescent="0.2">
      <c r="A1194">
        <v>1192</v>
      </c>
      <c r="B1194">
        <v>93</v>
      </c>
      <c r="C1194">
        <v>8</v>
      </c>
      <c r="D1194">
        <v>16575543.816594051</v>
      </c>
      <c r="E1194" t="s">
        <v>440</v>
      </c>
      <c r="F1194" t="s">
        <v>87</v>
      </c>
      <c r="G1194" t="s">
        <v>441</v>
      </c>
      <c r="H1194">
        <v>2.8597615253474006E-4</v>
      </c>
      <c r="I1194">
        <v>2.2144644938511288E-6</v>
      </c>
      <c r="J1194">
        <v>0.85</v>
      </c>
      <c r="L1194" s="1">
        <v>43617</v>
      </c>
      <c r="M1194" s="1">
        <v>43024</v>
      </c>
      <c r="R1194">
        <v>6.5819992439572388E-3</v>
      </c>
      <c r="T1194" t="s">
        <v>32</v>
      </c>
      <c r="V1194">
        <v>13573851.7064</v>
      </c>
      <c r="W1194" t="s">
        <v>442</v>
      </c>
      <c r="X1194" t="s">
        <v>443</v>
      </c>
      <c r="Y1194">
        <v>16575543.816594051</v>
      </c>
      <c r="Z1194" t="s">
        <v>31</v>
      </c>
      <c r="AA1194">
        <v>7.0135984912237005E-5</v>
      </c>
      <c r="AB1194">
        <v>100.95</v>
      </c>
      <c r="AC1194" t="s">
        <v>34</v>
      </c>
      <c r="AE1194" t="s">
        <v>41</v>
      </c>
      <c r="AF1194">
        <v>2.4111791297699338E-3</v>
      </c>
      <c r="AH1194" t="s">
        <v>237</v>
      </c>
      <c r="AJ1194">
        <v>3.3644253239381187E-4</v>
      </c>
      <c r="AK1194">
        <v>3.3644253239381187E-4</v>
      </c>
      <c r="AL1194">
        <v>0</v>
      </c>
      <c r="AN1194" t="s">
        <v>54</v>
      </c>
      <c r="AQ1194">
        <v>8.1122321247490404E-7</v>
      </c>
    </row>
    <row r="1195" spans="1:43" x14ac:dyDescent="0.2">
      <c r="A1195">
        <v>1193</v>
      </c>
      <c r="B1195">
        <v>93</v>
      </c>
      <c r="C1195">
        <v>8</v>
      </c>
      <c r="D1195">
        <v>9949057.5167266671</v>
      </c>
      <c r="E1195" t="s">
        <v>359</v>
      </c>
      <c r="F1195" t="s">
        <v>87</v>
      </c>
      <c r="G1195" t="s">
        <v>444</v>
      </c>
      <c r="H1195">
        <v>6.2370623774311528E-5</v>
      </c>
      <c r="I1195">
        <v>6.729891779141966E-7</v>
      </c>
      <c r="J1195">
        <v>0.61</v>
      </c>
      <c r="L1195" s="1">
        <v>43435</v>
      </c>
      <c r="M1195" s="1">
        <v>43024</v>
      </c>
      <c r="R1195">
        <v>6.5819992439572388E-3</v>
      </c>
      <c r="T1195" t="s">
        <v>32</v>
      </c>
      <c r="V1195">
        <v>4125175.7823999999</v>
      </c>
      <c r="W1195" t="s">
        <v>360</v>
      </c>
      <c r="X1195" t="s">
        <v>445</v>
      </c>
      <c r="Y1195">
        <v>9949057.5167266671</v>
      </c>
      <c r="Z1195" t="s">
        <v>31</v>
      </c>
      <c r="AA1195">
        <v>2.1314750793860337E-5</v>
      </c>
      <c r="AB1195">
        <v>100.59</v>
      </c>
      <c r="AC1195" t="s">
        <v>33</v>
      </c>
      <c r="AE1195" t="s">
        <v>38</v>
      </c>
      <c r="AF1195">
        <v>1.5111791297699358E-3</v>
      </c>
      <c r="AH1195" t="s">
        <v>237</v>
      </c>
      <c r="AJ1195">
        <v>1.0224692422018284E-4</v>
      </c>
      <c r="AK1195">
        <v>1.0224692422018284E-4</v>
      </c>
      <c r="AL1195">
        <v>0</v>
      </c>
      <c r="AN1195" t="s">
        <v>148</v>
      </c>
      <c r="AQ1195">
        <v>1.5451341796470849E-7</v>
      </c>
    </row>
    <row r="1196" spans="1:43" x14ac:dyDescent="0.2">
      <c r="A1196">
        <v>1194</v>
      </c>
      <c r="B1196">
        <v>93</v>
      </c>
      <c r="C1196">
        <v>8</v>
      </c>
      <c r="D1196">
        <v>2162791.9681377602</v>
      </c>
      <c r="E1196" t="s">
        <v>948</v>
      </c>
      <c r="F1196" t="s">
        <v>87</v>
      </c>
      <c r="G1196" t="s">
        <v>949</v>
      </c>
      <c r="H1196">
        <v>7.0534818397242032E-6</v>
      </c>
      <c r="I1196">
        <v>3.571231702794678E-7</v>
      </c>
      <c r="J1196">
        <v>0.13</v>
      </c>
      <c r="L1196" s="1">
        <v>43072</v>
      </c>
      <c r="M1196" s="1">
        <v>43024</v>
      </c>
      <c r="R1196">
        <v>6.5819992439572388E-3</v>
      </c>
      <c r="T1196" t="s">
        <v>32</v>
      </c>
      <c r="V1196">
        <v>2189033.4967</v>
      </c>
      <c r="W1196" t="s">
        <v>950</v>
      </c>
      <c r="X1196" t="s">
        <v>951</v>
      </c>
      <c r="Y1196">
        <v>2162791.9681377602</v>
      </c>
      <c r="Z1196" t="s">
        <v>31</v>
      </c>
      <c r="AA1196">
        <v>1.1310718845156087E-5</v>
      </c>
      <c r="AB1196">
        <v>99.97</v>
      </c>
      <c r="AC1196" t="s">
        <v>33</v>
      </c>
      <c r="AE1196" t="s">
        <v>35</v>
      </c>
      <c r="AF1196">
        <v>1.2411179129769932E-2</v>
      </c>
      <c r="AH1196" t="s">
        <v>237</v>
      </c>
      <c r="AJ1196">
        <v>5.4257552613263098E-5</v>
      </c>
      <c r="AK1196">
        <v>5.4257552613263098E-5</v>
      </c>
      <c r="AL1196">
        <v>0</v>
      </c>
      <c r="AN1196" t="s">
        <v>148</v>
      </c>
      <c r="AQ1196">
        <v>6.7340020462612504E-7</v>
      </c>
    </row>
    <row r="1197" spans="1:43" x14ac:dyDescent="0.2">
      <c r="A1197">
        <v>1195</v>
      </c>
      <c r="B1197">
        <v>95</v>
      </c>
      <c r="C1197">
        <v>8</v>
      </c>
      <c r="D1197">
        <v>865007.10726736975</v>
      </c>
      <c r="E1197" t="s">
        <v>407</v>
      </c>
      <c r="F1197" t="s">
        <v>87</v>
      </c>
      <c r="G1197" t="s">
        <v>845</v>
      </c>
      <c r="H1197">
        <v>6.3218606416169508E-5</v>
      </c>
      <c r="I1197">
        <v>3.503992236333439E-7</v>
      </c>
      <c r="J1197">
        <v>2.83</v>
      </c>
      <c r="L1197" s="1">
        <v>44105</v>
      </c>
      <c r="M1197" s="1">
        <v>43024</v>
      </c>
      <c r="R1197">
        <v>1.5685727020846394E-2</v>
      </c>
      <c r="T1197" t="s">
        <v>32</v>
      </c>
      <c r="V1197">
        <v>901261.23069999996</v>
      </c>
      <c r="W1197" t="s">
        <v>229</v>
      </c>
      <c r="X1197" t="s">
        <v>409</v>
      </c>
      <c r="Y1197">
        <v>865007.10726736975</v>
      </c>
      <c r="Z1197" t="s">
        <v>31</v>
      </c>
      <c r="AA1197">
        <v>1.1097759630035371E-5</v>
      </c>
      <c r="AB1197">
        <v>104.03</v>
      </c>
      <c r="AC1197" t="s">
        <v>42</v>
      </c>
      <c r="AE1197" t="s">
        <v>41</v>
      </c>
      <c r="AF1197">
        <v>-1.9888208702300639E-3</v>
      </c>
      <c r="AH1197" t="s">
        <v>237</v>
      </c>
      <c r="AJ1197">
        <v>2.2338730182392051E-5</v>
      </c>
      <c r="AK1197">
        <v>2.2338730182392051E-5</v>
      </c>
      <c r="AL1197">
        <v>0</v>
      </c>
      <c r="AN1197" t="s">
        <v>142</v>
      </c>
      <c r="AQ1197">
        <v>-4.4427732801179553E-8</v>
      </c>
    </row>
    <row r="1198" spans="1:43" x14ac:dyDescent="0.2">
      <c r="A1198">
        <v>1196</v>
      </c>
      <c r="B1198">
        <v>95</v>
      </c>
      <c r="C1198">
        <v>8</v>
      </c>
      <c r="D1198">
        <v>2162974.9631805476</v>
      </c>
      <c r="E1198" t="s">
        <v>983</v>
      </c>
      <c r="F1198" t="s">
        <v>87</v>
      </c>
      <c r="G1198" t="s">
        <v>984</v>
      </c>
      <c r="H1198">
        <v>2.3616372185453317E-5</v>
      </c>
      <c r="I1198">
        <v>2.437105048182436E-7</v>
      </c>
      <c r="J1198">
        <v>1.52</v>
      </c>
      <c r="L1198" s="1">
        <v>44044</v>
      </c>
      <c r="M1198" s="1">
        <v>43024</v>
      </c>
      <c r="R1198">
        <v>1.5685727020846394E-2</v>
      </c>
      <c r="T1198" t="s">
        <v>32</v>
      </c>
      <c r="V1198">
        <v>626847.36349999998</v>
      </c>
      <c r="W1198" t="s">
        <v>985</v>
      </c>
      <c r="X1198" t="s">
        <v>986</v>
      </c>
      <c r="Y1198">
        <v>2162974.9631805476</v>
      </c>
      <c r="Z1198" t="s">
        <v>31</v>
      </c>
      <c r="AA1198">
        <v>7.7187402807078357E-6</v>
      </c>
      <c r="AB1198">
        <v>106.3</v>
      </c>
      <c r="AC1198" t="s">
        <v>42</v>
      </c>
      <c r="AE1198" t="s">
        <v>41</v>
      </c>
      <c r="AF1198">
        <v>3.8111791297699357E-3</v>
      </c>
      <c r="AH1198" t="s">
        <v>237</v>
      </c>
      <c r="AJ1198">
        <v>1.5537086964114025E-5</v>
      </c>
      <c r="AK1198">
        <v>1.5537086964114025E-5</v>
      </c>
      <c r="AL1198">
        <v>0</v>
      </c>
      <c r="AN1198" t="s">
        <v>142</v>
      </c>
      <c r="AQ1198">
        <v>5.9214621575051898E-8</v>
      </c>
    </row>
    <row r="1199" spans="1:43" x14ac:dyDescent="0.2">
      <c r="A1199">
        <v>1197</v>
      </c>
      <c r="B1199">
        <v>95</v>
      </c>
      <c r="C1199">
        <v>8</v>
      </c>
      <c r="D1199">
        <v>2162683.918503284</v>
      </c>
      <c r="E1199" t="s">
        <v>411</v>
      </c>
      <c r="F1199" t="s">
        <v>87</v>
      </c>
      <c r="G1199" t="s">
        <v>448</v>
      </c>
      <c r="H1199">
        <v>6.4941911641240024E-5</v>
      </c>
      <c r="I1199">
        <v>8.632721171325573E-7</v>
      </c>
      <c r="J1199">
        <v>1.18</v>
      </c>
      <c r="L1199" s="1">
        <v>43466</v>
      </c>
      <c r="M1199" s="1">
        <v>43024</v>
      </c>
      <c r="R1199">
        <v>1.5685727020846394E-2</v>
      </c>
      <c r="T1199" t="s">
        <v>32</v>
      </c>
      <c r="V1199">
        <v>2220420.7037</v>
      </c>
      <c r="W1199" t="s">
        <v>211</v>
      </c>
      <c r="X1199" t="s">
        <v>413</v>
      </c>
      <c r="Y1199">
        <v>2162683.918503284</v>
      </c>
      <c r="Z1199" t="s">
        <v>31</v>
      </c>
      <c r="AA1199">
        <v>2.7341346113465513E-5</v>
      </c>
      <c r="AB1199">
        <v>101.63</v>
      </c>
      <c r="AC1199" t="s">
        <v>42</v>
      </c>
      <c r="AE1199" t="s">
        <v>41</v>
      </c>
      <c r="AF1199">
        <v>-2.788820870230066E-3</v>
      </c>
      <c r="AH1199" t="s">
        <v>237</v>
      </c>
      <c r="AJ1199">
        <v>5.5035518340033917E-5</v>
      </c>
      <c r="AK1199">
        <v>5.5035518340033917E-5</v>
      </c>
      <c r="AL1199">
        <v>0</v>
      </c>
      <c r="AN1199" t="s">
        <v>142</v>
      </c>
      <c r="AQ1199">
        <v>-1.5348420215061613E-7</v>
      </c>
    </row>
    <row r="1200" spans="1:43" x14ac:dyDescent="0.2">
      <c r="A1200">
        <v>1198</v>
      </c>
      <c r="B1200">
        <v>95</v>
      </c>
      <c r="C1200">
        <v>8</v>
      </c>
      <c r="D1200">
        <v>1730143.8930059345</v>
      </c>
      <c r="E1200" t="s">
        <v>411</v>
      </c>
      <c r="F1200" t="s">
        <v>87</v>
      </c>
      <c r="G1200" t="s">
        <v>890</v>
      </c>
      <c r="H1200">
        <v>5.1801403672855668E-5</v>
      </c>
      <c r="I1200">
        <v>6.8859548924498629E-7</v>
      </c>
      <c r="J1200">
        <v>1.18</v>
      </c>
      <c r="L1200" s="1">
        <v>43466</v>
      </c>
      <c r="M1200" s="1">
        <v>43024</v>
      </c>
      <c r="R1200">
        <v>1.5685727020846394E-2</v>
      </c>
      <c r="T1200" t="s">
        <v>32</v>
      </c>
      <c r="V1200">
        <v>1771135.2544</v>
      </c>
      <c r="W1200" t="s">
        <v>211</v>
      </c>
      <c r="X1200" t="s">
        <v>413</v>
      </c>
      <c r="Y1200">
        <v>1730143.8930059345</v>
      </c>
      <c r="Z1200" t="s">
        <v>31</v>
      </c>
      <c r="AA1200">
        <v>2.180903011921019E-5</v>
      </c>
      <c r="AB1200">
        <v>101.39</v>
      </c>
      <c r="AC1200" t="s">
        <v>42</v>
      </c>
      <c r="AE1200" t="s">
        <v>41</v>
      </c>
      <c r="AF1200">
        <v>-2.6888208702300666E-3</v>
      </c>
      <c r="AH1200" t="s">
        <v>237</v>
      </c>
      <c r="AJ1200">
        <v>4.3899494638013282E-5</v>
      </c>
      <c r="AK1200">
        <v>4.3899494638013282E-5</v>
      </c>
      <c r="AL1200">
        <v>0</v>
      </c>
      <c r="AN1200" t="s">
        <v>142</v>
      </c>
      <c r="AQ1200">
        <v>-1.1803787737524301E-7</v>
      </c>
    </row>
    <row r="1201" spans="1:43" x14ac:dyDescent="0.2">
      <c r="A1201">
        <v>1199</v>
      </c>
      <c r="B1201">
        <v>95</v>
      </c>
      <c r="C1201">
        <v>8</v>
      </c>
      <c r="D1201">
        <v>1729694.0389639079</v>
      </c>
      <c r="E1201" t="s">
        <v>414</v>
      </c>
      <c r="F1201" t="s">
        <v>87</v>
      </c>
      <c r="G1201" t="s">
        <v>963</v>
      </c>
      <c r="H1201">
        <v>1.2086720050333196E-4</v>
      </c>
      <c r="I1201">
        <v>6.7953043472013374E-7</v>
      </c>
      <c r="J1201">
        <v>2.79</v>
      </c>
      <c r="L1201" s="1">
        <v>44075</v>
      </c>
      <c r="M1201" s="1">
        <v>43024</v>
      </c>
      <c r="R1201">
        <v>1.5685727020846394E-2</v>
      </c>
      <c r="T1201" t="s">
        <v>32</v>
      </c>
      <c r="V1201">
        <v>1747819.0434999999</v>
      </c>
      <c r="W1201" t="s">
        <v>200</v>
      </c>
      <c r="X1201" t="s">
        <v>305</v>
      </c>
      <c r="Y1201">
        <v>1729694.0389639079</v>
      </c>
      <c r="Z1201" t="s">
        <v>31</v>
      </c>
      <c r="AA1201">
        <v>2.1521923900461123E-5</v>
      </c>
      <c r="AB1201">
        <v>100.77</v>
      </c>
      <c r="AC1201" t="s">
        <v>42</v>
      </c>
      <c r="AE1201" t="s">
        <v>41</v>
      </c>
      <c r="AF1201">
        <v>-3.7888208702300634E-3</v>
      </c>
      <c r="AH1201" t="s">
        <v>237</v>
      </c>
      <c r="AJ1201">
        <v>4.3321577241337623E-5</v>
      </c>
      <c r="AK1201">
        <v>4.3321577241337623E-5</v>
      </c>
      <c r="AL1201">
        <v>0</v>
      </c>
      <c r="AN1201" t="s">
        <v>142</v>
      </c>
      <c r="AQ1201">
        <v>-1.6413769598326371E-7</v>
      </c>
    </row>
    <row r="1202" spans="1:43" x14ac:dyDescent="0.2">
      <c r="A1202">
        <v>1200</v>
      </c>
      <c r="B1202">
        <v>95</v>
      </c>
      <c r="C1202">
        <v>8</v>
      </c>
      <c r="D1202">
        <v>68761322.139257312</v>
      </c>
      <c r="E1202" t="s">
        <v>450</v>
      </c>
      <c r="F1202" t="s">
        <v>87</v>
      </c>
      <c r="G1202" t="s">
        <v>451</v>
      </c>
      <c r="H1202">
        <v>2.2733843604399334E-3</v>
      </c>
      <c r="I1202">
        <v>1.6357654353817549E-5</v>
      </c>
      <c r="J1202">
        <v>2.1800000000000002</v>
      </c>
      <c r="L1202" s="1">
        <v>44377</v>
      </c>
      <c r="M1202" s="1">
        <v>43024</v>
      </c>
      <c r="R1202">
        <v>1.5685727020846394E-2</v>
      </c>
      <c r="T1202" t="s">
        <v>32</v>
      </c>
      <c r="V1202">
        <v>42073494.174500003</v>
      </c>
      <c r="W1202" t="s">
        <v>452</v>
      </c>
      <c r="X1202" t="s">
        <v>453</v>
      </c>
      <c r="Y1202">
        <v>68761322.139257312</v>
      </c>
      <c r="Z1202" t="s">
        <v>31</v>
      </c>
      <c r="AA1202">
        <v>5.1807568021276307E-4</v>
      </c>
      <c r="AB1202">
        <v>101.75</v>
      </c>
      <c r="AC1202" t="s">
        <v>42</v>
      </c>
      <c r="AE1202" t="s">
        <v>176</v>
      </c>
      <c r="AF1202">
        <v>-2.2888208702300655E-3</v>
      </c>
      <c r="AH1202" t="s">
        <v>237</v>
      </c>
      <c r="AJ1202">
        <v>1.0428368625871253E-3</v>
      </c>
      <c r="AK1202">
        <v>1.0428368625871253E-3</v>
      </c>
      <c r="AL1202">
        <v>0</v>
      </c>
      <c r="AN1202" t="s">
        <v>142</v>
      </c>
      <c r="AQ1202">
        <v>-2.3868667753346553E-6</v>
      </c>
    </row>
    <row r="1203" spans="1:43" x14ac:dyDescent="0.2">
      <c r="A1203">
        <v>1201</v>
      </c>
      <c r="B1203">
        <v>96</v>
      </c>
      <c r="C1203">
        <v>8</v>
      </c>
      <c r="D1203">
        <v>1081188.597356186</v>
      </c>
      <c r="E1203" t="s">
        <v>426</v>
      </c>
      <c r="F1203" t="s">
        <v>87</v>
      </c>
      <c r="G1203" t="s">
        <v>1474</v>
      </c>
      <c r="H1203">
        <v>4.1067699390435911E-5</v>
      </c>
      <c r="I1203">
        <v>4.8104986271137656E-7</v>
      </c>
      <c r="J1203">
        <v>1.49</v>
      </c>
      <c r="L1203" s="1">
        <v>43586</v>
      </c>
      <c r="M1203" s="1">
        <v>43024</v>
      </c>
      <c r="R1203">
        <v>1.7453237120141078E-2</v>
      </c>
      <c r="T1203" t="s">
        <v>32</v>
      </c>
      <c r="V1203">
        <v>1112003.9066000001</v>
      </c>
      <c r="W1203" t="s">
        <v>181</v>
      </c>
      <c r="X1203" t="s">
        <v>428</v>
      </c>
      <c r="Y1203">
        <v>1081188.597356186</v>
      </c>
      <c r="Z1203" t="s">
        <v>31</v>
      </c>
      <c r="AA1203">
        <v>1.5235695133898564E-5</v>
      </c>
      <c r="AB1203">
        <v>101.45</v>
      </c>
      <c r="AC1203" t="s">
        <v>33</v>
      </c>
      <c r="AE1203" t="s">
        <v>41</v>
      </c>
      <c r="AF1203">
        <v>-3.4888208702300652E-3</v>
      </c>
      <c r="AH1203" t="s">
        <v>237</v>
      </c>
      <c r="AJ1203">
        <v>2.7562214355997255E-5</v>
      </c>
      <c r="AK1203">
        <v>2.7562214355997255E-5</v>
      </c>
      <c r="AL1203">
        <v>0</v>
      </c>
      <c r="AN1203" t="s">
        <v>148</v>
      </c>
      <c r="AQ1203">
        <v>-9.6159628674957935E-8</v>
      </c>
    </row>
    <row r="1204" spans="1:43" x14ac:dyDescent="0.2">
      <c r="A1204">
        <v>1202</v>
      </c>
      <c r="B1204">
        <v>96</v>
      </c>
      <c r="C1204">
        <v>8</v>
      </c>
      <c r="D1204">
        <v>4326587.9026619922</v>
      </c>
      <c r="E1204" t="s">
        <v>426</v>
      </c>
      <c r="F1204" t="s">
        <v>87</v>
      </c>
      <c r="G1204" t="s">
        <v>805</v>
      </c>
      <c r="H1204">
        <v>1.5548987547731375E-3</v>
      </c>
      <c r="I1204">
        <v>1.3775642977090183E-5</v>
      </c>
      <c r="J1204">
        <v>1.97</v>
      </c>
      <c r="L1204" s="1">
        <v>43770</v>
      </c>
      <c r="M1204" s="1">
        <v>43024</v>
      </c>
      <c r="R1204">
        <v>1.7453237120141078E-2</v>
      </c>
      <c r="T1204" t="s">
        <v>32</v>
      </c>
      <c r="V1204">
        <v>31844035.294199999</v>
      </c>
      <c r="W1204" t="s">
        <v>181</v>
      </c>
      <c r="X1204" t="s">
        <v>428</v>
      </c>
      <c r="Y1204">
        <v>4326587.9026619922</v>
      </c>
      <c r="Z1204" t="s">
        <v>31</v>
      </c>
      <c r="AA1204">
        <v>4.3629883914612591E-4</v>
      </c>
      <c r="AB1204">
        <v>101.38</v>
      </c>
      <c r="AC1204" t="s">
        <v>33</v>
      </c>
      <c r="AE1204" t="s">
        <v>41</v>
      </c>
      <c r="AF1204">
        <v>-7.888208702300642E-4</v>
      </c>
      <c r="AH1204" t="s">
        <v>237</v>
      </c>
      <c r="AJ1204">
        <v>7.8928870800666878E-4</v>
      </c>
      <c r="AK1204">
        <v>7.8928870800666878E-4</v>
      </c>
      <c r="AL1204">
        <v>0</v>
      </c>
      <c r="AN1204" t="s">
        <v>148</v>
      </c>
      <c r="AQ1204">
        <v>-6.2260740551258352E-7</v>
      </c>
    </row>
    <row r="1205" spans="1:43" x14ac:dyDescent="0.2">
      <c r="A1205">
        <v>1203</v>
      </c>
      <c r="B1205">
        <v>96</v>
      </c>
      <c r="C1205">
        <v>8</v>
      </c>
      <c r="D1205">
        <v>12978464.766498651</v>
      </c>
      <c r="E1205" t="s">
        <v>407</v>
      </c>
      <c r="F1205" t="s">
        <v>87</v>
      </c>
      <c r="G1205" t="s">
        <v>980</v>
      </c>
      <c r="H1205">
        <v>3.0107584850432424E-4</v>
      </c>
      <c r="I1205">
        <v>2.4215429378311725E-6</v>
      </c>
      <c r="J1205">
        <v>2.17</v>
      </c>
      <c r="L1205" s="1">
        <v>44562</v>
      </c>
      <c r="M1205" s="1">
        <v>43024</v>
      </c>
      <c r="R1205">
        <v>1.7453237120141078E-2</v>
      </c>
      <c r="T1205" t="s">
        <v>32</v>
      </c>
      <c r="V1205">
        <v>5597684.1812000005</v>
      </c>
      <c r="W1205" t="s">
        <v>229</v>
      </c>
      <c r="X1205" t="s">
        <v>981</v>
      </c>
      <c r="Y1205">
        <v>12978464.766498651</v>
      </c>
      <c r="Z1205" t="s">
        <v>31</v>
      </c>
      <c r="AA1205">
        <v>7.6694523404482632E-5</v>
      </c>
      <c r="AB1205">
        <v>108.93</v>
      </c>
      <c r="AC1205" t="s">
        <v>33</v>
      </c>
      <c r="AE1205" t="s">
        <v>41</v>
      </c>
      <c r="AF1205">
        <v>-4.8882087023006601E-4</v>
      </c>
      <c r="AH1205" t="s">
        <v>237</v>
      </c>
      <c r="AJ1205">
        <v>1.3874463064715404E-4</v>
      </c>
      <c r="AK1205">
        <v>1.3874463064715404E-4</v>
      </c>
      <c r="AL1205">
        <v>0</v>
      </c>
      <c r="AN1205" t="s">
        <v>148</v>
      </c>
      <c r="AQ1205">
        <v>-6.7821271092690921E-8</v>
      </c>
    </row>
    <row r="1206" spans="1:43" x14ac:dyDescent="0.2">
      <c r="A1206">
        <v>1204</v>
      </c>
      <c r="B1206">
        <v>96</v>
      </c>
      <c r="C1206">
        <v>8</v>
      </c>
      <c r="D1206">
        <v>4541983.0550073478</v>
      </c>
      <c r="E1206" t="s">
        <v>459</v>
      </c>
      <c r="F1206" t="s">
        <v>87</v>
      </c>
      <c r="G1206" t="s">
        <v>460</v>
      </c>
      <c r="H1206">
        <v>1.6359974654779334E-4</v>
      </c>
      <c r="I1206">
        <v>1.9967448736319013E-6</v>
      </c>
      <c r="J1206">
        <v>1.43</v>
      </c>
      <c r="L1206" s="1">
        <v>43556</v>
      </c>
      <c r="M1206" s="1">
        <v>43024</v>
      </c>
      <c r="R1206">
        <v>1.7453237120141078E-2</v>
      </c>
      <c r="T1206" t="s">
        <v>32</v>
      </c>
      <c r="V1206">
        <v>4615712.9896</v>
      </c>
      <c r="W1206" t="s">
        <v>249</v>
      </c>
      <c r="X1206" t="s">
        <v>461</v>
      </c>
      <c r="Y1206">
        <v>4541983.0550073478</v>
      </c>
      <c r="Z1206" t="s">
        <v>31</v>
      </c>
      <c r="AA1206">
        <v>6.3240421654757088E-5</v>
      </c>
      <c r="AB1206">
        <v>101.5</v>
      </c>
      <c r="AC1206" t="s">
        <v>34</v>
      </c>
      <c r="AE1206" t="s">
        <v>41</v>
      </c>
      <c r="AF1206">
        <v>-4.1888208702300644E-3</v>
      </c>
      <c r="AH1206" t="s">
        <v>237</v>
      </c>
      <c r="AJ1206">
        <v>1.1440541716628905E-4</v>
      </c>
      <c r="AK1206">
        <v>1.1440541716628905E-4</v>
      </c>
      <c r="AL1206">
        <v>0</v>
      </c>
      <c r="AN1206" t="s">
        <v>54</v>
      </c>
      <c r="AQ1206">
        <v>-4.7922379909352847E-7</v>
      </c>
    </row>
    <row r="1207" spans="1:43" x14ac:dyDescent="0.2">
      <c r="A1207">
        <v>1205</v>
      </c>
      <c r="B1207">
        <v>96</v>
      </c>
      <c r="C1207">
        <v>8</v>
      </c>
      <c r="D1207">
        <v>7571010.6848200336</v>
      </c>
      <c r="E1207" t="s">
        <v>459</v>
      </c>
      <c r="F1207" t="s">
        <v>87</v>
      </c>
      <c r="G1207" t="s">
        <v>857</v>
      </c>
      <c r="H1207">
        <v>5.2644518473309336E-4</v>
      </c>
      <c r="I1207">
        <v>3.2932518422591941E-6</v>
      </c>
      <c r="J1207">
        <v>2.79</v>
      </c>
      <c r="L1207" s="1">
        <v>44075</v>
      </c>
      <c r="M1207" s="1">
        <v>43024</v>
      </c>
      <c r="R1207">
        <v>1.7453237120141078E-2</v>
      </c>
      <c r="T1207" t="s">
        <v>32</v>
      </c>
      <c r="V1207">
        <v>7612742.8732000003</v>
      </c>
      <c r="W1207" t="s">
        <v>249</v>
      </c>
      <c r="X1207" t="s">
        <v>461</v>
      </c>
      <c r="Y1207">
        <v>7571010.6848200336</v>
      </c>
      <c r="Z1207" t="s">
        <v>31</v>
      </c>
      <c r="AA1207">
        <v>1.0430307740866189E-4</v>
      </c>
      <c r="AB1207">
        <v>100.27</v>
      </c>
      <c r="AC1207" t="s">
        <v>34</v>
      </c>
      <c r="AE1207" t="s">
        <v>41</v>
      </c>
      <c r="AF1207">
        <v>-1.5888208702300663E-3</v>
      </c>
      <c r="AH1207" t="s">
        <v>237</v>
      </c>
      <c r="AJ1207">
        <v>1.8869003037028434E-4</v>
      </c>
      <c r="AK1207">
        <v>1.8869003037028434E-4</v>
      </c>
      <c r="AL1207">
        <v>0</v>
      </c>
      <c r="AN1207" t="s">
        <v>54</v>
      </c>
      <c r="AQ1207">
        <v>-2.9979465825665281E-7</v>
      </c>
    </row>
    <row r="1208" spans="1:43" x14ac:dyDescent="0.2">
      <c r="A1208">
        <v>1206</v>
      </c>
      <c r="B1208">
        <v>96</v>
      </c>
      <c r="C1208">
        <v>8</v>
      </c>
      <c r="D1208">
        <v>40796774.687613942</v>
      </c>
      <c r="E1208" t="s">
        <v>462</v>
      </c>
      <c r="F1208" t="s">
        <v>87</v>
      </c>
      <c r="G1208" t="s">
        <v>465</v>
      </c>
      <c r="H1208">
        <v>2.7064978881477506E-3</v>
      </c>
      <c r="I1208">
        <v>1.8168134387309135E-5</v>
      </c>
      <c r="J1208">
        <v>2.6</v>
      </c>
      <c r="L1208" s="1">
        <v>44013</v>
      </c>
      <c r="M1208" s="1">
        <v>43024</v>
      </c>
      <c r="R1208">
        <v>1.7453237120141078E-2</v>
      </c>
      <c r="T1208" t="s">
        <v>32</v>
      </c>
      <c r="V1208">
        <v>41997801.0189</v>
      </c>
      <c r="W1208" t="s">
        <v>220</v>
      </c>
      <c r="X1208" t="s">
        <v>464</v>
      </c>
      <c r="Y1208">
        <v>40796774.687613942</v>
      </c>
      <c r="Z1208" t="s">
        <v>31</v>
      </c>
      <c r="AA1208">
        <v>5.7541676681200867E-4</v>
      </c>
      <c r="AB1208">
        <v>102.05</v>
      </c>
      <c r="AC1208" t="s">
        <v>33</v>
      </c>
      <c r="AE1208" t="s">
        <v>41</v>
      </c>
      <c r="AF1208">
        <v>-1.388820870230064E-3</v>
      </c>
      <c r="AH1208" t="s">
        <v>237</v>
      </c>
      <c r="AJ1208">
        <v>1.0409607262106733E-3</v>
      </c>
      <c r="AK1208">
        <v>1.0409607262106733E-3</v>
      </c>
      <c r="AL1208">
        <v>0</v>
      </c>
      <c r="AN1208" t="s">
        <v>148</v>
      </c>
      <c r="AQ1208">
        <v>-1.4457079816512267E-6</v>
      </c>
    </row>
    <row r="1209" spans="1:43" x14ac:dyDescent="0.2">
      <c r="A1209">
        <v>1207</v>
      </c>
      <c r="B1209">
        <v>96</v>
      </c>
      <c r="C1209">
        <v>8</v>
      </c>
      <c r="D1209">
        <v>2595613.3250298914</v>
      </c>
      <c r="E1209" t="s">
        <v>300</v>
      </c>
      <c r="F1209" t="s">
        <v>87</v>
      </c>
      <c r="G1209" t="s">
        <v>899</v>
      </c>
      <c r="H1209">
        <v>1.6524258788972194E-4</v>
      </c>
      <c r="I1209">
        <v>1.1723650686118169E-6</v>
      </c>
      <c r="J1209">
        <v>2.46</v>
      </c>
      <c r="L1209" s="1">
        <v>43966</v>
      </c>
      <c r="M1209" s="1">
        <v>43024</v>
      </c>
      <c r="R1209">
        <v>1.7453237120141078E-2</v>
      </c>
      <c r="T1209" t="s">
        <v>32</v>
      </c>
      <c r="V1209">
        <v>2710061.1335999998</v>
      </c>
      <c r="W1209" t="s">
        <v>213</v>
      </c>
      <c r="X1209" t="s">
        <v>302</v>
      </c>
      <c r="Y1209">
        <v>2595613.3250298914</v>
      </c>
      <c r="Z1209" t="s">
        <v>31</v>
      </c>
      <c r="AA1209">
        <v>3.7130863462523323E-5</v>
      </c>
      <c r="AB1209">
        <v>102.98</v>
      </c>
      <c r="AC1209" t="s">
        <v>33</v>
      </c>
      <c r="AE1209" t="s">
        <v>41</v>
      </c>
      <c r="AF1209">
        <v>-2.8888208702300654E-3</v>
      </c>
      <c r="AH1209" t="s">
        <v>237</v>
      </c>
      <c r="AJ1209">
        <v>6.7171783695008924E-5</v>
      </c>
      <c r="AK1209">
        <v>6.7171783695008924E-5</v>
      </c>
      <c r="AL1209">
        <v>0</v>
      </c>
      <c r="AN1209" t="s">
        <v>148</v>
      </c>
      <c r="AQ1209">
        <v>-1.940472506287214E-7</v>
      </c>
    </row>
    <row r="1210" spans="1:43" x14ac:dyDescent="0.2">
      <c r="A1210">
        <v>1208</v>
      </c>
      <c r="B1210">
        <v>96</v>
      </c>
      <c r="C1210">
        <v>8</v>
      </c>
      <c r="D1210">
        <v>1730048.3498364831</v>
      </c>
      <c r="E1210" t="s">
        <v>466</v>
      </c>
      <c r="F1210" t="s">
        <v>87</v>
      </c>
      <c r="G1210" t="s">
        <v>813</v>
      </c>
      <c r="H1210">
        <v>1.0865736181814352E-4</v>
      </c>
      <c r="I1210">
        <v>7.8364574407480267E-7</v>
      </c>
      <c r="J1210">
        <v>2.42</v>
      </c>
      <c r="L1210" s="1">
        <v>43952</v>
      </c>
      <c r="M1210" s="1">
        <v>43024</v>
      </c>
      <c r="R1210">
        <v>1.7453237120141078E-2</v>
      </c>
      <c r="T1210" t="s">
        <v>32</v>
      </c>
      <c r="V1210">
        <v>1811490.2349</v>
      </c>
      <c r="W1210" t="s">
        <v>250</v>
      </c>
      <c r="X1210" t="s">
        <v>814</v>
      </c>
      <c r="Y1210">
        <v>1730048.3498364831</v>
      </c>
      <c r="Z1210" t="s">
        <v>31</v>
      </c>
      <c r="AA1210">
        <v>2.481943884653858E-5</v>
      </c>
      <c r="AB1210">
        <v>103.04</v>
      </c>
      <c r="AC1210" t="s">
        <v>33</v>
      </c>
      <c r="AE1210" t="s">
        <v>41</v>
      </c>
      <c r="AF1210">
        <v>-1.0888208702300659E-3</v>
      </c>
      <c r="AH1210" t="s">
        <v>237</v>
      </c>
      <c r="AJ1210">
        <v>4.4899736288489059E-5</v>
      </c>
      <c r="AK1210">
        <v>4.4899736288489059E-5</v>
      </c>
      <c r="AL1210">
        <v>0</v>
      </c>
      <c r="AN1210" t="s">
        <v>148</v>
      </c>
      <c r="AQ1210">
        <v>-4.8887769938733121E-8</v>
      </c>
    </row>
    <row r="1211" spans="1:43" x14ac:dyDescent="0.2">
      <c r="A1211">
        <v>1209</v>
      </c>
      <c r="B1211">
        <v>96</v>
      </c>
      <c r="C1211">
        <v>8</v>
      </c>
      <c r="D1211">
        <v>431969.43649283849</v>
      </c>
      <c r="E1211" t="s">
        <v>469</v>
      </c>
      <c r="F1211" t="s">
        <v>87</v>
      </c>
      <c r="G1211" t="s">
        <v>470</v>
      </c>
      <c r="H1211">
        <v>1.7378865254053067E-5</v>
      </c>
      <c r="I1211">
        <v>1.9319583194775094E-7</v>
      </c>
      <c r="J1211">
        <v>1.57</v>
      </c>
      <c r="L1211" s="1">
        <v>43617</v>
      </c>
      <c r="M1211" s="1">
        <v>43024</v>
      </c>
      <c r="R1211">
        <v>1.7453237120141078E-2</v>
      </c>
      <c r="T1211" t="s">
        <v>32</v>
      </c>
      <c r="V1211">
        <v>446595.11729999998</v>
      </c>
      <c r="W1211" t="s">
        <v>220</v>
      </c>
      <c r="X1211" t="s">
        <v>471</v>
      </c>
      <c r="Y1211">
        <v>431969.43649283849</v>
      </c>
      <c r="Z1211" t="s">
        <v>31</v>
      </c>
      <c r="AA1211">
        <v>6.118851755003779E-6</v>
      </c>
      <c r="AB1211">
        <v>102.05</v>
      </c>
      <c r="AC1211" t="s">
        <v>33</v>
      </c>
      <c r="AE1211" t="s">
        <v>41</v>
      </c>
      <c r="AF1211">
        <v>-1.8888208702300645E-3</v>
      </c>
      <c r="AH1211" t="s">
        <v>237</v>
      </c>
      <c r="AJ1211">
        <v>1.1069340926148449E-5</v>
      </c>
      <c r="AK1211">
        <v>1.1069340926148449E-5</v>
      </c>
      <c r="AL1211">
        <v>0</v>
      </c>
      <c r="AN1211" t="s">
        <v>148</v>
      </c>
      <c r="AQ1211">
        <v>-2.090800216100098E-8</v>
      </c>
    </row>
    <row r="1212" spans="1:43" x14ac:dyDescent="0.2">
      <c r="A1212">
        <v>1210</v>
      </c>
      <c r="B1212">
        <v>96</v>
      </c>
      <c r="C1212">
        <v>8</v>
      </c>
      <c r="D1212">
        <v>3893015.6398643451</v>
      </c>
      <c r="E1212" t="s">
        <v>430</v>
      </c>
      <c r="F1212" t="s">
        <v>87</v>
      </c>
      <c r="G1212" t="s">
        <v>473</v>
      </c>
      <c r="H1212">
        <v>2.4722995090300202E-4</v>
      </c>
      <c r="I1212">
        <v>1.6988043135082405E-6</v>
      </c>
      <c r="J1212">
        <v>2.54</v>
      </c>
      <c r="L1212" s="1">
        <v>43983</v>
      </c>
      <c r="M1212" s="1">
        <v>43024</v>
      </c>
      <c r="R1212">
        <v>1.7453237120141078E-2</v>
      </c>
      <c r="T1212" t="s">
        <v>32</v>
      </c>
      <c r="V1212">
        <v>3926987.9893999998</v>
      </c>
      <c r="W1212" t="s">
        <v>248</v>
      </c>
      <c r="X1212" t="s">
        <v>432</v>
      </c>
      <c r="Y1212">
        <v>3893015.6398643451</v>
      </c>
      <c r="Z1212" t="s">
        <v>31</v>
      </c>
      <c r="AA1212">
        <v>5.3804120152701341E-5</v>
      </c>
      <c r="AB1212">
        <v>100.03</v>
      </c>
      <c r="AC1212" t="s">
        <v>34</v>
      </c>
      <c r="AE1212" t="s">
        <v>41</v>
      </c>
      <c r="AF1212">
        <v>-1.0888208702300659E-3</v>
      </c>
      <c r="AH1212" t="s">
        <v>237</v>
      </c>
      <c r="AJ1212">
        <v>9.7334626339764572E-5</v>
      </c>
      <c r="AK1212">
        <v>9.7334626339764572E-5</v>
      </c>
      <c r="AL1212">
        <v>0</v>
      </c>
      <c r="AN1212" t="s">
        <v>54</v>
      </c>
      <c r="AQ1212">
        <v>-1.0597997255478075E-7</v>
      </c>
    </row>
    <row r="1213" spans="1:43" x14ac:dyDescent="0.2">
      <c r="A1213">
        <v>1211</v>
      </c>
      <c r="B1213">
        <v>96</v>
      </c>
      <c r="C1213">
        <v>8</v>
      </c>
      <c r="D1213">
        <v>431875.55238734378</v>
      </c>
      <c r="E1213" t="s">
        <v>339</v>
      </c>
      <c r="F1213" t="s">
        <v>87</v>
      </c>
      <c r="G1213" t="s">
        <v>481</v>
      </c>
      <c r="H1213">
        <v>1.9795004529209824E-5</v>
      </c>
      <c r="I1213">
        <v>1.8776462382748133E-7</v>
      </c>
      <c r="J1213">
        <v>1.84</v>
      </c>
      <c r="L1213" s="1">
        <v>43709</v>
      </c>
      <c r="M1213" s="1">
        <v>43024</v>
      </c>
      <c r="R1213">
        <v>1.7453237120141078E-2</v>
      </c>
      <c r="T1213" t="s">
        <v>32</v>
      </c>
      <c r="V1213">
        <v>434040.23450000002</v>
      </c>
      <c r="W1213" t="s">
        <v>341</v>
      </c>
      <c r="X1213" t="s">
        <v>482</v>
      </c>
      <c r="Y1213">
        <v>431875.55238734378</v>
      </c>
      <c r="Z1213" t="s">
        <v>31</v>
      </c>
      <c r="AA1213">
        <v>5.9468358424271034E-6</v>
      </c>
      <c r="AB1213">
        <v>100.22</v>
      </c>
      <c r="AC1213" t="s">
        <v>34</v>
      </c>
      <c r="AE1213" t="s">
        <v>35</v>
      </c>
      <c r="AF1213">
        <v>-1.7888208702300651E-3</v>
      </c>
      <c r="AH1213" t="s">
        <v>237</v>
      </c>
      <c r="AJ1213">
        <v>1.0758154635440121E-5</v>
      </c>
      <c r="AK1213">
        <v>1.0758154635440121E-5</v>
      </c>
      <c r="AL1213">
        <v>0</v>
      </c>
      <c r="AN1213" t="s">
        <v>54</v>
      </c>
      <c r="AQ1213">
        <v>-1.9244411537037605E-8</v>
      </c>
    </row>
    <row r="1214" spans="1:43" x14ac:dyDescent="0.2">
      <c r="A1214">
        <v>1212</v>
      </c>
      <c r="B1214">
        <v>96</v>
      </c>
      <c r="C1214">
        <v>8</v>
      </c>
      <c r="D1214">
        <v>4758250.9040953545</v>
      </c>
      <c r="E1214" t="s">
        <v>508</v>
      </c>
      <c r="F1214" t="s">
        <v>87</v>
      </c>
      <c r="G1214" t="s">
        <v>509</v>
      </c>
      <c r="H1214">
        <v>2.3254062430723893E-4</v>
      </c>
      <c r="I1214">
        <v>1.4043552443252188E-6</v>
      </c>
      <c r="J1214">
        <v>2.89</v>
      </c>
      <c r="L1214" s="1">
        <v>45245</v>
      </c>
      <c r="M1214" s="1">
        <v>43024</v>
      </c>
      <c r="R1214">
        <v>1.7453237120141078E-2</v>
      </c>
      <c r="T1214" t="s">
        <v>32</v>
      </c>
      <c r="V1214">
        <v>3246333.9852999998</v>
      </c>
      <c r="W1214" t="s">
        <v>510</v>
      </c>
      <c r="X1214" t="s">
        <v>511</v>
      </c>
      <c r="Y1214">
        <v>4758250.9040953545</v>
      </c>
      <c r="Z1214" t="s">
        <v>31</v>
      </c>
      <c r="AA1214">
        <v>4.4478400308926344E-5</v>
      </c>
      <c r="AB1214">
        <v>103.45</v>
      </c>
      <c r="AC1214" t="s">
        <v>33</v>
      </c>
      <c r="AE1214" t="s">
        <v>178</v>
      </c>
      <c r="AF1214">
        <v>-7.888208702300642E-4</v>
      </c>
      <c r="AH1214" t="s">
        <v>237</v>
      </c>
      <c r="AJ1214">
        <v>8.0463883843335263E-5</v>
      </c>
      <c r="AK1214">
        <v>8.0463883843335263E-5</v>
      </c>
      <c r="AL1214">
        <v>0</v>
      </c>
      <c r="AN1214" t="s">
        <v>148</v>
      </c>
      <c r="AQ1214">
        <v>-6.3471590875390521E-8</v>
      </c>
    </row>
    <row r="1215" spans="1:43" x14ac:dyDescent="0.2">
      <c r="A1215">
        <v>1213</v>
      </c>
      <c r="B1215">
        <v>96</v>
      </c>
      <c r="C1215">
        <v>8</v>
      </c>
      <c r="D1215">
        <v>865008.65774102206</v>
      </c>
      <c r="E1215" t="s">
        <v>484</v>
      </c>
      <c r="F1215" t="s">
        <v>87</v>
      </c>
      <c r="G1215" t="s">
        <v>485</v>
      </c>
      <c r="H1215">
        <v>3.8595324307709565E-5</v>
      </c>
      <c r="I1215">
        <v>3.8057251235661006E-7</v>
      </c>
      <c r="J1215">
        <v>1.77</v>
      </c>
      <c r="L1215" s="1">
        <v>44331</v>
      </c>
      <c r="M1215" s="1">
        <v>43024</v>
      </c>
      <c r="R1215">
        <v>1.7453237120141078E-2</v>
      </c>
      <c r="T1215" t="s">
        <v>32</v>
      </c>
      <c r="V1215">
        <v>879738.57449999999</v>
      </c>
      <c r="W1215" t="s">
        <v>486</v>
      </c>
      <c r="X1215" t="s">
        <v>487</v>
      </c>
      <c r="Y1215">
        <v>865008.65774102206</v>
      </c>
      <c r="Z1215" t="s">
        <v>31</v>
      </c>
      <c r="AA1215">
        <v>1.205340074711974E-5</v>
      </c>
      <c r="AB1215">
        <v>100.65</v>
      </c>
      <c r="AC1215" t="s">
        <v>36</v>
      </c>
      <c r="AE1215" t="s">
        <v>175</v>
      </c>
      <c r="AF1215">
        <v>-2.3888208702300649E-3</v>
      </c>
      <c r="AH1215" t="s">
        <v>237</v>
      </c>
      <c r="AJ1215">
        <v>2.180526797045738E-5</v>
      </c>
      <c r="AK1215">
        <v>2.180526797045738E-5</v>
      </c>
      <c r="AL1215">
        <v>0</v>
      </c>
      <c r="AN1215" t="s">
        <v>150</v>
      </c>
      <c r="AQ1215">
        <v>-5.208887920878776E-8</v>
      </c>
    </row>
    <row r="1216" spans="1:43" x14ac:dyDescent="0.2">
      <c r="A1216">
        <v>1214</v>
      </c>
      <c r="B1216">
        <v>96</v>
      </c>
      <c r="C1216">
        <v>8</v>
      </c>
      <c r="D1216">
        <v>4326138.9325821502</v>
      </c>
      <c r="E1216" t="s">
        <v>488</v>
      </c>
      <c r="F1216" t="s">
        <v>87</v>
      </c>
      <c r="G1216" t="s">
        <v>489</v>
      </c>
      <c r="H1216">
        <v>2.928109628921567E-4</v>
      </c>
      <c r="I1216">
        <v>1.885793050455218E-6</v>
      </c>
      <c r="J1216">
        <v>2.71</v>
      </c>
      <c r="L1216" s="1">
        <v>44044</v>
      </c>
      <c r="M1216" s="1">
        <v>43024</v>
      </c>
      <c r="R1216">
        <v>1.7453237120141078E-2</v>
      </c>
      <c r="T1216" t="s">
        <v>32</v>
      </c>
      <c r="V1216">
        <v>4359234.6692000004</v>
      </c>
      <c r="W1216" t="s">
        <v>490</v>
      </c>
      <c r="X1216" t="s">
        <v>491</v>
      </c>
      <c r="Y1216">
        <v>4326138.9325821502</v>
      </c>
      <c r="Z1216" t="s">
        <v>31</v>
      </c>
      <c r="AA1216">
        <v>5.9726382293136055E-5</v>
      </c>
      <c r="AB1216">
        <v>100.31</v>
      </c>
      <c r="AC1216" t="s">
        <v>33</v>
      </c>
      <c r="AE1216" t="s">
        <v>41</v>
      </c>
      <c r="AF1216">
        <v>-2.788820870230066E-3</v>
      </c>
      <c r="AH1216" t="s">
        <v>237</v>
      </c>
      <c r="AJ1216">
        <v>1.0804832579046372E-4</v>
      </c>
      <c r="AK1216">
        <v>1.0804832579046372E-4</v>
      </c>
      <c r="AL1216">
        <v>0</v>
      </c>
      <c r="AN1216" t="s">
        <v>148</v>
      </c>
      <c r="AQ1216">
        <v>-3.013274259578627E-7</v>
      </c>
    </row>
    <row r="1217" spans="1:43" x14ac:dyDescent="0.2">
      <c r="A1217">
        <v>1215</v>
      </c>
      <c r="B1217">
        <v>96</v>
      </c>
      <c r="C1217">
        <v>8</v>
      </c>
      <c r="D1217">
        <v>45137791.66426897</v>
      </c>
      <c r="E1217" t="s">
        <v>440</v>
      </c>
      <c r="F1217" t="s">
        <v>87</v>
      </c>
      <c r="G1217" t="s">
        <v>821</v>
      </c>
      <c r="H1217">
        <v>3.4221995606547338E-2</v>
      </c>
      <c r="I1217">
        <v>2.038514006981218E-4</v>
      </c>
      <c r="J1217">
        <v>2.93</v>
      </c>
      <c r="L1217" s="1">
        <v>44166</v>
      </c>
      <c r="M1217" s="1">
        <v>43024</v>
      </c>
      <c r="R1217">
        <v>1.7453237120141078E-2</v>
      </c>
      <c r="T1217" t="s">
        <v>32</v>
      </c>
      <c r="V1217">
        <v>471226730.35290003</v>
      </c>
      <c r="W1217" t="s">
        <v>442</v>
      </c>
      <c r="X1217" t="s">
        <v>443</v>
      </c>
      <c r="Y1217">
        <v>45137791.66426897</v>
      </c>
      <c r="Z1217" t="s">
        <v>31</v>
      </c>
      <c r="AA1217">
        <v>6.4563323563782606E-3</v>
      </c>
      <c r="AB1217">
        <v>104.33999999999999</v>
      </c>
      <c r="AC1217" t="s">
        <v>34</v>
      </c>
      <c r="AE1217" t="s">
        <v>41</v>
      </c>
      <c r="AF1217">
        <v>1.4111791297699364E-3</v>
      </c>
      <c r="AH1217" t="s">
        <v>237</v>
      </c>
      <c r="AJ1217">
        <v>1.1679861981756771E-2</v>
      </c>
      <c r="AK1217">
        <v>1.1679861981756771E-2</v>
      </c>
      <c r="AL1217">
        <v>0</v>
      </c>
      <c r="AN1217" t="s">
        <v>54</v>
      </c>
      <c r="AQ1217">
        <v>1.6482377467248484E-5</v>
      </c>
    </row>
    <row r="1218" spans="1:43" x14ac:dyDescent="0.2">
      <c r="A1218">
        <v>1216</v>
      </c>
      <c r="B1218">
        <v>96</v>
      </c>
      <c r="C1218">
        <v>8</v>
      </c>
      <c r="D1218">
        <v>432321.98347163748</v>
      </c>
      <c r="E1218" t="s">
        <v>496</v>
      </c>
      <c r="F1218" t="s">
        <v>87</v>
      </c>
      <c r="G1218" t="s">
        <v>497</v>
      </c>
      <c r="H1218">
        <v>2.9385766022522375E-5</v>
      </c>
      <c r="I1218">
        <v>1.858249066478507E-7</v>
      </c>
      <c r="J1218">
        <v>2.76</v>
      </c>
      <c r="L1218" s="1">
        <v>44057</v>
      </c>
      <c r="M1218" s="1">
        <v>43024</v>
      </c>
      <c r="R1218">
        <v>1.7453237120141078E-2</v>
      </c>
      <c r="T1218" t="s">
        <v>32</v>
      </c>
      <c r="V1218">
        <v>429556.34779999999</v>
      </c>
      <c r="W1218" t="s">
        <v>498</v>
      </c>
      <c r="X1218" t="s">
        <v>499</v>
      </c>
      <c r="Y1218">
        <v>432321.98347163748</v>
      </c>
      <c r="Z1218" t="s">
        <v>31</v>
      </c>
      <c r="AA1218">
        <v>5.8854015881311637E-6</v>
      </c>
      <c r="AB1218">
        <v>99.03</v>
      </c>
      <c r="AC1218" t="s">
        <v>33</v>
      </c>
      <c r="AE1218" t="s">
        <v>43</v>
      </c>
      <c r="AF1218">
        <v>-4.8882087023006601E-4</v>
      </c>
      <c r="AH1218" t="s">
        <v>237</v>
      </c>
      <c r="AJ1218">
        <v>1.0647016674826948E-5</v>
      </c>
      <c r="AK1218">
        <v>1.0647016674826948E-5</v>
      </c>
      <c r="AL1218">
        <v>0</v>
      </c>
      <c r="AN1218" t="s">
        <v>148</v>
      </c>
      <c r="AQ1218">
        <v>-5.2044839563429328E-9</v>
      </c>
    </row>
    <row r="1219" spans="1:43" x14ac:dyDescent="0.2">
      <c r="A1219">
        <v>1217</v>
      </c>
      <c r="B1219">
        <v>96</v>
      </c>
      <c r="C1219">
        <v>8</v>
      </c>
      <c r="D1219">
        <v>216110.6770529983</v>
      </c>
      <c r="E1219" t="s">
        <v>933</v>
      </c>
      <c r="F1219" t="s">
        <v>87</v>
      </c>
      <c r="G1219" t="s">
        <v>934</v>
      </c>
      <c r="H1219">
        <v>1.2479459374235356E-5</v>
      </c>
      <c r="I1219">
        <v>9.3882311892110806E-8</v>
      </c>
      <c r="J1219">
        <v>2.3199999999999998</v>
      </c>
      <c r="L1219" s="1">
        <v>43891</v>
      </c>
      <c r="M1219" s="1">
        <v>43024</v>
      </c>
      <c r="R1219">
        <v>1.7453237120141078E-2</v>
      </c>
      <c r="T1219" t="s">
        <v>32</v>
      </c>
      <c r="V1219">
        <v>217020.11720000001</v>
      </c>
      <c r="W1219" t="s">
        <v>358</v>
      </c>
      <c r="X1219" t="s">
        <v>935</v>
      </c>
      <c r="Y1219">
        <v>216110.6770529983</v>
      </c>
      <c r="Z1219" t="s">
        <v>31</v>
      </c>
      <c r="AA1219">
        <v>2.973417920528496E-6</v>
      </c>
      <c r="AB1219">
        <v>100.14</v>
      </c>
      <c r="AC1219" t="s">
        <v>34</v>
      </c>
      <c r="AE1219" t="s">
        <v>35</v>
      </c>
      <c r="AF1219">
        <v>-1.1888208702300652E-3</v>
      </c>
      <c r="AH1219" t="s">
        <v>237</v>
      </c>
      <c r="AJ1219">
        <v>5.3790773164807574E-6</v>
      </c>
      <c r="AK1219">
        <v>5.3790773164807574E-6</v>
      </c>
      <c r="AL1219">
        <v>0</v>
      </c>
      <c r="AN1219" t="s">
        <v>54</v>
      </c>
      <c r="AQ1219">
        <v>-6.3947593764134583E-9</v>
      </c>
    </row>
    <row r="1220" spans="1:43" x14ac:dyDescent="0.2">
      <c r="A1220">
        <v>1218</v>
      </c>
      <c r="B1220">
        <v>96</v>
      </c>
      <c r="C1220">
        <v>8</v>
      </c>
      <c r="D1220">
        <v>1946508.3089457252</v>
      </c>
      <c r="E1220" t="s">
        <v>500</v>
      </c>
      <c r="F1220" t="s">
        <v>87</v>
      </c>
      <c r="G1220" t="s">
        <v>501</v>
      </c>
      <c r="H1220">
        <v>5.7233382661235454E-5</v>
      </c>
      <c r="I1220">
        <v>6.4864142777552818E-7</v>
      </c>
      <c r="J1220">
        <v>1.54</v>
      </c>
      <c r="L1220" s="1">
        <v>44058</v>
      </c>
      <c r="M1220" s="1">
        <v>43024</v>
      </c>
      <c r="R1220">
        <v>1.7453237120141078E-2</v>
      </c>
      <c r="T1220" t="s">
        <v>32</v>
      </c>
      <c r="V1220">
        <v>1499411.7191999999</v>
      </c>
      <c r="W1220" t="s">
        <v>502</v>
      </c>
      <c r="X1220" t="s">
        <v>503</v>
      </c>
      <c r="Y1220">
        <v>1946508.3089457252</v>
      </c>
      <c r="Z1220" t="s">
        <v>31</v>
      </c>
      <c r="AA1220">
        <v>2.0543614728633651E-5</v>
      </c>
      <c r="AB1220">
        <v>102.11</v>
      </c>
      <c r="AC1220" t="s">
        <v>33</v>
      </c>
      <c r="AE1220" t="s">
        <v>35</v>
      </c>
      <c r="AF1220">
        <v>-2.5888208702300637E-3</v>
      </c>
      <c r="AH1220" t="s">
        <v>237</v>
      </c>
      <c r="AJ1220">
        <v>3.7164534195607439E-5</v>
      </c>
      <c r="AK1220">
        <v>3.7164534195607439E-5</v>
      </c>
      <c r="AL1220">
        <v>0</v>
      </c>
      <c r="AN1220" t="s">
        <v>148</v>
      </c>
      <c r="AQ1220">
        <v>-9.6212321757967408E-8</v>
      </c>
    </row>
    <row r="1221" spans="1:43" x14ac:dyDescent="0.2">
      <c r="A1221">
        <v>1219</v>
      </c>
      <c r="B1221">
        <v>96</v>
      </c>
      <c r="C1221">
        <v>8</v>
      </c>
      <c r="D1221">
        <v>1297219.5128470305</v>
      </c>
      <c r="E1221" t="s">
        <v>359</v>
      </c>
      <c r="F1221" t="s">
        <v>87</v>
      </c>
      <c r="G1221" t="s">
        <v>504</v>
      </c>
      <c r="H1221">
        <v>8.5028542182003734E-5</v>
      </c>
      <c r="I1221">
        <v>5.8889813836604328E-7</v>
      </c>
      <c r="J1221">
        <v>2.52</v>
      </c>
      <c r="L1221" s="1">
        <v>44348</v>
      </c>
      <c r="M1221" s="1">
        <v>43024</v>
      </c>
      <c r="R1221">
        <v>1.7453237120141078E-2</v>
      </c>
      <c r="T1221" t="s">
        <v>32</v>
      </c>
      <c r="V1221">
        <v>1361308.0082</v>
      </c>
      <c r="W1221" t="s">
        <v>360</v>
      </c>
      <c r="X1221" t="s">
        <v>445</v>
      </c>
      <c r="Y1221">
        <v>1297219.5128470305</v>
      </c>
      <c r="Z1221" t="s">
        <v>31</v>
      </c>
      <c r="AA1221">
        <v>1.8651439687550002E-5</v>
      </c>
      <c r="AB1221">
        <v>103.52</v>
      </c>
      <c r="AC1221" t="s">
        <v>33</v>
      </c>
      <c r="AE1221" t="s">
        <v>38</v>
      </c>
      <c r="AF1221">
        <v>-7.888208702300642E-4</v>
      </c>
      <c r="AH1221" t="s">
        <v>237</v>
      </c>
      <c r="AJ1221">
        <v>3.3741484992858626E-5</v>
      </c>
      <c r="AK1221">
        <v>3.3741484992858626E-5</v>
      </c>
      <c r="AL1221">
        <v>0</v>
      </c>
      <c r="AN1221" t="s">
        <v>148</v>
      </c>
      <c r="AQ1221">
        <v>-2.6615987554921394E-8</v>
      </c>
    </row>
    <row r="1222" spans="1:43" x14ac:dyDescent="0.2">
      <c r="A1222">
        <v>1220</v>
      </c>
      <c r="B1222">
        <v>98</v>
      </c>
      <c r="C1222">
        <v>8</v>
      </c>
      <c r="D1222">
        <v>40793089.614500239</v>
      </c>
      <c r="E1222" t="s">
        <v>780</v>
      </c>
      <c r="F1222" t="s">
        <v>87</v>
      </c>
      <c r="G1222" t="s">
        <v>781</v>
      </c>
      <c r="H1222">
        <v>4.2640116019117122E-3</v>
      </c>
      <c r="I1222">
        <v>2.7413603579950329E-5</v>
      </c>
      <c r="J1222">
        <v>3.85</v>
      </c>
      <c r="L1222" s="1">
        <v>45656</v>
      </c>
      <c r="M1222" s="1">
        <v>43024</v>
      </c>
      <c r="R1222">
        <v>2.4751896485340302E-2</v>
      </c>
      <c r="T1222" t="s">
        <v>32</v>
      </c>
      <c r="V1222">
        <v>44683774.884000003</v>
      </c>
      <c r="W1222" t="s">
        <v>1711</v>
      </c>
      <c r="X1222" t="s">
        <v>783</v>
      </c>
      <c r="Y1222">
        <v>40793089.614500239</v>
      </c>
      <c r="Z1222" t="s">
        <v>31</v>
      </c>
      <c r="AA1222">
        <v>8.68237035370005E-4</v>
      </c>
      <c r="AB1222">
        <v>115</v>
      </c>
      <c r="AC1222" t="s">
        <v>42</v>
      </c>
      <c r="AE1222" t="s">
        <v>1708</v>
      </c>
      <c r="AF1222">
        <v>-4.9888208702300665E-3</v>
      </c>
      <c r="AH1222" t="s">
        <v>237</v>
      </c>
      <c r="AJ1222">
        <v>1.1075354810160291E-3</v>
      </c>
      <c r="AK1222">
        <v>1.1075354810160291E-3</v>
      </c>
      <c r="AL1222">
        <v>0</v>
      </c>
      <c r="AN1222" t="s">
        <v>142</v>
      </c>
      <c r="AQ1222">
        <v>-5.5252961222130614E-6</v>
      </c>
    </row>
    <row r="1223" spans="1:43" x14ac:dyDescent="0.2">
      <c r="A1223">
        <v>1221</v>
      </c>
      <c r="B1223">
        <v>98</v>
      </c>
      <c r="C1223">
        <v>8</v>
      </c>
      <c r="D1223">
        <v>3893780.3211722765</v>
      </c>
      <c r="E1223" t="s">
        <v>407</v>
      </c>
      <c r="F1223" t="s">
        <v>87</v>
      </c>
      <c r="G1223" t="s">
        <v>852</v>
      </c>
      <c r="H1223">
        <v>5.0167675644554926E-4</v>
      </c>
      <c r="I1223">
        <v>2.5445596607871955E-6</v>
      </c>
      <c r="J1223">
        <v>4.88</v>
      </c>
      <c r="L1223" s="1">
        <v>44958</v>
      </c>
      <c r="M1223" s="1">
        <v>43024</v>
      </c>
      <c r="R1223">
        <v>2.4751896485340302E-2</v>
      </c>
      <c r="T1223" t="s">
        <v>32</v>
      </c>
      <c r="V1223">
        <v>4147595.216</v>
      </c>
      <c r="W1223" t="s">
        <v>229</v>
      </c>
      <c r="X1223" t="s">
        <v>409</v>
      </c>
      <c r="Y1223">
        <v>3893780.3211722765</v>
      </c>
      <c r="Z1223" t="s">
        <v>31</v>
      </c>
      <c r="AA1223">
        <v>8.0590679359637216E-5</v>
      </c>
      <c r="AB1223">
        <v>105.78</v>
      </c>
      <c r="AC1223" t="s">
        <v>42</v>
      </c>
      <c r="AE1223" t="s">
        <v>41</v>
      </c>
      <c r="AF1223">
        <v>-1.4888208702300634E-3</v>
      </c>
      <c r="AH1223" t="s">
        <v>237</v>
      </c>
      <c r="AJ1223">
        <v>1.0280261402572731E-4</v>
      </c>
      <c r="AK1223">
        <v>1.0280261402572731E-4</v>
      </c>
      <c r="AL1223">
        <v>0</v>
      </c>
      <c r="AN1223" t="s">
        <v>142</v>
      </c>
      <c r="AQ1223">
        <v>-1.5305467727570865E-7</v>
      </c>
    </row>
    <row r="1224" spans="1:43" x14ac:dyDescent="0.2">
      <c r="A1224">
        <v>1222</v>
      </c>
      <c r="B1224">
        <v>98</v>
      </c>
      <c r="C1224">
        <v>8</v>
      </c>
      <c r="D1224">
        <v>6922256.1512990566</v>
      </c>
      <c r="E1224" t="s">
        <v>414</v>
      </c>
      <c r="F1224" t="s">
        <v>87</v>
      </c>
      <c r="G1224" t="s">
        <v>960</v>
      </c>
      <c r="H1224">
        <v>7.5217171837263172E-4</v>
      </c>
      <c r="I1224">
        <v>4.4646706264652089E-6</v>
      </c>
      <c r="J1224">
        <v>4.17</v>
      </c>
      <c r="L1224" s="1">
        <v>44652</v>
      </c>
      <c r="M1224" s="1">
        <v>43024</v>
      </c>
      <c r="R1224">
        <v>2.4751896485340302E-2</v>
      </c>
      <c r="T1224" t="s">
        <v>32</v>
      </c>
      <c r="V1224">
        <v>7277348.1465999996</v>
      </c>
      <c r="W1224" t="s">
        <v>200</v>
      </c>
      <c r="X1224" t="s">
        <v>305</v>
      </c>
      <c r="Y1224">
        <v>6922256.1512990566</v>
      </c>
      <c r="Z1224" t="s">
        <v>31</v>
      </c>
      <c r="AA1224">
        <v>1.4140397037990288E-4</v>
      </c>
      <c r="AB1224">
        <v>104.97</v>
      </c>
      <c r="AC1224" t="s">
        <v>42</v>
      </c>
      <c r="AE1224" t="s">
        <v>41</v>
      </c>
      <c r="AF1224">
        <v>-2.8882087023006375E-4</v>
      </c>
      <c r="AH1224" t="s">
        <v>237</v>
      </c>
      <c r="AJ1224">
        <v>1.8037691088072704E-4</v>
      </c>
      <c r="AK1224">
        <v>1.8037691088072704E-4</v>
      </c>
      <c r="AL1224">
        <v>0</v>
      </c>
      <c r="AN1224" t="s">
        <v>142</v>
      </c>
      <c r="AQ1224">
        <v>-5.2096616369982241E-8</v>
      </c>
    </row>
    <row r="1225" spans="1:43" x14ac:dyDescent="0.2">
      <c r="A1225">
        <v>1223</v>
      </c>
      <c r="B1225">
        <v>98</v>
      </c>
      <c r="C1225">
        <v>8</v>
      </c>
      <c r="D1225">
        <v>437319.93069676432</v>
      </c>
      <c r="E1225" t="s">
        <v>414</v>
      </c>
      <c r="F1225" t="s">
        <v>87</v>
      </c>
      <c r="G1225" t="s">
        <v>961</v>
      </c>
      <c r="H1225">
        <v>1.057691865768212E-2</v>
      </c>
      <c r="I1225">
        <v>8.6118024917372478E-5</v>
      </c>
      <c r="J1225">
        <v>3.04</v>
      </c>
      <c r="L1225" s="1">
        <v>44197</v>
      </c>
      <c r="M1225" s="1">
        <v>43024</v>
      </c>
      <c r="R1225">
        <v>2.4751896485340302E-2</v>
      </c>
      <c r="T1225" t="s">
        <v>32</v>
      </c>
      <c r="V1225">
        <v>140371127.33610001</v>
      </c>
      <c r="W1225" t="s">
        <v>200</v>
      </c>
      <c r="X1225" t="s">
        <v>305</v>
      </c>
      <c r="Y1225">
        <v>437319.93069676432</v>
      </c>
      <c r="Z1225" t="s">
        <v>31</v>
      </c>
      <c r="AA1225">
        <v>2.7275092976417501E-3</v>
      </c>
      <c r="AB1225">
        <v>103.89</v>
      </c>
      <c r="AC1225" t="s">
        <v>42</v>
      </c>
      <c r="AE1225" t="s">
        <v>41</v>
      </c>
      <c r="AF1225">
        <v>-1.2888208702300646E-3</v>
      </c>
      <c r="AH1225" t="s">
        <v>237</v>
      </c>
      <c r="AJ1225">
        <v>3.4792495584480658E-3</v>
      </c>
      <c r="AK1225">
        <v>3.4792495584480658E-3</v>
      </c>
      <c r="AL1225">
        <v>0</v>
      </c>
      <c r="AN1225" t="s">
        <v>142</v>
      </c>
      <c r="AQ1225">
        <v>-4.4841294436666041E-6</v>
      </c>
    </row>
    <row r="1226" spans="1:43" x14ac:dyDescent="0.2">
      <c r="A1226">
        <v>1224</v>
      </c>
      <c r="B1226">
        <v>98</v>
      </c>
      <c r="C1226">
        <v>8</v>
      </c>
      <c r="D1226">
        <v>1729924.2652158584</v>
      </c>
      <c r="E1226" t="s">
        <v>417</v>
      </c>
      <c r="F1226" t="s">
        <v>87</v>
      </c>
      <c r="G1226" t="s">
        <v>817</v>
      </c>
      <c r="H1226">
        <v>1.8797341279414327E-4</v>
      </c>
      <c r="I1226">
        <v>1.115755025294191E-6</v>
      </c>
      <c r="J1226">
        <v>4.17</v>
      </c>
      <c r="L1226" s="1">
        <v>44652</v>
      </c>
      <c r="M1226" s="1">
        <v>43024</v>
      </c>
      <c r="R1226">
        <v>2.4751896485340302E-2</v>
      </c>
      <c r="T1226" t="s">
        <v>32</v>
      </c>
      <c r="V1226">
        <v>1818664.4535999999</v>
      </c>
      <c r="W1226" t="s">
        <v>216</v>
      </c>
      <c r="X1226" t="s">
        <v>419</v>
      </c>
      <c r="Y1226">
        <v>1729924.2652158584</v>
      </c>
      <c r="Z1226" t="s">
        <v>31</v>
      </c>
      <c r="AA1226">
        <v>3.5337923835344545E-5</v>
      </c>
      <c r="AB1226">
        <v>104.97</v>
      </c>
      <c r="AC1226" t="s">
        <v>42</v>
      </c>
      <c r="AE1226" t="s">
        <v>41</v>
      </c>
      <c r="AF1226">
        <v>-2.8882087023006375E-4</v>
      </c>
      <c r="AH1226" t="s">
        <v>237</v>
      </c>
      <c r="AJ1226">
        <v>4.5077557024974407E-5</v>
      </c>
      <c r="AK1226">
        <v>4.5077557024974407E-5</v>
      </c>
      <c r="AL1226">
        <v>0</v>
      </c>
      <c r="AN1226" t="s">
        <v>142</v>
      </c>
      <c r="AQ1226">
        <v>-1.3019339247798431E-8</v>
      </c>
    </row>
    <row r="1227" spans="1:43" x14ac:dyDescent="0.2">
      <c r="A1227">
        <v>1225</v>
      </c>
      <c r="B1227">
        <v>99</v>
      </c>
      <c r="C1227">
        <v>8</v>
      </c>
      <c r="D1227">
        <v>9527690.7904660087</v>
      </c>
      <c r="E1227" t="s">
        <v>784</v>
      </c>
      <c r="F1227" t="s">
        <v>87</v>
      </c>
      <c r="G1227" t="s">
        <v>785</v>
      </c>
      <c r="H1227">
        <v>3.5152033809840777E-2</v>
      </c>
      <c r="I1227">
        <v>1.4141859420560847E-4</v>
      </c>
      <c r="J1227">
        <v>4.93</v>
      </c>
      <c r="L1227" s="1">
        <v>46833</v>
      </c>
      <c r="M1227" s="1">
        <v>43024</v>
      </c>
      <c r="R1227">
        <v>1.9833665192893365E-2</v>
      </c>
      <c r="T1227" t="s">
        <v>32</v>
      </c>
      <c r="V1227">
        <v>287670776.09259999</v>
      </c>
      <c r="W1227" t="s">
        <v>786</v>
      </c>
      <c r="X1227" t="s">
        <v>787</v>
      </c>
      <c r="Y1227">
        <v>9527690.7904660087</v>
      </c>
      <c r="Z1227" t="s">
        <v>31</v>
      </c>
      <c r="AA1227">
        <v>4.4789755794481991E-3</v>
      </c>
      <c r="AB1227">
        <v>108.85</v>
      </c>
      <c r="AC1227" t="s">
        <v>34</v>
      </c>
      <c r="AE1227" t="s">
        <v>178</v>
      </c>
      <c r="AF1227">
        <v>-1.5888208702300663E-3</v>
      </c>
      <c r="AH1227" t="s">
        <v>237</v>
      </c>
      <c r="AJ1227">
        <v>7.1302299817121257E-3</v>
      </c>
      <c r="AK1227">
        <v>7.1302299817121257E-3</v>
      </c>
      <c r="AL1227">
        <v>0</v>
      </c>
      <c r="AN1227" t="s">
        <v>54</v>
      </c>
      <c r="AQ1227">
        <v>-1.1328658204484369E-5</v>
      </c>
    </row>
    <row r="1228" spans="1:43" x14ac:dyDescent="0.2">
      <c r="A1228">
        <v>1226</v>
      </c>
      <c r="B1228">
        <v>99</v>
      </c>
      <c r="C1228">
        <v>8</v>
      </c>
      <c r="D1228">
        <v>8652741.9928787071</v>
      </c>
      <c r="E1228" t="s">
        <v>788</v>
      </c>
      <c r="F1228" t="s">
        <v>87</v>
      </c>
      <c r="G1228" t="s">
        <v>789</v>
      </c>
      <c r="H1228">
        <v>1.1195244677072432E-3</v>
      </c>
      <c r="I1228">
        <v>4.6549839555047425E-6</v>
      </c>
      <c r="J1228">
        <v>4.7699999999999996</v>
      </c>
      <c r="L1228" s="1">
        <v>46888</v>
      </c>
      <c r="M1228" s="1">
        <v>43024</v>
      </c>
      <c r="R1228">
        <v>1.9833665192893365E-2</v>
      </c>
      <c r="T1228" t="s">
        <v>32</v>
      </c>
      <c r="V1228">
        <v>9469071.9752999991</v>
      </c>
      <c r="W1228" t="s">
        <v>786</v>
      </c>
      <c r="X1228" t="s">
        <v>790</v>
      </c>
      <c r="Y1228">
        <v>8652741.9928787071</v>
      </c>
      <c r="Z1228" t="s">
        <v>31</v>
      </c>
      <c r="AA1228">
        <v>1.4743152819858861E-4</v>
      </c>
      <c r="AB1228">
        <v>107.63</v>
      </c>
      <c r="AC1228" t="s">
        <v>34</v>
      </c>
      <c r="AE1228" t="s">
        <v>178</v>
      </c>
      <c r="AF1228">
        <v>2.1117912976993669E-4</v>
      </c>
      <c r="AH1228" t="s">
        <v>237</v>
      </c>
      <c r="AJ1228">
        <v>2.347011462698623E-4</v>
      </c>
      <c r="AK1228">
        <v>2.347011462698623E-4</v>
      </c>
      <c r="AL1228">
        <v>0</v>
      </c>
      <c r="AN1228" t="s">
        <v>54</v>
      </c>
      <c r="AQ1228">
        <v>4.9563983825276143E-8</v>
      </c>
    </row>
    <row r="1229" spans="1:43" x14ac:dyDescent="0.2">
      <c r="A1229">
        <v>1227</v>
      </c>
      <c r="B1229">
        <v>99</v>
      </c>
      <c r="C1229">
        <v>8</v>
      </c>
      <c r="D1229">
        <v>8652366.4836779684</v>
      </c>
      <c r="E1229" t="s">
        <v>775</v>
      </c>
      <c r="F1229" t="s">
        <v>87</v>
      </c>
      <c r="G1229" t="s">
        <v>776</v>
      </c>
      <c r="H1229">
        <v>1.0115679418721171E-3</v>
      </c>
      <c r="I1229">
        <v>4.3053862401192677E-6</v>
      </c>
      <c r="J1229">
        <v>4.66</v>
      </c>
      <c r="L1229" s="1">
        <v>46371</v>
      </c>
      <c r="M1229" s="1">
        <v>43024</v>
      </c>
      <c r="R1229">
        <v>1.9833665192893365E-2</v>
      </c>
      <c r="T1229" t="s">
        <v>32</v>
      </c>
      <c r="V1229">
        <v>8757927.5415000003</v>
      </c>
      <c r="W1229" t="s">
        <v>777</v>
      </c>
      <c r="X1229" t="s">
        <v>778</v>
      </c>
      <c r="Y1229">
        <v>8652366.4836779684</v>
      </c>
      <c r="Z1229" t="s">
        <v>31</v>
      </c>
      <c r="AA1229">
        <v>1.3635915374430823E-4</v>
      </c>
      <c r="AB1229">
        <v>114.99</v>
      </c>
      <c r="AC1229" t="s">
        <v>33</v>
      </c>
      <c r="AE1229" t="s">
        <v>1708</v>
      </c>
      <c r="AF1229">
        <v>-2.4888208702300643E-3</v>
      </c>
      <c r="AH1229" t="s">
        <v>237</v>
      </c>
      <c r="AJ1229">
        <v>2.1707466563779338E-4</v>
      </c>
      <c r="AK1229">
        <v>2.1707466563779338E-4</v>
      </c>
      <c r="AL1229">
        <v>0</v>
      </c>
      <c r="AN1229" t="s">
        <v>148</v>
      </c>
      <c r="AQ1229">
        <v>-5.402599582375532E-7</v>
      </c>
    </row>
    <row r="1230" spans="1:43" x14ac:dyDescent="0.2">
      <c r="A1230">
        <v>1228</v>
      </c>
      <c r="B1230">
        <v>99</v>
      </c>
      <c r="C1230">
        <v>8</v>
      </c>
      <c r="D1230">
        <v>52437614.049816817</v>
      </c>
      <c r="E1230" t="s">
        <v>320</v>
      </c>
      <c r="F1230" t="s">
        <v>87</v>
      </c>
      <c r="G1230" t="s">
        <v>800</v>
      </c>
      <c r="H1230">
        <v>6.0577872052626672E-2</v>
      </c>
      <c r="I1230">
        <v>2.9162165834702169E-4</v>
      </c>
      <c r="J1230">
        <v>4.12</v>
      </c>
      <c r="L1230" s="1">
        <v>45261</v>
      </c>
      <c r="M1230" s="1">
        <v>43024</v>
      </c>
      <c r="R1230">
        <v>1.9833665192893365E-2</v>
      </c>
      <c r="T1230" t="s">
        <v>32</v>
      </c>
      <c r="V1230">
        <v>593210739.03569996</v>
      </c>
      <c r="W1230" t="s">
        <v>321</v>
      </c>
      <c r="X1230" t="s">
        <v>529</v>
      </c>
      <c r="Y1230">
        <v>52437614.049816817</v>
      </c>
      <c r="Z1230" t="s">
        <v>31</v>
      </c>
      <c r="AA1230">
        <v>9.2361707702698654E-3</v>
      </c>
      <c r="AB1230">
        <v>100.36</v>
      </c>
      <c r="AC1230" t="s">
        <v>34</v>
      </c>
      <c r="AE1230" t="s">
        <v>40</v>
      </c>
      <c r="AF1230">
        <v>5.1117912976993488E-4</v>
      </c>
      <c r="AH1230" t="s">
        <v>237</v>
      </c>
      <c r="AJ1230">
        <v>1.4703367003064726E-2</v>
      </c>
      <c r="AK1230">
        <v>1.4703367003064726E-2</v>
      </c>
      <c r="AL1230">
        <v>0</v>
      </c>
      <c r="AN1230" t="s">
        <v>54</v>
      </c>
      <c r="AQ1230">
        <v>7.5160543493146018E-6</v>
      </c>
    </row>
    <row r="1231" spans="1:43" x14ac:dyDescent="0.2">
      <c r="A1231">
        <v>1229</v>
      </c>
      <c r="B1231">
        <v>99</v>
      </c>
      <c r="C1231">
        <v>8</v>
      </c>
      <c r="D1231">
        <v>8652003.6238667704</v>
      </c>
      <c r="E1231" t="s">
        <v>426</v>
      </c>
      <c r="F1231" t="s">
        <v>87</v>
      </c>
      <c r="G1231" t="s">
        <v>801</v>
      </c>
      <c r="H1231">
        <v>7.6585502413783015E-4</v>
      </c>
      <c r="I1231">
        <v>4.4028151116072437E-6</v>
      </c>
      <c r="J1231">
        <v>3.45</v>
      </c>
      <c r="L1231" s="1">
        <v>44356</v>
      </c>
      <c r="M1231" s="1">
        <v>43024</v>
      </c>
      <c r="R1231">
        <v>1.9833665192893365E-2</v>
      </c>
      <c r="T1231" t="s">
        <v>32</v>
      </c>
      <c r="V1231">
        <v>8956115.3344999999</v>
      </c>
      <c r="W1231" t="s">
        <v>181</v>
      </c>
      <c r="X1231" t="s">
        <v>428</v>
      </c>
      <c r="Y1231">
        <v>8652003.6238667704</v>
      </c>
      <c r="Z1231" t="s">
        <v>31</v>
      </c>
      <c r="AA1231">
        <v>1.3944489744427307E-4</v>
      </c>
      <c r="AB1231">
        <v>102.44</v>
      </c>
      <c r="AC1231" t="s">
        <v>33</v>
      </c>
      <c r="AE1231" t="s">
        <v>41</v>
      </c>
      <c r="AF1231">
        <v>-7.888208702300642E-4</v>
      </c>
      <c r="AH1231" t="s">
        <v>237</v>
      </c>
      <c r="AJ1231">
        <v>2.2198696351821164E-4</v>
      </c>
      <c r="AK1231">
        <v>2.2198696351821164E-4</v>
      </c>
      <c r="AL1231">
        <v>0</v>
      </c>
      <c r="AN1231" t="s">
        <v>148</v>
      </c>
      <c r="AQ1231">
        <v>-1.7510794974216522E-7</v>
      </c>
    </row>
    <row r="1232" spans="1:43" x14ac:dyDescent="0.2">
      <c r="A1232">
        <v>1230</v>
      </c>
      <c r="B1232">
        <v>99</v>
      </c>
      <c r="C1232">
        <v>8</v>
      </c>
      <c r="D1232">
        <v>2000</v>
      </c>
      <c r="E1232" t="s">
        <v>426</v>
      </c>
      <c r="F1232" t="s">
        <v>87</v>
      </c>
      <c r="G1232" t="s">
        <v>802</v>
      </c>
      <c r="H1232">
        <v>5.5746509801710845E-3</v>
      </c>
      <c r="I1232">
        <v>2.7300187927888426E-5</v>
      </c>
      <c r="J1232">
        <v>4.05</v>
      </c>
      <c r="L1232" s="1">
        <v>44593</v>
      </c>
      <c r="M1232" s="1">
        <v>43024</v>
      </c>
      <c r="R1232">
        <v>1.9833665192893365E-2</v>
      </c>
      <c r="T1232" t="s">
        <v>32</v>
      </c>
      <c r="V1232">
        <v>55533477</v>
      </c>
      <c r="W1232" t="s">
        <v>181</v>
      </c>
      <c r="X1232" t="s">
        <v>428</v>
      </c>
      <c r="Y1232">
        <v>2000</v>
      </c>
      <c r="Z1232" t="s">
        <v>31</v>
      </c>
      <c r="AA1232">
        <v>8.6464496221466095E-4</v>
      </c>
      <c r="AB1232">
        <v>103.51</v>
      </c>
      <c r="AC1232" t="s">
        <v>33</v>
      </c>
      <c r="AE1232" t="s">
        <v>41</v>
      </c>
      <c r="AF1232">
        <v>-2.3888208702300649E-3</v>
      </c>
      <c r="AH1232" t="s">
        <v>237</v>
      </c>
      <c r="AJ1232">
        <v>1.3764570321410086E-3</v>
      </c>
      <c r="AK1232">
        <v>1.3764570321410086E-3</v>
      </c>
      <c r="AL1232">
        <v>0</v>
      </c>
      <c r="AN1232" t="s">
        <v>148</v>
      </c>
      <c r="AQ1232">
        <v>-3.2881092853533767E-6</v>
      </c>
    </row>
    <row r="1233" spans="1:43" x14ac:dyDescent="0.2">
      <c r="A1233">
        <v>1231</v>
      </c>
      <c r="B1233">
        <v>99</v>
      </c>
      <c r="C1233">
        <v>8</v>
      </c>
      <c r="D1233">
        <v>6488751.0839149365</v>
      </c>
      <c r="E1233" t="s">
        <v>407</v>
      </c>
      <c r="F1233" t="s">
        <v>87</v>
      </c>
      <c r="G1233" t="s">
        <v>982</v>
      </c>
      <c r="H1233">
        <v>4.9048649742255664E-4</v>
      </c>
      <c r="I1233">
        <v>2.2518854100726718E-6</v>
      </c>
      <c r="J1233">
        <v>4.32</v>
      </c>
      <c r="L1233" s="1">
        <v>46113</v>
      </c>
      <c r="M1233" s="1">
        <v>43024</v>
      </c>
      <c r="R1233">
        <v>1.9833665192893365E-2</v>
      </c>
      <c r="T1233" t="s">
        <v>32</v>
      </c>
      <c r="V1233">
        <v>4580738.6732000001</v>
      </c>
      <c r="W1233" t="s">
        <v>229</v>
      </c>
      <c r="X1233" t="s">
        <v>981</v>
      </c>
      <c r="Y1233">
        <v>6488751.0839149365</v>
      </c>
      <c r="Z1233" t="s">
        <v>31</v>
      </c>
      <c r="AA1233">
        <v>7.1321171137983129E-5</v>
      </c>
      <c r="AB1233">
        <v>109.1</v>
      </c>
      <c r="AC1233" t="s">
        <v>33</v>
      </c>
      <c r="AE1233" t="s">
        <v>41</v>
      </c>
      <c r="AF1233">
        <v>2.1117912976993669E-4</v>
      </c>
      <c r="AH1233" t="s">
        <v>237</v>
      </c>
      <c r="AJ1233">
        <v>1.1353854107003625E-4</v>
      </c>
      <c r="AK1233">
        <v>1.1353854107003625E-4</v>
      </c>
      <c r="AL1233">
        <v>0</v>
      </c>
      <c r="AN1233" t="s">
        <v>148</v>
      </c>
      <c r="AQ1233">
        <v>2.3976970298518472E-8</v>
      </c>
    </row>
    <row r="1234" spans="1:43" x14ac:dyDescent="0.2">
      <c r="A1234">
        <v>1232</v>
      </c>
      <c r="B1234">
        <v>99</v>
      </c>
      <c r="C1234">
        <v>8</v>
      </c>
      <c r="D1234">
        <v>8652357.9679990634</v>
      </c>
      <c r="E1234" t="s">
        <v>505</v>
      </c>
      <c r="F1234" t="s">
        <v>87</v>
      </c>
      <c r="G1234" t="s">
        <v>506</v>
      </c>
      <c r="H1234">
        <v>7.8122384823048796E-4</v>
      </c>
      <c r="I1234">
        <v>4.2802575266594581E-6</v>
      </c>
      <c r="J1234">
        <v>3.62</v>
      </c>
      <c r="L1234" s="1">
        <v>44409</v>
      </c>
      <c r="M1234" s="1">
        <v>43024</v>
      </c>
      <c r="R1234">
        <v>1.9833665192893365E-2</v>
      </c>
      <c r="T1234" t="s">
        <v>32</v>
      </c>
      <c r="V1234">
        <v>8706811.2328999992</v>
      </c>
      <c r="W1234" t="s">
        <v>206</v>
      </c>
      <c r="X1234" t="s">
        <v>507</v>
      </c>
      <c r="Y1234">
        <v>8652357.9679990634</v>
      </c>
      <c r="Z1234" t="s">
        <v>31</v>
      </c>
      <c r="AA1234">
        <v>1.3556328319728667E-4</v>
      </c>
      <c r="AB1234">
        <v>100.09</v>
      </c>
      <c r="AC1234" t="s">
        <v>36</v>
      </c>
      <c r="AE1234" t="s">
        <v>41</v>
      </c>
      <c r="AF1234">
        <v>2.3111791297699344E-3</v>
      </c>
      <c r="AH1234" t="s">
        <v>237</v>
      </c>
      <c r="AJ1234">
        <v>2.1580769288135027E-4</v>
      </c>
      <c r="AK1234">
        <v>2.1580769288135027E-4</v>
      </c>
      <c r="AL1234">
        <v>0</v>
      </c>
      <c r="AN1234" t="s">
        <v>150</v>
      </c>
      <c r="AQ1234">
        <v>4.987702358311764E-7</v>
      </c>
    </row>
    <row r="1235" spans="1:43" x14ac:dyDescent="0.2">
      <c r="A1235">
        <v>1233</v>
      </c>
      <c r="B1235">
        <v>99</v>
      </c>
      <c r="C1235">
        <v>8</v>
      </c>
      <c r="D1235">
        <v>61635590.882170402</v>
      </c>
      <c r="E1235" t="s">
        <v>505</v>
      </c>
      <c r="F1235" t="s">
        <v>87</v>
      </c>
      <c r="G1235" t="s">
        <v>807</v>
      </c>
      <c r="H1235">
        <v>9.7007443390325118E-2</v>
      </c>
      <c r="I1235">
        <v>4.2661045530427156E-4</v>
      </c>
      <c r="J1235">
        <v>4.51</v>
      </c>
      <c r="L1235" s="1">
        <v>44774</v>
      </c>
      <c r="M1235" s="1">
        <v>43024</v>
      </c>
      <c r="R1235">
        <v>1.9833665192893365E-2</v>
      </c>
      <c r="T1235" t="s">
        <v>32</v>
      </c>
      <c r="V1235">
        <v>867802154.70229995</v>
      </c>
      <c r="W1235" t="s">
        <v>206</v>
      </c>
      <c r="X1235" t="s">
        <v>507</v>
      </c>
      <c r="Y1235">
        <v>61635590.882170402</v>
      </c>
      <c r="Z1235" t="s">
        <v>31</v>
      </c>
      <c r="AA1235">
        <v>1.3511503363320316E-2</v>
      </c>
      <c r="AB1235">
        <v>100.2</v>
      </c>
      <c r="AC1235" t="s">
        <v>36</v>
      </c>
      <c r="AE1235" t="s">
        <v>41</v>
      </c>
      <c r="AF1235">
        <v>2.1111791297699356E-3</v>
      </c>
      <c r="AH1235" t="s">
        <v>237</v>
      </c>
      <c r="AJ1235">
        <v>2.1509410951291601E-2</v>
      </c>
      <c r="AK1235">
        <v>2.1509410951291601E-2</v>
      </c>
      <c r="AL1235">
        <v>0</v>
      </c>
      <c r="AN1235" t="s">
        <v>150</v>
      </c>
      <c r="AQ1235">
        <v>4.5410219494011725E-5</v>
      </c>
    </row>
    <row r="1236" spans="1:43" x14ac:dyDescent="0.2">
      <c r="A1236">
        <v>1234</v>
      </c>
      <c r="B1236">
        <v>99</v>
      </c>
      <c r="C1236">
        <v>8</v>
      </c>
      <c r="D1236">
        <v>8652702.5005510971</v>
      </c>
      <c r="E1236" t="s">
        <v>505</v>
      </c>
      <c r="F1236" t="s">
        <v>87</v>
      </c>
      <c r="G1236" t="s">
        <v>976</v>
      </c>
      <c r="H1236">
        <v>3.86863240689708E-4</v>
      </c>
      <c r="I1236">
        <v>2.4053028185822538E-6</v>
      </c>
      <c r="J1236">
        <v>3.19</v>
      </c>
      <c r="L1236" s="1">
        <v>45413</v>
      </c>
      <c r="M1236" s="1">
        <v>43024</v>
      </c>
      <c r="R1236">
        <v>1.9833665192893365E-2</v>
      </c>
      <c r="T1236" t="s">
        <v>32</v>
      </c>
      <c r="V1236">
        <v>4892817.1889000004</v>
      </c>
      <c r="W1236" t="s">
        <v>206</v>
      </c>
      <c r="X1236" t="s">
        <v>507</v>
      </c>
      <c r="Y1236">
        <v>8652702.5005510971</v>
      </c>
      <c r="Z1236" t="s">
        <v>31</v>
      </c>
      <c r="AA1236">
        <v>7.6180170267741088E-5</v>
      </c>
      <c r="AB1236">
        <v>113.02</v>
      </c>
      <c r="AC1236" t="s">
        <v>36</v>
      </c>
      <c r="AE1236" t="s">
        <v>41</v>
      </c>
      <c r="AF1236">
        <v>3.1117912976993609E-4</v>
      </c>
      <c r="AH1236" t="s">
        <v>237</v>
      </c>
      <c r="AJ1236">
        <v>1.2127374316291787E-4</v>
      </c>
      <c r="AK1236">
        <v>1.2127374316291787E-4</v>
      </c>
      <c r="AL1236">
        <v>0</v>
      </c>
      <c r="AN1236" t="s">
        <v>150</v>
      </c>
      <c r="AQ1236">
        <v>3.7737857861379522E-8</v>
      </c>
    </row>
    <row r="1237" spans="1:43" x14ac:dyDescent="0.2">
      <c r="A1237">
        <v>1235</v>
      </c>
      <c r="B1237">
        <v>99</v>
      </c>
      <c r="C1237">
        <v>8</v>
      </c>
      <c r="D1237">
        <v>10814972.218763608</v>
      </c>
      <c r="E1237" t="s">
        <v>411</v>
      </c>
      <c r="F1237" t="s">
        <v>87</v>
      </c>
      <c r="G1237" t="s">
        <v>987</v>
      </c>
      <c r="H1237">
        <v>5.2457362146645303E-4</v>
      </c>
      <c r="I1237">
        <v>3.0873049190472426E-6</v>
      </c>
      <c r="J1237">
        <v>3.37</v>
      </c>
      <c r="L1237" s="1">
        <v>45474</v>
      </c>
      <c r="M1237" s="1">
        <v>43024</v>
      </c>
      <c r="R1237">
        <v>1.9833665192893365E-2</v>
      </c>
      <c r="T1237" t="s">
        <v>32</v>
      </c>
      <c r="V1237">
        <v>6280131.7400000002</v>
      </c>
      <c r="W1237" t="s">
        <v>211</v>
      </c>
      <c r="X1237" t="s">
        <v>413</v>
      </c>
      <c r="Y1237">
        <v>10814972.218763608</v>
      </c>
      <c r="Z1237" t="s">
        <v>31</v>
      </c>
      <c r="AA1237">
        <v>9.7780376169051897E-5</v>
      </c>
      <c r="AB1237">
        <v>114.51</v>
      </c>
      <c r="AC1237" t="s">
        <v>33</v>
      </c>
      <c r="AE1237" t="s">
        <v>41</v>
      </c>
      <c r="AF1237">
        <v>-1.6888208702300657E-3</v>
      </c>
      <c r="AH1237" t="s">
        <v>237</v>
      </c>
      <c r="AJ1237">
        <v>1.5565982832832433E-4</v>
      </c>
      <c r="AK1237">
        <v>1.5565982832832433E-4</v>
      </c>
      <c r="AL1237">
        <v>0</v>
      </c>
      <c r="AN1237" t="s">
        <v>148</v>
      </c>
      <c r="AQ1237">
        <v>-2.6288156673730332E-7</v>
      </c>
    </row>
    <row r="1238" spans="1:43" x14ac:dyDescent="0.2">
      <c r="A1238">
        <v>1236</v>
      </c>
      <c r="B1238">
        <v>99</v>
      </c>
      <c r="C1238">
        <v>8</v>
      </c>
      <c r="D1238">
        <v>6489003.7883194825</v>
      </c>
      <c r="E1238" t="s">
        <v>411</v>
      </c>
      <c r="F1238" t="s">
        <v>87</v>
      </c>
      <c r="G1238" t="s">
        <v>988</v>
      </c>
      <c r="H1238">
        <v>5.5417721789140543E-4</v>
      </c>
      <c r="I1238">
        <v>2.2946483083898227E-6</v>
      </c>
      <c r="J1238">
        <v>4.79</v>
      </c>
      <c r="L1238" s="1">
        <v>46478</v>
      </c>
      <c r="M1238" s="1">
        <v>43024</v>
      </c>
      <c r="R1238">
        <v>1.9833665192893365E-2</v>
      </c>
      <c r="T1238" t="s">
        <v>32</v>
      </c>
      <c r="V1238">
        <v>4667726.0755000003</v>
      </c>
      <c r="W1238" t="s">
        <v>211</v>
      </c>
      <c r="X1238" t="s">
        <v>989</v>
      </c>
      <c r="Y1238">
        <v>6489003.7883194825</v>
      </c>
      <c r="Z1238" t="s">
        <v>31</v>
      </c>
      <c r="AA1238">
        <v>7.2675547331190615E-5</v>
      </c>
      <c r="AB1238">
        <v>110.68</v>
      </c>
      <c r="AC1238" t="s">
        <v>33</v>
      </c>
      <c r="AE1238" t="s">
        <v>41</v>
      </c>
      <c r="AF1238">
        <v>-8.8882087023006359E-4</v>
      </c>
      <c r="AH1238" t="s">
        <v>237</v>
      </c>
      <c r="AJ1238">
        <v>1.1569461751386335E-4</v>
      </c>
      <c r="AK1238">
        <v>1.1569461751386335E-4</v>
      </c>
      <c r="AL1238">
        <v>0</v>
      </c>
      <c r="AN1238" t="s">
        <v>148</v>
      </c>
      <c r="AQ1238">
        <v>-1.0283179061960637E-7</v>
      </c>
    </row>
    <row r="1239" spans="1:43" x14ac:dyDescent="0.2">
      <c r="A1239">
        <v>1237</v>
      </c>
      <c r="B1239">
        <v>99</v>
      </c>
      <c r="C1239">
        <v>8</v>
      </c>
      <c r="D1239">
        <v>2162571.6807376533</v>
      </c>
      <c r="E1239" t="s">
        <v>469</v>
      </c>
      <c r="F1239" t="s">
        <v>87</v>
      </c>
      <c r="G1239" t="s">
        <v>918</v>
      </c>
      <c r="H1239">
        <v>2.0647766104796883E-4</v>
      </c>
      <c r="I1239">
        <v>1.121975013434831E-6</v>
      </c>
      <c r="J1239">
        <v>3.65</v>
      </c>
      <c r="L1239" s="1">
        <v>44440</v>
      </c>
      <c r="M1239" s="1">
        <v>43024</v>
      </c>
      <c r="R1239">
        <v>1.9833665192893365E-2</v>
      </c>
      <c r="T1239" t="s">
        <v>32</v>
      </c>
      <c r="V1239">
        <v>2282298.3404999999</v>
      </c>
      <c r="W1239" t="s">
        <v>220</v>
      </c>
      <c r="X1239" t="s">
        <v>471</v>
      </c>
      <c r="Y1239">
        <v>2162571.6807376533</v>
      </c>
      <c r="Z1239" t="s">
        <v>31</v>
      </c>
      <c r="AA1239">
        <v>3.553492179832726E-5</v>
      </c>
      <c r="AB1239">
        <v>105.09</v>
      </c>
      <c r="AC1239" t="s">
        <v>33</v>
      </c>
      <c r="AE1239" t="s">
        <v>41</v>
      </c>
      <c r="AF1239">
        <v>-2.5888208702300637E-3</v>
      </c>
      <c r="AH1239" t="s">
        <v>237</v>
      </c>
      <c r="AJ1239">
        <v>5.6569222204922966E-5</v>
      </c>
      <c r="AK1239">
        <v>5.6569222204922966E-5</v>
      </c>
      <c r="AL1239">
        <v>0</v>
      </c>
      <c r="AN1239" t="s">
        <v>148</v>
      </c>
      <c r="AQ1239">
        <v>-1.4644758305678653E-7</v>
      </c>
    </row>
    <row r="1240" spans="1:43" x14ac:dyDescent="0.2">
      <c r="A1240">
        <v>1238</v>
      </c>
      <c r="B1240">
        <v>99</v>
      </c>
      <c r="C1240">
        <v>8</v>
      </c>
      <c r="D1240">
        <v>3028280.8566820389</v>
      </c>
      <c r="E1240" t="s">
        <v>469</v>
      </c>
      <c r="F1240" t="s">
        <v>87</v>
      </c>
      <c r="G1240" t="s">
        <v>920</v>
      </c>
      <c r="H1240">
        <v>3.4063851762483453E-4</v>
      </c>
      <c r="I1240">
        <v>1.582227238963577E-6</v>
      </c>
      <c r="J1240">
        <v>4.2699999999999996</v>
      </c>
      <c r="L1240" s="1">
        <v>44713</v>
      </c>
      <c r="M1240" s="1">
        <v>43024</v>
      </c>
      <c r="R1240">
        <v>1.9833665192893365E-2</v>
      </c>
      <c r="T1240" t="s">
        <v>32</v>
      </c>
      <c r="V1240">
        <v>3218533.8876</v>
      </c>
      <c r="W1240" t="s">
        <v>220</v>
      </c>
      <c r="X1240" t="s">
        <v>471</v>
      </c>
      <c r="Y1240">
        <v>3028280.8566820389</v>
      </c>
      <c r="Z1240" t="s">
        <v>31</v>
      </c>
      <c r="AA1240">
        <v>5.0111919187601151E-5</v>
      </c>
      <c r="AB1240">
        <v>104.91</v>
      </c>
      <c r="AC1240" t="s">
        <v>33</v>
      </c>
      <c r="AE1240" t="s">
        <v>41</v>
      </c>
      <c r="AF1240">
        <v>-1.8882087023006436E-4</v>
      </c>
      <c r="AH1240" t="s">
        <v>237</v>
      </c>
      <c r="AJ1240">
        <v>7.9774828483567813E-5</v>
      </c>
      <c r="AK1240">
        <v>7.9774828483567813E-5</v>
      </c>
      <c r="AL1240">
        <v>0</v>
      </c>
      <c r="AN1240" t="s">
        <v>148</v>
      </c>
      <c r="AQ1240">
        <v>-1.5063152536721401E-8</v>
      </c>
    </row>
    <row r="1241" spans="1:43" x14ac:dyDescent="0.2">
      <c r="A1241">
        <v>1239</v>
      </c>
      <c r="B1241">
        <v>99</v>
      </c>
      <c r="C1241">
        <v>8</v>
      </c>
      <c r="D1241">
        <v>6489556.6747529637</v>
      </c>
      <c r="E1241" t="s">
        <v>430</v>
      </c>
      <c r="F1241" t="s">
        <v>87</v>
      </c>
      <c r="G1241" t="s">
        <v>1599</v>
      </c>
      <c r="H1241">
        <v>5.9142955107607071E-4</v>
      </c>
      <c r="I1241">
        <v>3.2314643805030341E-6</v>
      </c>
      <c r="J1241">
        <v>3.63</v>
      </c>
      <c r="L1241" s="1">
        <v>44409</v>
      </c>
      <c r="M1241" s="1">
        <v>43024</v>
      </c>
      <c r="R1241">
        <v>1.9833665192893365E-2</v>
      </c>
      <c r="T1241" t="s">
        <v>32</v>
      </c>
      <c r="V1241">
        <v>6573377.9314999999</v>
      </c>
      <c r="W1241" t="s">
        <v>248</v>
      </c>
      <c r="X1241" t="s">
        <v>432</v>
      </c>
      <c r="Y1241">
        <v>6489556.6747529637</v>
      </c>
      <c r="Z1241" t="s">
        <v>31</v>
      </c>
      <c r="AA1241">
        <v>1.0234615983444551E-4</v>
      </c>
      <c r="AB1241">
        <v>100.79</v>
      </c>
      <c r="AC1241" t="s">
        <v>34</v>
      </c>
      <c r="AE1241" t="s">
        <v>41</v>
      </c>
      <c r="AF1241">
        <v>-1.6888208702300657E-3</v>
      </c>
      <c r="AH1241" t="s">
        <v>237</v>
      </c>
      <c r="AJ1241">
        <v>1.6292825098514346E-4</v>
      </c>
      <c r="AK1241">
        <v>1.6292825098514346E-4</v>
      </c>
      <c r="AL1241">
        <v>0</v>
      </c>
      <c r="AN1241" t="s">
        <v>54</v>
      </c>
      <c r="AQ1241">
        <v>-2.7515663061379251E-7</v>
      </c>
    </row>
    <row r="1242" spans="1:43" x14ac:dyDescent="0.2">
      <c r="A1242">
        <v>1240</v>
      </c>
      <c r="B1242">
        <v>99</v>
      </c>
      <c r="C1242">
        <v>8</v>
      </c>
      <c r="D1242">
        <v>76463517.402957067</v>
      </c>
      <c r="E1242" t="s">
        <v>911</v>
      </c>
      <c r="F1242" t="s">
        <v>87</v>
      </c>
      <c r="G1242" t="s">
        <v>912</v>
      </c>
      <c r="H1242">
        <v>6.8214923164982115E-3</v>
      </c>
      <c r="I1242">
        <v>3.7686683766384433E-5</v>
      </c>
      <c r="J1242">
        <v>3.59</v>
      </c>
      <c r="L1242" s="1">
        <v>44392</v>
      </c>
      <c r="M1242" s="1">
        <v>43024</v>
      </c>
      <c r="R1242">
        <v>1.9833665192893365E-2</v>
      </c>
      <c r="T1242" t="s">
        <v>32</v>
      </c>
      <c r="V1242">
        <v>76661471.769899994</v>
      </c>
      <c r="W1242" t="s">
        <v>913</v>
      </c>
      <c r="X1242" t="s">
        <v>914</v>
      </c>
      <c r="Y1242">
        <v>76463517.402957067</v>
      </c>
      <c r="Z1242" t="s">
        <v>31</v>
      </c>
      <c r="AA1242">
        <v>1.1936035512742247E-3</v>
      </c>
      <c r="AB1242">
        <v>99.68</v>
      </c>
      <c r="AC1242" t="s">
        <v>34</v>
      </c>
      <c r="AE1242" t="s">
        <v>176</v>
      </c>
      <c r="AF1242">
        <v>3.1117912976993609E-4</v>
      </c>
      <c r="AH1242" t="s">
        <v>237</v>
      </c>
      <c r="AJ1242">
        <v>1.9001371355148221E-3</v>
      </c>
      <c r="AK1242">
        <v>1.9001371355148221E-3</v>
      </c>
      <c r="AL1242">
        <v>0</v>
      </c>
      <c r="AN1242" t="s">
        <v>54</v>
      </c>
      <c r="AQ1242">
        <v>5.9128302027304148E-7</v>
      </c>
    </row>
    <row r="1243" spans="1:43" x14ac:dyDescent="0.2">
      <c r="A1243">
        <v>1241</v>
      </c>
      <c r="B1243">
        <v>99</v>
      </c>
      <c r="C1243">
        <v>8</v>
      </c>
      <c r="D1243">
        <v>8652659.9274634961</v>
      </c>
      <c r="E1243" t="s">
        <v>831</v>
      </c>
      <c r="F1243" t="s">
        <v>87</v>
      </c>
      <c r="G1243" t="s">
        <v>835</v>
      </c>
      <c r="H1243">
        <v>9.1879619566601078E-4</v>
      </c>
      <c r="I1243">
        <v>4.1228724265483713E-6</v>
      </c>
      <c r="J1243">
        <v>4.42</v>
      </c>
      <c r="L1243" s="1">
        <v>44696</v>
      </c>
      <c r="M1243" s="1">
        <v>43024</v>
      </c>
      <c r="R1243">
        <v>1.9833665192893365E-2</v>
      </c>
      <c r="T1243" t="s">
        <v>32</v>
      </c>
      <c r="V1243">
        <v>8386661.7210999997</v>
      </c>
      <c r="W1243" t="s">
        <v>833</v>
      </c>
      <c r="X1243" t="s">
        <v>836</v>
      </c>
      <c r="Y1243">
        <v>8652659.9274634961</v>
      </c>
      <c r="Z1243" t="s">
        <v>31</v>
      </c>
      <c r="AA1243">
        <v>1.3057862029686439E-4</v>
      </c>
      <c r="AB1243">
        <v>96.09</v>
      </c>
      <c r="AC1243" t="s">
        <v>34</v>
      </c>
      <c r="AE1243" t="s">
        <v>41</v>
      </c>
      <c r="AF1243">
        <v>6.1117912976993427E-4</v>
      </c>
      <c r="AH1243" t="s">
        <v>237</v>
      </c>
      <c r="AJ1243">
        <v>2.0787244245837349E-4</v>
      </c>
      <c r="AK1243">
        <v>2.0787244245837349E-4</v>
      </c>
      <c r="AL1243">
        <v>0</v>
      </c>
      <c r="AN1243" t="s">
        <v>54</v>
      </c>
      <c r="AQ1243">
        <v>1.2704729848485946E-7</v>
      </c>
    </row>
    <row r="1244" spans="1:43" x14ac:dyDescent="0.2">
      <c r="A1244">
        <v>1242</v>
      </c>
      <c r="B1244">
        <v>99</v>
      </c>
      <c r="C1244">
        <v>8</v>
      </c>
      <c r="D1244">
        <v>4325548.3091802178</v>
      </c>
      <c r="E1244" t="s">
        <v>886</v>
      </c>
      <c r="F1244" t="s">
        <v>87</v>
      </c>
      <c r="G1244" t="s">
        <v>887</v>
      </c>
      <c r="H1244">
        <v>3.4871980333386199E-4</v>
      </c>
      <c r="I1244">
        <v>1.4715727288203059E-6</v>
      </c>
      <c r="J1244">
        <v>4.7</v>
      </c>
      <c r="L1244" s="1">
        <v>46905</v>
      </c>
      <c r="M1244" s="1">
        <v>43024</v>
      </c>
      <c r="R1244">
        <v>1.9833665192893365E-2</v>
      </c>
      <c r="T1244" t="s">
        <v>32</v>
      </c>
      <c r="V1244">
        <v>2993442.7743000002</v>
      </c>
      <c r="W1244" t="s">
        <v>888</v>
      </c>
      <c r="X1244" t="s">
        <v>889</v>
      </c>
      <c r="Y1244">
        <v>4325548.3091802178</v>
      </c>
      <c r="Z1244" t="s">
        <v>31</v>
      </c>
      <c r="AA1244">
        <v>4.6607296252607647E-5</v>
      </c>
      <c r="AB1244">
        <v>116.93</v>
      </c>
      <c r="AC1244" t="s">
        <v>36</v>
      </c>
      <c r="AE1244" t="s">
        <v>178</v>
      </c>
      <c r="AF1244">
        <v>4.1117912976993548E-4</v>
      </c>
      <c r="AH1244" t="s">
        <v>237</v>
      </c>
      <c r="AJ1244">
        <v>7.4195702836991911E-5</v>
      </c>
      <c r="AK1244">
        <v>7.4195702836991911E-5</v>
      </c>
      <c r="AL1244">
        <v>0</v>
      </c>
      <c r="AN1244" t="s">
        <v>150</v>
      </c>
      <c r="AQ1244">
        <v>3.0507724525183068E-8</v>
      </c>
    </row>
    <row r="1245" spans="1:43" x14ac:dyDescent="0.2">
      <c r="A1245">
        <v>1243</v>
      </c>
      <c r="B1245">
        <v>99</v>
      </c>
      <c r="C1245">
        <v>8</v>
      </c>
      <c r="D1245">
        <v>4325871.3789543165</v>
      </c>
      <c r="E1245" t="s">
        <v>894</v>
      </c>
      <c r="F1245" t="s">
        <v>87</v>
      </c>
      <c r="G1245" t="s">
        <v>895</v>
      </c>
      <c r="H1245">
        <v>3.9029873734252354E-4</v>
      </c>
      <c r="I1245">
        <v>1.6470328684384339E-6</v>
      </c>
      <c r="J1245">
        <v>4.7</v>
      </c>
      <c r="L1245" s="1">
        <v>46539</v>
      </c>
      <c r="M1245" s="1">
        <v>43024</v>
      </c>
      <c r="R1245">
        <v>1.9833665192893365E-2</v>
      </c>
      <c r="T1245" t="s">
        <v>32</v>
      </c>
      <c r="V1245">
        <v>3350360.1571999998</v>
      </c>
      <c r="W1245" t="s">
        <v>894</v>
      </c>
      <c r="X1245" t="s">
        <v>896</v>
      </c>
      <c r="Y1245">
        <v>4325871.3789543165</v>
      </c>
      <c r="Z1245" t="s">
        <v>31</v>
      </c>
      <c r="AA1245">
        <v>5.2164427441265722E-5</v>
      </c>
      <c r="AB1245">
        <v>117.72</v>
      </c>
      <c r="AC1245" t="s">
        <v>33</v>
      </c>
      <c r="AE1245" t="s">
        <v>178</v>
      </c>
      <c r="AF1245">
        <v>-9.8882087023006646E-4</v>
      </c>
      <c r="AH1245" t="s">
        <v>237</v>
      </c>
      <c r="AJ1245">
        <v>8.3042284540962456E-5</v>
      </c>
      <c r="AK1245">
        <v>8.3042284540962456E-5</v>
      </c>
      <c r="AL1245">
        <v>0</v>
      </c>
      <c r="AN1245" t="s">
        <v>148</v>
      </c>
      <c r="AQ1245">
        <v>-8.2113944065687285E-8</v>
      </c>
    </row>
    <row r="1246" spans="1:43" x14ac:dyDescent="0.2">
      <c r="A1246">
        <v>1244</v>
      </c>
      <c r="B1246">
        <v>99</v>
      </c>
      <c r="C1246">
        <v>8</v>
      </c>
      <c r="D1246">
        <v>8652595.7860673629</v>
      </c>
      <c r="E1246" t="s">
        <v>921</v>
      </c>
      <c r="F1246" t="s">
        <v>87</v>
      </c>
      <c r="G1246" t="s">
        <v>922</v>
      </c>
      <c r="H1246">
        <v>8.7213736773149861E-4</v>
      </c>
      <c r="I1246">
        <v>3.7199313018920135E-6</v>
      </c>
      <c r="J1246">
        <v>4.6500000000000004</v>
      </c>
      <c r="L1246" s="1">
        <v>46266</v>
      </c>
      <c r="M1246" s="1">
        <v>43024</v>
      </c>
      <c r="R1246">
        <v>1.9833665192893365E-2</v>
      </c>
      <c r="T1246" t="s">
        <v>32</v>
      </c>
      <c r="V1246">
        <v>7567007.2286999999</v>
      </c>
      <c r="W1246" t="s">
        <v>327</v>
      </c>
      <c r="X1246" t="s">
        <v>923</v>
      </c>
      <c r="Y1246">
        <v>8652595.7860673629</v>
      </c>
      <c r="Z1246" t="s">
        <v>31</v>
      </c>
      <c r="AA1246">
        <v>1.1781676626041941E-4</v>
      </c>
      <c r="AB1246">
        <v>120.77</v>
      </c>
      <c r="AC1246" t="s">
        <v>34</v>
      </c>
      <c r="AE1246" t="s">
        <v>56</v>
      </c>
      <c r="AF1246">
        <v>-2.2888208702300655E-3</v>
      </c>
      <c r="AH1246" t="s">
        <v>237</v>
      </c>
      <c r="AJ1246">
        <v>1.8755642316806419E-4</v>
      </c>
      <c r="AK1246">
        <v>1.8755642316806419E-4</v>
      </c>
      <c r="AL1246">
        <v>0</v>
      </c>
      <c r="AN1246" t="s">
        <v>54</v>
      </c>
      <c r="AQ1246">
        <v>-4.2928305569276713E-7</v>
      </c>
    </row>
    <row r="1247" spans="1:43" x14ac:dyDescent="0.2">
      <c r="A1247">
        <v>1245</v>
      </c>
      <c r="B1247">
        <v>99</v>
      </c>
      <c r="C1247">
        <v>8</v>
      </c>
      <c r="D1247">
        <v>29175744.696384531</v>
      </c>
      <c r="E1247" t="s">
        <v>488</v>
      </c>
      <c r="F1247" t="s">
        <v>87</v>
      </c>
      <c r="G1247" t="s">
        <v>512</v>
      </c>
      <c r="H1247">
        <v>2.3936030067466399E-3</v>
      </c>
      <c r="I1247">
        <v>1.4743453615066998E-5</v>
      </c>
      <c r="J1247">
        <v>3.22</v>
      </c>
      <c r="L1247" s="1">
        <v>44256</v>
      </c>
      <c r="M1247" s="1">
        <v>43024</v>
      </c>
      <c r="R1247">
        <v>1.9833665192893365E-2</v>
      </c>
      <c r="T1247" t="s">
        <v>32</v>
      </c>
      <c r="V1247">
        <v>29990828.063000001</v>
      </c>
      <c r="W1247" t="s">
        <v>490</v>
      </c>
      <c r="X1247" t="s">
        <v>491</v>
      </c>
      <c r="Y1247">
        <v>29175744.696384531</v>
      </c>
      <c r="Z1247" t="s">
        <v>31</v>
      </c>
      <c r="AA1247">
        <v>4.669511040578105E-4</v>
      </c>
      <c r="AB1247">
        <v>102.42</v>
      </c>
      <c r="AC1247" t="s">
        <v>33</v>
      </c>
      <c r="AE1247" t="s">
        <v>41</v>
      </c>
      <c r="AF1247">
        <v>-1.1888208702300652E-3</v>
      </c>
      <c r="AH1247" t="s">
        <v>237</v>
      </c>
      <c r="AJ1247">
        <v>7.4335497103932913E-4</v>
      </c>
      <c r="AK1247">
        <v>7.4335497103932913E-4</v>
      </c>
      <c r="AL1247">
        <v>0</v>
      </c>
      <c r="AN1247" t="s">
        <v>148</v>
      </c>
      <c r="AQ1247">
        <v>-8.8371590356082019E-7</v>
      </c>
    </row>
    <row r="1248" spans="1:43" x14ac:dyDescent="0.2">
      <c r="A1248">
        <v>1246</v>
      </c>
      <c r="B1248">
        <v>99</v>
      </c>
      <c r="C1248">
        <v>8</v>
      </c>
      <c r="D1248">
        <v>27009835.249898978</v>
      </c>
      <c r="E1248" t="s">
        <v>488</v>
      </c>
      <c r="F1248" t="s">
        <v>87</v>
      </c>
      <c r="G1248" t="s">
        <v>905</v>
      </c>
      <c r="H1248">
        <v>5.5006282615307815E-2</v>
      </c>
      <c r="I1248">
        <v>2.5913923821797771E-4</v>
      </c>
      <c r="J1248">
        <v>4.21</v>
      </c>
      <c r="L1248" s="1">
        <v>44621</v>
      </c>
      <c r="M1248" s="1">
        <v>43024</v>
      </c>
      <c r="R1248">
        <v>1.9833665192893365E-2</v>
      </c>
      <c r="T1248" t="s">
        <v>32</v>
      </c>
      <c r="V1248">
        <v>527135672.59640002</v>
      </c>
      <c r="W1248" t="s">
        <v>490</v>
      </c>
      <c r="X1248" t="s">
        <v>491</v>
      </c>
      <c r="Y1248">
        <v>27009835.249898978</v>
      </c>
      <c r="Z1248" t="s">
        <v>31</v>
      </c>
      <c r="AA1248">
        <v>8.2073954006898243E-3</v>
      </c>
      <c r="AB1248">
        <v>98.57</v>
      </c>
      <c r="AC1248" t="s">
        <v>33</v>
      </c>
      <c r="AE1248" t="s">
        <v>41</v>
      </c>
      <c r="AF1248">
        <v>-1.0888208702300659E-3</v>
      </c>
      <c r="AH1248" t="s">
        <v>237</v>
      </c>
      <c r="AJ1248">
        <v>1.3065625324301144E-2</v>
      </c>
      <c r="AK1248">
        <v>1.3065625324301144E-2</v>
      </c>
      <c r="AL1248">
        <v>0</v>
      </c>
      <c r="AN1248" t="s">
        <v>148</v>
      </c>
      <c r="AQ1248">
        <v>-1.4226125535705558E-5</v>
      </c>
    </row>
    <row r="1249" spans="1:43" x14ac:dyDescent="0.2">
      <c r="A1249">
        <v>1247</v>
      </c>
      <c r="B1249">
        <v>99</v>
      </c>
      <c r="C1249">
        <v>8</v>
      </c>
      <c r="D1249">
        <v>28647517.502051696</v>
      </c>
      <c r="E1249" t="s">
        <v>440</v>
      </c>
      <c r="F1249" t="s">
        <v>87</v>
      </c>
      <c r="G1249" t="s">
        <v>823</v>
      </c>
      <c r="H1249">
        <v>4.280136143672774E-2</v>
      </c>
      <c r="I1249">
        <v>1.7080641298512582E-4</v>
      </c>
      <c r="J1249">
        <v>4.97</v>
      </c>
      <c r="L1249" s="1">
        <v>45417</v>
      </c>
      <c r="M1249" s="1">
        <v>43024</v>
      </c>
      <c r="R1249">
        <v>1.9833665192893365E-2</v>
      </c>
      <c r="T1249" t="s">
        <v>32</v>
      </c>
      <c r="V1249">
        <v>347450868.54409999</v>
      </c>
      <c r="W1249" t="s">
        <v>442</v>
      </c>
      <c r="X1249" t="s">
        <v>443</v>
      </c>
      <c r="Y1249">
        <v>28647517.502051696</v>
      </c>
      <c r="Z1249" t="s">
        <v>31</v>
      </c>
      <c r="AA1249">
        <v>5.4097394820742887E-3</v>
      </c>
      <c r="AB1249">
        <v>98.69</v>
      </c>
      <c r="AC1249" t="s">
        <v>34</v>
      </c>
      <c r="AE1249" t="s">
        <v>41</v>
      </c>
      <c r="AF1249">
        <v>1.6111791297699352E-3</v>
      </c>
      <c r="AH1249" t="s">
        <v>237</v>
      </c>
      <c r="AJ1249">
        <v>8.6119439510518592E-3</v>
      </c>
      <c r="AK1249">
        <v>8.6119439510518592E-3</v>
      </c>
      <c r="AL1249">
        <v>0</v>
      </c>
      <c r="AN1249" t="s">
        <v>54</v>
      </c>
      <c r="AQ1249">
        <v>1.3875384360683191E-5</v>
      </c>
    </row>
    <row r="1250" spans="1:43" x14ac:dyDescent="0.2">
      <c r="A1250">
        <v>1248</v>
      </c>
      <c r="B1250">
        <v>101</v>
      </c>
      <c r="C1250">
        <v>8</v>
      </c>
      <c r="D1250">
        <v>865153.34916702693</v>
      </c>
      <c r="E1250" t="s">
        <v>407</v>
      </c>
      <c r="F1250" t="s">
        <v>87</v>
      </c>
      <c r="G1250" t="s">
        <v>847</v>
      </c>
      <c r="H1250">
        <v>1.7926353078383378E-4</v>
      </c>
      <c r="I1250">
        <v>1.0204923152042408E-6</v>
      </c>
      <c r="J1250">
        <v>7.63</v>
      </c>
      <c r="L1250" s="1">
        <v>46235</v>
      </c>
      <c r="M1250" s="1">
        <v>43024</v>
      </c>
      <c r="R1250">
        <v>4.3435250499431428E-2</v>
      </c>
      <c r="T1250" t="s">
        <v>32</v>
      </c>
      <c r="V1250">
        <v>947893.65260000003</v>
      </c>
      <c r="W1250" t="s">
        <v>229</v>
      </c>
      <c r="X1250" t="s">
        <v>409</v>
      </c>
      <c r="Y1250">
        <v>865153.34916702693</v>
      </c>
      <c r="Z1250" t="s">
        <v>31</v>
      </c>
      <c r="AA1250">
        <v>3.2320786276300567E-5</v>
      </c>
      <c r="AB1250">
        <v>108.76</v>
      </c>
      <c r="AC1250" t="s">
        <v>42</v>
      </c>
      <c r="AE1250" t="s">
        <v>41</v>
      </c>
      <c r="AF1250">
        <v>1.0111791297699353E-3</v>
      </c>
      <c r="AH1250" t="s">
        <v>237</v>
      </c>
      <c r="AJ1250">
        <v>2.3494564978221988E-5</v>
      </c>
      <c r="AK1250">
        <v>2.3494564978221988E-5</v>
      </c>
      <c r="AL1250">
        <v>0</v>
      </c>
      <c r="AN1250" t="s">
        <v>142</v>
      </c>
      <c r="AQ1250">
        <v>2.3757213769001709E-8</v>
      </c>
    </row>
    <row r="1251" spans="1:43" x14ac:dyDescent="0.2">
      <c r="A1251">
        <v>1249</v>
      </c>
      <c r="B1251">
        <v>101</v>
      </c>
      <c r="C1251">
        <v>8</v>
      </c>
      <c r="D1251">
        <v>9517403.0407447554</v>
      </c>
      <c r="E1251" t="s">
        <v>407</v>
      </c>
      <c r="F1251" t="s">
        <v>87</v>
      </c>
      <c r="G1251" t="s">
        <v>853</v>
      </c>
      <c r="H1251">
        <v>1.4373639217154976E-3</v>
      </c>
      <c r="I1251">
        <v>1.093384623442343E-5</v>
      </c>
      <c r="J1251">
        <v>5.71</v>
      </c>
      <c r="L1251" s="1">
        <v>45323</v>
      </c>
      <c r="M1251" s="1">
        <v>43024</v>
      </c>
      <c r="R1251">
        <v>4.3435250499431428E-2</v>
      </c>
      <c r="T1251" t="s">
        <v>32</v>
      </c>
      <c r="V1251">
        <v>10156003.4208</v>
      </c>
      <c r="W1251" t="s">
        <v>229</v>
      </c>
      <c r="X1251" t="s">
        <v>409</v>
      </c>
      <c r="Y1251">
        <v>9517403.0407447554</v>
      </c>
      <c r="Z1251" t="s">
        <v>31</v>
      </c>
      <c r="AA1251">
        <v>3.4629413867757152E-4</v>
      </c>
      <c r="AB1251">
        <v>105.97</v>
      </c>
      <c r="AC1251" t="s">
        <v>42</v>
      </c>
      <c r="AE1251" t="s">
        <v>41</v>
      </c>
      <c r="AF1251">
        <v>-8.8820870230064963E-5</v>
      </c>
      <c r="AH1251" t="s">
        <v>237</v>
      </c>
      <c r="AJ1251">
        <v>2.5172748191164583E-4</v>
      </c>
      <c r="AK1251">
        <v>2.5172748191164583E-4</v>
      </c>
      <c r="AL1251">
        <v>0</v>
      </c>
      <c r="AN1251" t="s">
        <v>142</v>
      </c>
      <c r="AQ1251">
        <v>-2.235865400421532E-8</v>
      </c>
    </row>
    <row r="1252" spans="1:43" x14ac:dyDescent="0.2">
      <c r="A1252">
        <v>1250</v>
      </c>
      <c r="B1252">
        <v>101</v>
      </c>
      <c r="C1252">
        <v>8</v>
      </c>
      <c r="D1252">
        <v>6056353.3048888687</v>
      </c>
      <c r="E1252" t="s">
        <v>411</v>
      </c>
      <c r="F1252" t="s">
        <v>87</v>
      </c>
      <c r="G1252" t="s">
        <v>891</v>
      </c>
      <c r="H1252">
        <v>1.0461087310874864E-3</v>
      </c>
      <c r="I1252">
        <v>6.812293071128533E-6</v>
      </c>
      <c r="J1252">
        <v>6.67</v>
      </c>
      <c r="L1252" s="1">
        <v>45717</v>
      </c>
      <c r="M1252" s="1">
        <v>43024</v>
      </c>
      <c r="R1252">
        <v>4.3435250499431428E-2</v>
      </c>
      <c r="T1252" t="s">
        <v>32</v>
      </c>
      <c r="V1252">
        <v>6327660.9392999997</v>
      </c>
      <c r="W1252" t="s">
        <v>211</v>
      </c>
      <c r="X1252" t="s">
        <v>413</v>
      </c>
      <c r="Y1252">
        <v>6056353.3048888687</v>
      </c>
      <c r="Z1252" t="s">
        <v>31</v>
      </c>
      <c r="AA1252">
        <v>2.1575730176802172E-4</v>
      </c>
      <c r="AB1252">
        <v>104.1</v>
      </c>
      <c r="AC1252" t="s">
        <v>42</v>
      </c>
      <c r="AE1252" t="s">
        <v>41</v>
      </c>
      <c r="AF1252">
        <v>2.1117912976993669E-4</v>
      </c>
      <c r="AH1252" t="s">
        <v>237</v>
      </c>
      <c r="AJ1252">
        <v>1.5683789071776406E-4</v>
      </c>
      <c r="AK1252">
        <v>1.5683789071776406E-4</v>
      </c>
      <c r="AL1252">
        <v>0</v>
      </c>
      <c r="AN1252" t="s">
        <v>142</v>
      </c>
      <c r="AQ1252">
        <v>3.3120889276729843E-8</v>
      </c>
    </row>
    <row r="1253" spans="1:43" x14ac:dyDescent="0.2">
      <c r="A1253">
        <v>1251</v>
      </c>
      <c r="B1253">
        <v>101</v>
      </c>
      <c r="C1253">
        <v>8</v>
      </c>
      <c r="D1253">
        <v>10815852.019651784</v>
      </c>
      <c r="E1253" t="s">
        <v>411</v>
      </c>
      <c r="F1253" t="s">
        <v>87</v>
      </c>
      <c r="G1253" t="s">
        <v>892</v>
      </c>
      <c r="H1253">
        <v>1.9108194156932845E-3</v>
      </c>
      <c r="I1253">
        <v>1.2169636360676686E-5</v>
      </c>
      <c r="J1253">
        <v>6.82</v>
      </c>
      <c r="L1253" s="1">
        <v>45809</v>
      </c>
      <c r="M1253" s="1">
        <v>43024</v>
      </c>
      <c r="R1253">
        <v>4.3435250499431428E-2</v>
      </c>
      <c r="T1253" t="s">
        <v>32</v>
      </c>
      <c r="V1253">
        <v>11303878.4211</v>
      </c>
      <c r="W1253" t="s">
        <v>211</v>
      </c>
      <c r="X1253" t="s">
        <v>413</v>
      </c>
      <c r="Y1253">
        <v>10815852.019651784</v>
      </c>
      <c r="Z1253" t="s">
        <v>31</v>
      </c>
      <c r="AA1253">
        <v>3.8543378525589982E-4</v>
      </c>
      <c r="AB1253">
        <v>103.36</v>
      </c>
      <c r="AC1253" t="s">
        <v>42</v>
      </c>
      <c r="AE1253" t="s">
        <v>41</v>
      </c>
      <c r="AF1253">
        <v>1.4111791297699364E-3</v>
      </c>
      <c r="AH1253" t="s">
        <v>237</v>
      </c>
      <c r="AJ1253">
        <v>2.8017879995502704E-4</v>
      </c>
      <c r="AK1253">
        <v>2.8017879995502704E-4</v>
      </c>
      <c r="AL1253">
        <v>0</v>
      </c>
      <c r="AN1253" t="s">
        <v>142</v>
      </c>
      <c r="AQ1253">
        <v>3.9538247510052017E-7</v>
      </c>
    </row>
    <row r="1254" spans="1:43" x14ac:dyDescent="0.2">
      <c r="A1254">
        <v>1252</v>
      </c>
      <c r="B1254">
        <v>101</v>
      </c>
      <c r="C1254">
        <v>8</v>
      </c>
      <c r="D1254">
        <v>4326041.3999903556</v>
      </c>
      <c r="E1254" t="s">
        <v>414</v>
      </c>
      <c r="F1254" t="s">
        <v>87</v>
      </c>
      <c r="G1254" t="s">
        <v>965</v>
      </c>
      <c r="H1254">
        <v>7.090833085687296E-4</v>
      </c>
      <c r="I1254">
        <v>4.7529646809642596E-6</v>
      </c>
      <c r="J1254">
        <v>6.48</v>
      </c>
      <c r="L1254" s="1">
        <v>45627</v>
      </c>
      <c r="M1254" s="1">
        <v>43024</v>
      </c>
      <c r="R1254">
        <v>4.3435250499431428E-2</v>
      </c>
      <c r="T1254" t="s">
        <v>32</v>
      </c>
      <c r="V1254">
        <v>4414834.8645000001</v>
      </c>
      <c r="W1254" t="s">
        <v>200</v>
      </c>
      <c r="X1254" t="s">
        <v>305</v>
      </c>
      <c r="Y1254">
        <v>4326041.3999903556</v>
      </c>
      <c r="Z1254" t="s">
        <v>31</v>
      </c>
      <c r="AA1254">
        <v>1.505347500843312E-4</v>
      </c>
      <c r="AB1254">
        <v>101.05</v>
      </c>
      <c r="AC1254" t="s">
        <v>42</v>
      </c>
      <c r="AE1254" t="s">
        <v>41</v>
      </c>
      <c r="AF1254">
        <v>1.4111791297699364E-3</v>
      </c>
      <c r="AH1254" t="s">
        <v>237</v>
      </c>
      <c r="AJ1254">
        <v>1.0942643650752E-4</v>
      </c>
      <c r="AK1254">
        <v>1.0942643650752E-4</v>
      </c>
      <c r="AL1254">
        <v>0</v>
      </c>
      <c r="AN1254" t="s">
        <v>142</v>
      </c>
      <c r="AQ1254">
        <v>1.5442030344450726E-7</v>
      </c>
    </row>
    <row r="1255" spans="1:43" x14ac:dyDescent="0.2">
      <c r="A1255">
        <v>1253</v>
      </c>
      <c r="B1255">
        <v>101</v>
      </c>
      <c r="C1255">
        <v>8</v>
      </c>
      <c r="D1255">
        <v>4759027.6348222941</v>
      </c>
      <c r="E1255" t="s">
        <v>417</v>
      </c>
      <c r="F1255" t="s">
        <v>87</v>
      </c>
      <c r="G1255" t="s">
        <v>818</v>
      </c>
      <c r="H1255">
        <v>7.5648764994958864E-4</v>
      </c>
      <c r="I1255">
        <v>5.325483075411114E-6</v>
      </c>
      <c r="J1255">
        <v>6.17</v>
      </c>
      <c r="L1255" s="1">
        <v>45505</v>
      </c>
      <c r="M1255" s="1">
        <v>43024</v>
      </c>
      <c r="R1255">
        <v>4.3435250499431428E-2</v>
      </c>
      <c r="T1255" t="s">
        <v>32</v>
      </c>
      <c r="V1255">
        <v>4946623.8295</v>
      </c>
      <c r="W1255" t="s">
        <v>216</v>
      </c>
      <c r="X1255" t="s">
        <v>419</v>
      </c>
      <c r="Y1255">
        <v>4759027.6348222941</v>
      </c>
      <c r="Z1255" t="s">
        <v>31</v>
      </c>
      <c r="AA1255">
        <v>1.6866741447628609E-4</v>
      </c>
      <c r="AB1255">
        <v>103.29</v>
      </c>
      <c r="AC1255" t="s">
        <v>42</v>
      </c>
      <c r="AE1255" t="s">
        <v>41</v>
      </c>
      <c r="AF1255">
        <v>1.2111791297699341E-3</v>
      </c>
      <c r="AH1255" t="s">
        <v>237</v>
      </c>
      <c r="AJ1255">
        <v>1.2260739869523316E-4</v>
      </c>
      <c r="AK1255">
        <v>1.2260739869523316E-4</v>
      </c>
      <c r="AL1255">
        <v>0</v>
      </c>
      <c r="AN1255" t="s">
        <v>142</v>
      </c>
      <c r="AQ1255">
        <v>1.4849952245504786E-7</v>
      </c>
    </row>
    <row r="1256" spans="1:43" x14ac:dyDescent="0.2">
      <c r="A1256">
        <v>1254</v>
      </c>
      <c r="B1256">
        <v>101</v>
      </c>
      <c r="C1256">
        <v>8</v>
      </c>
      <c r="D1256">
        <v>4326375.4437261531</v>
      </c>
      <c r="E1256" t="s">
        <v>417</v>
      </c>
      <c r="F1256" t="s">
        <v>87</v>
      </c>
      <c r="G1256" t="s">
        <v>819</v>
      </c>
      <c r="H1256">
        <v>7.621036733962773E-4</v>
      </c>
      <c r="I1256">
        <v>4.9113002908759903E-6</v>
      </c>
      <c r="J1256">
        <v>6.74</v>
      </c>
      <c r="L1256" s="1">
        <v>45778</v>
      </c>
      <c r="M1256" s="1">
        <v>43024</v>
      </c>
      <c r="R1256">
        <v>4.3435250499431428E-2</v>
      </c>
      <c r="T1256" t="s">
        <v>32</v>
      </c>
      <c r="V1256">
        <v>4561906.3488999996</v>
      </c>
      <c r="W1256" t="s">
        <v>216</v>
      </c>
      <c r="X1256" t="s">
        <v>419</v>
      </c>
      <c r="Y1256">
        <v>4326375.4437261531</v>
      </c>
      <c r="Z1256" t="s">
        <v>31</v>
      </c>
      <c r="AA1256">
        <v>1.5554951730172131E-4</v>
      </c>
      <c r="AB1256">
        <v>104.01</v>
      </c>
      <c r="AC1256" t="s">
        <v>42</v>
      </c>
      <c r="AE1256" t="s">
        <v>41</v>
      </c>
      <c r="AF1256">
        <v>6.1117912976993427E-4</v>
      </c>
      <c r="AH1256" t="s">
        <v>237</v>
      </c>
      <c r="AJ1256">
        <v>1.1307176163149514E-4</v>
      </c>
      <c r="AK1256">
        <v>1.1307176163149514E-4</v>
      </c>
      <c r="AL1256">
        <v>0</v>
      </c>
      <c r="AN1256" t="s">
        <v>142</v>
      </c>
      <c r="AQ1256">
        <v>6.9107100875490637E-8</v>
      </c>
    </row>
    <row r="1257" spans="1:43" x14ac:dyDescent="0.2">
      <c r="A1257">
        <v>1255</v>
      </c>
      <c r="B1257">
        <v>101</v>
      </c>
      <c r="C1257">
        <v>8</v>
      </c>
      <c r="D1257">
        <v>6489637.5581149803</v>
      </c>
      <c r="E1257" t="s">
        <v>417</v>
      </c>
      <c r="F1257" t="s">
        <v>87</v>
      </c>
      <c r="G1257" t="s">
        <v>820</v>
      </c>
      <c r="H1257">
        <v>1.202284906385053E-3</v>
      </c>
      <c r="I1257">
        <v>7.3037127385342994E-6</v>
      </c>
      <c r="J1257">
        <v>7.15</v>
      </c>
      <c r="L1257" s="1">
        <v>45931</v>
      </c>
      <c r="M1257" s="1">
        <v>43024</v>
      </c>
      <c r="R1257">
        <v>4.3435250499431428E-2</v>
      </c>
      <c r="T1257" t="s">
        <v>32</v>
      </c>
      <c r="V1257">
        <v>6784120.6074000001</v>
      </c>
      <c r="W1257" t="s">
        <v>216</v>
      </c>
      <c r="X1257" t="s">
        <v>419</v>
      </c>
      <c r="Y1257">
        <v>6489637.5581149803</v>
      </c>
      <c r="Z1257" t="s">
        <v>31</v>
      </c>
      <c r="AA1257">
        <v>2.3132142685309268E-4</v>
      </c>
      <c r="AB1257">
        <v>104.41</v>
      </c>
      <c r="AC1257" t="s">
        <v>42</v>
      </c>
      <c r="AE1257" t="s">
        <v>41</v>
      </c>
      <c r="AF1257">
        <v>4.1117912976993548E-4</v>
      </c>
      <c r="AH1257" t="s">
        <v>237</v>
      </c>
      <c r="AJ1257">
        <v>1.6815173515874867E-4</v>
      </c>
      <c r="AK1257">
        <v>1.6815173515874867E-4</v>
      </c>
      <c r="AL1257">
        <v>0</v>
      </c>
      <c r="AN1257" t="s">
        <v>142</v>
      </c>
      <c r="AQ1257">
        <v>6.9140484131878945E-8</v>
      </c>
    </row>
    <row r="1258" spans="1:43" x14ac:dyDescent="0.2">
      <c r="A1258">
        <v>1256</v>
      </c>
      <c r="B1258">
        <v>102</v>
      </c>
      <c r="C1258">
        <v>8</v>
      </c>
      <c r="D1258">
        <v>136498558.73786908</v>
      </c>
      <c r="E1258" t="s">
        <v>420</v>
      </c>
      <c r="F1258" t="s">
        <v>87</v>
      </c>
      <c r="G1258" t="s">
        <v>779</v>
      </c>
      <c r="H1258">
        <v>3.0232437553030119E-2</v>
      </c>
      <c r="I1258">
        <v>1.3962629653253177E-4</v>
      </c>
      <c r="J1258">
        <v>8.15</v>
      </c>
      <c r="L1258" s="1">
        <v>48458</v>
      </c>
      <c r="M1258" s="1">
        <v>43024</v>
      </c>
      <c r="R1258">
        <v>3.7640177532627689E-2</v>
      </c>
      <c r="T1258" t="s">
        <v>32</v>
      </c>
      <c r="V1258">
        <v>149660696.74290001</v>
      </c>
      <c r="W1258" t="s">
        <v>421</v>
      </c>
      <c r="X1258" t="s">
        <v>422</v>
      </c>
      <c r="Y1258">
        <v>136498558.73786908</v>
      </c>
      <c r="Z1258" t="s">
        <v>31</v>
      </c>
      <c r="AA1258">
        <v>4.4222103601790769E-3</v>
      </c>
      <c r="AB1258">
        <v>109.14</v>
      </c>
      <c r="AC1258" t="s">
        <v>34</v>
      </c>
      <c r="AE1258" t="s">
        <v>35</v>
      </c>
      <c r="AF1258">
        <v>3.2111791297699359E-3</v>
      </c>
      <c r="AH1258" t="s">
        <v>237</v>
      </c>
      <c r="AJ1258">
        <v>3.7095015402490942E-3</v>
      </c>
      <c r="AK1258">
        <v>3.7095015402490942E-3</v>
      </c>
      <c r="AL1258">
        <v>0</v>
      </c>
      <c r="AN1258" t="s">
        <v>54</v>
      </c>
      <c r="AQ1258">
        <v>1.1911873927897322E-5</v>
      </c>
    </row>
    <row r="1259" spans="1:43" x14ac:dyDescent="0.2">
      <c r="A1259">
        <v>1257</v>
      </c>
      <c r="B1259">
        <v>102</v>
      </c>
      <c r="C1259">
        <v>8</v>
      </c>
      <c r="D1259">
        <v>15000</v>
      </c>
      <c r="E1259" t="s">
        <v>423</v>
      </c>
      <c r="F1259" t="s">
        <v>87</v>
      </c>
      <c r="G1259" t="s">
        <v>1080</v>
      </c>
      <c r="H1259">
        <v>0.15659724701599445</v>
      </c>
      <c r="I1259">
        <v>3.7711760580951903E-4</v>
      </c>
      <c r="J1259">
        <v>15.63</v>
      </c>
      <c r="L1259" s="1">
        <v>51150</v>
      </c>
      <c r="M1259" s="1">
        <v>43024</v>
      </c>
      <c r="R1259">
        <v>3.7640177532627689E-2</v>
      </c>
      <c r="T1259" t="s">
        <v>32</v>
      </c>
      <c r="V1259">
        <v>404219585</v>
      </c>
      <c r="W1259" t="s">
        <v>319</v>
      </c>
      <c r="X1259" t="s">
        <v>425</v>
      </c>
      <c r="Y1259">
        <v>15000</v>
      </c>
      <c r="Z1259" t="s">
        <v>31</v>
      </c>
      <c r="AA1259">
        <v>1.1943977780920557E-2</v>
      </c>
      <c r="AB1259">
        <v>100.27</v>
      </c>
      <c r="AC1259" t="s">
        <v>36</v>
      </c>
      <c r="AE1259" t="s">
        <v>178</v>
      </c>
      <c r="AF1259">
        <v>8.2111791297699369E-3</v>
      </c>
      <c r="AH1259" t="s">
        <v>237</v>
      </c>
      <c r="AJ1259">
        <v>1.0019017723352171E-2</v>
      </c>
      <c r="AK1259">
        <v>1.0019017723352171E-2</v>
      </c>
      <c r="AL1259">
        <v>0</v>
      </c>
      <c r="AN1259" t="s">
        <v>150</v>
      </c>
      <c r="AQ1259">
        <v>8.226794923078446E-5</v>
      </c>
    </row>
    <row r="1260" spans="1:43" x14ac:dyDescent="0.2">
      <c r="A1260">
        <v>1258</v>
      </c>
      <c r="B1260">
        <v>102</v>
      </c>
      <c r="C1260">
        <v>8</v>
      </c>
      <c r="D1260">
        <v>7570950.219543403</v>
      </c>
      <c r="E1260" t="s">
        <v>454</v>
      </c>
      <c r="F1260" t="s">
        <v>87</v>
      </c>
      <c r="G1260" t="s">
        <v>791</v>
      </c>
      <c r="H1260">
        <v>1.2343141999365342E-3</v>
      </c>
      <c r="I1260">
        <v>7.9013274858255866E-6</v>
      </c>
      <c r="J1260">
        <v>5.88</v>
      </c>
      <c r="L1260" s="1">
        <v>47421</v>
      </c>
      <c r="M1260" s="1">
        <v>43024</v>
      </c>
      <c r="R1260">
        <v>3.7640177532627689E-2</v>
      </c>
      <c r="T1260" t="s">
        <v>32</v>
      </c>
      <c r="V1260">
        <v>8469165.2367000002</v>
      </c>
      <c r="W1260" t="s">
        <v>456</v>
      </c>
      <c r="X1260" t="s">
        <v>457</v>
      </c>
      <c r="Y1260">
        <v>7570950.219543403</v>
      </c>
      <c r="Z1260" t="s">
        <v>31</v>
      </c>
      <c r="AA1260">
        <v>2.5024893687447026E-4</v>
      </c>
      <c r="AB1260">
        <v>109.72</v>
      </c>
      <c r="AC1260" t="s">
        <v>34</v>
      </c>
      <c r="AE1260" t="s">
        <v>177</v>
      </c>
      <c r="AF1260">
        <v>2.3111791297699344E-3</v>
      </c>
      <c r="AH1260" t="s">
        <v>237</v>
      </c>
      <c r="AJ1260">
        <v>2.0991738094158744E-4</v>
      </c>
      <c r="AK1260">
        <v>2.0991738094158744E-4</v>
      </c>
      <c r="AL1260">
        <v>0</v>
      </c>
      <c r="AN1260" t="s">
        <v>54</v>
      </c>
      <c r="AQ1260">
        <v>4.8515666980816184E-7</v>
      </c>
    </row>
    <row r="1261" spans="1:43" x14ac:dyDescent="0.2">
      <c r="A1261">
        <v>1259</v>
      </c>
      <c r="B1261">
        <v>102</v>
      </c>
      <c r="C1261">
        <v>8</v>
      </c>
      <c r="D1261">
        <v>20601486.347479608</v>
      </c>
      <c r="E1261" t="s">
        <v>454</v>
      </c>
      <c r="F1261" t="s">
        <v>87</v>
      </c>
      <c r="G1261" t="s">
        <v>792</v>
      </c>
      <c r="H1261">
        <v>4.6486338988431311E-3</v>
      </c>
      <c r="I1261">
        <v>2.1469374875662167E-5</v>
      </c>
      <c r="J1261">
        <v>8.15</v>
      </c>
      <c r="L1261" s="1">
        <v>48533</v>
      </c>
      <c r="M1261" s="1">
        <v>43024</v>
      </c>
      <c r="R1261">
        <v>3.7640177532627689E-2</v>
      </c>
      <c r="T1261" t="s">
        <v>32</v>
      </c>
      <c r="V1261">
        <v>23012295.551199999</v>
      </c>
      <c r="W1261" t="s">
        <v>456</v>
      </c>
      <c r="X1261" t="s">
        <v>457</v>
      </c>
      <c r="Y1261">
        <v>20601486.347479608</v>
      </c>
      <c r="Z1261" t="s">
        <v>31</v>
      </c>
      <c r="AA1261">
        <v>6.7997285869142064E-4</v>
      </c>
      <c r="AB1261">
        <v>109.86</v>
      </c>
      <c r="AC1261" t="s">
        <v>34</v>
      </c>
      <c r="AE1261" t="s">
        <v>177</v>
      </c>
      <c r="AF1261">
        <v>4.3111791297699362E-3</v>
      </c>
      <c r="AH1261" t="s">
        <v>237</v>
      </c>
      <c r="AJ1261">
        <v>5.7038452746541483E-4</v>
      </c>
      <c r="AK1261">
        <v>5.7038452746541483E-4</v>
      </c>
      <c r="AL1261">
        <v>0</v>
      </c>
      <c r="AN1261" t="s">
        <v>54</v>
      </c>
      <c r="AQ1261">
        <v>2.4590298707525835E-6</v>
      </c>
    </row>
    <row r="1262" spans="1:43" x14ac:dyDescent="0.2">
      <c r="A1262">
        <v>1260</v>
      </c>
      <c r="B1262">
        <v>102</v>
      </c>
      <c r="C1262">
        <v>8</v>
      </c>
      <c r="D1262">
        <v>36882531.243455105</v>
      </c>
      <c r="E1262" t="s">
        <v>454</v>
      </c>
      <c r="F1262" t="s">
        <v>87</v>
      </c>
      <c r="G1262" t="s">
        <v>793</v>
      </c>
      <c r="H1262">
        <v>7.2795181060186041E-3</v>
      </c>
      <c r="I1262">
        <v>3.3744132249078565E-5</v>
      </c>
      <c r="J1262">
        <v>8.1199999999999992</v>
      </c>
      <c r="L1262" s="1">
        <v>46341</v>
      </c>
      <c r="M1262" s="1">
        <v>43024</v>
      </c>
      <c r="R1262">
        <v>3.7640177532627689E-2</v>
      </c>
      <c r="T1262" t="s">
        <v>32</v>
      </c>
      <c r="V1262">
        <v>36169192.113499999</v>
      </c>
      <c r="W1262" t="s">
        <v>456</v>
      </c>
      <c r="X1262" t="s">
        <v>457</v>
      </c>
      <c r="Y1262">
        <v>36882531.243455105</v>
      </c>
      <c r="Z1262" t="s">
        <v>31</v>
      </c>
      <c r="AA1262">
        <v>1.0687360112882479E-3</v>
      </c>
      <c r="AB1262">
        <v>97.09</v>
      </c>
      <c r="AC1262" t="s">
        <v>34</v>
      </c>
      <c r="AE1262" t="s">
        <v>177</v>
      </c>
      <c r="AF1262">
        <v>4.1111791297699339E-3</v>
      </c>
      <c r="AH1262" t="s">
        <v>237</v>
      </c>
      <c r="AJ1262">
        <v>8.9649237758849816E-4</v>
      </c>
      <c r="AK1262">
        <v>8.9649237758849816E-4</v>
      </c>
      <c r="AL1262">
        <v>0</v>
      </c>
      <c r="AN1262" t="s">
        <v>54</v>
      </c>
      <c r="AQ1262">
        <v>3.6856407527396609E-6</v>
      </c>
    </row>
    <row r="1263" spans="1:43" x14ac:dyDescent="0.2">
      <c r="A1263">
        <v>1261</v>
      </c>
      <c r="B1263">
        <v>102</v>
      </c>
      <c r="C1263">
        <v>8</v>
      </c>
      <c r="D1263">
        <v>66754692.208721653</v>
      </c>
      <c r="E1263" t="s">
        <v>794</v>
      </c>
      <c r="F1263" t="s">
        <v>87</v>
      </c>
      <c r="G1263" t="s">
        <v>795</v>
      </c>
      <c r="H1263">
        <v>0.10169820591658954</v>
      </c>
      <c r="I1263">
        <v>5.0701172522518646E-4</v>
      </c>
      <c r="J1263">
        <v>7.55</v>
      </c>
      <c r="L1263" s="1">
        <v>48563</v>
      </c>
      <c r="M1263" s="1">
        <v>43024</v>
      </c>
      <c r="R1263">
        <v>3.7640177532627689E-2</v>
      </c>
      <c r="T1263" t="s">
        <v>32</v>
      </c>
      <c r="V1263">
        <v>543448690.81550002</v>
      </c>
      <c r="W1263" t="s">
        <v>796</v>
      </c>
      <c r="X1263" t="s">
        <v>797</v>
      </c>
      <c r="Y1263">
        <v>66754692.208721653</v>
      </c>
      <c r="Z1263" t="s">
        <v>31</v>
      </c>
      <c r="AA1263">
        <v>1.6057952976649307E-2</v>
      </c>
      <c r="AB1263">
        <v>114.66000000000001</v>
      </c>
      <c r="AC1263" t="s">
        <v>34</v>
      </c>
      <c r="AE1263" t="s">
        <v>38</v>
      </c>
      <c r="AF1263">
        <v>4.2111791297699333E-3</v>
      </c>
      <c r="AH1263" t="s">
        <v>237</v>
      </c>
      <c r="AJ1263">
        <v>1.3469961048554906E-2</v>
      </c>
      <c r="AK1263">
        <v>1.3469961048554906E-2</v>
      </c>
      <c r="AL1263">
        <v>0</v>
      </c>
      <c r="AN1263" t="s">
        <v>54</v>
      </c>
      <c r="AQ1263">
        <v>5.6724418846488343E-5</v>
      </c>
    </row>
    <row r="1264" spans="1:43" x14ac:dyDescent="0.2">
      <c r="A1264">
        <v>1262</v>
      </c>
      <c r="B1264">
        <v>102</v>
      </c>
      <c r="C1264">
        <v>8</v>
      </c>
      <c r="D1264">
        <v>34113828.80202812</v>
      </c>
      <c r="E1264" t="s">
        <v>320</v>
      </c>
      <c r="F1264" t="s">
        <v>87</v>
      </c>
      <c r="G1264" t="s">
        <v>798</v>
      </c>
      <c r="H1264">
        <v>2.6783408881153676E-2</v>
      </c>
      <c r="I1264">
        <v>1.8600226295490432E-4</v>
      </c>
      <c r="J1264">
        <v>5.42</v>
      </c>
      <c r="L1264" s="1">
        <v>47240</v>
      </c>
      <c r="M1264" s="1">
        <v>43024</v>
      </c>
      <c r="R1264">
        <v>3.7640177532627689E-2</v>
      </c>
      <c r="T1264" t="s">
        <v>32</v>
      </c>
      <c r="V1264">
        <v>199369523.94279999</v>
      </c>
      <c r="W1264" t="s">
        <v>321</v>
      </c>
      <c r="X1264" t="s">
        <v>799</v>
      </c>
      <c r="Y1264">
        <v>34113828.80202812</v>
      </c>
      <c r="Z1264" t="s">
        <v>31</v>
      </c>
      <c r="AA1264">
        <v>5.8910187742771333E-3</v>
      </c>
      <c r="AB1264">
        <v>103.45</v>
      </c>
      <c r="AC1264" t="s">
        <v>34</v>
      </c>
      <c r="AE1264" t="s">
        <v>40</v>
      </c>
      <c r="AF1264">
        <v>2.4111791297699338E-3</v>
      </c>
      <c r="AH1264" t="s">
        <v>237</v>
      </c>
      <c r="AJ1264">
        <v>4.9415883544563976E-3</v>
      </c>
      <c r="AK1264">
        <v>4.9415883544563976E-3</v>
      </c>
      <c r="AL1264">
        <v>0</v>
      </c>
      <c r="AN1264" t="s">
        <v>54</v>
      </c>
      <c r="AQ1264">
        <v>1.1915054708179415E-5</v>
      </c>
    </row>
    <row r="1265" spans="1:43" x14ac:dyDescent="0.2">
      <c r="A1265">
        <v>1263</v>
      </c>
      <c r="B1265">
        <v>102</v>
      </c>
      <c r="C1265">
        <v>8</v>
      </c>
      <c r="D1265">
        <v>24310768.399116032</v>
      </c>
      <c r="E1265" t="s">
        <v>320</v>
      </c>
      <c r="F1265" t="s">
        <v>87</v>
      </c>
      <c r="G1265" t="s">
        <v>1081</v>
      </c>
      <c r="H1265">
        <v>7.3490854676809703E-3</v>
      </c>
      <c r="I1265">
        <v>2.5078955730368625E-5</v>
      </c>
      <c r="J1265">
        <v>11.03</v>
      </c>
      <c r="L1265" s="1">
        <v>49044</v>
      </c>
      <c r="M1265" s="1">
        <v>43024</v>
      </c>
      <c r="R1265">
        <v>3.7640177532627689E-2</v>
      </c>
      <c r="T1265" t="s">
        <v>32</v>
      </c>
      <c r="V1265">
        <v>26881282.977499999</v>
      </c>
      <c r="W1265" t="s">
        <v>321</v>
      </c>
      <c r="X1265" t="s">
        <v>529</v>
      </c>
      <c r="Y1265">
        <v>24310768.399116032</v>
      </c>
      <c r="Z1265" t="s">
        <v>31</v>
      </c>
      <c r="AA1265">
        <v>7.9429463222544731E-4</v>
      </c>
      <c r="AB1265">
        <v>108.46</v>
      </c>
      <c r="AC1265" t="s">
        <v>34</v>
      </c>
      <c r="AE1265" t="s">
        <v>40</v>
      </c>
      <c r="AF1265">
        <v>6.7111791297699355E-3</v>
      </c>
      <c r="AH1265" t="s">
        <v>237</v>
      </c>
      <c r="AJ1265">
        <v>6.6628154738721402E-4</v>
      </c>
      <c r="AK1265">
        <v>6.6628154738721402E-4</v>
      </c>
      <c r="AL1265">
        <v>0</v>
      </c>
      <c r="AN1265" t="s">
        <v>54</v>
      </c>
      <c r="AQ1265">
        <v>4.4715348153758887E-6</v>
      </c>
    </row>
    <row r="1266" spans="1:43" x14ac:dyDescent="0.2">
      <c r="A1266">
        <v>1264</v>
      </c>
      <c r="B1266">
        <v>102</v>
      </c>
      <c r="C1266">
        <v>8</v>
      </c>
      <c r="D1266">
        <v>1081548.5564889505</v>
      </c>
      <c r="E1266" t="s">
        <v>426</v>
      </c>
      <c r="F1266" t="s">
        <v>87</v>
      </c>
      <c r="G1266" t="s">
        <v>803</v>
      </c>
      <c r="H1266">
        <v>1.5731445028817394E-4</v>
      </c>
      <c r="I1266">
        <v>1.0884823230320955E-6</v>
      </c>
      <c r="J1266">
        <v>5.44</v>
      </c>
      <c r="L1266" s="1">
        <v>45231</v>
      </c>
      <c r="M1266" s="1">
        <v>43024</v>
      </c>
      <c r="R1266">
        <v>3.7640177532627689E-2</v>
      </c>
      <c r="T1266" t="s">
        <v>32</v>
      </c>
      <c r="V1266">
        <v>1166707.3245000001</v>
      </c>
      <c r="W1266" t="s">
        <v>181</v>
      </c>
      <c r="X1266" t="s">
        <v>428</v>
      </c>
      <c r="Y1266">
        <v>1081548.5564889505</v>
      </c>
      <c r="Z1266" t="s">
        <v>31</v>
      </c>
      <c r="AA1266">
        <v>3.4474149392502271E-5</v>
      </c>
      <c r="AB1266">
        <v>106.18</v>
      </c>
      <c r="AC1266" t="s">
        <v>33</v>
      </c>
      <c r="AE1266" t="s">
        <v>41</v>
      </c>
      <c r="AF1266">
        <v>1.1179129769934432E-5</v>
      </c>
      <c r="AH1266" t="s">
        <v>237</v>
      </c>
      <c r="AJ1266">
        <v>2.8918097479443737E-5</v>
      </c>
      <c r="AK1266">
        <v>2.8918097479443737E-5</v>
      </c>
      <c r="AL1266">
        <v>0</v>
      </c>
      <c r="AN1266" t="s">
        <v>148</v>
      </c>
      <c r="AQ1266">
        <v>3.2327916442231531E-10</v>
      </c>
    </row>
    <row r="1267" spans="1:43" x14ac:dyDescent="0.2">
      <c r="A1267">
        <v>1265</v>
      </c>
      <c r="B1267">
        <v>102</v>
      </c>
      <c r="C1267">
        <v>8</v>
      </c>
      <c r="D1267">
        <v>8652424.6213580761</v>
      </c>
      <c r="E1267" t="s">
        <v>426</v>
      </c>
      <c r="F1267" t="s">
        <v>87</v>
      </c>
      <c r="G1267" t="s">
        <v>804</v>
      </c>
      <c r="H1267">
        <v>1.5720864695438943E-3</v>
      </c>
      <c r="I1267">
        <v>8.7020020309226584E-6</v>
      </c>
      <c r="J1267">
        <v>6.8</v>
      </c>
      <c r="L1267" s="1">
        <v>45839</v>
      </c>
      <c r="M1267" s="1">
        <v>43024</v>
      </c>
      <c r="R1267">
        <v>3.7640177532627689E-2</v>
      </c>
      <c r="T1267" t="s">
        <v>32</v>
      </c>
      <c r="V1267">
        <v>9327381.1548999995</v>
      </c>
      <c r="W1267" t="s">
        <v>181</v>
      </c>
      <c r="X1267" t="s">
        <v>428</v>
      </c>
      <c r="Y1267">
        <v>8652424.6213580761</v>
      </c>
      <c r="Z1267" t="s">
        <v>31</v>
      </c>
      <c r="AA1267">
        <v>2.7560770779650053E-4</v>
      </c>
      <c r="AB1267">
        <v>106.72</v>
      </c>
      <c r="AC1267" t="s">
        <v>33</v>
      </c>
      <c r="AE1267" t="s">
        <v>41</v>
      </c>
      <c r="AF1267">
        <v>1.5111791297699358E-3</v>
      </c>
      <c r="AH1267" t="s">
        <v>237</v>
      </c>
      <c r="AJ1267">
        <v>2.3118918669763153E-4</v>
      </c>
      <c r="AK1267">
        <v>2.3118918669763153E-4</v>
      </c>
      <c r="AL1267">
        <v>0</v>
      </c>
      <c r="AN1267" t="s">
        <v>148</v>
      </c>
      <c r="AQ1267">
        <v>3.4936827396594604E-7</v>
      </c>
    </row>
    <row r="1268" spans="1:43" x14ac:dyDescent="0.2">
      <c r="A1268">
        <v>1266</v>
      </c>
      <c r="B1268">
        <v>102</v>
      </c>
      <c r="C1268">
        <v>8</v>
      </c>
      <c r="D1268">
        <v>15574489.965615783</v>
      </c>
      <c r="E1268" t="s">
        <v>462</v>
      </c>
      <c r="F1268" t="s">
        <v>87</v>
      </c>
      <c r="G1268" t="s">
        <v>864</v>
      </c>
      <c r="H1268">
        <v>3.0561836816310841E-3</v>
      </c>
      <c r="I1268">
        <v>1.4978554212098139E-5</v>
      </c>
      <c r="J1268">
        <v>7.68</v>
      </c>
      <c r="L1268" s="1">
        <v>46204</v>
      </c>
      <c r="M1268" s="1">
        <v>43024</v>
      </c>
      <c r="R1268">
        <v>3.7640177532627689E-2</v>
      </c>
      <c r="T1268" t="s">
        <v>32</v>
      </c>
      <c r="V1268">
        <v>16055004.7896</v>
      </c>
      <c r="W1268" t="s">
        <v>220</v>
      </c>
      <c r="X1268" t="s">
        <v>464</v>
      </c>
      <c r="Y1268">
        <v>15574489.965615783</v>
      </c>
      <c r="Z1268" t="s">
        <v>31</v>
      </c>
      <c r="AA1268">
        <v>4.7439715341738198E-4</v>
      </c>
      <c r="AB1268">
        <v>102.19</v>
      </c>
      <c r="AC1268" t="s">
        <v>33</v>
      </c>
      <c r="AE1268" t="s">
        <v>41</v>
      </c>
      <c r="AF1268">
        <v>3.7111791297699363E-3</v>
      </c>
      <c r="AH1268" t="s">
        <v>237</v>
      </c>
      <c r="AJ1268">
        <v>3.9794058354571408E-4</v>
      </c>
      <c r="AK1268">
        <v>3.9794058354571408E-4</v>
      </c>
      <c r="AL1268">
        <v>0</v>
      </c>
      <c r="AN1268" t="s">
        <v>148</v>
      </c>
      <c r="AQ1268">
        <v>1.4768287885433238E-6</v>
      </c>
    </row>
    <row r="1269" spans="1:43" x14ac:dyDescent="0.2">
      <c r="A1269">
        <v>1267</v>
      </c>
      <c r="B1269">
        <v>102</v>
      </c>
      <c r="C1269">
        <v>8</v>
      </c>
      <c r="D1269">
        <v>72961234.421042159</v>
      </c>
      <c r="E1269" t="s">
        <v>462</v>
      </c>
      <c r="F1269" t="s">
        <v>87</v>
      </c>
      <c r="G1269" t="s">
        <v>1082</v>
      </c>
      <c r="H1269">
        <v>0.20968198770791016</v>
      </c>
      <c r="I1269">
        <v>6.7399378673953833E-4</v>
      </c>
      <c r="J1269">
        <v>11.71</v>
      </c>
      <c r="L1269" s="1">
        <v>48792</v>
      </c>
      <c r="M1269" s="1">
        <v>43024</v>
      </c>
      <c r="R1269">
        <v>3.7640177532627689E-2</v>
      </c>
      <c r="T1269" t="s">
        <v>32</v>
      </c>
      <c r="V1269">
        <v>722431105.23469996</v>
      </c>
      <c r="W1269" t="s">
        <v>220</v>
      </c>
      <c r="X1269" t="s">
        <v>1083</v>
      </c>
      <c r="Y1269">
        <v>72961234.421042159</v>
      </c>
      <c r="Z1269" t="s">
        <v>31</v>
      </c>
      <c r="AA1269">
        <v>2.1346568522079737E-2</v>
      </c>
      <c r="AB1269">
        <v>118.06</v>
      </c>
      <c r="AC1269" t="s">
        <v>34</v>
      </c>
      <c r="AE1269" t="s">
        <v>41</v>
      </c>
      <c r="AF1269">
        <v>7.9111791297699352E-3</v>
      </c>
      <c r="AH1269" t="s">
        <v>237</v>
      </c>
      <c r="AJ1269">
        <v>1.7906232938335622E-2</v>
      </c>
      <c r="AK1269">
        <v>1.7906232938335622E-2</v>
      </c>
      <c r="AL1269">
        <v>0</v>
      </c>
      <c r="AN1269" t="s">
        <v>54</v>
      </c>
      <c r="AQ1269">
        <v>1.4165941631455976E-4</v>
      </c>
    </row>
    <row r="1270" spans="1:43" x14ac:dyDescent="0.2">
      <c r="A1270">
        <v>1268</v>
      </c>
      <c r="B1270">
        <v>102</v>
      </c>
      <c r="C1270">
        <v>8</v>
      </c>
      <c r="D1270">
        <v>6000</v>
      </c>
      <c r="E1270" t="s">
        <v>462</v>
      </c>
      <c r="F1270" t="s">
        <v>87</v>
      </c>
      <c r="G1270" t="s">
        <v>1084</v>
      </c>
      <c r="H1270">
        <v>5.0189750935455357E-2</v>
      </c>
      <c r="I1270">
        <v>1.6659181089320163E-4</v>
      </c>
      <c r="J1270">
        <v>11.34</v>
      </c>
      <c r="L1270" s="1">
        <v>48396</v>
      </c>
      <c r="M1270" s="1">
        <v>43024</v>
      </c>
      <c r="R1270">
        <v>3.7640177532627689E-2</v>
      </c>
      <c r="T1270" t="s">
        <v>32</v>
      </c>
      <c r="V1270">
        <v>178564118</v>
      </c>
      <c r="W1270" t="s">
        <v>220</v>
      </c>
      <c r="X1270" t="s">
        <v>1083</v>
      </c>
      <c r="Y1270">
        <v>6000</v>
      </c>
      <c r="Z1270" t="s">
        <v>31</v>
      </c>
      <c r="AA1270">
        <v>5.2762556219577445E-3</v>
      </c>
      <c r="AB1270">
        <v>110.34</v>
      </c>
      <c r="AC1270" t="s">
        <v>34</v>
      </c>
      <c r="AE1270" t="s">
        <v>41</v>
      </c>
      <c r="AF1270">
        <v>7.7111791297699364E-3</v>
      </c>
      <c r="AH1270" t="s">
        <v>237</v>
      </c>
      <c r="AJ1270">
        <v>4.4259039625622011E-3</v>
      </c>
      <c r="AK1270">
        <v>4.4259039625622011E-3</v>
      </c>
      <c r="AL1270">
        <v>0</v>
      </c>
      <c r="AN1270" t="s">
        <v>54</v>
      </c>
      <c r="AQ1270">
        <v>3.4128938266475706E-5</v>
      </c>
    </row>
    <row r="1271" spans="1:43" x14ac:dyDescent="0.2">
      <c r="A1271">
        <v>1269</v>
      </c>
      <c r="B1271">
        <v>102</v>
      </c>
      <c r="C1271">
        <v>8</v>
      </c>
      <c r="D1271">
        <v>24333391.332319044</v>
      </c>
      <c r="E1271" t="s">
        <v>462</v>
      </c>
      <c r="F1271" t="s">
        <v>87</v>
      </c>
      <c r="G1271" t="s">
        <v>1085</v>
      </c>
      <c r="H1271">
        <v>0.20662295386252724</v>
      </c>
      <c r="I1271">
        <v>5.977959005151011E-4</v>
      </c>
      <c r="J1271">
        <v>13.01</v>
      </c>
      <c r="L1271" s="1">
        <v>49491</v>
      </c>
      <c r="M1271" s="1">
        <v>43024</v>
      </c>
      <c r="R1271">
        <v>3.7640177532627689E-2</v>
      </c>
      <c r="T1271" t="s">
        <v>32</v>
      </c>
      <c r="V1271">
        <v>640757172.55949998</v>
      </c>
      <c r="W1271" t="s">
        <v>220</v>
      </c>
      <c r="X1271" t="s">
        <v>1083</v>
      </c>
      <c r="Y1271">
        <v>24333391.332319044</v>
      </c>
      <c r="Z1271" t="s">
        <v>31</v>
      </c>
      <c r="AA1271">
        <v>1.8933247462554655E-2</v>
      </c>
      <c r="AB1271">
        <v>110.95</v>
      </c>
      <c r="AC1271" t="s">
        <v>34</v>
      </c>
      <c r="AE1271" t="s">
        <v>41</v>
      </c>
      <c r="AF1271">
        <v>8.4111791297699356E-3</v>
      </c>
      <c r="AH1271" t="s">
        <v>237</v>
      </c>
      <c r="AJ1271">
        <v>1.5881856561301096E-2</v>
      </c>
      <c r="AK1271">
        <v>1.5881856561301096E-2</v>
      </c>
      <c r="AL1271">
        <v>0</v>
      </c>
      <c r="AN1271" t="s">
        <v>54</v>
      </c>
      <c r="AQ1271">
        <v>1.3358514045041549E-4</v>
      </c>
    </row>
    <row r="1272" spans="1:43" x14ac:dyDescent="0.2">
      <c r="A1272">
        <v>1270</v>
      </c>
      <c r="B1272">
        <v>102</v>
      </c>
      <c r="C1272">
        <v>8</v>
      </c>
      <c r="D1272">
        <v>24309488.727481652</v>
      </c>
      <c r="E1272" t="s">
        <v>462</v>
      </c>
      <c r="F1272" t="s">
        <v>87</v>
      </c>
      <c r="G1272" t="s">
        <v>1086</v>
      </c>
      <c r="H1272">
        <v>9.1215304887214462E-3</v>
      </c>
      <c r="I1272">
        <v>2.53946765506473E-5</v>
      </c>
      <c r="J1272">
        <v>13.52</v>
      </c>
      <c r="L1272" s="1">
        <v>49857</v>
      </c>
      <c r="M1272" s="1">
        <v>43024</v>
      </c>
      <c r="R1272">
        <v>3.7640177532627689E-2</v>
      </c>
      <c r="T1272" t="s">
        <v>32</v>
      </c>
      <c r="V1272">
        <v>27219693.428199999</v>
      </c>
      <c r="W1272" t="s">
        <v>220</v>
      </c>
      <c r="X1272" t="s">
        <v>1083</v>
      </c>
      <c r="Y1272">
        <v>24309488.727481652</v>
      </c>
      <c r="Z1272" t="s">
        <v>31</v>
      </c>
      <c r="AA1272">
        <v>8.0429406583525651E-4</v>
      </c>
      <c r="AB1272">
        <v>110.67</v>
      </c>
      <c r="AC1272" t="s">
        <v>34</v>
      </c>
      <c r="AE1272" t="s">
        <v>41</v>
      </c>
      <c r="AF1272">
        <v>8.9111791297699361E-3</v>
      </c>
      <c r="AH1272" t="s">
        <v>237</v>
      </c>
      <c r="AJ1272">
        <v>6.7466941484626089E-4</v>
      </c>
      <c r="AK1272">
        <v>6.7466941484626089E-4</v>
      </c>
      <c r="AL1272">
        <v>0</v>
      </c>
      <c r="AN1272" t="s">
        <v>54</v>
      </c>
      <c r="AQ1272">
        <v>6.0121000090720951E-6</v>
      </c>
    </row>
    <row r="1273" spans="1:43" x14ac:dyDescent="0.2">
      <c r="A1273">
        <v>1271</v>
      </c>
      <c r="B1273">
        <v>102</v>
      </c>
      <c r="C1273">
        <v>8</v>
      </c>
      <c r="D1273">
        <v>12978916.832743168</v>
      </c>
      <c r="E1273" t="s">
        <v>505</v>
      </c>
      <c r="F1273" t="s">
        <v>87</v>
      </c>
      <c r="G1273" t="s">
        <v>808</v>
      </c>
      <c r="H1273">
        <v>2.0408183779081347E-3</v>
      </c>
      <c r="I1273">
        <v>1.1781712585323845E-5</v>
      </c>
      <c r="J1273">
        <v>6.52</v>
      </c>
      <c r="L1273" s="1">
        <v>45566</v>
      </c>
      <c r="M1273" s="1">
        <v>43024</v>
      </c>
      <c r="R1273">
        <v>3.7640177532627689E-2</v>
      </c>
      <c r="T1273" t="s">
        <v>32</v>
      </c>
      <c r="V1273">
        <v>12628418.5582</v>
      </c>
      <c r="W1273" t="s">
        <v>206</v>
      </c>
      <c r="X1273" t="s">
        <v>507</v>
      </c>
      <c r="Y1273">
        <v>12978916.832743168</v>
      </c>
      <c r="Z1273" t="s">
        <v>31</v>
      </c>
      <c r="AA1273">
        <v>3.7314755708164313E-4</v>
      </c>
      <c r="AB1273">
        <v>97.22</v>
      </c>
      <c r="AC1273" t="s">
        <v>36</v>
      </c>
      <c r="AE1273" t="s">
        <v>41</v>
      </c>
      <c r="AF1273">
        <v>9.1117912976993592E-4</v>
      </c>
      <c r="AH1273" t="s">
        <v>237</v>
      </c>
      <c r="AJ1273">
        <v>3.1300895366689186E-4</v>
      </c>
      <c r="AK1273">
        <v>3.1300895366689186E-4</v>
      </c>
      <c r="AL1273">
        <v>0</v>
      </c>
      <c r="AN1273" t="s">
        <v>150</v>
      </c>
      <c r="AQ1273">
        <v>2.8520722601239669E-7</v>
      </c>
    </row>
    <row r="1274" spans="1:43" x14ac:dyDescent="0.2">
      <c r="A1274">
        <v>1272</v>
      </c>
      <c r="B1274">
        <v>102</v>
      </c>
      <c r="C1274">
        <v>8</v>
      </c>
      <c r="D1274">
        <v>34718331.863310091</v>
      </c>
      <c r="E1274" t="s">
        <v>505</v>
      </c>
      <c r="F1274" t="s">
        <v>87</v>
      </c>
      <c r="G1274" t="s">
        <v>977</v>
      </c>
      <c r="H1274">
        <v>4.3037284185964636E-3</v>
      </c>
      <c r="I1274">
        <v>2.5960432969260558E-5</v>
      </c>
      <c r="J1274">
        <v>6.24</v>
      </c>
      <c r="L1274" s="1">
        <v>47818</v>
      </c>
      <c r="M1274" s="1">
        <v>43024</v>
      </c>
      <c r="R1274">
        <v>3.7640177532627689E-2</v>
      </c>
      <c r="T1274" t="s">
        <v>32</v>
      </c>
      <c r="V1274">
        <v>27826108.5656</v>
      </c>
      <c r="W1274" t="s">
        <v>206</v>
      </c>
      <c r="X1274" t="s">
        <v>978</v>
      </c>
      <c r="Y1274">
        <v>34718331.863310091</v>
      </c>
      <c r="Z1274" t="s">
        <v>31</v>
      </c>
      <c r="AA1274">
        <v>8.2221256656084469E-4</v>
      </c>
      <c r="AB1274">
        <v>112.03</v>
      </c>
      <c r="AC1274" t="s">
        <v>34</v>
      </c>
      <c r="AE1274" t="s">
        <v>41</v>
      </c>
      <c r="AF1274">
        <v>2.1111791297699356E-3</v>
      </c>
      <c r="AH1274" t="s">
        <v>237</v>
      </c>
      <c r="AJ1274">
        <v>6.8970006708276655E-4</v>
      </c>
      <c r="AK1274">
        <v>6.8970006708276655E-4</v>
      </c>
      <c r="AL1274">
        <v>0</v>
      </c>
      <c r="AN1274" t="s">
        <v>54</v>
      </c>
      <c r="AQ1274">
        <v>1.4560803874260612E-6</v>
      </c>
    </row>
    <row r="1275" spans="1:43" x14ac:dyDescent="0.2">
      <c r="A1275">
        <v>1273</v>
      </c>
      <c r="B1275">
        <v>102</v>
      </c>
      <c r="C1275">
        <v>8</v>
      </c>
      <c r="D1275">
        <v>4325664.6959158303</v>
      </c>
      <c r="E1275" t="s">
        <v>505</v>
      </c>
      <c r="F1275" t="s">
        <v>87</v>
      </c>
      <c r="G1275" t="s">
        <v>979</v>
      </c>
      <c r="H1275">
        <v>5.3621487834281951E-4</v>
      </c>
      <c r="I1275">
        <v>3.2344909000737318E-6</v>
      </c>
      <c r="J1275">
        <v>6.24</v>
      </c>
      <c r="L1275" s="1">
        <v>47818</v>
      </c>
      <c r="M1275" s="1">
        <v>43024</v>
      </c>
      <c r="R1275">
        <v>3.7640177532627689E-2</v>
      </c>
      <c r="T1275" t="s">
        <v>32</v>
      </c>
      <c r="V1275">
        <v>3466941.2119</v>
      </c>
      <c r="W1275" t="s">
        <v>206</v>
      </c>
      <c r="X1275" t="s">
        <v>507</v>
      </c>
      <c r="Y1275">
        <v>4325664.6959158303</v>
      </c>
      <c r="Z1275" t="s">
        <v>31</v>
      </c>
      <c r="AA1275">
        <v>1.0244201503173426E-4</v>
      </c>
      <c r="AB1275">
        <v>112.03</v>
      </c>
      <c r="AC1275" t="s">
        <v>36</v>
      </c>
      <c r="AE1275" t="s">
        <v>41</v>
      </c>
      <c r="AF1275">
        <v>2.1111791297699356E-3</v>
      </c>
      <c r="AH1275" t="s">
        <v>237</v>
      </c>
      <c r="AJ1275">
        <v>8.5931871529298004E-5</v>
      </c>
      <c r="AK1275">
        <v>8.5931871529298004E-5</v>
      </c>
      <c r="AL1275">
        <v>0</v>
      </c>
      <c r="AN1275" t="s">
        <v>150</v>
      </c>
      <c r="AQ1275">
        <v>1.8141757375472526E-7</v>
      </c>
    </row>
    <row r="1276" spans="1:43" x14ac:dyDescent="0.2">
      <c r="A1276">
        <v>1274</v>
      </c>
      <c r="B1276">
        <v>102</v>
      </c>
      <c r="C1276">
        <v>8</v>
      </c>
      <c r="D1276">
        <v>1500</v>
      </c>
      <c r="E1276" t="s">
        <v>1087</v>
      </c>
      <c r="F1276" t="s">
        <v>87</v>
      </c>
      <c r="G1276" t="s">
        <v>1088</v>
      </c>
      <c r="H1276">
        <v>6.0952662796842083E-3</v>
      </c>
      <c r="I1276">
        <v>3.8885916080669951E-5</v>
      </c>
      <c r="J1276">
        <v>5.9</v>
      </c>
      <c r="L1276" s="1">
        <v>47392</v>
      </c>
      <c r="M1276" s="1">
        <v>43024</v>
      </c>
      <c r="R1276">
        <v>3.7640177532627689E-2</v>
      </c>
      <c r="T1276" t="s">
        <v>32</v>
      </c>
      <c r="V1276">
        <v>41680496</v>
      </c>
      <c r="W1276" t="s">
        <v>216</v>
      </c>
      <c r="X1276" t="s">
        <v>1089</v>
      </c>
      <c r="Y1276">
        <v>1500</v>
      </c>
      <c r="Z1276" t="s">
        <v>31</v>
      </c>
      <c r="AA1276">
        <v>1.2315853476563936E-3</v>
      </c>
      <c r="AB1276">
        <v>120.43</v>
      </c>
      <c r="AC1276" t="s">
        <v>33</v>
      </c>
      <c r="AE1276" t="s">
        <v>41</v>
      </c>
      <c r="AF1276">
        <v>2.4111791297699338E-3</v>
      </c>
      <c r="AH1276" t="s">
        <v>237</v>
      </c>
      <c r="AJ1276">
        <v>1.0330959796074929E-3</v>
      </c>
      <c r="AK1276">
        <v>1.0330959796074929E-3</v>
      </c>
      <c r="AL1276">
        <v>0</v>
      </c>
      <c r="AN1276" t="s">
        <v>148</v>
      </c>
      <c r="AQ1276">
        <v>2.4909794650788121E-6</v>
      </c>
    </row>
    <row r="1277" spans="1:43" x14ac:dyDescent="0.2">
      <c r="A1277">
        <v>1275</v>
      </c>
      <c r="B1277">
        <v>102</v>
      </c>
      <c r="C1277">
        <v>8</v>
      </c>
      <c r="D1277">
        <v>2000</v>
      </c>
      <c r="E1277" t="s">
        <v>300</v>
      </c>
      <c r="F1277" t="s">
        <v>87</v>
      </c>
      <c r="G1277" t="s">
        <v>1090</v>
      </c>
      <c r="H1277">
        <v>1.8887094615906538E-2</v>
      </c>
      <c r="I1277">
        <v>5.1702806866782454E-5</v>
      </c>
      <c r="J1277">
        <v>13.75</v>
      </c>
      <c r="L1277" s="1">
        <v>51317</v>
      </c>
      <c r="M1277" s="1">
        <v>43024</v>
      </c>
      <c r="R1277">
        <v>3.7640177532627689E-2</v>
      </c>
      <c r="T1277" t="s">
        <v>32</v>
      </c>
      <c r="V1277">
        <v>55418487</v>
      </c>
      <c r="W1277" t="s">
        <v>213</v>
      </c>
      <c r="X1277" t="s">
        <v>302</v>
      </c>
      <c r="Y1277">
        <v>2000</v>
      </c>
      <c r="Z1277" t="s">
        <v>31</v>
      </c>
      <c r="AA1277">
        <v>1.6375188188376244E-3</v>
      </c>
      <c r="AB1277">
        <v>102.93</v>
      </c>
      <c r="AC1277" t="s">
        <v>33</v>
      </c>
      <c r="AE1277" t="s">
        <v>41</v>
      </c>
      <c r="AF1277">
        <v>7.211179129769936E-3</v>
      </c>
      <c r="AH1277" t="s">
        <v>237</v>
      </c>
      <c r="AJ1277">
        <v>1.3736068811568392E-3</v>
      </c>
      <c r="AK1277">
        <v>1.3736068811568392E-3</v>
      </c>
      <c r="AL1277">
        <v>0</v>
      </c>
      <c r="AN1277" t="s">
        <v>148</v>
      </c>
      <c r="AQ1277">
        <v>9.9053252739065721E-6</v>
      </c>
    </row>
    <row r="1278" spans="1:43" x14ac:dyDescent="0.2">
      <c r="A1278">
        <v>1276</v>
      </c>
      <c r="B1278">
        <v>102</v>
      </c>
      <c r="C1278">
        <v>8</v>
      </c>
      <c r="D1278">
        <v>4758976.9933129018</v>
      </c>
      <c r="E1278" t="s">
        <v>466</v>
      </c>
      <c r="F1278" t="s">
        <v>87</v>
      </c>
      <c r="G1278" t="s">
        <v>815</v>
      </c>
      <c r="H1278">
        <v>7.1628682665904905E-4</v>
      </c>
      <c r="I1278">
        <v>4.6166375547481372E-6</v>
      </c>
      <c r="J1278">
        <v>5.84</v>
      </c>
      <c r="L1278" s="1">
        <v>45352</v>
      </c>
      <c r="M1278" s="1">
        <v>43024</v>
      </c>
      <c r="R1278">
        <v>3.7640177532627689E-2</v>
      </c>
      <c r="T1278" t="s">
        <v>32</v>
      </c>
      <c r="V1278">
        <v>4948417.3842000002</v>
      </c>
      <c r="W1278" t="s">
        <v>250</v>
      </c>
      <c r="X1278" t="s">
        <v>468</v>
      </c>
      <c r="Y1278">
        <v>4758976.9933129018</v>
      </c>
      <c r="Z1278" t="s">
        <v>31</v>
      </c>
      <c r="AA1278">
        <v>1.4621703025004544E-4</v>
      </c>
      <c r="AB1278">
        <v>103.6</v>
      </c>
      <c r="AC1278" t="s">
        <v>33</v>
      </c>
      <c r="AE1278" t="s">
        <v>41</v>
      </c>
      <c r="AF1278">
        <v>4.1117912976993548E-4</v>
      </c>
      <c r="AH1278" t="s">
        <v>237</v>
      </c>
      <c r="AJ1278">
        <v>1.2265185387997415E-4</v>
      </c>
      <c r="AK1278">
        <v>1.2265185387997415E-4</v>
      </c>
      <c r="AL1278">
        <v>0</v>
      </c>
      <c r="AN1278" t="s">
        <v>148</v>
      </c>
      <c r="AQ1278">
        <v>5.0431882543037058E-8</v>
      </c>
    </row>
    <row r="1279" spans="1:43" x14ac:dyDescent="0.2">
      <c r="A1279">
        <v>1277</v>
      </c>
      <c r="B1279">
        <v>102</v>
      </c>
      <c r="C1279">
        <v>8</v>
      </c>
      <c r="D1279">
        <v>10000</v>
      </c>
      <c r="E1279" t="s">
        <v>469</v>
      </c>
      <c r="F1279" t="s">
        <v>87</v>
      </c>
      <c r="G1279" t="s">
        <v>919</v>
      </c>
      <c r="H1279">
        <v>6.2724270825094186E-2</v>
      </c>
      <c r="I1279">
        <v>2.77107123176193E-4</v>
      </c>
      <c r="J1279">
        <v>8.52</v>
      </c>
      <c r="L1279" s="1">
        <v>46722</v>
      </c>
      <c r="M1279" s="1">
        <v>43024</v>
      </c>
      <c r="R1279">
        <v>3.7640177532627689E-2</v>
      </c>
      <c r="T1279" t="s">
        <v>32</v>
      </c>
      <c r="V1279">
        <v>297021737</v>
      </c>
      <c r="W1279" t="s">
        <v>220</v>
      </c>
      <c r="X1279" t="s">
        <v>471</v>
      </c>
      <c r="Y1279">
        <v>10000</v>
      </c>
      <c r="Z1279" t="s">
        <v>31</v>
      </c>
      <c r="AA1279">
        <v>8.7764699159206469E-3</v>
      </c>
      <c r="AB1279">
        <v>109.87</v>
      </c>
      <c r="AC1279" t="s">
        <v>33</v>
      </c>
      <c r="AE1279" t="s">
        <v>41</v>
      </c>
      <c r="AF1279">
        <v>2.4111791297699338E-3</v>
      </c>
      <c r="AH1279" t="s">
        <v>237</v>
      </c>
      <c r="AJ1279">
        <v>7.3620036179688009E-3</v>
      </c>
      <c r="AK1279">
        <v>7.3620036179688009E-3</v>
      </c>
      <c r="AL1279">
        <v>0</v>
      </c>
      <c r="AN1279" t="s">
        <v>148</v>
      </c>
      <c r="AQ1279">
        <v>1.7751109476937119E-5</v>
      </c>
    </row>
    <row r="1280" spans="1:43" x14ac:dyDescent="0.2">
      <c r="A1280">
        <v>1278</v>
      </c>
      <c r="B1280">
        <v>102</v>
      </c>
      <c r="C1280">
        <v>8</v>
      </c>
      <c r="D1280">
        <v>6489064.9183941642</v>
      </c>
      <c r="E1280" t="s">
        <v>469</v>
      </c>
      <c r="F1280" t="s">
        <v>87</v>
      </c>
      <c r="G1280" t="s">
        <v>1587</v>
      </c>
      <c r="H1280">
        <v>1.0254788581857176E-3</v>
      </c>
      <c r="I1280">
        <v>6.509141024969097E-6</v>
      </c>
      <c r="J1280">
        <v>5.93</v>
      </c>
      <c r="L1280" s="1">
        <v>45444</v>
      </c>
      <c r="M1280" s="1">
        <v>43024</v>
      </c>
      <c r="R1280">
        <v>3.7640177532627689E-2</v>
      </c>
      <c r="T1280" t="s">
        <v>32</v>
      </c>
      <c r="V1280">
        <v>6976927.7363</v>
      </c>
      <c r="W1280" t="s">
        <v>220</v>
      </c>
      <c r="X1280" t="s">
        <v>471</v>
      </c>
      <c r="Y1280">
        <v>6489064.9183941642</v>
      </c>
      <c r="Z1280" t="s">
        <v>31</v>
      </c>
      <c r="AA1280">
        <v>2.0615594333821193E-4</v>
      </c>
      <c r="AB1280">
        <v>106.14</v>
      </c>
      <c r="AC1280" t="s">
        <v>33</v>
      </c>
      <c r="AE1280" t="s">
        <v>41</v>
      </c>
      <c r="AF1280">
        <v>1.0111791297699353E-3</v>
      </c>
      <c r="AH1280" t="s">
        <v>237</v>
      </c>
      <c r="AJ1280">
        <v>1.7293066748494396E-4</v>
      </c>
      <c r="AK1280">
        <v>1.7293066748494396E-4</v>
      </c>
      <c r="AL1280">
        <v>0</v>
      </c>
      <c r="AN1280" t="s">
        <v>148</v>
      </c>
      <c r="AQ1280">
        <v>1.7486388185795969E-7</v>
      </c>
    </row>
    <row r="1281" spans="1:43" x14ac:dyDescent="0.2">
      <c r="A1281">
        <v>1279</v>
      </c>
      <c r="B1281">
        <v>102</v>
      </c>
      <c r="C1281">
        <v>8</v>
      </c>
      <c r="D1281">
        <v>8652018.2219327129</v>
      </c>
      <c r="E1281" t="s">
        <v>469</v>
      </c>
      <c r="F1281" t="s">
        <v>87</v>
      </c>
      <c r="G1281" t="s">
        <v>992</v>
      </c>
      <c r="H1281">
        <v>1.2131597558656287E-3</v>
      </c>
      <c r="I1281">
        <v>6.6179055922060185E-6</v>
      </c>
      <c r="J1281">
        <v>6.9</v>
      </c>
      <c r="L1281" s="1">
        <v>48670</v>
      </c>
      <c r="M1281" s="1">
        <v>43024</v>
      </c>
      <c r="R1281">
        <v>3.7640177532627689E-2</v>
      </c>
      <c r="T1281" t="s">
        <v>32</v>
      </c>
      <c r="V1281">
        <v>7093508.7910000002</v>
      </c>
      <c r="W1281" t="s">
        <v>220</v>
      </c>
      <c r="X1281" t="s">
        <v>993</v>
      </c>
      <c r="Y1281">
        <v>8652018.2219327129</v>
      </c>
      <c r="Z1281" t="s">
        <v>31</v>
      </c>
      <c r="AA1281">
        <v>2.0960070845767813E-4</v>
      </c>
      <c r="AB1281">
        <v>105.64</v>
      </c>
      <c r="AC1281" t="s">
        <v>34</v>
      </c>
      <c r="AE1281" t="s">
        <v>41</v>
      </c>
      <c r="AF1281">
        <v>3.1111791297699365E-3</v>
      </c>
      <c r="AH1281" t="s">
        <v>237</v>
      </c>
      <c r="AJ1281">
        <v>1.7582025447327951E-4</v>
      </c>
      <c r="AK1281">
        <v>1.7582025447327951E-4</v>
      </c>
      <c r="AL1281">
        <v>0</v>
      </c>
      <c r="AN1281" t="s">
        <v>54</v>
      </c>
      <c r="AQ1281">
        <v>5.4700830630810651E-7</v>
      </c>
    </row>
    <row r="1282" spans="1:43" x14ac:dyDescent="0.2">
      <c r="A1282">
        <v>1280</v>
      </c>
      <c r="B1282">
        <v>102</v>
      </c>
      <c r="C1282">
        <v>8</v>
      </c>
      <c r="D1282">
        <v>45120430.533666909</v>
      </c>
      <c r="E1282" t="s">
        <v>414</v>
      </c>
      <c r="F1282" t="s">
        <v>87</v>
      </c>
      <c r="G1282" t="s">
        <v>994</v>
      </c>
      <c r="H1282">
        <v>9.8306352288251905E-3</v>
      </c>
      <c r="I1282">
        <v>4.9734792375199487E-5</v>
      </c>
      <c r="J1282">
        <v>7.44</v>
      </c>
      <c r="L1282" s="1">
        <v>46266</v>
      </c>
      <c r="M1282" s="1">
        <v>43024</v>
      </c>
      <c r="R1282">
        <v>3.7640177532627689E-2</v>
      </c>
      <c r="T1282" t="s">
        <v>32</v>
      </c>
      <c r="V1282">
        <v>53309038.942400001</v>
      </c>
      <c r="W1282" t="s">
        <v>200</v>
      </c>
      <c r="X1282" t="s">
        <v>305</v>
      </c>
      <c r="Y1282">
        <v>45120430.533666909</v>
      </c>
      <c r="Z1282" t="s">
        <v>31</v>
      </c>
      <c r="AA1282">
        <v>1.5751883389080572E-3</v>
      </c>
      <c r="AB1282">
        <v>117.45</v>
      </c>
      <c r="AC1282" t="s">
        <v>33</v>
      </c>
      <c r="AE1282" t="s">
        <v>41</v>
      </c>
      <c r="AF1282">
        <v>2.3111791297699344E-3</v>
      </c>
      <c r="AH1282" t="s">
        <v>237</v>
      </c>
      <c r="AJ1282">
        <v>1.3213219393582245E-3</v>
      </c>
      <c r="AK1282">
        <v>1.3213219393582245E-3</v>
      </c>
      <c r="AL1282">
        <v>0</v>
      </c>
      <c r="AN1282" t="s">
        <v>148</v>
      </c>
      <c r="AQ1282">
        <v>3.0538116899518633E-6</v>
      </c>
    </row>
    <row r="1283" spans="1:43" x14ac:dyDescent="0.2">
      <c r="A1283">
        <v>1281</v>
      </c>
      <c r="B1283">
        <v>102</v>
      </c>
      <c r="C1283">
        <v>8</v>
      </c>
      <c r="D1283">
        <v>10383125.10297638</v>
      </c>
      <c r="E1283" t="s">
        <v>430</v>
      </c>
      <c r="F1283" t="s">
        <v>87</v>
      </c>
      <c r="G1283" t="s">
        <v>944</v>
      </c>
      <c r="H1283">
        <v>1.7484519668607859E-3</v>
      </c>
      <c r="I1283">
        <v>9.808054014890022E-6</v>
      </c>
      <c r="J1283">
        <v>6.71</v>
      </c>
      <c r="L1283" s="1">
        <v>45717</v>
      </c>
      <c r="M1283" s="1">
        <v>43024</v>
      </c>
      <c r="R1283">
        <v>3.7640177532627689E-2</v>
      </c>
      <c r="T1283" t="s">
        <v>32</v>
      </c>
      <c r="V1283">
        <v>10512920.8037</v>
      </c>
      <c r="W1283" t="s">
        <v>248</v>
      </c>
      <c r="X1283" t="s">
        <v>432</v>
      </c>
      <c r="Y1283">
        <v>10383125.10297638</v>
      </c>
      <c r="Z1283" t="s">
        <v>31</v>
      </c>
      <c r="AA1283">
        <v>3.1063831924910384E-4</v>
      </c>
      <c r="AB1283">
        <v>100.91</v>
      </c>
      <c r="AC1283" t="s">
        <v>34</v>
      </c>
      <c r="AE1283" t="s">
        <v>41</v>
      </c>
      <c r="AF1283">
        <v>2.7111791297699354E-3</v>
      </c>
      <c r="AH1283" t="s">
        <v>237</v>
      </c>
      <c r="AJ1283">
        <v>2.6057406361561637E-4</v>
      </c>
      <c r="AK1283">
        <v>2.6057406361561637E-4</v>
      </c>
      <c r="AL1283">
        <v>0</v>
      </c>
      <c r="AN1283" t="s">
        <v>54</v>
      </c>
      <c r="AQ1283">
        <v>7.0646296303400259E-7</v>
      </c>
    </row>
    <row r="1284" spans="1:43" x14ac:dyDescent="0.2">
      <c r="A1284">
        <v>1282</v>
      </c>
      <c r="B1284">
        <v>102</v>
      </c>
      <c r="C1284">
        <v>8</v>
      </c>
      <c r="D1284">
        <v>2162923.9071344188</v>
      </c>
      <c r="E1284" t="s">
        <v>430</v>
      </c>
      <c r="F1284" t="s">
        <v>87</v>
      </c>
      <c r="G1284" t="s">
        <v>1603</v>
      </c>
      <c r="H1284">
        <v>3.8425638866544404E-4</v>
      </c>
      <c r="I1284">
        <v>2.0313874560974299E-6</v>
      </c>
      <c r="J1284">
        <v>7.12</v>
      </c>
      <c r="L1284" s="1">
        <v>45901</v>
      </c>
      <c r="M1284" s="1">
        <v>43024</v>
      </c>
      <c r="R1284">
        <v>3.7640177532627689E-2</v>
      </c>
      <c r="T1284" t="s">
        <v>32</v>
      </c>
      <c r="V1284">
        <v>2177375.3912</v>
      </c>
      <c r="W1284" t="s">
        <v>248</v>
      </c>
      <c r="X1284" t="s">
        <v>432</v>
      </c>
      <c r="Y1284">
        <v>2162923.9071344188</v>
      </c>
      <c r="Z1284" t="s">
        <v>31</v>
      </c>
      <c r="AA1284">
        <v>6.4337613164428944E-5</v>
      </c>
      <c r="AB1284">
        <v>100.33</v>
      </c>
      <c r="AC1284" t="s">
        <v>34</v>
      </c>
      <c r="AE1284" t="s">
        <v>41</v>
      </c>
      <c r="AF1284">
        <v>3.6111791297699335E-3</v>
      </c>
      <c r="AH1284" t="s">
        <v>237</v>
      </c>
      <c r="AJ1284">
        <v>5.3968593913685961E-5</v>
      </c>
      <c r="AK1284">
        <v>5.3968593913685961E-5</v>
      </c>
      <c r="AL1284">
        <v>0</v>
      </c>
      <c r="AN1284" t="s">
        <v>54</v>
      </c>
      <c r="AQ1284">
        <v>1.9489026000413139E-7</v>
      </c>
    </row>
    <row r="1285" spans="1:43" x14ac:dyDescent="0.2">
      <c r="A1285">
        <v>1283</v>
      </c>
      <c r="B1285">
        <v>102</v>
      </c>
      <c r="C1285">
        <v>8</v>
      </c>
      <c r="D1285">
        <v>12156909.474009706</v>
      </c>
      <c r="E1285" t="s">
        <v>326</v>
      </c>
      <c r="F1285" t="s">
        <v>87</v>
      </c>
      <c r="G1285" t="s">
        <v>827</v>
      </c>
      <c r="H1285">
        <v>2.938254145470616E-3</v>
      </c>
      <c r="I1285">
        <v>1.2712230766838306E-5</v>
      </c>
      <c r="J1285">
        <v>8.6999999999999993</v>
      </c>
      <c r="L1285" s="1">
        <v>46880</v>
      </c>
      <c r="M1285" s="1">
        <v>43024</v>
      </c>
      <c r="R1285">
        <v>3.7640177532627689E-2</v>
      </c>
      <c r="T1285" t="s">
        <v>32</v>
      </c>
      <c r="V1285">
        <v>13625809.4712</v>
      </c>
      <c r="W1285" t="s">
        <v>327</v>
      </c>
      <c r="X1285" t="s">
        <v>435</v>
      </c>
      <c r="Y1285">
        <v>12156909.474009706</v>
      </c>
      <c r="Z1285" t="s">
        <v>31</v>
      </c>
      <c r="AA1285">
        <v>4.0261870431406647E-4</v>
      </c>
      <c r="AB1285">
        <v>110.15</v>
      </c>
      <c r="AC1285" t="s">
        <v>34</v>
      </c>
      <c r="AE1285" t="s">
        <v>35</v>
      </c>
      <c r="AF1285">
        <v>4.8111791297699366E-3</v>
      </c>
      <c r="AH1285" t="s">
        <v>237</v>
      </c>
      <c r="AJ1285">
        <v>3.3773036154834672E-4</v>
      </c>
      <c r="AK1285">
        <v>3.3773036154834672E-4</v>
      </c>
      <c r="AL1285">
        <v>0</v>
      </c>
      <c r="AN1285" t="s">
        <v>54</v>
      </c>
      <c r="AQ1285">
        <v>1.6248812669710607E-6</v>
      </c>
    </row>
    <row r="1286" spans="1:43" x14ac:dyDescent="0.2">
      <c r="A1286">
        <v>1284</v>
      </c>
      <c r="B1286">
        <v>102</v>
      </c>
      <c r="C1286">
        <v>8</v>
      </c>
      <c r="D1286">
        <v>55446763.598598726</v>
      </c>
      <c r="E1286" t="s">
        <v>326</v>
      </c>
      <c r="F1286" t="s">
        <v>87</v>
      </c>
      <c r="G1286" t="s">
        <v>828</v>
      </c>
      <c r="H1286">
        <v>9.4788273794911473E-3</v>
      </c>
      <c r="I1286">
        <v>6.1303220853123515E-5</v>
      </c>
      <c r="J1286">
        <v>5.82</v>
      </c>
      <c r="L1286" s="1">
        <v>47406</v>
      </c>
      <c r="M1286" s="1">
        <v>43024</v>
      </c>
      <c r="R1286">
        <v>3.7640177532627689E-2</v>
      </c>
      <c r="T1286" t="s">
        <v>32</v>
      </c>
      <c r="V1286">
        <v>65708845.491899997</v>
      </c>
      <c r="W1286" t="s">
        <v>327</v>
      </c>
      <c r="X1286" t="s">
        <v>435</v>
      </c>
      <c r="Y1286">
        <v>55446763.598598726</v>
      </c>
      <c r="Z1286" t="s">
        <v>31</v>
      </c>
      <c r="AA1286">
        <v>1.9415808132235734E-3</v>
      </c>
      <c r="AB1286">
        <v>118.48</v>
      </c>
      <c r="AC1286" t="s">
        <v>34</v>
      </c>
      <c r="AE1286" t="s">
        <v>35</v>
      </c>
      <c r="AF1286">
        <v>2.211179129769935E-3</v>
      </c>
      <c r="AH1286" t="s">
        <v>237</v>
      </c>
      <c r="AJ1286">
        <v>1.6286644981943551E-3</v>
      </c>
      <c r="AK1286">
        <v>1.6286644981943551E-3</v>
      </c>
      <c r="AL1286">
        <v>0</v>
      </c>
      <c r="AN1286" t="s">
        <v>54</v>
      </c>
      <c r="AQ1286">
        <v>3.601268947804582E-6</v>
      </c>
    </row>
    <row r="1287" spans="1:43" x14ac:dyDescent="0.2">
      <c r="A1287">
        <v>1285</v>
      </c>
      <c r="B1287">
        <v>102</v>
      </c>
      <c r="C1287">
        <v>8</v>
      </c>
      <c r="D1287">
        <v>106961846.62535629</v>
      </c>
      <c r="E1287" t="s">
        <v>841</v>
      </c>
      <c r="F1287" t="s">
        <v>87</v>
      </c>
      <c r="G1287" t="s">
        <v>842</v>
      </c>
      <c r="H1287">
        <v>0.15949663708531625</v>
      </c>
      <c r="I1287">
        <v>8.4556080785188638E-4</v>
      </c>
      <c r="J1287">
        <v>7.1</v>
      </c>
      <c r="L1287" s="1">
        <v>47922</v>
      </c>
      <c r="M1287" s="1">
        <v>43024</v>
      </c>
      <c r="R1287">
        <v>3.7640177532627689E-2</v>
      </c>
      <c r="T1287" t="s">
        <v>32</v>
      </c>
      <c r="V1287">
        <v>906327982.50950003</v>
      </c>
      <c r="W1287" t="s">
        <v>843</v>
      </c>
      <c r="X1287" t="s">
        <v>844</v>
      </c>
      <c r="Y1287">
        <v>106961846.62535629</v>
      </c>
      <c r="Z1287" t="s">
        <v>31</v>
      </c>
      <c r="AA1287">
        <v>2.6780397801160531E-2</v>
      </c>
      <c r="AB1287">
        <v>114.18</v>
      </c>
      <c r="AC1287" t="s">
        <v>34</v>
      </c>
      <c r="AE1287" t="s">
        <v>41</v>
      </c>
      <c r="AF1287">
        <v>1.7111791297699346E-3</v>
      </c>
      <c r="AH1287" t="s">
        <v>237</v>
      </c>
      <c r="AJ1287">
        <v>2.2464315082438908E-2</v>
      </c>
      <c r="AK1287">
        <v>2.2464315082438908E-2</v>
      </c>
      <c r="AL1287">
        <v>0</v>
      </c>
      <c r="AN1287" t="s">
        <v>54</v>
      </c>
      <c r="AQ1287">
        <v>3.844046713364543E-5</v>
      </c>
    </row>
    <row r="1288" spans="1:43" x14ac:dyDescent="0.2">
      <c r="A1288">
        <v>1286</v>
      </c>
      <c r="B1288">
        <v>102</v>
      </c>
      <c r="C1288">
        <v>8</v>
      </c>
      <c r="D1288">
        <v>18231717.568411686</v>
      </c>
      <c r="E1288" t="s">
        <v>242</v>
      </c>
      <c r="F1288" t="s">
        <v>87</v>
      </c>
      <c r="G1288" t="s">
        <v>1091</v>
      </c>
      <c r="H1288">
        <v>5.2058713829494585E-3</v>
      </c>
      <c r="I1288">
        <v>1.9634260828280925E-5</v>
      </c>
      <c r="J1288">
        <v>9.98</v>
      </c>
      <c r="L1288" s="1">
        <v>47566</v>
      </c>
      <c r="M1288" s="1">
        <v>43024</v>
      </c>
      <c r="R1288">
        <v>3.7640177532627689E-2</v>
      </c>
      <c r="T1288" t="s">
        <v>32</v>
      </c>
      <c r="V1288">
        <v>21045298.9771</v>
      </c>
      <c r="W1288" t="s">
        <v>243</v>
      </c>
      <c r="X1288" t="s">
        <v>1092</v>
      </c>
      <c r="Y1288">
        <v>18231717.568411686</v>
      </c>
      <c r="Z1288" t="s">
        <v>31</v>
      </c>
      <c r="AA1288">
        <v>6.2185156955052662E-4</v>
      </c>
      <c r="AB1288">
        <v>115.14</v>
      </c>
      <c r="AC1288" t="s">
        <v>33</v>
      </c>
      <c r="AE1288" t="s">
        <v>177</v>
      </c>
      <c r="AF1288">
        <v>4.6111791297699344E-3</v>
      </c>
      <c r="AH1288" t="s">
        <v>237</v>
      </c>
      <c r="AJ1288">
        <v>5.2163039909313205E-4</v>
      </c>
      <c r="AK1288">
        <v>5.2163039909313205E-4</v>
      </c>
      <c r="AL1288">
        <v>0</v>
      </c>
      <c r="AN1288" t="s">
        <v>148</v>
      </c>
      <c r="AQ1288">
        <v>2.4053312097518121E-6</v>
      </c>
    </row>
    <row r="1289" spans="1:43" x14ac:dyDescent="0.2">
      <c r="A1289">
        <v>1287</v>
      </c>
      <c r="B1289">
        <v>102</v>
      </c>
      <c r="C1289">
        <v>8</v>
      </c>
      <c r="D1289">
        <v>3644264.4449092527</v>
      </c>
      <c r="E1289" t="s">
        <v>332</v>
      </c>
      <c r="F1289" t="s">
        <v>87</v>
      </c>
      <c r="G1289" t="s">
        <v>1093</v>
      </c>
      <c r="H1289">
        <v>1.0577702262673557E-3</v>
      </c>
      <c r="I1289">
        <v>3.5265419933951313E-6</v>
      </c>
      <c r="J1289">
        <v>11.29</v>
      </c>
      <c r="L1289" s="1">
        <v>50649</v>
      </c>
      <c r="M1289" s="1">
        <v>43024</v>
      </c>
      <c r="R1289">
        <v>3.7640177532627689E-2</v>
      </c>
      <c r="T1289" t="s">
        <v>32</v>
      </c>
      <c r="V1289">
        <v>3779980.8842000002</v>
      </c>
      <c r="W1289" t="s">
        <v>333</v>
      </c>
      <c r="X1289" t="s">
        <v>437</v>
      </c>
      <c r="Y1289">
        <v>3644264.4449092527</v>
      </c>
      <c r="Z1289" t="s">
        <v>31</v>
      </c>
      <c r="AA1289">
        <v>1.1169178676285374E-4</v>
      </c>
      <c r="AB1289">
        <v>103.31</v>
      </c>
      <c r="AC1289" t="s">
        <v>34</v>
      </c>
      <c r="AE1289" t="s">
        <v>35</v>
      </c>
      <c r="AF1289">
        <v>6.4111791297699339E-3</v>
      </c>
      <c r="AH1289" t="s">
        <v>237</v>
      </c>
      <c r="AJ1289">
        <v>9.3690896923592193E-5</v>
      </c>
      <c r="AK1289">
        <v>9.3690896923592193E-5</v>
      </c>
      <c r="AL1289">
        <v>0</v>
      </c>
      <c r="AN1289" t="s">
        <v>54</v>
      </c>
      <c r="AQ1289">
        <v>6.006691230059604E-7</v>
      </c>
    </row>
    <row r="1290" spans="1:43" x14ac:dyDescent="0.2">
      <c r="A1290">
        <v>1288</v>
      </c>
      <c r="B1290">
        <v>102</v>
      </c>
      <c r="C1290">
        <v>8</v>
      </c>
      <c r="D1290">
        <v>47533818.771817163</v>
      </c>
      <c r="E1290" t="s">
        <v>831</v>
      </c>
      <c r="F1290" t="s">
        <v>87</v>
      </c>
      <c r="G1290" t="s">
        <v>832</v>
      </c>
      <c r="H1290">
        <v>7.9643612763342087E-2</v>
      </c>
      <c r="I1290">
        <v>3.2408645662184311E-4</v>
      </c>
      <c r="J1290">
        <v>9.25</v>
      </c>
      <c r="L1290" s="1">
        <v>49035</v>
      </c>
      <c r="M1290" s="1">
        <v>43024</v>
      </c>
      <c r="R1290">
        <v>3.7640177532627689E-2</v>
      </c>
      <c r="T1290" t="s">
        <v>32</v>
      </c>
      <c r="V1290">
        <v>347377292.87019998</v>
      </c>
      <c r="W1290" t="s">
        <v>833</v>
      </c>
      <c r="X1290" t="s">
        <v>834</v>
      </c>
      <c r="Y1290">
        <v>47533818.771817163</v>
      </c>
      <c r="Z1290" t="s">
        <v>31</v>
      </c>
      <c r="AA1290">
        <v>1.0264388024736608E-2</v>
      </c>
      <c r="AB1290">
        <v>110.41000000000001</v>
      </c>
      <c r="AC1290" t="s">
        <v>34</v>
      </c>
      <c r="AE1290" t="s">
        <v>41</v>
      </c>
      <c r="AF1290">
        <v>4.2111791297699333E-3</v>
      </c>
      <c r="AH1290" t="s">
        <v>237</v>
      </c>
      <c r="AJ1290">
        <v>8.6101202987396847E-3</v>
      </c>
      <c r="AK1290">
        <v>8.6101202987396847E-3</v>
      </c>
      <c r="AL1290">
        <v>0</v>
      </c>
      <c r="AN1290" t="s">
        <v>54</v>
      </c>
      <c r="AQ1290">
        <v>3.6258758906861023E-5</v>
      </c>
    </row>
    <row r="1291" spans="1:43" x14ac:dyDescent="0.2">
      <c r="A1291">
        <v>1289</v>
      </c>
      <c r="B1291">
        <v>102</v>
      </c>
      <c r="C1291">
        <v>8</v>
      </c>
      <c r="D1291">
        <v>26238884.474049639</v>
      </c>
      <c r="E1291" t="s">
        <v>251</v>
      </c>
      <c r="F1291" t="s">
        <v>87</v>
      </c>
      <c r="G1291" t="s">
        <v>861</v>
      </c>
      <c r="H1291">
        <v>4.1382523323960484E-3</v>
      </c>
      <c r="I1291">
        <v>2.1694227362980205E-5</v>
      </c>
      <c r="J1291">
        <v>7.18</v>
      </c>
      <c r="L1291" s="1">
        <v>49135</v>
      </c>
      <c r="M1291" s="1">
        <v>43024</v>
      </c>
      <c r="R1291">
        <v>3.7640177532627689E-2</v>
      </c>
      <c r="T1291" t="s">
        <v>32</v>
      </c>
      <c r="V1291">
        <v>23253307.314399999</v>
      </c>
      <c r="W1291" t="s">
        <v>251</v>
      </c>
      <c r="X1291" t="s">
        <v>862</v>
      </c>
      <c r="Y1291">
        <v>26238884.474049639</v>
      </c>
      <c r="Z1291" t="s">
        <v>31</v>
      </c>
      <c r="AA1291">
        <v>6.8709433239389178E-4</v>
      </c>
      <c r="AB1291">
        <v>108.37</v>
      </c>
      <c r="AC1291" t="s">
        <v>34</v>
      </c>
      <c r="AE1291" t="s">
        <v>41</v>
      </c>
      <c r="AF1291">
        <v>3.1111791297699365E-3</v>
      </c>
      <c r="AH1291" t="s">
        <v>237</v>
      </c>
      <c r="AJ1291">
        <v>5.7635826356490928E-4</v>
      </c>
      <c r="AK1291">
        <v>5.7635826356490928E-4</v>
      </c>
      <c r="AL1291">
        <v>0</v>
      </c>
      <c r="AN1291" t="s">
        <v>54</v>
      </c>
      <c r="AQ1291">
        <v>1.7931538008735861E-6</v>
      </c>
    </row>
    <row r="1292" spans="1:43" x14ac:dyDescent="0.2">
      <c r="A1292">
        <v>1290</v>
      </c>
      <c r="B1292">
        <v>102</v>
      </c>
      <c r="C1292">
        <v>8</v>
      </c>
      <c r="D1292">
        <v>100071471.55668595</v>
      </c>
      <c r="E1292" t="s">
        <v>251</v>
      </c>
      <c r="F1292" t="s">
        <v>87</v>
      </c>
      <c r="G1292" t="s">
        <v>863</v>
      </c>
      <c r="H1292">
        <v>0.14961269035452374</v>
      </c>
      <c r="I1292">
        <v>6.480377705498652E-4</v>
      </c>
      <c r="J1292">
        <v>8.69</v>
      </c>
      <c r="L1292" s="1">
        <v>50895</v>
      </c>
      <c r="M1292" s="1">
        <v>43024</v>
      </c>
      <c r="R1292">
        <v>3.7640177532627689E-2</v>
      </c>
      <c r="T1292" t="s">
        <v>32</v>
      </c>
      <c r="V1292">
        <v>694609730.86549997</v>
      </c>
      <c r="W1292" t="s">
        <v>251</v>
      </c>
      <c r="X1292" t="s">
        <v>862</v>
      </c>
      <c r="Y1292">
        <v>100071471.55668595</v>
      </c>
      <c r="Z1292" t="s">
        <v>31</v>
      </c>
      <c r="AA1292">
        <v>2.0524495842695844E-2</v>
      </c>
      <c r="AB1292">
        <v>108.83</v>
      </c>
      <c r="AC1292" t="s">
        <v>34</v>
      </c>
      <c r="AE1292" t="s">
        <v>41</v>
      </c>
      <c r="AF1292">
        <v>4.1111791297699339E-3</v>
      </c>
      <c r="AH1292" t="s">
        <v>237</v>
      </c>
      <c r="AJ1292">
        <v>1.7216650213408947E-2</v>
      </c>
      <c r="AK1292">
        <v>1.7216650213408947E-2</v>
      </c>
      <c r="AL1292">
        <v>0</v>
      </c>
      <c r="AN1292" t="s">
        <v>54</v>
      </c>
      <c r="AQ1292">
        <v>7.0780733041915942E-5</v>
      </c>
    </row>
    <row r="1293" spans="1:43" x14ac:dyDescent="0.2">
      <c r="A1293">
        <v>1291</v>
      </c>
      <c r="B1293">
        <v>102</v>
      </c>
      <c r="C1293">
        <v>8</v>
      </c>
      <c r="D1293">
        <v>24324657.1159316</v>
      </c>
      <c r="E1293" t="s">
        <v>251</v>
      </c>
      <c r="F1293" t="s">
        <v>87</v>
      </c>
      <c r="G1293" t="s">
        <v>1094</v>
      </c>
      <c r="H1293">
        <v>9.0190721649215641E-2</v>
      </c>
      <c r="I1293">
        <v>2.8745086999765315E-4</v>
      </c>
      <c r="J1293">
        <v>11.81</v>
      </c>
      <c r="L1293" s="1">
        <v>51196</v>
      </c>
      <c r="M1293" s="1">
        <v>43024</v>
      </c>
      <c r="R1293">
        <v>3.7640177532627689E-2</v>
      </c>
      <c r="T1293" t="s">
        <v>32</v>
      </c>
      <c r="V1293">
        <v>308108848.77389997</v>
      </c>
      <c r="W1293" t="s">
        <v>251</v>
      </c>
      <c r="X1293" t="s">
        <v>862</v>
      </c>
      <c r="Y1293">
        <v>24324657.1159316</v>
      </c>
      <c r="Z1293" t="s">
        <v>31</v>
      </c>
      <c r="AA1293">
        <v>9.1040745684315937E-3</v>
      </c>
      <c r="AB1293">
        <v>105.46</v>
      </c>
      <c r="AC1293" t="s">
        <v>34</v>
      </c>
      <c r="AE1293" t="s">
        <v>41</v>
      </c>
      <c r="AF1293">
        <v>6.7111791297699355E-3</v>
      </c>
      <c r="AH1293" t="s">
        <v>237</v>
      </c>
      <c r="AJ1293">
        <v>7.6368096231342617E-3</v>
      </c>
      <c r="AK1293">
        <v>7.6368096231342617E-3</v>
      </c>
      <c r="AL1293">
        <v>0</v>
      </c>
      <c r="AN1293" t="s">
        <v>54</v>
      </c>
      <c r="AQ1293">
        <v>5.1251997360804866E-5</v>
      </c>
    </row>
    <row r="1294" spans="1:43" x14ac:dyDescent="0.2">
      <c r="A1294">
        <v>1292</v>
      </c>
      <c r="B1294">
        <v>102</v>
      </c>
      <c r="C1294">
        <v>8</v>
      </c>
      <c r="D1294">
        <v>4109744.5340434709</v>
      </c>
      <c r="E1294" t="s">
        <v>335</v>
      </c>
      <c r="F1294" t="s">
        <v>87</v>
      </c>
      <c r="G1294" t="s">
        <v>871</v>
      </c>
      <c r="H1294">
        <v>6.60734961347542E-4</v>
      </c>
      <c r="I1294">
        <v>3.8678353417006807E-6</v>
      </c>
      <c r="J1294">
        <v>6.43</v>
      </c>
      <c r="L1294" s="1">
        <v>45580</v>
      </c>
      <c r="M1294" s="1">
        <v>43024</v>
      </c>
      <c r="R1294">
        <v>3.7640177532627689E-2</v>
      </c>
      <c r="T1294" t="s">
        <v>32</v>
      </c>
      <c r="V1294">
        <v>4145801.6612999998</v>
      </c>
      <c r="W1294" t="s">
        <v>336</v>
      </c>
      <c r="X1294" t="s">
        <v>872</v>
      </c>
      <c r="Y1294">
        <v>4109744.5340434709</v>
      </c>
      <c r="Z1294" t="s">
        <v>31</v>
      </c>
      <c r="AA1294">
        <v>1.2250114730752277E-4</v>
      </c>
      <c r="AB1294">
        <v>100.87</v>
      </c>
      <c r="AC1294" t="s">
        <v>34</v>
      </c>
      <c r="AE1294" t="s">
        <v>177</v>
      </c>
      <c r="AF1294">
        <v>2.0111791297699362E-3</v>
      </c>
      <c r="AH1294" t="s">
        <v>237</v>
      </c>
      <c r="AJ1294">
        <v>1.0275815884098632E-4</v>
      </c>
      <c r="AK1294">
        <v>1.0275815884098632E-4</v>
      </c>
      <c r="AL1294">
        <v>0</v>
      </c>
      <c r="AN1294" t="s">
        <v>54</v>
      </c>
      <c r="AQ1294">
        <v>2.0666506447457575E-7</v>
      </c>
    </row>
    <row r="1295" spans="1:43" x14ac:dyDescent="0.2">
      <c r="A1295">
        <v>1293</v>
      </c>
      <c r="B1295">
        <v>102</v>
      </c>
      <c r="C1295">
        <v>8</v>
      </c>
      <c r="D1295">
        <v>4325686.7781309169</v>
      </c>
      <c r="E1295" t="s">
        <v>907</v>
      </c>
      <c r="F1295" t="s">
        <v>87</v>
      </c>
      <c r="G1295" t="s">
        <v>908</v>
      </c>
      <c r="H1295">
        <v>7.4175586864755219E-4</v>
      </c>
      <c r="I1295">
        <v>4.7563581911009074E-6</v>
      </c>
      <c r="J1295">
        <v>5.87</v>
      </c>
      <c r="L1295" s="1">
        <v>47299</v>
      </c>
      <c r="M1295" s="1">
        <v>43024</v>
      </c>
      <c r="R1295">
        <v>3.7640177532627689E-2</v>
      </c>
      <c r="T1295" t="s">
        <v>32</v>
      </c>
      <c r="V1295">
        <v>5098179.2006000001</v>
      </c>
      <c r="W1295" t="s">
        <v>909</v>
      </c>
      <c r="X1295" t="s">
        <v>910</v>
      </c>
      <c r="Y1295">
        <v>4325686.7781309169</v>
      </c>
      <c r="Z1295" t="s">
        <v>31</v>
      </c>
      <c r="AA1295">
        <v>1.5064222851823896E-4</v>
      </c>
      <c r="AB1295">
        <v>116.17</v>
      </c>
      <c r="AC1295" t="s">
        <v>34</v>
      </c>
      <c r="AE1295" t="s">
        <v>175</v>
      </c>
      <c r="AF1295">
        <v>-6.888208702300648E-4</v>
      </c>
      <c r="AH1295" t="s">
        <v>237</v>
      </c>
      <c r="AJ1295">
        <v>1.2636386177982149E-4</v>
      </c>
      <c r="AK1295">
        <v>1.2636386177982149E-4</v>
      </c>
      <c r="AL1295">
        <v>0</v>
      </c>
      <c r="AN1295" t="s">
        <v>54</v>
      </c>
      <c r="AQ1295">
        <v>-8.7042065236808261E-8</v>
      </c>
    </row>
    <row r="1296" spans="1:43" x14ac:dyDescent="0.2">
      <c r="A1296">
        <v>1294</v>
      </c>
      <c r="B1296">
        <v>102</v>
      </c>
      <c r="C1296">
        <v>8</v>
      </c>
      <c r="D1296">
        <v>16057532.890372137</v>
      </c>
      <c r="E1296" t="s">
        <v>837</v>
      </c>
      <c r="F1296" t="s">
        <v>87</v>
      </c>
      <c r="G1296" t="s">
        <v>838</v>
      </c>
      <c r="H1296">
        <v>3.519369970029163E-3</v>
      </c>
      <c r="I1296">
        <v>1.7453189785888838E-5</v>
      </c>
      <c r="J1296">
        <v>7.59</v>
      </c>
      <c r="L1296" s="1">
        <v>47341</v>
      </c>
      <c r="M1296" s="1">
        <v>43024</v>
      </c>
      <c r="R1296">
        <v>3.7640177532627689E-2</v>
      </c>
      <c r="T1296" t="s">
        <v>32</v>
      </c>
      <c r="V1296">
        <v>18707482.820999999</v>
      </c>
      <c r="W1296" t="s">
        <v>839</v>
      </c>
      <c r="X1296" t="s">
        <v>840</v>
      </c>
      <c r="Y1296">
        <v>16057532.890372137</v>
      </c>
      <c r="Z1296" t="s">
        <v>31</v>
      </c>
      <c r="AA1296">
        <v>5.5277321397224465E-4</v>
      </c>
      <c r="AB1296">
        <v>115.55</v>
      </c>
      <c r="AC1296" t="s">
        <v>34</v>
      </c>
      <c r="AE1296" t="s">
        <v>178</v>
      </c>
      <c r="AF1296">
        <v>2.9111791297699342E-3</v>
      </c>
      <c r="AH1296" t="s">
        <v>237</v>
      </c>
      <c r="AJ1296">
        <v>4.6368510804073297E-4</v>
      </c>
      <c r="AK1296">
        <v>4.6368510804073297E-4</v>
      </c>
      <c r="AL1296">
        <v>0</v>
      </c>
      <c r="AN1296" t="s">
        <v>54</v>
      </c>
      <c r="AQ1296">
        <v>1.349870409313299E-6</v>
      </c>
    </row>
    <row r="1297" spans="1:43" x14ac:dyDescent="0.2">
      <c r="A1297">
        <v>1295</v>
      </c>
      <c r="B1297">
        <v>102</v>
      </c>
      <c r="C1297">
        <v>8</v>
      </c>
      <c r="D1297">
        <v>99951651.248947099</v>
      </c>
      <c r="E1297" t="s">
        <v>879</v>
      </c>
      <c r="F1297" t="s">
        <v>87</v>
      </c>
      <c r="G1297" t="s">
        <v>880</v>
      </c>
      <c r="H1297">
        <v>1.8218277249103673E-2</v>
      </c>
      <c r="I1297">
        <v>9.6582984506323136E-5</v>
      </c>
      <c r="J1297">
        <v>7.1</v>
      </c>
      <c r="L1297" s="1">
        <v>45901</v>
      </c>
      <c r="M1297" s="1">
        <v>43024</v>
      </c>
      <c r="R1297">
        <v>3.7640177532627689E-2</v>
      </c>
      <c r="T1297" t="s">
        <v>32</v>
      </c>
      <c r="V1297">
        <v>103524028.88060001</v>
      </c>
      <c r="W1297" t="s">
        <v>879</v>
      </c>
      <c r="X1297" t="s">
        <v>881</v>
      </c>
      <c r="Y1297">
        <v>99951651.248947099</v>
      </c>
      <c r="Z1297" t="s">
        <v>31</v>
      </c>
      <c r="AA1297">
        <v>3.0589529716657945E-3</v>
      </c>
      <c r="AB1297">
        <v>103.21</v>
      </c>
      <c r="AC1297" t="s">
        <v>34</v>
      </c>
      <c r="AE1297" t="s">
        <v>175</v>
      </c>
      <c r="AF1297">
        <v>8.1117912976993653E-4</v>
      </c>
      <c r="AH1297" t="s">
        <v>237</v>
      </c>
      <c r="AJ1297">
        <v>2.565954542127278E-3</v>
      </c>
      <c r="AK1297">
        <v>2.565954542127278E-3</v>
      </c>
      <c r="AL1297">
        <v>0</v>
      </c>
      <c r="AN1297" t="s">
        <v>54</v>
      </c>
      <c r="AQ1297">
        <v>2.0814487725120212E-6</v>
      </c>
    </row>
    <row r="1298" spans="1:43" x14ac:dyDescent="0.2">
      <c r="A1298">
        <v>1296</v>
      </c>
      <c r="B1298">
        <v>102</v>
      </c>
      <c r="C1298">
        <v>8</v>
      </c>
      <c r="D1298">
        <v>7787044.2151182033</v>
      </c>
      <c r="E1298" t="s">
        <v>883</v>
      </c>
      <c r="F1298" t="s">
        <v>87</v>
      </c>
      <c r="G1298" t="s">
        <v>884</v>
      </c>
      <c r="H1298">
        <v>1.3179128411215568E-3</v>
      </c>
      <c r="I1298">
        <v>8.3372224054361595E-6</v>
      </c>
      <c r="J1298">
        <v>5.95</v>
      </c>
      <c r="L1298" s="1">
        <v>47467</v>
      </c>
      <c r="M1298" s="1">
        <v>43024</v>
      </c>
      <c r="R1298">
        <v>3.7640177532627689E-2</v>
      </c>
      <c r="T1298" t="s">
        <v>32</v>
      </c>
      <c r="V1298">
        <v>8936386.2329999991</v>
      </c>
      <c r="W1298" t="s">
        <v>882</v>
      </c>
      <c r="X1298" t="s">
        <v>885</v>
      </c>
      <c r="Y1298">
        <v>7787044.2151182033</v>
      </c>
      <c r="Z1298" t="s">
        <v>31</v>
      </c>
      <c r="AA1298">
        <v>2.640544955501756E-4</v>
      </c>
      <c r="AB1298">
        <v>112.97</v>
      </c>
      <c r="AC1298" t="s">
        <v>33</v>
      </c>
      <c r="AE1298" t="s">
        <v>175</v>
      </c>
      <c r="AF1298">
        <v>2.211179129769935E-3</v>
      </c>
      <c r="AH1298" t="s">
        <v>237</v>
      </c>
      <c r="AJ1298">
        <v>2.2149795649101795E-4</v>
      </c>
      <c r="AK1298">
        <v>2.2149795649101795E-4</v>
      </c>
      <c r="AL1298">
        <v>0</v>
      </c>
      <c r="AN1298" t="s">
        <v>148</v>
      </c>
      <c r="AQ1298">
        <v>4.8977165867962795E-7</v>
      </c>
    </row>
    <row r="1299" spans="1:43" x14ac:dyDescent="0.2">
      <c r="A1299">
        <v>1297</v>
      </c>
      <c r="B1299">
        <v>102</v>
      </c>
      <c r="C1299">
        <v>8</v>
      </c>
      <c r="D1299">
        <v>42545858.474002033</v>
      </c>
      <c r="E1299" t="s">
        <v>348</v>
      </c>
      <c r="F1299" t="s">
        <v>87</v>
      </c>
      <c r="G1299" t="s">
        <v>1053</v>
      </c>
      <c r="H1299">
        <v>1.5180881629401871E-2</v>
      </c>
      <c r="I1299">
        <v>4.2866547609339289E-5</v>
      </c>
      <c r="J1299">
        <v>13.33</v>
      </c>
      <c r="L1299" s="1">
        <v>49459</v>
      </c>
      <c r="M1299" s="1">
        <v>43024</v>
      </c>
      <c r="R1299">
        <v>3.7640177532627689E-2</v>
      </c>
      <c r="T1299" t="s">
        <v>32</v>
      </c>
      <c r="V1299">
        <v>45947200.0726</v>
      </c>
      <c r="W1299" t="s">
        <v>348</v>
      </c>
      <c r="X1299" t="s">
        <v>647</v>
      </c>
      <c r="Y1299">
        <v>42545858.474002033</v>
      </c>
      <c r="Z1299" t="s">
        <v>31</v>
      </c>
      <c r="AA1299">
        <v>1.3576589485703562E-3</v>
      </c>
      <c r="AB1299">
        <v>106.59</v>
      </c>
      <c r="AC1299" t="s">
        <v>34</v>
      </c>
      <c r="AE1299" t="s">
        <v>58</v>
      </c>
      <c r="AF1299">
        <v>6.4111791297699339E-3</v>
      </c>
      <c r="AH1299" t="s">
        <v>237</v>
      </c>
      <c r="AJ1299">
        <v>1.1388508349138688E-3</v>
      </c>
      <c r="AK1299">
        <v>1.1388508349138688E-3</v>
      </c>
      <c r="AL1299">
        <v>0</v>
      </c>
      <c r="AN1299" t="s">
        <v>54</v>
      </c>
      <c r="AQ1299">
        <v>7.3013767047208601E-6</v>
      </c>
    </row>
    <row r="1300" spans="1:43" x14ac:dyDescent="0.2">
      <c r="A1300">
        <v>1298</v>
      </c>
      <c r="B1300">
        <v>102</v>
      </c>
      <c r="C1300">
        <v>8</v>
      </c>
      <c r="D1300">
        <v>1297361.4222001326</v>
      </c>
      <c r="E1300" t="s">
        <v>875</v>
      </c>
      <c r="F1300" t="s">
        <v>87</v>
      </c>
      <c r="G1300" t="s">
        <v>876</v>
      </c>
      <c r="H1300">
        <v>2.6303021254913328E-4</v>
      </c>
      <c r="I1300">
        <v>1.3470073328971662E-6</v>
      </c>
      <c r="J1300">
        <v>7.35</v>
      </c>
      <c r="L1300" s="1">
        <v>48075</v>
      </c>
      <c r="M1300" s="1">
        <v>43024</v>
      </c>
      <c r="R1300">
        <v>3.7640177532627689E-2</v>
      </c>
      <c r="T1300" t="s">
        <v>32</v>
      </c>
      <c r="V1300">
        <v>1443811.5238000001</v>
      </c>
      <c r="W1300" t="s">
        <v>877</v>
      </c>
      <c r="X1300" t="s">
        <v>878</v>
      </c>
      <c r="Y1300">
        <v>1297361.4222001326</v>
      </c>
      <c r="Z1300" t="s">
        <v>31</v>
      </c>
      <c r="AA1300">
        <v>4.266209110106392E-5</v>
      </c>
      <c r="AB1300">
        <v>110.55</v>
      </c>
      <c r="AC1300" t="s">
        <v>33</v>
      </c>
      <c r="AE1300" t="s">
        <v>44</v>
      </c>
      <c r="AF1300">
        <v>2.1111791297699356E-3</v>
      </c>
      <c r="AH1300" t="s">
        <v>237</v>
      </c>
      <c r="AJ1300">
        <v>3.5786423476072554E-5</v>
      </c>
      <c r="AK1300">
        <v>3.5786423476072554E-5</v>
      </c>
      <c r="AL1300">
        <v>0</v>
      </c>
      <c r="AN1300" t="s">
        <v>148</v>
      </c>
      <c r="AQ1300">
        <v>7.555155037179325E-8</v>
      </c>
    </row>
    <row r="1301" spans="1:43" x14ac:dyDescent="0.2">
      <c r="A1301">
        <v>1299</v>
      </c>
      <c r="B1301">
        <v>102</v>
      </c>
      <c r="C1301">
        <v>8</v>
      </c>
      <c r="D1301">
        <v>6489120.2235362167</v>
      </c>
      <c r="E1301" t="s">
        <v>924</v>
      </c>
      <c r="F1301" t="s">
        <v>87</v>
      </c>
      <c r="G1301" t="s">
        <v>925</v>
      </c>
      <c r="H1301">
        <v>1.4807550713117961E-3</v>
      </c>
      <c r="I1301">
        <v>6.5417703951308429E-6</v>
      </c>
      <c r="J1301">
        <v>8.52</v>
      </c>
      <c r="L1301" s="1">
        <v>48837</v>
      </c>
      <c r="M1301" s="1">
        <v>43024</v>
      </c>
      <c r="R1301">
        <v>3.7640177532627689E-2</v>
      </c>
      <c r="T1301" t="s">
        <v>32</v>
      </c>
      <c r="V1301">
        <v>7011902.0526999999</v>
      </c>
      <c r="W1301" t="s">
        <v>926</v>
      </c>
      <c r="X1301" t="s">
        <v>927</v>
      </c>
      <c r="Y1301">
        <v>6489120.2235362167</v>
      </c>
      <c r="Z1301" t="s">
        <v>31</v>
      </c>
      <c r="AA1301">
        <v>2.0718937287375627E-4</v>
      </c>
      <c r="AB1301">
        <v>106.5</v>
      </c>
      <c r="AC1301" t="s">
        <v>36</v>
      </c>
      <c r="AE1301" t="s">
        <v>41</v>
      </c>
      <c r="AF1301">
        <v>3.7111791297699363E-3</v>
      </c>
      <c r="AH1301" t="s">
        <v>237</v>
      </c>
      <c r="AJ1301">
        <v>1.7379754358119674E-4</v>
      </c>
      <c r="AK1301">
        <v>1.7379754358119674E-4</v>
      </c>
      <c r="AL1301">
        <v>0</v>
      </c>
      <c r="AN1301" t="s">
        <v>150</v>
      </c>
      <c r="AQ1301">
        <v>6.4499381654381832E-7</v>
      </c>
    </row>
    <row r="1302" spans="1:43" x14ac:dyDescent="0.2">
      <c r="A1302">
        <v>1300</v>
      </c>
      <c r="B1302">
        <v>102</v>
      </c>
      <c r="C1302">
        <v>8</v>
      </c>
      <c r="D1302">
        <v>24314113.535019275</v>
      </c>
      <c r="E1302" t="s">
        <v>513</v>
      </c>
      <c r="F1302" t="s">
        <v>87</v>
      </c>
      <c r="G1302" t="s">
        <v>928</v>
      </c>
      <c r="H1302">
        <v>5.4949711046199884E-3</v>
      </c>
      <c r="I1302">
        <v>2.99756069441385E-5</v>
      </c>
      <c r="J1302">
        <v>6.9</v>
      </c>
      <c r="L1302" s="1">
        <v>46174</v>
      </c>
      <c r="M1302" s="1">
        <v>43024</v>
      </c>
      <c r="R1302">
        <v>3.7640177532627689E-2</v>
      </c>
      <c r="T1302" t="s">
        <v>32</v>
      </c>
      <c r="V1302">
        <v>32129837.515999999</v>
      </c>
      <c r="W1302" t="s">
        <v>515</v>
      </c>
      <c r="X1302" t="s">
        <v>516</v>
      </c>
      <c r="Y1302">
        <v>24314113.535019275</v>
      </c>
      <c r="Z1302" t="s">
        <v>31</v>
      </c>
      <c r="AA1302">
        <v>9.4938018749312128E-4</v>
      </c>
      <c r="AB1302">
        <v>129.05000000000001</v>
      </c>
      <c r="AC1302" t="s">
        <v>34</v>
      </c>
      <c r="AE1302" t="s">
        <v>175</v>
      </c>
      <c r="AF1302">
        <v>1.9111791297699333E-3</v>
      </c>
      <c r="AH1302" t="s">
        <v>237</v>
      </c>
      <c r="AJ1302">
        <v>7.9637262385796935E-4</v>
      </c>
      <c r="AK1302">
        <v>7.9637262385796935E-4</v>
      </c>
      <c r="AL1302">
        <v>0</v>
      </c>
      <c r="AN1302" t="s">
        <v>54</v>
      </c>
      <c r="AQ1302">
        <v>1.5220107382374722E-6</v>
      </c>
    </row>
    <row r="1303" spans="1:43" x14ac:dyDescent="0.2">
      <c r="A1303">
        <v>1301</v>
      </c>
      <c r="B1303">
        <v>102</v>
      </c>
      <c r="C1303">
        <v>8</v>
      </c>
      <c r="D1303">
        <v>8868531.1303864457</v>
      </c>
      <c r="E1303" t="s">
        <v>496</v>
      </c>
      <c r="F1303" t="s">
        <v>87</v>
      </c>
      <c r="G1303" t="s">
        <v>969</v>
      </c>
      <c r="H1303">
        <v>1.2941426540001716E-3</v>
      </c>
      <c r="I1303">
        <v>8.9379374769013629E-6</v>
      </c>
      <c r="J1303">
        <v>5.45</v>
      </c>
      <c r="L1303" s="1">
        <v>45203</v>
      </c>
      <c r="M1303" s="1">
        <v>43024</v>
      </c>
      <c r="R1303">
        <v>3.7640177532627689E-2</v>
      </c>
      <c r="T1303" t="s">
        <v>32</v>
      </c>
      <c r="V1303">
        <v>9580272.3660000004</v>
      </c>
      <c r="W1303" t="s">
        <v>498</v>
      </c>
      <c r="X1303" t="s">
        <v>499</v>
      </c>
      <c r="Y1303">
        <v>8868531.1303864457</v>
      </c>
      <c r="Z1303" t="s">
        <v>31</v>
      </c>
      <c r="AA1303">
        <v>2.8308019829041979E-4</v>
      </c>
      <c r="AB1303">
        <v>107.89</v>
      </c>
      <c r="AC1303" t="s">
        <v>33</v>
      </c>
      <c r="AE1303" t="s">
        <v>43</v>
      </c>
      <c r="AF1303">
        <v>-1.9888208702300639E-3</v>
      </c>
      <c r="AH1303" t="s">
        <v>237</v>
      </c>
      <c r="AJ1303">
        <v>2.374573677064535E-4</v>
      </c>
      <c r="AK1303">
        <v>2.374573677064535E-4</v>
      </c>
      <c r="AL1303">
        <v>0</v>
      </c>
      <c r="AN1303" t="s">
        <v>148</v>
      </c>
      <c r="AQ1303">
        <v>-4.7226016868448912E-7</v>
      </c>
    </row>
    <row r="1304" spans="1:43" x14ac:dyDescent="0.2">
      <c r="A1304">
        <v>1302</v>
      </c>
      <c r="B1304">
        <v>102</v>
      </c>
      <c r="C1304">
        <v>8</v>
      </c>
      <c r="D1304">
        <v>104154983.93238895</v>
      </c>
      <c r="E1304" t="s">
        <v>929</v>
      </c>
      <c r="F1304" t="s">
        <v>87</v>
      </c>
      <c r="G1304" t="s">
        <v>930</v>
      </c>
      <c r="H1304">
        <v>2.476901147240286E-2</v>
      </c>
      <c r="I1304">
        <v>1.1098928442011138E-4</v>
      </c>
      <c r="J1304">
        <v>8.4</v>
      </c>
      <c r="L1304" s="1">
        <v>46736</v>
      </c>
      <c r="M1304" s="1">
        <v>43024</v>
      </c>
      <c r="R1304">
        <v>3.7640177532627689E-2</v>
      </c>
      <c r="T1304" t="s">
        <v>32</v>
      </c>
      <c r="V1304">
        <v>118965653.67569999</v>
      </c>
      <c r="W1304" t="s">
        <v>931</v>
      </c>
      <c r="X1304" t="s">
        <v>932</v>
      </c>
      <c r="Y1304">
        <v>104154983.93238895</v>
      </c>
      <c r="Z1304" t="s">
        <v>31</v>
      </c>
      <c r="AA1304">
        <v>3.5152258250803225E-3</v>
      </c>
      <c r="AB1304">
        <v>112.62</v>
      </c>
      <c r="AC1304" t="s">
        <v>34</v>
      </c>
      <c r="AE1304" t="s">
        <v>178</v>
      </c>
      <c r="AF1304">
        <v>4.1111791297699339E-3</v>
      </c>
      <c r="AH1304" t="s">
        <v>237</v>
      </c>
      <c r="AJ1304">
        <v>2.9486918419527213E-3</v>
      </c>
      <c r="AK1304">
        <v>2.9486918419527213E-3</v>
      </c>
      <c r="AL1304">
        <v>0</v>
      </c>
      <c r="AN1304" t="s">
        <v>54</v>
      </c>
      <c r="AQ1304">
        <v>1.2122600360758893E-5</v>
      </c>
    </row>
    <row r="1305" spans="1:43" x14ac:dyDescent="0.2">
      <c r="A1305">
        <v>1303</v>
      </c>
      <c r="B1305">
        <v>102</v>
      </c>
      <c r="C1305">
        <v>8</v>
      </c>
      <c r="D1305">
        <v>42550248.0755722</v>
      </c>
      <c r="E1305" t="s">
        <v>929</v>
      </c>
      <c r="F1305" t="s">
        <v>87</v>
      </c>
      <c r="G1305" t="s">
        <v>1095</v>
      </c>
      <c r="H1305">
        <v>1.3523698568180401E-2</v>
      </c>
      <c r="I1305">
        <v>4.8204016572353517E-5</v>
      </c>
      <c r="J1305">
        <v>10.56</v>
      </c>
      <c r="L1305" s="1">
        <v>48061</v>
      </c>
      <c r="M1305" s="1">
        <v>43024</v>
      </c>
      <c r="R1305">
        <v>3.7640177532627689E-2</v>
      </c>
      <c r="T1305" t="s">
        <v>32</v>
      </c>
      <c r="V1305">
        <v>51668252.221699998</v>
      </c>
      <c r="W1305" t="s">
        <v>931</v>
      </c>
      <c r="X1305" t="s">
        <v>1096</v>
      </c>
      <c r="Y1305">
        <v>42550248.0755722</v>
      </c>
      <c r="Z1305" t="s">
        <v>31</v>
      </c>
      <c r="AA1305">
        <v>1.5267059771856028E-3</v>
      </c>
      <c r="AB1305">
        <v>120.25</v>
      </c>
      <c r="AC1305" t="s">
        <v>34</v>
      </c>
      <c r="AE1305" t="s">
        <v>178</v>
      </c>
      <c r="AF1305">
        <v>5.9111791297699334E-3</v>
      </c>
      <c r="AH1305" t="s">
        <v>237</v>
      </c>
      <c r="AJ1305">
        <v>1.2806532735019319E-3</v>
      </c>
      <c r="AK1305">
        <v>1.2806532735019319E-3</v>
      </c>
      <c r="AL1305">
        <v>0</v>
      </c>
      <c r="AN1305" t="s">
        <v>54</v>
      </c>
      <c r="AQ1305">
        <v>7.5701709027961666E-6</v>
      </c>
    </row>
    <row r="1306" spans="1:43" x14ac:dyDescent="0.2">
      <c r="A1306">
        <v>1304</v>
      </c>
      <c r="B1306">
        <v>102</v>
      </c>
      <c r="C1306">
        <v>8</v>
      </c>
      <c r="D1306">
        <v>6488880.6944063464</v>
      </c>
      <c r="E1306" t="s">
        <v>500</v>
      </c>
      <c r="F1306" t="s">
        <v>87</v>
      </c>
      <c r="G1306" t="s">
        <v>936</v>
      </c>
      <c r="H1306">
        <v>1.1410578922296398E-3</v>
      </c>
      <c r="I1306">
        <v>6.8940002630063555E-6</v>
      </c>
      <c r="J1306">
        <v>6.23</v>
      </c>
      <c r="L1306" s="1">
        <v>47605</v>
      </c>
      <c r="M1306" s="1">
        <v>43024</v>
      </c>
      <c r="R1306">
        <v>3.7640177532627689E-2</v>
      </c>
      <c r="T1306" t="s">
        <v>32</v>
      </c>
      <c r="V1306">
        <v>7389445.3146000002</v>
      </c>
      <c r="W1306" t="s">
        <v>502</v>
      </c>
      <c r="X1306" t="s">
        <v>503</v>
      </c>
      <c r="Y1306">
        <v>6488880.6944063464</v>
      </c>
      <c r="Z1306" t="s">
        <v>31</v>
      </c>
      <c r="AA1306">
        <v>2.1834511222634079E-4</v>
      </c>
      <c r="AB1306">
        <v>111.6</v>
      </c>
      <c r="AC1306" t="s">
        <v>33</v>
      </c>
      <c r="AE1306" t="s">
        <v>35</v>
      </c>
      <c r="AF1306">
        <v>2.8111791297699348E-3</v>
      </c>
      <c r="AH1306" t="s">
        <v>237</v>
      </c>
      <c r="AJ1306">
        <v>1.831553599084494E-4</v>
      </c>
      <c r="AK1306">
        <v>1.831553599084494E-4</v>
      </c>
      <c r="AL1306">
        <v>0</v>
      </c>
      <c r="AN1306" t="s">
        <v>148</v>
      </c>
      <c r="AQ1306">
        <v>5.1488252528013398E-7</v>
      </c>
    </row>
    <row r="1307" spans="1:43" x14ac:dyDescent="0.2">
      <c r="A1307">
        <v>1305</v>
      </c>
      <c r="B1307">
        <v>102</v>
      </c>
      <c r="C1307">
        <v>8</v>
      </c>
      <c r="D1307">
        <v>12164225.413413994</v>
      </c>
      <c r="E1307" t="s">
        <v>359</v>
      </c>
      <c r="F1307" t="s">
        <v>87</v>
      </c>
      <c r="G1307" t="s">
        <v>1097</v>
      </c>
      <c r="H1307">
        <v>8.1287950345203974E-2</v>
      </c>
      <c r="I1307">
        <v>3.0535857108352312E-4</v>
      </c>
      <c r="J1307">
        <v>10.02</v>
      </c>
      <c r="L1307" s="1">
        <v>48549</v>
      </c>
      <c r="M1307" s="1">
        <v>43024</v>
      </c>
      <c r="R1307">
        <v>3.7640177532627689E-2</v>
      </c>
      <c r="T1307" t="s">
        <v>32</v>
      </c>
      <c r="V1307">
        <v>327303506.85860002</v>
      </c>
      <c r="W1307" t="s">
        <v>360</v>
      </c>
      <c r="X1307" t="s">
        <v>445</v>
      </c>
      <c r="Y1307">
        <v>12164225.413413994</v>
      </c>
      <c r="Z1307" t="s">
        <v>31</v>
      </c>
      <c r="AA1307">
        <v>9.6712429545849372E-3</v>
      </c>
      <c r="AB1307">
        <v>113.46</v>
      </c>
      <c r="AC1307" t="s">
        <v>33</v>
      </c>
      <c r="AE1307" t="s">
        <v>38</v>
      </c>
      <c r="AF1307">
        <v>3.2111791297699359E-3</v>
      </c>
      <c r="AH1307" t="s">
        <v>237</v>
      </c>
      <c r="AJ1307">
        <v>8.1125698947309352E-3</v>
      </c>
      <c r="AK1307">
        <v>8.1125698947309352E-3</v>
      </c>
      <c r="AL1307">
        <v>0</v>
      </c>
      <c r="AN1307" t="s">
        <v>148</v>
      </c>
      <c r="AQ1307">
        <v>2.6050915134759865E-5</v>
      </c>
    </row>
    <row r="1308" spans="1:43" x14ac:dyDescent="0.2">
      <c r="A1308">
        <v>1306</v>
      </c>
      <c r="B1308">
        <v>102</v>
      </c>
      <c r="C1308">
        <v>8</v>
      </c>
      <c r="D1308">
        <v>4325971.837875112</v>
      </c>
      <c r="E1308" t="s">
        <v>359</v>
      </c>
      <c r="F1308" t="s">
        <v>87</v>
      </c>
      <c r="G1308" t="s">
        <v>937</v>
      </c>
      <c r="H1308">
        <v>9.6979873966503084E-4</v>
      </c>
      <c r="I1308">
        <v>4.484446772961958E-6</v>
      </c>
      <c r="J1308">
        <v>8.14</v>
      </c>
      <c r="L1308" s="1">
        <v>48366</v>
      </c>
      <c r="M1308" s="1">
        <v>43024</v>
      </c>
      <c r="R1308">
        <v>3.7640177532627689E-2</v>
      </c>
      <c r="T1308" t="s">
        <v>32</v>
      </c>
      <c r="V1308">
        <v>4806726.5637999997</v>
      </c>
      <c r="W1308" t="s">
        <v>360</v>
      </c>
      <c r="X1308" t="s">
        <v>445</v>
      </c>
      <c r="Y1308">
        <v>4325971.837875112</v>
      </c>
      <c r="Z1308" t="s">
        <v>31</v>
      </c>
      <c r="AA1308">
        <v>1.4203031571809614E-4</v>
      </c>
      <c r="AB1308">
        <v>109.54</v>
      </c>
      <c r="AC1308" t="s">
        <v>33</v>
      </c>
      <c r="AE1308" t="s">
        <v>38</v>
      </c>
      <c r="AF1308">
        <v>3.2111791297699359E-3</v>
      </c>
      <c r="AH1308" t="s">
        <v>237</v>
      </c>
      <c r="AJ1308">
        <v>1.1913989430774334E-4</v>
      </c>
      <c r="AK1308">
        <v>1.1913989430774334E-4</v>
      </c>
      <c r="AL1308">
        <v>0</v>
      </c>
      <c r="AN1308" t="s">
        <v>148</v>
      </c>
      <c r="AQ1308">
        <v>3.8257954212402141E-7</v>
      </c>
    </row>
    <row r="1309" spans="1:43" x14ac:dyDescent="0.2">
      <c r="A1309">
        <v>1307</v>
      </c>
      <c r="B1309">
        <v>102</v>
      </c>
      <c r="C1309">
        <v>8</v>
      </c>
      <c r="D1309">
        <v>4340598.7720655017</v>
      </c>
      <c r="E1309" t="s">
        <v>938</v>
      </c>
      <c r="F1309" t="s">
        <v>87</v>
      </c>
      <c r="G1309" t="s">
        <v>939</v>
      </c>
      <c r="H1309">
        <v>8.3099088508266153E-2</v>
      </c>
      <c r="I1309">
        <v>3.8663342945002214E-4</v>
      </c>
      <c r="J1309">
        <v>8.09</v>
      </c>
      <c r="L1309" s="1">
        <v>46371</v>
      </c>
      <c r="M1309" s="1">
        <v>43024</v>
      </c>
      <c r="R1309">
        <v>3.7640177532627689E-2</v>
      </c>
      <c r="T1309" t="s">
        <v>32</v>
      </c>
      <c r="V1309">
        <v>414419273.96609998</v>
      </c>
      <c r="W1309" t="s">
        <v>366</v>
      </c>
      <c r="X1309" t="s">
        <v>940</v>
      </c>
      <c r="Y1309">
        <v>4340598.7720655017</v>
      </c>
      <c r="Z1309" t="s">
        <v>31</v>
      </c>
      <c r="AA1309">
        <v>1.2245360650291909E-2</v>
      </c>
      <c r="AB1309">
        <v>101.57</v>
      </c>
      <c r="AC1309" t="s">
        <v>34</v>
      </c>
      <c r="AE1309" t="s">
        <v>44</v>
      </c>
      <c r="AF1309">
        <v>2.4111791297699338E-3</v>
      </c>
      <c r="AH1309" t="s">
        <v>237</v>
      </c>
      <c r="AJ1309">
        <v>1.0271827998549586E-2</v>
      </c>
      <c r="AK1309">
        <v>1.0271827998549586E-2</v>
      </c>
      <c r="AL1309">
        <v>0</v>
      </c>
      <c r="AN1309" t="s">
        <v>54</v>
      </c>
      <c r="AQ1309">
        <v>2.4767217294689232E-5</v>
      </c>
    </row>
    <row r="1310" spans="1:43" x14ac:dyDescent="0.2">
      <c r="A1310">
        <v>1308</v>
      </c>
      <c r="B1310">
        <v>102</v>
      </c>
      <c r="C1310">
        <v>8</v>
      </c>
      <c r="D1310">
        <v>96985461.512003213</v>
      </c>
      <c r="E1310" t="s">
        <v>367</v>
      </c>
      <c r="F1310" t="s">
        <v>87</v>
      </c>
      <c r="G1310" t="s">
        <v>956</v>
      </c>
      <c r="H1310">
        <v>0.119759074767888</v>
      </c>
      <c r="I1310">
        <v>6.7380460917885457E-4</v>
      </c>
      <c r="J1310">
        <v>6.69</v>
      </c>
      <c r="L1310" s="1">
        <v>47818</v>
      </c>
      <c r="M1310" s="1">
        <v>43024</v>
      </c>
      <c r="R1310">
        <v>3.7640177532627689E-2</v>
      </c>
      <c r="T1310" t="s">
        <v>32</v>
      </c>
      <c r="V1310">
        <v>722228332.21669996</v>
      </c>
      <c r="W1310" t="s">
        <v>368</v>
      </c>
      <c r="X1310" t="s">
        <v>957</v>
      </c>
      <c r="Y1310">
        <v>96985461.512003213</v>
      </c>
      <c r="Z1310" t="s">
        <v>31</v>
      </c>
      <c r="AA1310">
        <v>2.1340576936042258E-2</v>
      </c>
      <c r="AB1310">
        <v>112.73</v>
      </c>
      <c r="AC1310" t="s">
        <v>34</v>
      </c>
      <c r="AE1310" t="s">
        <v>179</v>
      </c>
      <c r="AF1310">
        <v>2.5111791297699367E-3</v>
      </c>
      <c r="AH1310" t="s">
        <v>237</v>
      </c>
      <c r="AJ1310">
        <v>1.7901206990715693E-2</v>
      </c>
      <c r="AK1310">
        <v>1.7901206990715693E-2</v>
      </c>
      <c r="AL1310">
        <v>0</v>
      </c>
      <c r="AN1310" t="s">
        <v>54</v>
      </c>
      <c r="AQ1310">
        <v>4.4953137392776939E-5</v>
      </c>
    </row>
    <row r="1311" spans="1:43" x14ac:dyDescent="0.2">
      <c r="A1311">
        <v>1309</v>
      </c>
      <c r="B1311">
        <v>104</v>
      </c>
      <c r="C1311">
        <v>8</v>
      </c>
      <c r="D1311">
        <v>11187714.729683802</v>
      </c>
      <c r="E1311" t="s">
        <v>440</v>
      </c>
      <c r="F1311" t="s">
        <v>87</v>
      </c>
      <c r="G1311" t="s">
        <v>522</v>
      </c>
      <c r="H1311">
        <v>7.2915152397371241E-5</v>
      </c>
      <c r="I1311">
        <v>3.5536236684865065E-7</v>
      </c>
      <c r="J1311">
        <v>0.65</v>
      </c>
      <c r="L1311" s="1">
        <v>43358</v>
      </c>
      <c r="M1311" s="1">
        <v>43024</v>
      </c>
      <c r="R1311">
        <v>3.1678674576829176E-3</v>
      </c>
      <c r="T1311" t="s">
        <v>39</v>
      </c>
      <c r="V1311">
        <v>4525813.3399</v>
      </c>
      <c r="W1311" t="s">
        <v>442</v>
      </c>
      <c r="X1311" t="s">
        <v>443</v>
      </c>
      <c r="Y1311">
        <v>11187714.729683802</v>
      </c>
      <c r="Z1311" t="s">
        <v>31</v>
      </c>
      <c r="AA1311">
        <v>1.1254951103925594E-5</v>
      </c>
      <c r="AB1311">
        <v>100.7</v>
      </c>
      <c r="AC1311" t="s">
        <v>34</v>
      </c>
      <c r="AE1311" t="s">
        <v>41</v>
      </c>
      <c r="AF1311">
        <v>4.1000000000000002E-2</v>
      </c>
      <c r="AH1311" t="s">
        <v>237</v>
      </c>
      <c r="AJ1311">
        <v>1.1217715753441729E-4</v>
      </c>
      <c r="AK1311">
        <v>1.1217715753441729E-4</v>
      </c>
      <c r="AL1311">
        <v>0</v>
      </c>
      <c r="AN1311" t="s">
        <v>54</v>
      </c>
      <c r="AQ1311">
        <v>4.5992634589111097E-6</v>
      </c>
    </row>
    <row r="1312" spans="1:43" x14ac:dyDescent="0.2">
      <c r="A1312">
        <v>1310</v>
      </c>
      <c r="B1312">
        <v>106</v>
      </c>
      <c r="C1312">
        <v>8</v>
      </c>
      <c r="D1312">
        <v>1622124.2483841314</v>
      </c>
      <c r="E1312" t="s">
        <v>414</v>
      </c>
      <c r="F1312" t="s">
        <v>87</v>
      </c>
      <c r="G1312" t="s">
        <v>962</v>
      </c>
      <c r="H1312">
        <v>9.2933563079257482E-5</v>
      </c>
      <c r="I1312">
        <v>7.6282769498484598E-8</v>
      </c>
      <c r="J1312">
        <v>2.2599999999999998</v>
      </c>
      <c r="L1312" s="1">
        <v>43891</v>
      </c>
      <c r="M1312" s="1">
        <v>43024</v>
      </c>
      <c r="R1312">
        <v>1.8550785459451968E-3</v>
      </c>
      <c r="T1312" t="s">
        <v>39</v>
      </c>
      <c r="V1312">
        <v>1659038.0863999999</v>
      </c>
      <c r="W1312" t="s">
        <v>200</v>
      </c>
      <c r="X1312" t="s">
        <v>305</v>
      </c>
      <c r="Y1312">
        <v>1622124.2483841314</v>
      </c>
      <c r="Z1312" t="s">
        <v>31</v>
      </c>
      <c r="AA1312">
        <v>2.4160094620912187E-6</v>
      </c>
      <c r="AB1312">
        <v>101.68</v>
      </c>
      <c r="AC1312" t="s">
        <v>42</v>
      </c>
      <c r="AE1312" t="s">
        <v>41</v>
      </c>
      <c r="AF1312">
        <v>4.0899999999999999E-2</v>
      </c>
      <c r="AH1312" t="s">
        <v>237</v>
      </c>
      <c r="AJ1312">
        <v>4.1121045610290923E-5</v>
      </c>
      <c r="AK1312">
        <v>4.1121045610290923E-5</v>
      </c>
      <c r="AL1312">
        <v>0</v>
      </c>
      <c r="AN1312" t="s">
        <v>142</v>
      </c>
      <c r="AQ1312">
        <v>1.6818507654608987E-6</v>
      </c>
    </row>
    <row r="1313" spans="1:43" x14ac:dyDescent="0.2">
      <c r="A1313">
        <v>1311</v>
      </c>
      <c r="B1313">
        <v>106</v>
      </c>
      <c r="C1313">
        <v>8</v>
      </c>
      <c r="D1313">
        <v>973024.94428306574</v>
      </c>
      <c r="E1313" t="s">
        <v>414</v>
      </c>
      <c r="F1313" t="s">
        <v>87</v>
      </c>
      <c r="G1313" t="s">
        <v>523</v>
      </c>
      <c r="H1313">
        <v>3.9022760906081822E-5</v>
      </c>
      <c r="I1313">
        <v>4.700667958468918E-8</v>
      </c>
      <c r="J1313">
        <v>1.54</v>
      </c>
      <c r="L1313" s="1">
        <v>43617</v>
      </c>
      <c r="M1313" s="1">
        <v>43024</v>
      </c>
      <c r="R1313">
        <v>1.8550785459451968E-3</v>
      </c>
      <c r="T1313" t="s">
        <v>39</v>
      </c>
      <c r="V1313">
        <v>1022326.1722</v>
      </c>
      <c r="W1313" t="s">
        <v>200</v>
      </c>
      <c r="X1313" t="s">
        <v>305</v>
      </c>
      <c r="Y1313">
        <v>973024.94428306574</v>
      </c>
      <c r="Z1313" t="s">
        <v>31</v>
      </c>
      <c r="AA1313">
        <v>1.4887842091306777E-6</v>
      </c>
      <c r="AB1313">
        <v>102.94</v>
      </c>
      <c r="AC1313" t="s">
        <v>42</v>
      </c>
      <c r="AE1313" t="s">
        <v>41</v>
      </c>
      <c r="AF1313">
        <v>3.61E-2</v>
      </c>
      <c r="AH1313" t="s">
        <v>237</v>
      </c>
      <c r="AJ1313">
        <v>2.5339455133819365E-5</v>
      </c>
      <c r="AK1313">
        <v>2.5339455133819365E-5</v>
      </c>
      <c r="AL1313">
        <v>0</v>
      </c>
      <c r="AN1313" t="s">
        <v>142</v>
      </c>
      <c r="AQ1313">
        <v>9.1475433033087907E-7</v>
      </c>
    </row>
    <row r="1314" spans="1:43" x14ac:dyDescent="0.2">
      <c r="A1314">
        <v>1312</v>
      </c>
      <c r="B1314">
        <v>106</v>
      </c>
      <c r="C1314">
        <v>8</v>
      </c>
      <c r="D1314">
        <v>101501785.83044899</v>
      </c>
      <c r="E1314" t="s">
        <v>303</v>
      </c>
      <c r="F1314" t="s">
        <v>87</v>
      </c>
      <c r="G1314" t="s">
        <v>304</v>
      </c>
      <c r="H1314">
        <v>6.9120119546359684E-3</v>
      </c>
      <c r="I1314">
        <v>4.7314852717202617E-6</v>
      </c>
      <c r="J1314">
        <v>2.71</v>
      </c>
      <c r="L1314" s="1">
        <v>44096</v>
      </c>
      <c r="M1314" s="1">
        <v>43024</v>
      </c>
      <c r="R1314">
        <v>1.8550785459451968E-3</v>
      </c>
      <c r="T1314" t="s">
        <v>39</v>
      </c>
      <c r="V1314">
        <v>102902848.47589999</v>
      </c>
      <c r="W1314" t="s">
        <v>200</v>
      </c>
      <c r="X1314" t="s">
        <v>305</v>
      </c>
      <c r="Y1314">
        <v>101501785.83044899</v>
      </c>
      <c r="Z1314" t="s">
        <v>31</v>
      </c>
      <c r="AA1314">
        <v>1.49854459419548E-4</v>
      </c>
      <c r="AB1314">
        <v>100.947</v>
      </c>
      <c r="AC1314" t="s">
        <v>42</v>
      </c>
      <c r="AE1314" t="s">
        <v>41</v>
      </c>
      <c r="AF1314">
        <v>0</v>
      </c>
      <c r="AH1314" t="s">
        <v>237</v>
      </c>
      <c r="AJ1314">
        <v>2.5505579168398408E-3</v>
      </c>
      <c r="AK1314">
        <v>2.5505579168398408E-3</v>
      </c>
      <c r="AL1314">
        <v>0</v>
      </c>
      <c r="AN1314" t="s">
        <v>142</v>
      </c>
      <c r="AQ1314">
        <v>0</v>
      </c>
    </row>
    <row r="1315" spans="1:43" x14ac:dyDescent="0.2">
      <c r="A1315">
        <v>1313</v>
      </c>
      <c r="B1315">
        <v>107</v>
      </c>
      <c r="C1315">
        <v>8</v>
      </c>
      <c r="D1315">
        <v>16919686.415324513</v>
      </c>
      <c r="E1315" t="s">
        <v>320</v>
      </c>
      <c r="F1315" t="s">
        <v>87</v>
      </c>
      <c r="G1315" t="s">
        <v>528</v>
      </c>
      <c r="H1315">
        <v>4.7688469516533053E-4</v>
      </c>
      <c r="I1315">
        <v>7.3575729422093171E-7</v>
      </c>
      <c r="J1315">
        <v>1.42</v>
      </c>
      <c r="L1315" s="1">
        <v>43931</v>
      </c>
      <c r="M1315" s="1">
        <v>43024</v>
      </c>
      <c r="R1315">
        <v>2.1908343219769534E-3</v>
      </c>
      <c r="T1315" t="s">
        <v>39</v>
      </c>
      <c r="V1315">
        <v>13549312.122099999</v>
      </c>
      <c r="W1315" t="s">
        <v>321</v>
      </c>
      <c r="X1315" t="s">
        <v>529</v>
      </c>
      <c r="Y1315">
        <v>16919686.415324513</v>
      </c>
      <c r="Z1315" t="s">
        <v>31</v>
      </c>
      <c r="AA1315">
        <v>2.3302727422287897E-5</v>
      </c>
      <c r="AB1315">
        <v>103.34</v>
      </c>
      <c r="AC1315" t="s">
        <v>34</v>
      </c>
      <c r="AE1315" t="s">
        <v>40</v>
      </c>
      <c r="AF1315">
        <v>4.0399999999999998E-2</v>
      </c>
      <c r="AH1315" t="s">
        <v>237</v>
      </c>
      <c r="AJ1315">
        <v>3.3583429236995108E-4</v>
      </c>
      <c r="AK1315">
        <v>3.3583429236995108E-4</v>
      </c>
      <c r="AL1315">
        <v>0</v>
      </c>
      <c r="AN1315" t="s">
        <v>54</v>
      </c>
      <c r="AQ1315">
        <v>1.3567705411746023E-5</v>
      </c>
    </row>
    <row r="1316" spans="1:43" x14ac:dyDescent="0.2">
      <c r="A1316">
        <v>1314</v>
      </c>
      <c r="B1316">
        <v>107</v>
      </c>
      <c r="C1316">
        <v>8</v>
      </c>
      <c r="D1316">
        <v>2109066.3738700007</v>
      </c>
      <c r="E1316" t="s">
        <v>459</v>
      </c>
      <c r="F1316" t="s">
        <v>87</v>
      </c>
      <c r="G1316" t="s">
        <v>856</v>
      </c>
      <c r="H1316">
        <v>1.299273893651125E-4</v>
      </c>
      <c r="I1316">
        <v>1.2164503589143245E-7</v>
      </c>
      <c r="J1316">
        <v>2.34</v>
      </c>
      <c r="L1316" s="1">
        <v>43952</v>
      </c>
      <c r="M1316" s="1">
        <v>43024</v>
      </c>
      <c r="R1316">
        <v>2.1908343219769534E-3</v>
      </c>
      <c r="T1316" t="s">
        <v>39</v>
      </c>
      <c r="V1316">
        <v>2240149.8053000001</v>
      </c>
      <c r="W1316" t="s">
        <v>249</v>
      </c>
      <c r="X1316" t="s">
        <v>461</v>
      </c>
      <c r="Y1316">
        <v>2109066.3738700007</v>
      </c>
      <c r="Z1316" t="s">
        <v>31</v>
      </c>
      <c r="AA1316">
        <v>3.8527122135486331E-6</v>
      </c>
      <c r="AB1316">
        <v>103.45</v>
      </c>
      <c r="AC1316" t="s">
        <v>34</v>
      </c>
      <c r="AE1316" t="s">
        <v>41</v>
      </c>
      <c r="AF1316">
        <v>4.3700000000000003E-2</v>
      </c>
      <c r="AH1316" t="s">
        <v>237</v>
      </c>
      <c r="AJ1316">
        <v>5.5524525369706207E-5</v>
      </c>
      <c r="AK1316">
        <v>5.5524525369706207E-5</v>
      </c>
      <c r="AL1316">
        <v>0</v>
      </c>
      <c r="AN1316" t="s">
        <v>54</v>
      </c>
      <c r="AQ1316">
        <v>2.4264217586561614E-6</v>
      </c>
    </row>
    <row r="1317" spans="1:43" x14ac:dyDescent="0.2">
      <c r="A1317">
        <v>1315</v>
      </c>
      <c r="B1317">
        <v>107</v>
      </c>
      <c r="C1317">
        <v>8</v>
      </c>
      <c r="D1317">
        <v>2433768.1105918717</v>
      </c>
      <c r="E1317" t="s">
        <v>462</v>
      </c>
      <c r="F1317" t="s">
        <v>87</v>
      </c>
      <c r="G1317" t="s">
        <v>865</v>
      </c>
      <c r="H1317">
        <v>1.679805827005941E-4</v>
      </c>
      <c r="I1317">
        <v>1.3630282444672208E-7</v>
      </c>
      <c r="J1317">
        <v>2.7</v>
      </c>
      <c r="L1317" s="1">
        <v>44075</v>
      </c>
      <c r="M1317" s="1">
        <v>43024</v>
      </c>
      <c r="R1317">
        <v>2.1908343219769534E-3</v>
      </c>
      <c r="T1317" t="s">
        <v>39</v>
      </c>
      <c r="V1317">
        <v>2510079.7859</v>
      </c>
      <c r="W1317" t="s">
        <v>220</v>
      </c>
      <c r="X1317" t="s">
        <v>464</v>
      </c>
      <c r="Y1317">
        <v>2433768.1105918717</v>
      </c>
      <c r="Z1317" t="s">
        <v>31</v>
      </c>
      <c r="AA1317">
        <v>4.3169501545113772E-6</v>
      </c>
      <c r="AB1317">
        <v>102.51</v>
      </c>
      <c r="AC1317" t="s">
        <v>33</v>
      </c>
      <c r="AE1317" t="s">
        <v>41</v>
      </c>
      <c r="AF1317">
        <v>4.1000000000000002E-2</v>
      </c>
      <c r="AH1317" t="s">
        <v>237</v>
      </c>
      <c r="AJ1317">
        <v>6.2215030629849663E-5</v>
      </c>
      <c r="AK1317">
        <v>6.2215030629849663E-5</v>
      </c>
      <c r="AL1317">
        <v>0</v>
      </c>
      <c r="AN1317" t="s">
        <v>148</v>
      </c>
      <c r="AQ1317">
        <v>2.5508162558238361E-6</v>
      </c>
    </row>
    <row r="1318" spans="1:43" x14ac:dyDescent="0.2">
      <c r="A1318">
        <v>1316</v>
      </c>
      <c r="B1318">
        <v>107</v>
      </c>
      <c r="C1318">
        <v>8</v>
      </c>
      <c r="D1318">
        <v>162112.43536532155</v>
      </c>
      <c r="E1318" t="s">
        <v>300</v>
      </c>
      <c r="F1318" t="s">
        <v>87</v>
      </c>
      <c r="G1318" t="s">
        <v>900</v>
      </c>
      <c r="H1318">
        <v>1.0586557622389471E-5</v>
      </c>
      <c r="I1318">
        <v>9.2037276947292003E-9</v>
      </c>
      <c r="J1318">
        <v>2.52</v>
      </c>
      <c r="L1318" s="1">
        <v>44012</v>
      </c>
      <c r="M1318" s="1">
        <v>43024</v>
      </c>
      <c r="R1318">
        <v>2.1908343219769534E-3</v>
      </c>
      <c r="T1318" t="s">
        <v>39</v>
      </c>
      <c r="V1318">
        <v>169490.91800000001</v>
      </c>
      <c r="W1318" t="s">
        <v>213</v>
      </c>
      <c r="X1318" t="s">
        <v>302</v>
      </c>
      <c r="Y1318">
        <v>162112.43536532155</v>
      </c>
      <c r="Z1318" t="s">
        <v>31</v>
      </c>
      <c r="AA1318">
        <v>2.9149824191187089E-7</v>
      </c>
      <c r="AB1318">
        <v>102.91</v>
      </c>
      <c r="AC1318" t="s">
        <v>33</v>
      </c>
      <c r="AE1318" t="s">
        <v>41</v>
      </c>
      <c r="AF1318">
        <v>4.2999999999999997E-2</v>
      </c>
      <c r="AH1318" t="s">
        <v>237</v>
      </c>
      <c r="AJ1318">
        <v>4.2010149295196314E-6</v>
      </c>
      <c r="AK1318">
        <v>4.2010149295196314E-6</v>
      </c>
      <c r="AL1318">
        <v>0</v>
      </c>
      <c r="AN1318" t="s">
        <v>148</v>
      </c>
      <c r="AQ1318">
        <v>1.8064364196934414E-7</v>
      </c>
    </row>
    <row r="1319" spans="1:43" x14ac:dyDescent="0.2">
      <c r="A1319">
        <v>1317</v>
      </c>
      <c r="B1319">
        <v>107</v>
      </c>
      <c r="C1319">
        <v>8</v>
      </c>
      <c r="D1319">
        <v>3569351.732041283</v>
      </c>
      <c r="E1319" t="s">
        <v>466</v>
      </c>
      <c r="F1319" t="s">
        <v>87</v>
      </c>
      <c r="G1319" t="s">
        <v>533</v>
      </c>
      <c r="H1319">
        <v>2.7513758203786848E-4</v>
      </c>
      <c r="I1319">
        <v>2.0433249423535996E-7</v>
      </c>
      <c r="J1319">
        <v>2.95</v>
      </c>
      <c r="L1319" s="1">
        <v>44197</v>
      </c>
      <c r="M1319" s="1">
        <v>43024</v>
      </c>
      <c r="R1319">
        <v>2.1908343219769534E-3</v>
      </c>
      <c r="T1319" t="s">
        <v>39</v>
      </c>
      <c r="V1319">
        <v>3762877.7354000001</v>
      </c>
      <c r="W1319" t="s">
        <v>250</v>
      </c>
      <c r="X1319" t="s">
        <v>468</v>
      </c>
      <c r="Y1319">
        <v>3569351.732041283</v>
      </c>
      <c r="Z1319" t="s">
        <v>31</v>
      </c>
      <c r="AA1319">
        <v>6.4715694347612292E-6</v>
      </c>
      <c r="AB1319">
        <v>103.76</v>
      </c>
      <c r="AC1319" t="s">
        <v>33</v>
      </c>
      <c r="AE1319" t="s">
        <v>41</v>
      </c>
      <c r="AF1319">
        <v>4.2500000000000003E-2</v>
      </c>
      <c r="AH1319" t="s">
        <v>237</v>
      </c>
      <c r="AJ1319">
        <v>9.3266976961989305E-5</v>
      </c>
      <c r="AK1319">
        <v>9.3266976961989305E-5</v>
      </c>
      <c r="AL1319">
        <v>0</v>
      </c>
      <c r="AN1319" t="s">
        <v>148</v>
      </c>
      <c r="AQ1319">
        <v>3.9638465208845458E-6</v>
      </c>
    </row>
    <row r="1320" spans="1:43" x14ac:dyDescent="0.2">
      <c r="A1320">
        <v>1318</v>
      </c>
      <c r="B1320">
        <v>107</v>
      </c>
      <c r="C1320">
        <v>8</v>
      </c>
      <c r="D1320">
        <v>1622056.5419339396</v>
      </c>
      <c r="E1320" t="s">
        <v>430</v>
      </c>
      <c r="F1320" t="s">
        <v>87</v>
      </c>
      <c r="G1320" t="s">
        <v>945</v>
      </c>
      <c r="H1320">
        <v>1.056415221052923E-4</v>
      </c>
      <c r="I1320">
        <v>9.1842489069111665E-8</v>
      </c>
      <c r="J1320">
        <v>2.52</v>
      </c>
      <c r="L1320" s="1">
        <v>44013</v>
      </c>
      <c r="M1320" s="1">
        <v>43024</v>
      </c>
      <c r="R1320">
        <v>2.1908343219769534E-3</v>
      </c>
      <c r="T1320" t="s">
        <v>39</v>
      </c>
      <c r="V1320">
        <v>1691322.0708000001</v>
      </c>
      <c r="W1320" t="s">
        <v>248</v>
      </c>
      <c r="X1320" t="s">
        <v>432</v>
      </c>
      <c r="Y1320">
        <v>1622056.5419339396</v>
      </c>
      <c r="Z1320" t="s">
        <v>31</v>
      </c>
      <c r="AA1320">
        <v>2.9088131444597214E-6</v>
      </c>
      <c r="AB1320">
        <v>102.69</v>
      </c>
      <c r="AC1320" t="s">
        <v>34</v>
      </c>
      <c r="AE1320" t="s">
        <v>41</v>
      </c>
      <c r="AF1320">
        <v>4.2099999999999999E-2</v>
      </c>
      <c r="AH1320" t="s">
        <v>237</v>
      </c>
      <c r="AJ1320">
        <v>4.1921238930671547E-5</v>
      </c>
      <c r="AK1320">
        <v>4.1921238930671547E-5</v>
      </c>
      <c r="AL1320">
        <v>0</v>
      </c>
      <c r="AN1320" t="s">
        <v>54</v>
      </c>
      <c r="AQ1320">
        <v>1.7648841589812722E-6</v>
      </c>
    </row>
    <row r="1321" spans="1:43" x14ac:dyDescent="0.2">
      <c r="A1321">
        <v>1319</v>
      </c>
      <c r="B1321">
        <v>107</v>
      </c>
      <c r="C1321">
        <v>8</v>
      </c>
      <c r="D1321">
        <v>191550725.22518462</v>
      </c>
      <c r="E1321" t="s">
        <v>809</v>
      </c>
      <c r="F1321" t="s">
        <v>87</v>
      </c>
      <c r="G1321" t="s">
        <v>810</v>
      </c>
      <c r="H1321">
        <v>3.4011134279693426E-3</v>
      </c>
      <c r="I1321">
        <v>6.8993296582703017E-6</v>
      </c>
      <c r="J1321">
        <v>1.08</v>
      </c>
      <c r="L1321" s="1">
        <v>44013</v>
      </c>
      <c r="M1321" s="1">
        <v>43024</v>
      </c>
      <c r="R1321">
        <v>2.1908343219769534E-3</v>
      </c>
      <c r="T1321" t="s">
        <v>39</v>
      </c>
      <c r="V1321">
        <v>127054358.4242</v>
      </c>
      <c r="W1321" t="s">
        <v>811</v>
      </c>
      <c r="X1321" t="s">
        <v>507</v>
      </c>
      <c r="Y1321">
        <v>191550725.22518462</v>
      </c>
      <c r="Z1321" t="s">
        <v>31</v>
      </c>
      <c r="AA1321">
        <v>2.1851390354670803E-4</v>
      </c>
      <c r="AB1321">
        <v>100.21999999999998</v>
      </c>
      <c r="AC1321" t="s">
        <v>33</v>
      </c>
      <c r="AE1321" t="s">
        <v>41</v>
      </c>
      <c r="AF1321">
        <v>6.7799999999999999E-2</v>
      </c>
      <c r="AH1321" t="s">
        <v>237</v>
      </c>
      <c r="AJ1321">
        <v>3.1491790999716132E-3</v>
      </c>
      <c r="AK1321">
        <v>3.1491790999716132E-3</v>
      </c>
      <c r="AL1321">
        <v>0</v>
      </c>
      <c r="AN1321" t="s">
        <v>148</v>
      </c>
      <c r="AQ1321">
        <v>2.1351434297807537E-4</v>
      </c>
    </row>
    <row r="1322" spans="1:43" x14ac:dyDescent="0.2">
      <c r="A1322">
        <v>1320</v>
      </c>
      <c r="B1322">
        <v>107</v>
      </c>
      <c r="C1322">
        <v>8</v>
      </c>
      <c r="D1322">
        <v>579394088.85229623</v>
      </c>
      <c r="E1322" t="s">
        <v>809</v>
      </c>
      <c r="F1322" t="s">
        <v>87</v>
      </c>
      <c r="G1322" t="s">
        <v>812</v>
      </c>
      <c r="H1322">
        <v>2.0917532215661228E-2</v>
      </c>
      <c r="I1322">
        <v>3.1604722420089134E-5</v>
      </c>
      <c r="J1322">
        <v>1.45</v>
      </c>
      <c r="L1322" s="1">
        <v>43922</v>
      </c>
      <c r="M1322" s="1">
        <v>43024</v>
      </c>
      <c r="R1322">
        <v>2.1908343219769534E-3</v>
      </c>
      <c r="T1322" t="s">
        <v>39</v>
      </c>
      <c r="V1322">
        <v>582015634.72850001</v>
      </c>
      <c r="W1322" t="s">
        <v>811</v>
      </c>
      <c r="X1322" t="s">
        <v>507</v>
      </c>
      <c r="Y1322">
        <v>579394088.85229623</v>
      </c>
      <c r="Z1322" t="s">
        <v>31</v>
      </c>
      <c r="AA1322">
        <v>1.0009771396044911E-3</v>
      </c>
      <c r="AB1322">
        <v>100.21999999999998</v>
      </c>
      <c r="AC1322" t="s">
        <v>33</v>
      </c>
      <c r="AE1322" t="s">
        <v>41</v>
      </c>
      <c r="AF1322">
        <v>5.6399999999999999E-2</v>
      </c>
      <c r="AH1322" t="s">
        <v>237</v>
      </c>
      <c r="AJ1322">
        <v>1.4425884286662916E-2</v>
      </c>
      <c r="AK1322">
        <v>1.4425884286662916E-2</v>
      </c>
      <c r="AL1322">
        <v>0</v>
      </c>
      <c r="AN1322" t="s">
        <v>148</v>
      </c>
      <c r="AQ1322">
        <v>8.1361987376778839E-4</v>
      </c>
    </row>
    <row r="1323" spans="1:43" x14ac:dyDescent="0.2">
      <c r="A1323">
        <v>1321</v>
      </c>
      <c r="B1323">
        <v>107</v>
      </c>
      <c r="C1323">
        <v>8</v>
      </c>
      <c r="D1323">
        <v>27356677.866206832</v>
      </c>
      <c r="E1323" t="s">
        <v>488</v>
      </c>
      <c r="F1323" t="s">
        <v>87</v>
      </c>
      <c r="G1323" t="s">
        <v>904</v>
      </c>
      <c r="H1323">
        <v>1.1342422556610394E-3</v>
      </c>
      <c r="I1323">
        <v>1.5339116439128169E-6</v>
      </c>
      <c r="J1323">
        <v>1.62</v>
      </c>
      <c r="L1323" s="1">
        <v>43641</v>
      </c>
      <c r="M1323" s="1">
        <v>43024</v>
      </c>
      <c r="R1323">
        <v>2.1908343219769534E-3</v>
      </c>
      <c r="T1323" t="s">
        <v>39</v>
      </c>
      <c r="V1323">
        <v>28247694.986299999</v>
      </c>
      <c r="W1323" t="s">
        <v>490</v>
      </c>
      <c r="X1323" t="s">
        <v>491</v>
      </c>
      <c r="Y1323">
        <v>27356677.866206832</v>
      </c>
      <c r="Z1323" t="s">
        <v>31</v>
      </c>
      <c r="AA1323">
        <v>4.8581679323780748E-5</v>
      </c>
      <c r="AB1323">
        <v>101.7</v>
      </c>
      <c r="AC1323" t="s">
        <v>33</v>
      </c>
      <c r="AE1323" t="s">
        <v>41</v>
      </c>
      <c r="AF1323">
        <v>3.9100000000000003E-2</v>
      </c>
      <c r="AH1323" t="s">
        <v>237</v>
      </c>
      <c r="AJ1323">
        <v>7.0014954053150579E-4</v>
      </c>
      <c r="AK1323">
        <v>7.0014954053150579E-4</v>
      </c>
      <c r="AL1323">
        <v>0</v>
      </c>
      <c r="AN1323" t="s">
        <v>148</v>
      </c>
      <c r="AQ1323">
        <v>2.7375847034781878E-5</v>
      </c>
    </row>
    <row r="1324" spans="1:43" x14ac:dyDescent="0.2">
      <c r="A1324">
        <v>1322</v>
      </c>
      <c r="B1324">
        <v>107</v>
      </c>
      <c r="C1324">
        <v>8</v>
      </c>
      <c r="D1324">
        <v>25213103.087712541</v>
      </c>
      <c r="E1324" t="s">
        <v>488</v>
      </c>
      <c r="F1324" t="s">
        <v>87</v>
      </c>
      <c r="G1324" t="s">
        <v>531</v>
      </c>
      <c r="H1324">
        <v>1.4963953659011501E-3</v>
      </c>
      <c r="I1324">
        <v>1.407019024404936E-6</v>
      </c>
      <c r="J1324">
        <v>2.33</v>
      </c>
      <c r="L1324" s="1">
        <v>43922</v>
      </c>
      <c r="M1324" s="1">
        <v>43024</v>
      </c>
      <c r="R1324">
        <v>2.1908343219769534E-3</v>
      </c>
      <c r="T1324" t="s">
        <v>39</v>
      </c>
      <c r="V1324">
        <v>25910908.492699999</v>
      </c>
      <c r="W1324" t="s">
        <v>490</v>
      </c>
      <c r="X1324" t="s">
        <v>491</v>
      </c>
      <c r="Y1324">
        <v>25213103.087712541</v>
      </c>
      <c r="Z1324" t="s">
        <v>31</v>
      </c>
      <c r="AA1324">
        <v>4.456276690861639E-5</v>
      </c>
      <c r="AB1324">
        <v>102.54</v>
      </c>
      <c r="AC1324" t="s">
        <v>33</v>
      </c>
      <c r="AE1324" t="s">
        <v>41</v>
      </c>
      <c r="AF1324">
        <v>4.1700000000000001E-2</v>
      </c>
      <c r="AH1324" t="s">
        <v>237</v>
      </c>
      <c r="AJ1324">
        <v>6.4222977077302572E-4</v>
      </c>
      <c r="AK1324">
        <v>6.4222977077302572E-4</v>
      </c>
      <c r="AL1324">
        <v>0</v>
      </c>
      <c r="AN1324" t="s">
        <v>148</v>
      </c>
      <c r="AQ1324">
        <v>2.6780981441235174E-5</v>
      </c>
    </row>
    <row r="1325" spans="1:43" x14ac:dyDescent="0.2">
      <c r="A1325">
        <v>1323</v>
      </c>
      <c r="B1325">
        <v>107</v>
      </c>
      <c r="C1325">
        <v>8</v>
      </c>
      <c r="D1325">
        <v>467437496.63841903</v>
      </c>
      <c r="E1325" t="s">
        <v>440</v>
      </c>
      <c r="F1325" t="s">
        <v>87</v>
      </c>
      <c r="G1325" t="s">
        <v>532</v>
      </c>
      <c r="H1325">
        <v>1.4698880215924557E-2</v>
      </c>
      <c r="I1325">
        <v>2.5970009090060912E-5</v>
      </c>
      <c r="J1325">
        <v>1.24</v>
      </c>
      <c r="L1325" s="1">
        <v>43862</v>
      </c>
      <c r="M1325" s="1">
        <v>43024</v>
      </c>
      <c r="R1325">
        <v>2.1908343219769534E-3</v>
      </c>
      <c r="T1325" t="s">
        <v>39</v>
      </c>
      <c r="V1325">
        <v>478249773.04180002</v>
      </c>
      <c r="W1325" t="s">
        <v>442</v>
      </c>
      <c r="X1325" t="s">
        <v>443</v>
      </c>
      <c r="Y1325">
        <v>467437496.63841903</v>
      </c>
      <c r="Z1325" t="s">
        <v>31</v>
      </c>
      <c r="AA1325">
        <v>8.225158591473081E-4</v>
      </c>
      <c r="AB1325">
        <v>101.18</v>
      </c>
      <c r="AC1325" t="s">
        <v>34</v>
      </c>
      <c r="AE1325" t="s">
        <v>41</v>
      </c>
      <c r="AF1325">
        <v>4.4999999999999998E-2</v>
      </c>
      <c r="AH1325" t="s">
        <v>237</v>
      </c>
      <c r="AJ1325">
        <v>1.1853935658003675E-2</v>
      </c>
      <c r="AK1325">
        <v>1.1853935658003675E-2</v>
      </c>
      <c r="AL1325">
        <v>0</v>
      </c>
      <c r="AN1325" t="s">
        <v>54</v>
      </c>
      <c r="AQ1325">
        <v>5.3342710461016542E-4</v>
      </c>
    </row>
    <row r="1326" spans="1:43" x14ac:dyDescent="0.2">
      <c r="A1326">
        <v>1324</v>
      </c>
      <c r="B1326">
        <v>107</v>
      </c>
      <c r="C1326">
        <v>8</v>
      </c>
      <c r="D1326">
        <v>39067719.141084962</v>
      </c>
      <c r="E1326" t="s">
        <v>440</v>
      </c>
      <c r="F1326" t="s">
        <v>87</v>
      </c>
      <c r="G1326" t="s">
        <v>822</v>
      </c>
      <c r="H1326">
        <v>1.6119412266243109E-3</v>
      </c>
      <c r="I1326">
        <v>2.1665620639866077E-6</v>
      </c>
      <c r="J1326">
        <v>1.63</v>
      </c>
      <c r="L1326" s="1">
        <v>44014</v>
      </c>
      <c r="M1326" s="1">
        <v>43024</v>
      </c>
      <c r="R1326">
        <v>2.1908343219769534E-3</v>
      </c>
      <c r="T1326" t="s">
        <v>39</v>
      </c>
      <c r="V1326">
        <v>39898246.157300003</v>
      </c>
      <c r="W1326" t="s">
        <v>442</v>
      </c>
      <c r="X1326" t="s">
        <v>443</v>
      </c>
      <c r="Y1326">
        <v>39067719.141084962</v>
      </c>
      <c r="Z1326" t="s">
        <v>31</v>
      </c>
      <c r="AA1326">
        <v>6.8618830716463567E-5</v>
      </c>
      <c r="AB1326">
        <v>100.66</v>
      </c>
      <c r="AC1326" t="s">
        <v>34</v>
      </c>
      <c r="AE1326" t="s">
        <v>41</v>
      </c>
      <c r="AF1326">
        <v>4.6699999999999998E-2</v>
      </c>
      <c r="AH1326" t="s">
        <v>237</v>
      </c>
      <c r="AJ1326">
        <v>9.8892099792902513E-4</v>
      </c>
      <c r="AK1326">
        <v>9.8892099792902513E-4</v>
      </c>
      <c r="AL1326">
        <v>0</v>
      </c>
      <c r="AN1326" t="s">
        <v>54</v>
      </c>
      <c r="AQ1326">
        <v>4.6182610603285469E-5</v>
      </c>
    </row>
    <row r="1327" spans="1:43" x14ac:dyDescent="0.2">
      <c r="A1327">
        <v>1325</v>
      </c>
      <c r="B1327">
        <v>107</v>
      </c>
      <c r="C1327">
        <v>8</v>
      </c>
      <c r="D1327">
        <v>161471.5910835079</v>
      </c>
      <c r="E1327" t="s">
        <v>952</v>
      </c>
      <c r="F1327" t="s">
        <v>87</v>
      </c>
      <c r="G1327" t="s">
        <v>953</v>
      </c>
      <c r="H1327">
        <v>9.1288721232835821E-6</v>
      </c>
      <c r="I1327">
        <v>9.0089398056884223E-9</v>
      </c>
      <c r="J1327">
        <v>2.2200000000000002</v>
      </c>
      <c r="L1327" s="1">
        <v>44531</v>
      </c>
      <c r="M1327" s="1">
        <v>43024</v>
      </c>
      <c r="R1327">
        <v>2.1908343219769534E-3</v>
      </c>
      <c r="T1327" t="s">
        <v>39</v>
      </c>
      <c r="V1327">
        <v>165903.80859999999</v>
      </c>
      <c r="W1327" t="s">
        <v>954</v>
      </c>
      <c r="X1327" t="s">
        <v>955</v>
      </c>
      <c r="Y1327">
        <v>161471.5910835079</v>
      </c>
      <c r="Z1327" t="s">
        <v>31</v>
      </c>
      <c r="AA1327">
        <v>2.8532896690891435E-7</v>
      </c>
      <c r="AB1327">
        <v>100.99</v>
      </c>
      <c r="AC1327" t="s">
        <v>33</v>
      </c>
      <c r="AE1327" t="s">
        <v>175</v>
      </c>
      <c r="AF1327">
        <v>4.2299999999999997E-2</v>
      </c>
      <c r="AH1327" t="s">
        <v>237</v>
      </c>
      <c r="AJ1327">
        <v>4.1121045600376494E-6</v>
      </c>
      <c r="AK1327">
        <v>4.1121045600376494E-6</v>
      </c>
      <c r="AL1327">
        <v>0</v>
      </c>
      <c r="AN1327" t="s">
        <v>148</v>
      </c>
      <c r="AQ1327">
        <v>1.7394202288959255E-7</v>
      </c>
    </row>
    <row r="1328" spans="1:43" x14ac:dyDescent="0.2">
      <c r="A1328">
        <v>1326</v>
      </c>
      <c r="B1328">
        <v>107</v>
      </c>
      <c r="C1328">
        <v>8</v>
      </c>
      <c r="D1328">
        <v>1459755.1479711519</v>
      </c>
      <c r="E1328" t="s">
        <v>367</v>
      </c>
      <c r="F1328" t="s">
        <v>87</v>
      </c>
      <c r="G1328" t="s">
        <v>958</v>
      </c>
      <c r="H1328">
        <v>7.2806922875994355E-5</v>
      </c>
      <c r="I1328">
        <v>8.3077034122009075E-8</v>
      </c>
      <c r="J1328">
        <v>1.92</v>
      </c>
      <c r="L1328" s="1">
        <v>43770</v>
      </c>
      <c r="M1328" s="1">
        <v>43024</v>
      </c>
      <c r="R1328">
        <v>2.1908343219769534E-3</v>
      </c>
      <c r="T1328" t="s">
        <v>39</v>
      </c>
      <c r="V1328">
        <v>1529902.1488999999</v>
      </c>
      <c r="W1328" t="s">
        <v>368</v>
      </c>
      <c r="X1328" t="s">
        <v>957</v>
      </c>
      <c r="Y1328">
        <v>1459755.1479711519</v>
      </c>
      <c r="Z1328" t="s">
        <v>31</v>
      </c>
      <c r="AA1328">
        <v>2.6311957712185094E-6</v>
      </c>
      <c r="AB1328">
        <v>102.29</v>
      </c>
      <c r="AC1328" t="s">
        <v>34</v>
      </c>
      <c r="AE1328" t="s">
        <v>179</v>
      </c>
      <c r="AF1328">
        <v>4.1500000000000002E-2</v>
      </c>
      <c r="AH1328" t="s">
        <v>237</v>
      </c>
      <c r="AJ1328">
        <v>3.7920272331247061E-5</v>
      </c>
      <c r="AK1328">
        <v>3.7920272331247061E-5</v>
      </c>
      <c r="AL1328">
        <v>0</v>
      </c>
      <c r="AN1328" t="s">
        <v>54</v>
      </c>
      <c r="AQ1328">
        <v>1.5736913017467531E-6</v>
      </c>
    </row>
    <row r="1329" spans="1:43" x14ac:dyDescent="0.2">
      <c r="A1329">
        <v>1327</v>
      </c>
      <c r="B1329">
        <v>107</v>
      </c>
      <c r="C1329">
        <v>8</v>
      </c>
      <c r="D1329">
        <v>3244758.3673466458</v>
      </c>
      <c r="E1329" t="s">
        <v>867</v>
      </c>
      <c r="F1329" t="s">
        <v>87</v>
      </c>
      <c r="G1329" t="s">
        <v>868</v>
      </c>
      <c r="H1329">
        <v>1.1352431540873795E-4</v>
      </c>
      <c r="I1329">
        <v>1.8154231136963519E-7</v>
      </c>
      <c r="J1329">
        <v>1.37</v>
      </c>
      <c r="L1329" s="1">
        <v>43538</v>
      </c>
      <c r="M1329" s="1">
        <v>43024</v>
      </c>
      <c r="R1329">
        <v>2.1908343219769534E-3</v>
      </c>
      <c r="T1329" t="s">
        <v>39</v>
      </c>
      <c r="V1329">
        <v>3343185.9383999999</v>
      </c>
      <c r="W1329" t="s">
        <v>869</v>
      </c>
      <c r="X1329" t="s">
        <v>870</v>
      </c>
      <c r="Y1329">
        <v>3244758.3673466458</v>
      </c>
      <c r="Z1329" t="s">
        <v>31</v>
      </c>
      <c r="AA1329">
        <v>5.7497642642308897E-6</v>
      </c>
      <c r="AB1329">
        <v>102.53</v>
      </c>
      <c r="AC1329" t="s">
        <v>33</v>
      </c>
      <c r="AE1329" t="s">
        <v>43</v>
      </c>
      <c r="AF1329">
        <v>3.85E-2</v>
      </c>
      <c r="AH1329" t="s">
        <v>237</v>
      </c>
      <c r="AJ1329">
        <v>8.2864463801998501E-5</v>
      </c>
      <c r="AK1329">
        <v>8.2864463801998501E-5</v>
      </c>
      <c r="AL1329">
        <v>0</v>
      </c>
      <c r="AN1329" t="s">
        <v>148</v>
      </c>
      <c r="AQ1329">
        <v>3.1902818563769424E-6</v>
      </c>
    </row>
    <row r="1330" spans="1:43" x14ac:dyDescent="0.2">
      <c r="A1330">
        <v>1328</v>
      </c>
      <c r="B1330">
        <v>109</v>
      </c>
      <c r="C1330">
        <v>8</v>
      </c>
      <c r="D1330">
        <v>3245511.1300184154</v>
      </c>
      <c r="E1330" t="s">
        <v>414</v>
      </c>
      <c r="F1330" t="s">
        <v>87</v>
      </c>
      <c r="G1330" t="s">
        <v>964</v>
      </c>
      <c r="H1330">
        <v>2.6157963988833542E-4</v>
      </c>
      <c r="I1330">
        <v>4.8985542073776986E-7</v>
      </c>
      <c r="J1330">
        <v>3.11</v>
      </c>
      <c r="L1330" s="1">
        <v>44256</v>
      </c>
      <c r="M1330" s="1">
        <v>43024</v>
      </c>
      <c r="R1330">
        <v>5.8240402775414915E-3</v>
      </c>
      <c r="T1330" t="s">
        <v>39</v>
      </c>
      <c r="V1330">
        <v>3393405.4696999998</v>
      </c>
      <c r="W1330" t="s">
        <v>200</v>
      </c>
      <c r="X1330" t="s">
        <v>305</v>
      </c>
      <c r="Y1330">
        <v>3245511.1300184154</v>
      </c>
      <c r="Z1330" t="s">
        <v>31</v>
      </c>
      <c r="AA1330">
        <v>1.5514582642186817E-5</v>
      </c>
      <c r="AB1330">
        <v>103.86</v>
      </c>
      <c r="AC1330" t="s">
        <v>42</v>
      </c>
      <c r="AE1330" t="s">
        <v>41</v>
      </c>
      <c r="AF1330">
        <v>4.2999999999999997E-2</v>
      </c>
      <c r="AH1330" t="s">
        <v>237</v>
      </c>
      <c r="AJ1330">
        <v>8.4109208967310419E-5</v>
      </c>
      <c r="AK1330">
        <v>8.4109208967310419E-5</v>
      </c>
      <c r="AL1330">
        <v>0</v>
      </c>
      <c r="AN1330" t="s">
        <v>142</v>
      </c>
      <c r="AQ1330">
        <v>3.6166959855943475E-6</v>
      </c>
    </row>
    <row r="1331" spans="1:43" x14ac:dyDescent="0.2">
      <c r="A1331">
        <v>1329</v>
      </c>
      <c r="B1331">
        <v>110</v>
      </c>
      <c r="C1331">
        <v>8</v>
      </c>
      <c r="D1331">
        <v>56294297.835602209</v>
      </c>
      <c r="E1331" t="s">
        <v>848</v>
      </c>
      <c r="F1331" t="s">
        <v>87</v>
      </c>
      <c r="G1331" t="s">
        <v>849</v>
      </c>
      <c r="H1331">
        <v>4.5120058891550702E-3</v>
      </c>
      <c r="I1331">
        <v>4.4084799358394003E-6</v>
      </c>
      <c r="J1331">
        <v>3.16</v>
      </c>
      <c r="L1331" s="1">
        <v>44621</v>
      </c>
      <c r="M1331" s="1">
        <v>43024</v>
      </c>
      <c r="R1331">
        <v>3.0874952159828011E-3</v>
      </c>
      <c r="T1331" t="s">
        <v>39</v>
      </c>
      <c r="V1331">
        <v>57606936.747699998</v>
      </c>
      <c r="W1331" t="s">
        <v>850</v>
      </c>
      <c r="X1331" t="s">
        <v>851</v>
      </c>
      <c r="Y1331">
        <v>56294297.835602209</v>
      </c>
      <c r="Z1331" t="s">
        <v>31</v>
      </c>
      <c r="AA1331">
        <v>1.3962431238995416E-4</v>
      </c>
      <c r="AB1331">
        <v>101.59</v>
      </c>
      <c r="AC1331" t="s">
        <v>33</v>
      </c>
      <c r="AE1331" t="s">
        <v>41</v>
      </c>
      <c r="AF1331">
        <v>5.4699999999999999E-2</v>
      </c>
      <c r="AH1331" t="s">
        <v>237</v>
      </c>
      <c r="AJ1331">
        <v>1.4278499649224906E-3</v>
      </c>
      <c r="AK1331">
        <v>1.4278499649224906E-3</v>
      </c>
      <c r="AL1331">
        <v>0</v>
      </c>
      <c r="AN1331" t="s">
        <v>148</v>
      </c>
      <c r="AQ1331">
        <v>7.810339308126023E-5</v>
      </c>
    </row>
    <row r="1332" spans="1:43" x14ac:dyDescent="0.2">
      <c r="A1332">
        <v>1330</v>
      </c>
      <c r="B1332">
        <v>110</v>
      </c>
      <c r="C1332">
        <v>8</v>
      </c>
      <c r="D1332">
        <v>4868188.6729193777</v>
      </c>
      <c r="E1332" t="s">
        <v>462</v>
      </c>
      <c r="F1332" t="s">
        <v>87</v>
      </c>
      <c r="G1332" t="s">
        <v>866</v>
      </c>
      <c r="H1332">
        <v>4.4014855841362747E-4</v>
      </c>
      <c r="I1332">
        <v>3.8280466716163422E-7</v>
      </c>
      <c r="J1332">
        <v>3.55</v>
      </c>
      <c r="L1332" s="1">
        <v>44440</v>
      </c>
      <c r="M1332" s="1">
        <v>43024</v>
      </c>
      <c r="R1332">
        <v>3.0874952159828011E-3</v>
      </c>
      <c r="T1332" t="s">
        <v>39</v>
      </c>
      <c r="V1332">
        <v>5002224.0247999998</v>
      </c>
      <c r="W1332" t="s">
        <v>220</v>
      </c>
      <c r="X1332" t="s">
        <v>464</v>
      </c>
      <c r="Y1332">
        <v>4868188.6729193777</v>
      </c>
      <c r="Z1332" t="s">
        <v>31</v>
      </c>
      <c r="AA1332">
        <v>1.2124097015297286E-5</v>
      </c>
      <c r="AB1332">
        <v>102.12</v>
      </c>
      <c r="AC1332" t="s">
        <v>33</v>
      </c>
      <c r="AE1332" t="s">
        <v>41</v>
      </c>
      <c r="AF1332">
        <v>4.4400000000000002E-2</v>
      </c>
      <c r="AH1332" t="s">
        <v>237</v>
      </c>
      <c r="AJ1332">
        <v>1.2398550941228944E-4</v>
      </c>
      <c r="AK1332">
        <v>1.2398550941228944E-4</v>
      </c>
      <c r="AL1332">
        <v>0</v>
      </c>
      <c r="AN1332" t="s">
        <v>148</v>
      </c>
      <c r="AQ1332">
        <v>5.5049566179056513E-6</v>
      </c>
    </row>
    <row r="1333" spans="1:43" x14ac:dyDescent="0.2">
      <c r="A1333">
        <v>1331</v>
      </c>
      <c r="B1333">
        <v>110</v>
      </c>
      <c r="C1333">
        <v>8</v>
      </c>
      <c r="D1333">
        <v>8113062.0042634811</v>
      </c>
      <c r="E1333" t="s">
        <v>335</v>
      </c>
      <c r="F1333" t="s">
        <v>87</v>
      </c>
      <c r="G1333" t="s">
        <v>873</v>
      </c>
      <c r="H1333">
        <v>8.6090043075312615E-4</v>
      </c>
      <c r="I1333">
        <v>6.2986397189284595E-7</v>
      </c>
      <c r="J1333">
        <v>4.22</v>
      </c>
      <c r="L1333" s="1">
        <v>45184</v>
      </c>
      <c r="M1333" s="1">
        <v>43024</v>
      </c>
      <c r="R1333">
        <v>3.0874952159828011E-3</v>
      </c>
      <c r="T1333" t="s">
        <v>39</v>
      </c>
      <c r="V1333">
        <v>8230622.4632000001</v>
      </c>
      <c r="W1333" t="s">
        <v>336</v>
      </c>
      <c r="X1333" t="s">
        <v>874</v>
      </c>
      <c r="Y1333">
        <v>8113062.0042634811</v>
      </c>
      <c r="Z1333" t="s">
        <v>31</v>
      </c>
      <c r="AA1333">
        <v>1.9948899678500843E-5</v>
      </c>
      <c r="AB1333">
        <v>101.05</v>
      </c>
      <c r="AC1333" t="s">
        <v>34</v>
      </c>
      <c r="AE1333" t="s">
        <v>177</v>
      </c>
      <c r="AF1333">
        <v>4.4900000000000002E-2</v>
      </c>
      <c r="AH1333" t="s">
        <v>237</v>
      </c>
      <c r="AJ1333">
        <v>2.0400484141069341E-4</v>
      </c>
      <c r="AK1333">
        <v>2.0400484141069341E-4</v>
      </c>
      <c r="AL1333">
        <v>0</v>
      </c>
      <c r="AN1333" t="s">
        <v>54</v>
      </c>
      <c r="AQ1333">
        <v>9.1598173793401341E-6</v>
      </c>
    </row>
    <row r="1334" spans="1:43" x14ac:dyDescent="0.2">
      <c r="A1334">
        <v>1332</v>
      </c>
      <c r="B1334">
        <v>110</v>
      </c>
      <c r="C1334">
        <v>8</v>
      </c>
      <c r="D1334">
        <v>3244904.0135613759</v>
      </c>
      <c r="E1334" t="s">
        <v>349</v>
      </c>
      <c r="F1334" t="s">
        <v>87</v>
      </c>
      <c r="G1334" t="s">
        <v>535</v>
      </c>
      <c r="H1334">
        <v>2.8394237586639787E-4</v>
      </c>
      <c r="I1334">
        <v>2.5337304251511384E-7</v>
      </c>
      <c r="J1334">
        <v>3.46</v>
      </c>
      <c r="L1334" s="1">
        <v>44666</v>
      </c>
      <c r="M1334" s="1">
        <v>43024</v>
      </c>
      <c r="R1334">
        <v>3.0874952159828011E-3</v>
      </c>
      <c r="T1334" t="s">
        <v>39</v>
      </c>
      <c r="V1334">
        <v>3310901.9539999999</v>
      </c>
      <c r="W1334" t="s">
        <v>350</v>
      </c>
      <c r="X1334" t="s">
        <v>536</v>
      </c>
      <c r="Y1334">
        <v>3244904.0135613759</v>
      </c>
      <c r="Z1334" t="s">
        <v>31</v>
      </c>
      <c r="AA1334">
        <v>8.0247698422579752E-6</v>
      </c>
      <c r="AB1334">
        <v>102.02</v>
      </c>
      <c r="AC1334" t="s">
        <v>33</v>
      </c>
      <c r="AE1334" t="s">
        <v>35</v>
      </c>
      <c r="AF1334">
        <v>4.4900000000000002E-2</v>
      </c>
      <c r="AH1334" t="s">
        <v>237</v>
      </c>
      <c r="AJ1334">
        <v>8.206427048161789E-5</v>
      </c>
      <c r="AK1334">
        <v>8.206427048161789E-5</v>
      </c>
      <c r="AL1334">
        <v>0</v>
      </c>
      <c r="AN1334" t="s">
        <v>148</v>
      </c>
      <c r="AQ1334">
        <v>3.6846857446246436E-6</v>
      </c>
    </row>
    <row r="1335" spans="1:43" x14ac:dyDescent="0.2">
      <c r="A1335">
        <v>1333</v>
      </c>
      <c r="B1335">
        <v>110</v>
      </c>
      <c r="C1335">
        <v>8</v>
      </c>
      <c r="D1335">
        <v>608113575.78582013</v>
      </c>
      <c r="E1335" t="s">
        <v>349</v>
      </c>
      <c r="F1335" t="s">
        <v>87</v>
      </c>
      <c r="G1335" t="s">
        <v>901</v>
      </c>
      <c r="H1335">
        <v>5.8176357110890912E-2</v>
      </c>
      <c r="I1335">
        <v>4.8545736287346675E-5</v>
      </c>
      <c r="J1335">
        <v>3.7</v>
      </c>
      <c r="L1335" s="1">
        <v>44525</v>
      </c>
      <c r="M1335" s="1">
        <v>43024</v>
      </c>
      <c r="R1335">
        <v>3.0874952159828011E-3</v>
      </c>
      <c r="T1335" t="s">
        <v>39</v>
      </c>
      <c r="V1335">
        <v>634361775.57270002</v>
      </c>
      <c r="W1335" t="s">
        <v>350</v>
      </c>
      <c r="X1335" t="s">
        <v>536</v>
      </c>
      <c r="Y1335">
        <v>608113575.78582013</v>
      </c>
      <c r="Z1335" t="s">
        <v>31</v>
      </c>
      <c r="AA1335">
        <v>1.5375288415130834E-3</v>
      </c>
      <c r="AB1335">
        <v>102.29</v>
      </c>
      <c r="AC1335" t="s">
        <v>33</v>
      </c>
      <c r="AE1335" t="s">
        <v>35</v>
      </c>
      <c r="AF1335">
        <v>4.4499999999999998E-2</v>
      </c>
      <c r="AH1335" t="s">
        <v>237</v>
      </c>
      <c r="AJ1335">
        <v>1.5723339759700247E-2</v>
      </c>
      <c r="AK1335">
        <v>1.5723339759700247E-2</v>
      </c>
      <c r="AL1335">
        <v>0</v>
      </c>
      <c r="AN1335" t="s">
        <v>148</v>
      </c>
      <c r="AQ1335">
        <v>6.9968861930666093E-4</v>
      </c>
    </row>
    <row r="1336" spans="1:43" x14ac:dyDescent="0.2">
      <c r="A1336">
        <v>1334</v>
      </c>
      <c r="B1336">
        <v>110</v>
      </c>
      <c r="C1336">
        <v>8</v>
      </c>
      <c r="D1336">
        <v>549150619.73679173</v>
      </c>
      <c r="E1336" t="s">
        <v>488</v>
      </c>
      <c r="F1336" t="s">
        <v>87</v>
      </c>
      <c r="G1336" t="s">
        <v>537</v>
      </c>
      <c r="H1336">
        <v>5.0839537282991759E-2</v>
      </c>
      <c r="I1336">
        <v>4.2770252900276925E-5</v>
      </c>
      <c r="J1336">
        <v>3.67</v>
      </c>
      <c r="L1336" s="1">
        <v>44484</v>
      </c>
      <c r="M1336" s="1">
        <v>43024</v>
      </c>
      <c r="R1336">
        <v>3.0874952159828011E-3</v>
      </c>
      <c r="T1336" t="s">
        <v>39</v>
      </c>
      <c r="V1336">
        <v>558891792.49269998</v>
      </c>
      <c r="W1336" t="s">
        <v>490</v>
      </c>
      <c r="X1336" t="s">
        <v>491</v>
      </c>
      <c r="Y1336">
        <v>549150619.73679173</v>
      </c>
      <c r="Z1336" t="s">
        <v>31</v>
      </c>
      <c r="AA1336">
        <v>1.3546091257889664E-3</v>
      </c>
      <c r="AB1336">
        <v>101.75</v>
      </c>
      <c r="AC1336" t="s">
        <v>33</v>
      </c>
      <c r="AE1336" t="s">
        <v>41</v>
      </c>
      <c r="AF1336">
        <v>4.5999999999999999E-2</v>
      </c>
      <c r="AH1336" t="s">
        <v>237</v>
      </c>
      <c r="AJ1336">
        <v>1.3852734954493668E-2</v>
      </c>
      <c r="AK1336">
        <v>1.3852734954493668E-2</v>
      </c>
      <c r="AL1336">
        <v>0</v>
      </c>
      <c r="AN1336" t="s">
        <v>148</v>
      </c>
      <c r="AQ1336">
        <v>6.3722580790670871E-4</v>
      </c>
    </row>
    <row r="1337" spans="1:43" x14ac:dyDescent="0.2">
      <c r="A1337">
        <v>1335</v>
      </c>
      <c r="B1337">
        <v>110</v>
      </c>
      <c r="C1337">
        <v>8</v>
      </c>
      <c r="D1337">
        <v>9736262.5111634359</v>
      </c>
      <c r="E1337" t="s">
        <v>496</v>
      </c>
      <c r="F1337" t="s">
        <v>87</v>
      </c>
      <c r="G1337" t="s">
        <v>970</v>
      </c>
      <c r="H1337">
        <v>8.8509383123577389E-4</v>
      </c>
      <c r="I1337">
        <v>7.5908971378787238E-7</v>
      </c>
      <c r="J1337">
        <v>3.6</v>
      </c>
      <c r="L1337" s="1">
        <v>44452</v>
      </c>
      <c r="M1337" s="1">
        <v>43024</v>
      </c>
      <c r="R1337">
        <v>3.0874952159828011E-3</v>
      </c>
      <c r="T1337" t="s">
        <v>39</v>
      </c>
      <c r="V1337">
        <v>9919254.2019999996</v>
      </c>
      <c r="W1337" t="s">
        <v>498</v>
      </c>
      <c r="X1337" t="s">
        <v>499</v>
      </c>
      <c r="Y1337">
        <v>9736262.5111634359</v>
      </c>
      <c r="Z1337" t="s">
        <v>31</v>
      </c>
      <c r="AA1337">
        <v>2.4041706182731706E-5</v>
      </c>
      <c r="AB1337">
        <v>101.44</v>
      </c>
      <c r="AC1337" t="s">
        <v>33</v>
      </c>
      <c r="AE1337" t="s">
        <v>43</v>
      </c>
      <c r="AF1337">
        <v>4.48E-2</v>
      </c>
      <c r="AH1337" t="s">
        <v>237</v>
      </c>
      <c r="AJ1337">
        <v>2.4585939756549275E-4</v>
      </c>
      <c r="AK1337">
        <v>2.4585939756549275E-4</v>
      </c>
      <c r="AL1337">
        <v>0</v>
      </c>
      <c r="AN1337" t="s">
        <v>148</v>
      </c>
      <c r="AQ1337">
        <v>1.1014501010934076E-5</v>
      </c>
    </row>
    <row r="1338" spans="1:43" x14ac:dyDescent="0.2">
      <c r="A1338">
        <v>1336</v>
      </c>
      <c r="B1338">
        <v>112</v>
      </c>
      <c r="C1338">
        <v>8</v>
      </c>
      <c r="D1338">
        <v>502758007.09910989</v>
      </c>
      <c r="E1338" t="s">
        <v>326</v>
      </c>
      <c r="F1338" t="s">
        <v>87</v>
      </c>
      <c r="G1338" t="s">
        <v>830</v>
      </c>
      <c r="H1338">
        <v>0.11554411423434865</v>
      </c>
      <c r="I1338">
        <v>4.2221519912994934E-5</v>
      </c>
      <c r="J1338">
        <v>8.8800000000000008</v>
      </c>
      <c r="L1338" s="1">
        <v>48000</v>
      </c>
      <c r="M1338" s="1">
        <v>43024</v>
      </c>
      <c r="R1338">
        <v>3.2448826953397313E-3</v>
      </c>
      <c r="T1338" t="s">
        <v>39</v>
      </c>
      <c r="V1338">
        <v>524961034.4497</v>
      </c>
      <c r="W1338" t="s">
        <v>327</v>
      </c>
      <c r="X1338" t="s">
        <v>435</v>
      </c>
      <c r="Y1338">
        <v>502758007.09910989</v>
      </c>
      <c r="Z1338" t="s">
        <v>31</v>
      </c>
      <c r="AA1338">
        <v>1.3372297870713125E-3</v>
      </c>
      <c r="AB1338">
        <v>101.8</v>
      </c>
      <c r="AC1338" t="s">
        <v>34</v>
      </c>
      <c r="AE1338" t="s">
        <v>35</v>
      </c>
      <c r="AF1338">
        <v>6.7799999999999999E-2</v>
      </c>
      <c r="AH1338" t="s">
        <v>237</v>
      </c>
      <c r="AJ1338">
        <v>1.3011724575940162E-2</v>
      </c>
      <c r="AK1338">
        <v>1.3011724575940162E-2</v>
      </c>
      <c r="AL1338">
        <v>0</v>
      </c>
      <c r="AN1338" t="s">
        <v>54</v>
      </c>
      <c r="AQ1338">
        <v>8.8219492624874295E-4</v>
      </c>
    </row>
    <row r="1339" spans="1:43" x14ac:dyDescent="0.2">
      <c r="A1339">
        <v>1337</v>
      </c>
      <c r="B1339">
        <v>112</v>
      </c>
      <c r="C1339">
        <v>8</v>
      </c>
      <c r="D1339">
        <v>6030200.1727734469</v>
      </c>
      <c r="E1339" t="s">
        <v>242</v>
      </c>
      <c r="F1339" t="s">
        <v>87</v>
      </c>
      <c r="G1339" t="s">
        <v>613</v>
      </c>
      <c r="H1339">
        <v>1.2018223501885047E-3</v>
      </c>
      <c r="I1339">
        <v>4.9615426806605664E-7</v>
      </c>
      <c r="J1339">
        <v>7.86</v>
      </c>
      <c r="L1339" s="1">
        <v>46481</v>
      </c>
      <c r="M1339" s="1">
        <v>43024</v>
      </c>
      <c r="R1339">
        <v>3.2448826953397313E-3</v>
      </c>
      <c r="T1339" t="s">
        <v>39</v>
      </c>
      <c r="V1339">
        <v>6168931.3493999997</v>
      </c>
      <c r="W1339" t="s">
        <v>243</v>
      </c>
      <c r="X1339" t="s">
        <v>244</v>
      </c>
      <c r="Y1339">
        <v>6030200.1727734469</v>
      </c>
      <c r="Z1339" t="s">
        <v>31</v>
      </c>
      <c r="AA1339">
        <v>1.5714078214325308E-5</v>
      </c>
      <c r="AB1339">
        <v>102.11020000000001</v>
      </c>
      <c r="AC1339" t="s">
        <v>33</v>
      </c>
      <c r="AE1339" t="s">
        <v>177</v>
      </c>
      <c r="AF1339">
        <v>0</v>
      </c>
      <c r="AH1339" t="s">
        <v>237</v>
      </c>
      <c r="AJ1339">
        <v>1.5290360689421178E-4</v>
      </c>
      <c r="AK1339">
        <v>1.5290360689421178E-4</v>
      </c>
      <c r="AL1339">
        <v>0</v>
      </c>
      <c r="AN1339" t="s">
        <v>148</v>
      </c>
      <c r="AQ1339">
        <v>0</v>
      </c>
    </row>
    <row r="1340" spans="1:43" x14ac:dyDescent="0.2">
      <c r="A1340">
        <v>1338</v>
      </c>
      <c r="B1340">
        <v>112</v>
      </c>
      <c r="C1340">
        <v>8</v>
      </c>
      <c r="D1340">
        <v>8041093.8870096784</v>
      </c>
      <c r="E1340" t="s">
        <v>682</v>
      </c>
      <c r="F1340" t="s">
        <v>87</v>
      </c>
      <c r="G1340" t="s">
        <v>683</v>
      </c>
      <c r="H1340">
        <v>1.9305706318589928E-3</v>
      </c>
      <c r="I1340">
        <v>6.8166215837326849E-7</v>
      </c>
      <c r="J1340">
        <v>9.19</v>
      </c>
      <c r="L1340" s="1">
        <v>47330</v>
      </c>
      <c r="M1340" s="1">
        <v>43024</v>
      </c>
      <c r="R1340">
        <v>3.2448826953397313E-3</v>
      </c>
      <c r="T1340" t="s">
        <v>39</v>
      </c>
      <c r="V1340">
        <v>8475442.6780999992</v>
      </c>
      <c r="W1340" t="s">
        <v>684</v>
      </c>
      <c r="X1340" t="s">
        <v>685</v>
      </c>
      <c r="Y1340">
        <v>8041093.8870096784</v>
      </c>
      <c r="Z1340" t="s">
        <v>31</v>
      </c>
      <c r="AA1340">
        <v>2.1589439337438533E-5</v>
      </c>
      <c r="AB1340">
        <v>104.37739999999999</v>
      </c>
      <c r="AC1340" t="s">
        <v>34</v>
      </c>
      <c r="AE1340" t="s">
        <v>175</v>
      </c>
      <c r="AF1340">
        <v>0</v>
      </c>
      <c r="AH1340" t="s">
        <v>237</v>
      </c>
      <c r="AJ1340">
        <v>2.1007297408694156E-4</v>
      </c>
      <c r="AK1340">
        <v>2.1007297408694156E-4</v>
      </c>
      <c r="AL1340">
        <v>0</v>
      </c>
      <c r="AN1340" t="s">
        <v>54</v>
      </c>
      <c r="AQ1340">
        <v>0</v>
      </c>
    </row>
    <row r="1341" spans="1:43" x14ac:dyDescent="0.2">
      <c r="A1341">
        <v>1339</v>
      </c>
      <c r="B1341">
        <v>123</v>
      </c>
      <c r="C1341">
        <v>8</v>
      </c>
      <c r="D1341">
        <v>67789323.851123273</v>
      </c>
      <c r="E1341" t="s">
        <v>356</v>
      </c>
      <c r="F1341" t="s">
        <v>87</v>
      </c>
      <c r="G1341" t="s">
        <v>1105</v>
      </c>
      <c r="H1341">
        <v>2.5898063049764478E-3</v>
      </c>
      <c r="I1341">
        <v>1.1439557805193049E-5</v>
      </c>
      <c r="J1341">
        <v>1.42</v>
      </c>
      <c r="L1341" s="1">
        <v>43590</v>
      </c>
      <c r="M1341" s="1">
        <v>43024</v>
      </c>
      <c r="R1341">
        <v>6.2723501955185244E-3</v>
      </c>
      <c r="T1341" t="s">
        <v>39</v>
      </c>
      <c r="V1341">
        <v>73581925.185800001</v>
      </c>
      <c r="W1341" t="s">
        <v>357</v>
      </c>
      <c r="X1341" t="s">
        <v>1106</v>
      </c>
      <c r="Y1341">
        <v>67789323.851123273</v>
      </c>
      <c r="Z1341" t="s">
        <v>31</v>
      </c>
      <c r="AA1341">
        <v>3.6231091347614099E-4</v>
      </c>
      <c r="AB1341">
        <v>104.2491</v>
      </c>
      <c r="AC1341" t="s">
        <v>146</v>
      </c>
      <c r="AE1341" t="s">
        <v>177</v>
      </c>
      <c r="AF1341">
        <v>0</v>
      </c>
      <c r="AH1341" t="s">
        <v>237</v>
      </c>
      <c r="AJ1341">
        <v>1.8238072570256674E-3</v>
      </c>
      <c r="AK1341">
        <v>1.8238072570256674E-3</v>
      </c>
      <c r="AL1341">
        <v>0</v>
      </c>
      <c r="AN1341" t="s">
        <v>154</v>
      </c>
      <c r="AQ1341">
        <v>0</v>
      </c>
    </row>
    <row r="1342" spans="1:43" x14ac:dyDescent="0.2">
      <c r="A1342">
        <v>1340</v>
      </c>
      <c r="B1342">
        <v>123</v>
      </c>
      <c r="C1342">
        <v>8</v>
      </c>
      <c r="D1342">
        <v>83883267.381195024</v>
      </c>
      <c r="E1342" t="s">
        <v>361</v>
      </c>
      <c r="F1342" t="s">
        <v>87</v>
      </c>
      <c r="G1342" t="s">
        <v>1107</v>
      </c>
      <c r="H1342">
        <v>3.2600712980965924E-3</v>
      </c>
      <c r="I1342">
        <v>1.3723697210752008E-5</v>
      </c>
      <c r="J1342">
        <v>1.49</v>
      </c>
      <c r="L1342" s="1">
        <v>43595</v>
      </c>
      <c r="M1342" s="1">
        <v>43024</v>
      </c>
      <c r="R1342">
        <v>6.2723501955185244E-3</v>
      </c>
      <c r="T1342" t="s">
        <v>32</v>
      </c>
      <c r="V1342">
        <v>88274046.832100004</v>
      </c>
      <c r="W1342" t="s">
        <v>362</v>
      </c>
      <c r="X1342" t="s">
        <v>1108</v>
      </c>
      <c r="Y1342">
        <v>83883267.381195024</v>
      </c>
      <c r="Z1342" t="s">
        <v>31</v>
      </c>
      <c r="AA1342">
        <v>4.3465362537355694E-4</v>
      </c>
      <c r="AB1342">
        <v>102.81</v>
      </c>
      <c r="AC1342" t="s">
        <v>54</v>
      </c>
      <c r="AE1342" t="s">
        <v>44</v>
      </c>
      <c r="AF1342">
        <v>1.1911179129769932E-2</v>
      </c>
      <c r="AH1342" t="s">
        <v>237</v>
      </c>
      <c r="AJ1342">
        <v>2.187967314158787E-3</v>
      </c>
      <c r="AK1342">
        <v>2.187967314158787E-3</v>
      </c>
      <c r="AL1342">
        <v>0</v>
      </c>
      <c r="AN1342" t="s">
        <v>154</v>
      </c>
      <c r="AQ1342">
        <v>2.6061270609026916E-5</v>
      </c>
    </row>
    <row r="1343" spans="1:43" x14ac:dyDescent="0.2">
      <c r="A1343">
        <v>1341</v>
      </c>
      <c r="B1343">
        <v>123</v>
      </c>
      <c r="C1343">
        <v>8</v>
      </c>
      <c r="D1343">
        <v>48628318.659041561</v>
      </c>
      <c r="E1343" t="s">
        <v>393</v>
      </c>
      <c r="F1343" t="s">
        <v>87</v>
      </c>
      <c r="G1343" t="s">
        <v>1735</v>
      </c>
      <c r="H1343">
        <v>2.2919135660180979E-3</v>
      </c>
      <c r="I1343">
        <v>7.5661497389079864E-6</v>
      </c>
      <c r="J1343">
        <v>1.9</v>
      </c>
      <c r="L1343" s="1">
        <v>43733</v>
      </c>
      <c r="M1343" s="1">
        <v>43024</v>
      </c>
      <c r="R1343">
        <v>6.2723501955185244E-3</v>
      </c>
      <c r="T1343" t="s">
        <v>32</v>
      </c>
      <c r="V1343">
        <v>48667253.884599999</v>
      </c>
      <c r="W1343" t="s">
        <v>394</v>
      </c>
      <c r="X1343" t="s">
        <v>1136</v>
      </c>
      <c r="Y1343">
        <v>48628318.659041561</v>
      </c>
      <c r="Z1343" t="s">
        <v>31</v>
      </c>
      <c r="AA1343">
        <v>2.3963326818075004E-4</v>
      </c>
      <c r="AB1343">
        <v>99.91</v>
      </c>
      <c r="AC1343" t="s">
        <v>154</v>
      </c>
      <c r="AE1343" t="s">
        <v>35</v>
      </c>
      <c r="AF1343">
        <v>6.9111791297699343E-3</v>
      </c>
      <c r="AH1343" t="s">
        <v>237</v>
      </c>
      <c r="AJ1343">
        <v>1.206270297904262E-3</v>
      </c>
      <c r="AK1343">
        <v>1.206270297904262E-3</v>
      </c>
      <c r="AL1343">
        <v>0</v>
      </c>
      <c r="AN1343" t="s">
        <v>603</v>
      </c>
      <c r="AQ1343">
        <v>8.3367501077372964E-6</v>
      </c>
    </row>
    <row r="1344" spans="1:43" x14ac:dyDescent="0.2">
      <c r="A1344">
        <v>1342</v>
      </c>
      <c r="B1344">
        <v>124</v>
      </c>
      <c r="C1344">
        <v>8</v>
      </c>
      <c r="D1344">
        <v>14120496.844834646</v>
      </c>
      <c r="E1344" t="s">
        <v>1112</v>
      </c>
      <c r="F1344" t="s">
        <v>87</v>
      </c>
      <c r="G1344" t="s">
        <v>1113</v>
      </c>
      <c r="H1344">
        <v>9.1842400850066137E-4</v>
      </c>
      <c r="I1344">
        <v>2.823708477920261E-6</v>
      </c>
      <c r="J1344">
        <v>2.4</v>
      </c>
      <c r="L1344" s="1">
        <v>43991</v>
      </c>
      <c r="M1344" s="1">
        <v>43024</v>
      </c>
      <c r="R1344">
        <v>7.378836228456179E-3</v>
      </c>
      <c r="T1344" t="s">
        <v>39</v>
      </c>
      <c r="V1344">
        <v>15439178.679199999</v>
      </c>
      <c r="W1344" t="s">
        <v>355</v>
      </c>
      <c r="X1344" t="s">
        <v>1006</v>
      </c>
      <c r="Y1344">
        <v>14120496.844834646</v>
      </c>
      <c r="Z1344" t="s">
        <v>31</v>
      </c>
      <c r="AA1344">
        <v>8.9431813313727013E-5</v>
      </c>
      <c r="AB1344">
        <v>106.73350000000001</v>
      </c>
      <c r="AC1344" t="s">
        <v>144</v>
      </c>
      <c r="AE1344" t="s">
        <v>57</v>
      </c>
      <c r="AF1344">
        <v>0</v>
      </c>
      <c r="AH1344" t="s">
        <v>237</v>
      </c>
      <c r="AJ1344">
        <v>3.8267667020860891E-4</v>
      </c>
      <c r="AK1344">
        <v>3.8267667020860891E-4</v>
      </c>
      <c r="AL1344">
        <v>0</v>
      </c>
      <c r="AN1344" t="s">
        <v>163</v>
      </c>
      <c r="AQ1344">
        <v>0</v>
      </c>
    </row>
    <row r="1345" spans="1:43" x14ac:dyDescent="0.2">
      <c r="A1345">
        <v>1343</v>
      </c>
      <c r="B1345">
        <v>125</v>
      </c>
      <c r="C1345">
        <v>8</v>
      </c>
      <c r="D1345">
        <v>6075917.9046550943</v>
      </c>
      <c r="E1345" t="s">
        <v>1121</v>
      </c>
      <c r="F1345" t="s">
        <v>87</v>
      </c>
      <c r="G1345" t="s">
        <v>1122</v>
      </c>
      <c r="H1345">
        <v>4.6297230105811141E-4</v>
      </c>
      <c r="I1345">
        <v>1.7904423401532908E-6</v>
      </c>
      <c r="J1345">
        <v>3.06</v>
      </c>
      <c r="L1345" s="1">
        <v>45463</v>
      </c>
      <c r="M1345" s="1">
        <v>43024</v>
      </c>
      <c r="R1345">
        <v>1.1833868998960669E-2</v>
      </c>
      <c r="T1345" t="s">
        <v>32</v>
      </c>
      <c r="V1345">
        <v>6104158.3197999997</v>
      </c>
      <c r="W1345" t="s">
        <v>1123</v>
      </c>
      <c r="X1345" t="s">
        <v>1124</v>
      </c>
      <c r="Y1345">
        <v>6075917.9046550943</v>
      </c>
      <c r="Z1345" t="s">
        <v>31</v>
      </c>
      <c r="AA1345">
        <v>5.6706457612620217E-5</v>
      </c>
      <c r="AB1345">
        <v>98.97</v>
      </c>
      <c r="AC1345" t="s">
        <v>146</v>
      </c>
      <c r="AE1345" t="s">
        <v>165</v>
      </c>
      <c r="AF1345">
        <v>2.7411179129769932E-2</v>
      </c>
      <c r="AH1345" t="s">
        <v>237</v>
      </c>
      <c r="AJ1345">
        <v>1.5129813760069E-4</v>
      </c>
      <c r="AK1345">
        <v>1.5129813760069E-4</v>
      </c>
      <c r="AL1345">
        <v>0</v>
      </c>
      <c r="AN1345" t="s">
        <v>154</v>
      </c>
      <c r="AQ1345">
        <v>4.1472603517730928E-6</v>
      </c>
    </row>
    <row r="1346" spans="1:43" x14ac:dyDescent="0.2">
      <c r="A1346">
        <v>1344</v>
      </c>
      <c r="B1346">
        <v>125</v>
      </c>
      <c r="C1346">
        <v>8</v>
      </c>
      <c r="D1346">
        <v>56488915.123399459</v>
      </c>
      <c r="E1346" t="s">
        <v>1121</v>
      </c>
      <c r="F1346" t="s">
        <v>87</v>
      </c>
      <c r="G1346" t="s">
        <v>1125</v>
      </c>
      <c r="H1346">
        <v>5.7244315060371075E-3</v>
      </c>
      <c r="I1346">
        <v>1.8610486960430292E-5</v>
      </c>
      <c r="J1346">
        <v>3.64</v>
      </c>
      <c r="L1346" s="1">
        <v>44697</v>
      </c>
      <c r="M1346" s="1">
        <v>43024</v>
      </c>
      <c r="R1346">
        <v>1.1833868998960669E-2</v>
      </c>
      <c r="T1346" t="s">
        <v>39</v>
      </c>
      <c r="V1346">
        <v>63448766.970799997</v>
      </c>
      <c r="W1346" t="s">
        <v>1123</v>
      </c>
      <c r="X1346" t="s">
        <v>1124</v>
      </c>
      <c r="Y1346">
        <v>56488915.123399459</v>
      </c>
      <c r="Z1346" t="s">
        <v>31</v>
      </c>
      <c r="AA1346">
        <v>5.8942685073092493E-4</v>
      </c>
      <c r="AB1346">
        <v>107.8968</v>
      </c>
      <c r="AC1346" t="s">
        <v>146</v>
      </c>
      <c r="AE1346" t="s">
        <v>165</v>
      </c>
      <c r="AF1346">
        <v>0</v>
      </c>
      <c r="AH1346" t="s">
        <v>237</v>
      </c>
      <c r="AJ1346">
        <v>1.5726460181420625E-3</v>
      </c>
      <c r="AK1346">
        <v>1.5726460181420625E-3</v>
      </c>
      <c r="AL1346">
        <v>0</v>
      </c>
      <c r="AN1346" t="s">
        <v>154</v>
      </c>
      <c r="AQ1346">
        <v>0</v>
      </c>
    </row>
    <row r="1347" spans="1:43" x14ac:dyDescent="0.2">
      <c r="A1347">
        <v>1345</v>
      </c>
      <c r="B1347">
        <v>125</v>
      </c>
      <c r="C1347">
        <v>8</v>
      </c>
      <c r="D1347">
        <v>176297512.41464263</v>
      </c>
      <c r="E1347" t="s">
        <v>354</v>
      </c>
      <c r="F1347" t="s">
        <v>87</v>
      </c>
      <c r="G1347" t="s">
        <v>1126</v>
      </c>
      <c r="H1347">
        <v>6.3841456705919036E-2</v>
      </c>
      <c r="I1347">
        <v>1.8381786748434669E-4</v>
      </c>
      <c r="J1347">
        <v>4.1100000000000003</v>
      </c>
      <c r="L1347" s="1">
        <v>44713</v>
      </c>
      <c r="M1347" s="1">
        <v>43024</v>
      </c>
      <c r="R1347">
        <v>1.1833868998960669E-2</v>
      </c>
      <c r="T1347" t="s">
        <v>32</v>
      </c>
      <c r="V1347">
        <v>626690589.22969997</v>
      </c>
      <c r="W1347" t="s">
        <v>355</v>
      </c>
      <c r="X1347" t="s">
        <v>1006</v>
      </c>
      <c r="Y1347">
        <v>176297512.41464263</v>
      </c>
      <c r="Z1347" t="s">
        <v>31</v>
      </c>
      <c r="AA1347">
        <v>5.8218351282124572E-3</v>
      </c>
      <c r="AB1347">
        <v>106.67</v>
      </c>
      <c r="AC1347" t="s">
        <v>146</v>
      </c>
      <c r="AE1347" t="s">
        <v>57</v>
      </c>
      <c r="AF1347">
        <v>1.3111179129769938E-2</v>
      </c>
      <c r="AH1347" t="s">
        <v>237</v>
      </c>
      <c r="AJ1347">
        <v>1.5533201144992464E-2</v>
      </c>
      <c r="AK1347">
        <v>1.5533201144992464E-2</v>
      </c>
      <c r="AL1347">
        <v>0</v>
      </c>
      <c r="AN1347" t="s">
        <v>154</v>
      </c>
      <c r="AQ1347">
        <v>2.0365858267074372E-4</v>
      </c>
    </row>
    <row r="1348" spans="1:43" x14ac:dyDescent="0.2">
      <c r="A1348">
        <v>1346</v>
      </c>
      <c r="B1348">
        <v>125</v>
      </c>
      <c r="C1348">
        <v>8</v>
      </c>
      <c r="D1348">
        <v>1206042.3611511723</v>
      </c>
      <c r="E1348" t="s">
        <v>356</v>
      </c>
      <c r="F1348" t="s">
        <v>87</v>
      </c>
      <c r="G1348" t="s">
        <v>1646</v>
      </c>
      <c r="H1348">
        <v>5.6230364317181066E-5</v>
      </c>
      <c r="I1348">
        <v>1.591920490653955E-7</v>
      </c>
      <c r="J1348">
        <v>4.18</v>
      </c>
      <c r="L1348" s="1">
        <v>46310</v>
      </c>
      <c r="M1348" s="1">
        <v>43024</v>
      </c>
      <c r="R1348">
        <v>1.1833868998960669E-2</v>
      </c>
      <c r="T1348" t="s">
        <v>32</v>
      </c>
      <c r="V1348">
        <v>542733.74179999996</v>
      </c>
      <c r="W1348" t="s">
        <v>357</v>
      </c>
      <c r="X1348" t="s">
        <v>1106</v>
      </c>
      <c r="Y1348">
        <v>1206042.3611511723</v>
      </c>
      <c r="Z1348" t="s">
        <v>31</v>
      </c>
      <c r="AA1348">
        <v>5.0418921515339789E-6</v>
      </c>
      <c r="AB1348">
        <v>99.99</v>
      </c>
      <c r="AC1348" t="s">
        <v>54</v>
      </c>
      <c r="AE1348" t="s">
        <v>177</v>
      </c>
      <c r="AF1348">
        <v>2.3911179129769936E-2</v>
      </c>
      <c r="AH1348" t="s">
        <v>237</v>
      </c>
      <c r="AJ1348">
        <v>1.3452240267268198E-5</v>
      </c>
      <c r="AK1348">
        <v>1.3452240267268198E-5</v>
      </c>
      <c r="AL1348">
        <v>0</v>
      </c>
      <c r="AN1348" t="s">
        <v>154</v>
      </c>
      <c r="AQ1348">
        <v>3.2165892672735408E-7</v>
      </c>
    </row>
    <row r="1349" spans="1:43" x14ac:dyDescent="0.2">
      <c r="A1349">
        <v>1347</v>
      </c>
      <c r="B1349">
        <v>125</v>
      </c>
      <c r="C1349">
        <v>8</v>
      </c>
      <c r="D1349">
        <v>52274764.913723603</v>
      </c>
      <c r="E1349" t="s">
        <v>1127</v>
      </c>
      <c r="F1349" t="s">
        <v>87</v>
      </c>
      <c r="G1349" t="s">
        <v>1128</v>
      </c>
      <c r="H1349">
        <v>3.9242875309528791E-3</v>
      </c>
      <c r="I1349">
        <v>1.2416979827687481E-5</v>
      </c>
      <c r="J1349">
        <v>3.74</v>
      </c>
      <c r="L1349" s="1">
        <v>45627</v>
      </c>
      <c r="M1349" s="1">
        <v>43024</v>
      </c>
      <c r="R1349">
        <v>1.1833868998960669E-2</v>
      </c>
      <c r="T1349" t="s">
        <v>32</v>
      </c>
      <c r="V1349">
        <v>42333231.862400003</v>
      </c>
      <c r="W1349" t="s">
        <v>1129</v>
      </c>
      <c r="X1349" t="s">
        <v>1130</v>
      </c>
      <c r="Y1349">
        <v>52274764.913723603</v>
      </c>
      <c r="Z1349" t="s">
        <v>31</v>
      </c>
      <c r="AA1349">
        <v>3.9326758783823001E-4</v>
      </c>
      <c r="AB1349">
        <v>100.37</v>
      </c>
      <c r="AC1349" t="s">
        <v>148</v>
      </c>
      <c r="AE1349" t="s">
        <v>551</v>
      </c>
      <c r="AF1349">
        <v>4.0311179129769933E-2</v>
      </c>
      <c r="AH1349" t="s">
        <v>237</v>
      </c>
      <c r="AJ1349">
        <v>1.0492747408964917E-3</v>
      </c>
      <c r="AK1349">
        <v>1.0492747408964917E-3</v>
      </c>
      <c r="AL1349">
        <v>0</v>
      </c>
      <c r="AN1349" t="s">
        <v>144</v>
      </c>
      <c r="AQ1349">
        <v>4.2297502036621414E-5</v>
      </c>
    </row>
    <row r="1350" spans="1:43" x14ac:dyDescent="0.2">
      <c r="A1350">
        <v>1348</v>
      </c>
      <c r="B1350">
        <v>125</v>
      </c>
      <c r="C1350">
        <v>8</v>
      </c>
      <c r="D1350">
        <v>105768760.30035707</v>
      </c>
      <c r="E1350" t="s">
        <v>1131</v>
      </c>
      <c r="F1350" t="s">
        <v>87</v>
      </c>
      <c r="G1350" t="s">
        <v>1132</v>
      </c>
      <c r="H1350">
        <v>9.9560694921573475E-3</v>
      </c>
      <c r="I1350">
        <v>3.1671726374929818E-5</v>
      </c>
      <c r="J1350">
        <v>3.72</v>
      </c>
      <c r="L1350" s="1">
        <v>45704</v>
      </c>
      <c r="M1350" s="1">
        <v>43024</v>
      </c>
      <c r="R1350">
        <v>1.1833868998960669E-2</v>
      </c>
      <c r="T1350" t="s">
        <v>32</v>
      </c>
      <c r="V1350">
        <v>107978474.21179999</v>
      </c>
      <c r="W1350" t="s">
        <v>1133</v>
      </c>
      <c r="X1350" t="s">
        <v>1134</v>
      </c>
      <c r="Y1350">
        <v>105768760.30035707</v>
      </c>
      <c r="Z1350" t="s">
        <v>31</v>
      </c>
      <c r="AA1350">
        <v>1.0030992726885008E-3</v>
      </c>
      <c r="AB1350">
        <v>101.38</v>
      </c>
      <c r="AC1350" t="s">
        <v>148</v>
      </c>
      <c r="AE1350" t="s">
        <v>57</v>
      </c>
      <c r="AF1350">
        <v>1.4511179129769937E-2</v>
      </c>
      <c r="AH1350" t="s">
        <v>237</v>
      </c>
      <c r="AJ1350">
        <v>2.6763627667089644E-3</v>
      </c>
      <c r="AK1350">
        <v>2.6763627667089644E-3</v>
      </c>
      <c r="AL1350">
        <v>0</v>
      </c>
      <c r="AN1350" t="s">
        <v>144</v>
      </c>
      <c r="AQ1350">
        <v>3.883717952396045E-5</v>
      </c>
    </row>
    <row r="1351" spans="1:43" x14ac:dyDescent="0.2">
      <c r="A1351">
        <v>1349</v>
      </c>
      <c r="B1351">
        <v>125</v>
      </c>
      <c r="C1351">
        <v>8</v>
      </c>
      <c r="D1351">
        <v>83882113.206779525</v>
      </c>
      <c r="E1351" t="s">
        <v>393</v>
      </c>
      <c r="F1351" t="s">
        <v>87</v>
      </c>
      <c r="G1351" t="s">
        <v>1135</v>
      </c>
      <c r="H1351">
        <v>6.8674034743181978E-3</v>
      </c>
      <c r="I1351">
        <v>2.5238494744748107E-5</v>
      </c>
      <c r="J1351">
        <v>3.22</v>
      </c>
      <c r="L1351" s="1">
        <v>44280</v>
      </c>
      <c r="M1351" s="1">
        <v>43024</v>
      </c>
      <c r="R1351">
        <v>1.1833868998960669E-2</v>
      </c>
      <c r="T1351" t="s">
        <v>32</v>
      </c>
      <c r="V1351">
        <v>86045645.939199999</v>
      </c>
      <c r="W1351" t="s">
        <v>394</v>
      </c>
      <c r="X1351" t="s">
        <v>1136</v>
      </c>
      <c r="Y1351">
        <v>83882113.206779525</v>
      </c>
      <c r="Z1351" t="s">
        <v>31</v>
      </c>
      <c r="AA1351">
        <v>7.9934751337865702E-4</v>
      </c>
      <c r="AB1351">
        <v>102.32</v>
      </c>
      <c r="AC1351" t="s">
        <v>154</v>
      </c>
      <c r="AE1351" t="s">
        <v>35</v>
      </c>
      <c r="AF1351">
        <v>1.4011179129769936E-2</v>
      </c>
      <c r="AH1351" t="s">
        <v>237</v>
      </c>
      <c r="AJ1351">
        <v>2.1327339982354651E-3</v>
      </c>
      <c r="AK1351">
        <v>2.1327339982354651E-3</v>
      </c>
      <c r="AL1351">
        <v>0</v>
      </c>
      <c r="AN1351" t="s">
        <v>603</v>
      </c>
      <c r="AQ1351">
        <v>2.9882118085427541E-5</v>
      </c>
    </row>
    <row r="1352" spans="1:43" x14ac:dyDescent="0.2">
      <c r="A1352">
        <v>1350</v>
      </c>
      <c r="B1352">
        <v>125</v>
      </c>
      <c r="C1352">
        <v>8</v>
      </c>
      <c r="D1352">
        <v>88139709.378872409</v>
      </c>
      <c r="E1352" t="s">
        <v>393</v>
      </c>
      <c r="F1352" t="s">
        <v>87</v>
      </c>
      <c r="G1352" t="s">
        <v>1137</v>
      </c>
      <c r="H1352">
        <v>7.2159715936752963E-3</v>
      </c>
      <c r="I1352">
        <v>2.6519522527880402E-5</v>
      </c>
      <c r="J1352">
        <v>3.22</v>
      </c>
      <c r="L1352" s="1">
        <v>44280</v>
      </c>
      <c r="M1352" s="1">
        <v>43024</v>
      </c>
      <c r="R1352">
        <v>1.1833868998960669E-2</v>
      </c>
      <c r="T1352" t="s">
        <v>32</v>
      </c>
      <c r="V1352">
        <v>90413056.2852</v>
      </c>
      <c r="W1352" t="s">
        <v>394</v>
      </c>
      <c r="X1352" t="s">
        <v>1136</v>
      </c>
      <c r="Y1352">
        <v>88139709.378872409</v>
      </c>
      <c r="Z1352" t="s">
        <v>31</v>
      </c>
      <c r="AA1352">
        <v>8.39919916105997E-4</v>
      </c>
      <c r="AB1352">
        <v>102.32</v>
      </c>
      <c r="AC1352" t="s">
        <v>154</v>
      </c>
      <c r="AE1352" t="s">
        <v>35</v>
      </c>
      <c r="AF1352">
        <v>1.4011179129769936E-2</v>
      </c>
      <c r="AH1352" t="s">
        <v>237</v>
      </c>
      <c r="AJ1352">
        <v>2.2409849669799056E-3</v>
      </c>
      <c r="AK1352">
        <v>2.2409849669799056E-3</v>
      </c>
      <c r="AL1352">
        <v>0</v>
      </c>
      <c r="AN1352" t="s">
        <v>603</v>
      </c>
      <c r="AQ1352">
        <v>3.1398841799477022E-5</v>
      </c>
    </row>
    <row r="1353" spans="1:43" x14ac:dyDescent="0.2">
      <c r="A1353">
        <v>1351</v>
      </c>
      <c r="B1353">
        <v>126</v>
      </c>
      <c r="C1353">
        <v>8</v>
      </c>
      <c r="D1353">
        <v>76260387.981649503</v>
      </c>
      <c r="E1353" t="s">
        <v>1109</v>
      </c>
      <c r="F1353" t="s">
        <v>87</v>
      </c>
      <c r="G1353" t="s">
        <v>1632</v>
      </c>
      <c r="H1353">
        <v>1.0910800305839246E-2</v>
      </c>
      <c r="I1353">
        <v>6.2727149833811453E-5</v>
      </c>
      <c r="J1353">
        <v>5.67</v>
      </c>
      <c r="L1353" s="1">
        <v>45556</v>
      </c>
      <c r="M1353" s="1">
        <v>43024</v>
      </c>
      <c r="R1353">
        <v>3.259732829748218E-2</v>
      </c>
      <c r="T1353" t="s">
        <v>39</v>
      </c>
      <c r="V1353">
        <v>77636465.492400005</v>
      </c>
      <c r="W1353" t="s">
        <v>1110</v>
      </c>
      <c r="X1353" t="s">
        <v>1111</v>
      </c>
      <c r="Y1353">
        <v>76260387.981649503</v>
      </c>
      <c r="Z1353" t="s">
        <v>31</v>
      </c>
      <c r="AA1353">
        <v>1.9866791481857869E-3</v>
      </c>
      <c r="AB1353">
        <v>101.3087</v>
      </c>
      <c r="AC1353" t="s">
        <v>144</v>
      </c>
      <c r="AE1353" t="s">
        <v>175</v>
      </c>
      <c r="AF1353">
        <v>0</v>
      </c>
      <c r="AH1353" t="s">
        <v>237</v>
      </c>
      <c r="AJ1353">
        <v>1.9243034049099201E-3</v>
      </c>
      <c r="AK1353">
        <v>1.9243034049099201E-3</v>
      </c>
      <c r="AL1353">
        <v>0</v>
      </c>
      <c r="AN1353" t="s">
        <v>163</v>
      </c>
      <c r="AQ1353">
        <v>0</v>
      </c>
    </row>
    <row r="1354" spans="1:43" x14ac:dyDescent="0.2">
      <c r="A1354">
        <v>1352</v>
      </c>
      <c r="B1354">
        <v>126</v>
      </c>
      <c r="C1354">
        <v>8</v>
      </c>
      <c r="D1354">
        <v>28243303.617147066</v>
      </c>
      <c r="E1354" t="s">
        <v>1138</v>
      </c>
      <c r="F1354" t="s">
        <v>87</v>
      </c>
      <c r="G1354" t="s">
        <v>1139</v>
      </c>
      <c r="H1354">
        <v>3.8751140536132638E-3</v>
      </c>
      <c r="I1354">
        <v>2.4623462962147861E-5</v>
      </c>
      <c r="J1354">
        <v>5.13</v>
      </c>
      <c r="L1354" s="1">
        <v>45306</v>
      </c>
      <c r="M1354" s="1">
        <v>43024</v>
      </c>
      <c r="R1354">
        <v>3.259732829748218E-2</v>
      </c>
      <c r="T1354" t="s">
        <v>39</v>
      </c>
      <c r="V1354">
        <v>30476095.8792</v>
      </c>
      <c r="W1354" t="s">
        <v>1140</v>
      </c>
      <c r="X1354" t="s">
        <v>1141</v>
      </c>
      <c r="Y1354">
        <v>28243303.617147066</v>
      </c>
      <c r="Z1354" t="s">
        <v>31</v>
      </c>
      <c r="AA1354">
        <v>7.7986837521917341E-4</v>
      </c>
      <c r="AB1354">
        <v>106.1207</v>
      </c>
      <c r="AC1354" t="s">
        <v>149</v>
      </c>
      <c r="AE1354" t="s">
        <v>43</v>
      </c>
      <c r="AF1354">
        <v>0</v>
      </c>
      <c r="AH1354" t="s">
        <v>237</v>
      </c>
      <c r="AJ1354">
        <v>7.5538285645482728E-4</v>
      </c>
      <c r="AK1354">
        <v>7.5538285645482728E-4</v>
      </c>
      <c r="AL1354">
        <v>0</v>
      </c>
      <c r="AN1354" t="s">
        <v>1142</v>
      </c>
      <c r="AQ1354">
        <v>0</v>
      </c>
    </row>
    <row r="1355" spans="1:43" x14ac:dyDescent="0.2">
      <c r="A1355">
        <v>1353</v>
      </c>
      <c r="B1355">
        <v>127</v>
      </c>
      <c r="C1355">
        <v>8</v>
      </c>
      <c r="D1355">
        <v>60786705.296948671</v>
      </c>
      <c r="E1355" t="s">
        <v>354</v>
      </c>
      <c r="F1355" t="s">
        <v>87</v>
      </c>
      <c r="G1355" t="s">
        <v>1143</v>
      </c>
      <c r="H1355">
        <v>1.3337912051771936E-2</v>
      </c>
      <c r="I1355">
        <v>1.4795917586632209E-5</v>
      </c>
      <c r="J1355">
        <v>7.85</v>
      </c>
      <c r="L1355" s="1">
        <v>46753</v>
      </c>
      <c r="M1355" s="1">
        <v>43024</v>
      </c>
      <c r="R1355">
        <v>8.708106081688597E-3</v>
      </c>
      <c r="T1355" t="s">
        <v>32</v>
      </c>
      <c r="V1355">
        <v>68550464.143900007</v>
      </c>
      <c r="W1355" t="s">
        <v>355</v>
      </c>
      <c r="X1355" t="s">
        <v>1006</v>
      </c>
      <c r="Y1355">
        <v>60786705.296948671</v>
      </c>
      <c r="Z1355" t="s">
        <v>31</v>
      </c>
      <c r="AA1355">
        <v>4.686127303012435E-4</v>
      </c>
      <c r="AB1355">
        <v>110.39</v>
      </c>
      <c r="AC1355" t="s">
        <v>146</v>
      </c>
      <c r="AE1355" t="s">
        <v>57</v>
      </c>
      <c r="AF1355">
        <v>2.1311179129769937E-2</v>
      </c>
      <c r="AH1355" t="s">
        <v>237</v>
      </c>
      <c r="AJ1355">
        <v>1.6990970766588454E-3</v>
      </c>
      <c r="AK1355">
        <v>1.6990970766588454E-3</v>
      </c>
      <c r="AL1355">
        <v>0</v>
      </c>
      <c r="AN1355" t="s">
        <v>154</v>
      </c>
      <c r="AQ1355">
        <v>3.6209762159545096E-5</v>
      </c>
    </row>
    <row r="1356" spans="1:43" x14ac:dyDescent="0.2">
      <c r="A1356">
        <v>1354</v>
      </c>
      <c r="B1356">
        <v>129</v>
      </c>
      <c r="C1356">
        <v>8</v>
      </c>
      <c r="D1356">
        <v>1506369725.6059105</v>
      </c>
      <c r="E1356" t="s">
        <v>276</v>
      </c>
      <c r="F1356" t="s">
        <v>87</v>
      </c>
      <c r="G1356" t="s">
        <v>277</v>
      </c>
      <c r="H1356">
        <v>0.12116733793529862</v>
      </c>
      <c r="I1356">
        <v>1.7153705485910831E-4</v>
      </c>
      <c r="J1356">
        <v>3.15</v>
      </c>
      <c r="L1356" s="1">
        <v>44256</v>
      </c>
      <c r="M1356" s="1">
        <v>43024</v>
      </c>
      <c r="R1356">
        <v>4.4594668168308265E-3</v>
      </c>
      <c r="T1356" t="s">
        <v>39</v>
      </c>
      <c r="V1356">
        <v>1551912458.8591001</v>
      </c>
      <c r="W1356" t="s">
        <v>278</v>
      </c>
      <c r="X1356" t="s">
        <v>279</v>
      </c>
      <c r="Y1356">
        <v>1506369725.6059105</v>
      </c>
      <c r="Z1356" t="s">
        <v>31</v>
      </c>
      <c r="AA1356">
        <v>5.4328801951415671E-3</v>
      </c>
      <c r="AB1356">
        <v>102.46</v>
      </c>
      <c r="AC1356" t="s">
        <v>42</v>
      </c>
      <c r="AE1356" t="s">
        <v>182</v>
      </c>
      <c r="AF1356">
        <v>3.7499999999999999E-2</v>
      </c>
      <c r="AH1356" t="s">
        <v>280</v>
      </c>
      <c r="AJ1356">
        <v>3.8465821566761468E-2</v>
      </c>
      <c r="AK1356">
        <v>3.8465821566761468E-2</v>
      </c>
      <c r="AL1356">
        <v>0</v>
      </c>
      <c r="AN1356" t="s">
        <v>142</v>
      </c>
      <c r="AQ1356">
        <v>1.442468308753555E-3</v>
      </c>
    </row>
    <row r="1357" spans="1:43" x14ac:dyDescent="0.2">
      <c r="A1357">
        <v>1355</v>
      </c>
      <c r="B1357">
        <v>132</v>
      </c>
      <c r="C1357">
        <v>8</v>
      </c>
      <c r="D1357">
        <v>1685000000</v>
      </c>
      <c r="E1357" t="s">
        <v>276</v>
      </c>
      <c r="F1357" t="s">
        <v>87</v>
      </c>
      <c r="G1357" t="s">
        <v>1144</v>
      </c>
      <c r="H1357">
        <v>0.29521858721369904</v>
      </c>
      <c r="I1357">
        <v>1.1381103219397715E-4</v>
      </c>
      <c r="J1357">
        <v>7.03</v>
      </c>
      <c r="L1357" s="1">
        <v>46082</v>
      </c>
      <c r="M1357" s="1">
        <v>43024</v>
      </c>
      <c r="R1357">
        <v>2.7101666052771244E-3</v>
      </c>
      <c r="T1357" t="s">
        <v>39</v>
      </c>
      <c r="V1357">
        <v>1694262036</v>
      </c>
      <c r="W1357" t="s">
        <v>278</v>
      </c>
      <c r="X1357" t="s">
        <v>279</v>
      </c>
      <c r="Y1357">
        <v>1685000000</v>
      </c>
      <c r="Z1357" t="s">
        <v>31</v>
      </c>
      <c r="AA1357">
        <v>3.6045955394485192E-3</v>
      </c>
      <c r="AB1357">
        <v>100</v>
      </c>
      <c r="AC1357" t="s">
        <v>42</v>
      </c>
      <c r="AE1357" t="s">
        <v>182</v>
      </c>
      <c r="AF1357">
        <v>4.5499999999999999E-2</v>
      </c>
      <c r="AH1357" t="s">
        <v>280</v>
      </c>
      <c r="AJ1357">
        <v>4.1994109134238837E-2</v>
      </c>
      <c r="AK1357">
        <v>4.1994109134238837E-2</v>
      </c>
      <c r="AL1357">
        <v>0</v>
      </c>
      <c r="AN1357" t="s">
        <v>142</v>
      </c>
      <c r="AQ1357">
        <v>1.910731965607867E-3</v>
      </c>
    </row>
    <row r="1358" spans="1:43" x14ac:dyDescent="0.2">
      <c r="A1358">
        <v>1356</v>
      </c>
      <c r="B1358">
        <v>134</v>
      </c>
      <c r="C1358">
        <v>8</v>
      </c>
      <c r="D1358">
        <v>4220000000</v>
      </c>
      <c r="E1358" t="s">
        <v>276</v>
      </c>
      <c r="F1358" t="s">
        <v>87</v>
      </c>
      <c r="G1358" t="s">
        <v>285</v>
      </c>
      <c r="H1358">
        <v>1.2420815239114844</v>
      </c>
      <c r="I1358">
        <v>1.2787445866825886E-3</v>
      </c>
      <c r="J1358">
        <v>11.75</v>
      </c>
      <c r="L1358" s="1">
        <v>49369</v>
      </c>
      <c r="M1358" s="1">
        <v>43024</v>
      </c>
      <c r="R1358">
        <v>1.2096829881346159E-2</v>
      </c>
      <c r="T1358" t="s">
        <v>39</v>
      </c>
      <c r="V1358">
        <v>4264856687</v>
      </c>
      <c r="W1358" t="s">
        <v>278</v>
      </c>
      <c r="X1358" t="s">
        <v>279</v>
      </c>
      <c r="Y1358">
        <v>4220000000</v>
      </c>
      <c r="Z1358" t="s">
        <v>31</v>
      </c>
      <c r="AA1358">
        <v>4.05000898805127E-2</v>
      </c>
      <c r="AB1358">
        <v>100.45</v>
      </c>
      <c r="AC1358" t="s">
        <v>42</v>
      </c>
      <c r="AE1358" t="s">
        <v>182</v>
      </c>
      <c r="AF1358">
        <v>5.0200000000000002E-2</v>
      </c>
      <c r="AH1358" t="s">
        <v>280</v>
      </c>
      <c r="AJ1358">
        <v>0.10570906586480718</v>
      </c>
      <c r="AK1358">
        <v>0.10570906586480718</v>
      </c>
      <c r="AL1358">
        <v>0</v>
      </c>
      <c r="AN1358" t="s">
        <v>142</v>
      </c>
      <c r="AQ1358">
        <v>5.3065951064133208E-3</v>
      </c>
    </row>
    <row r="1359" spans="1:43" x14ac:dyDescent="0.2">
      <c r="A1359">
        <v>1357</v>
      </c>
      <c r="B1359">
        <v>134</v>
      </c>
      <c r="C1359">
        <v>8</v>
      </c>
      <c r="D1359">
        <v>200000000</v>
      </c>
      <c r="E1359" t="s">
        <v>276</v>
      </c>
      <c r="F1359" t="s">
        <v>87</v>
      </c>
      <c r="G1359" t="s">
        <v>1145</v>
      </c>
      <c r="H1359">
        <v>7.5898846959406283E-2</v>
      </c>
      <c r="I1359">
        <v>6.7213428979375183E-5</v>
      </c>
      <c r="J1359">
        <v>13.66</v>
      </c>
      <c r="L1359" s="1">
        <v>52232</v>
      </c>
      <c r="M1359" s="1">
        <v>43024</v>
      </c>
      <c r="R1359">
        <v>1.2096829881346159E-2</v>
      </c>
      <c r="T1359" t="s">
        <v>39</v>
      </c>
      <c r="V1359">
        <v>224169584</v>
      </c>
      <c r="W1359" t="s">
        <v>278</v>
      </c>
      <c r="X1359" t="s">
        <v>279</v>
      </c>
      <c r="Y1359">
        <v>200000000</v>
      </c>
      <c r="Z1359" t="s">
        <v>31</v>
      </c>
      <c r="AA1359">
        <v>2.1287674983666203E-3</v>
      </c>
      <c r="AB1359">
        <v>110.16</v>
      </c>
      <c r="AC1359" t="s">
        <v>42</v>
      </c>
      <c r="AE1359" t="s">
        <v>182</v>
      </c>
      <c r="AF1359">
        <v>5.3199999999999997E-2</v>
      </c>
      <c r="AH1359" t="s">
        <v>280</v>
      </c>
      <c r="AJ1359">
        <v>5.556284550468981E-3</v>
      </c>
      <c r="AK1359">
        <v>5.556284550468981E-3</v>
      </c>
      <c r="AL1359">
        <v>0</v>
      </c>
      <c r="AN1359" t="s">
        <v>142</v>
      </c>
      <c r="AQ1359">
        <v>2.9559433808494978E-4</v>
      </c>
    </row>
    <row r="1360" spans="1:43" x14ac:dyDescent="0.2">
      <c r="A1360">
        <v>1358</v>
      </c>
      <c r="B1360">
        <v>137</v>
      </c>
      <c r="C1360">
        <v>8</v>
      </c>
      <c r="D1360">
        <v>30307335.607019164</v>
      </c>
      <c r="E1360" t="s">
        <v>286</v>
      </c>
      <c r="F1360" t="s">
        <v>87</v>
      </c>
      <c r="G1360" t="s">
        <v>289</v>
      </c>
      <c r="H1360">
        <v>5.2793137812750184E-2</v>
      </c>
      <c r="I1360">
        <v>3.7376725295246448E-4</v>
      </c>
      <c r="J1360">
        <v>3.3</v>
      </c>
      <c r="L1360" s="1">
        <v>44256</v>
      </c>
      <c r="M1360" s="1">
        <v>43024</v>
      </c>
      <c r="R1360">
        <v>2.3363489761073528E-2</v>
      </c>
      <c r="T1360" t="s">
        <v>32</v>
      </c>
      <c r="V1360">
        <v>645439800.97329998</v>
      </c>
      <c r="W1360" t="s">
        <v>278</v>
      </c>
      <c r="X1360" t="s">
        <v>288</v>
      </c>
      <c r="Y1360">
        <v>30307335.607019164</v>
      </c>
      <c r="Z1360" t="s">
        <v>31</v>
      </c>
      <c r="AA1360">
        <v>1.1837866213954586E-2</v>
      </c>
      <c r="AB1360">
        <v>100.12</v>
      </c>
      <c r="AC1360" t="s">
        <v>42</v>
      </c>
      <c r="AE1360" t="s">
        <v>182</v>
      </c>
      <c r="AF1360">
        <v>-8.8888208702300655E-3</v>
      </c>
      <c r="AH1360" t="s">
        <v>280</v>
      </c>
      <c r="AJ1360">
        <v>1.5997920549318239E-2</v>
      </c>
      <c r="AK1360">
        <v>1.5997920549318239E-2</v>
      </c>
      <c r="AL1360">
        <v>0</v>
      </c>
      <c r="AN1360" t="s">
        <v>142</v>
      </c>
      <c r="AQ1360">
        <v>-1.422026500590624E-4</v>
      </c>
    </row>
    <row r="1361" spans="1:43" x14ac:dyDescent="0.2">
      <c r="A1361">
        <v>1359</v>
      </c>
      <c r="B1361">
        <v>140</v>
      </c>
      <c r="C1361">
        <v>8</v>
      </c>
      <c r="D1361">
        <v>139082279.22613963</v>
      </c>
      <c r="E1361" t="s">
        <v>286</v>
      </c>
      <c r="F1361" t="s">
        <v>87</v>
      </c>
      <c r="G1361" t="s">
        <v>290</v>
      </c>
      <c r="H1361">
        <v>1.0804601514935583</v>
      </c>
      <c r="I1361">
        <v>4.8024653692670793E-3</v>
      </c>
      <c r="J1361">
        <v>7.88</v>
      </c>
      <c r="L1361" s="1">
        <v>46082</v>
      </c>
      <c r="M1361" s="1">
        <v>43024</v>
      </c>
      <c r="R1361">
        <v>3.502528719593432E-2</v>
      </c>
      <c r="T1361" t="s">
        <v>32</v>
      </c>
      <c r="V1361">
        <v>5531905388.1352997</v>
      </c>
      <c r="W1361" t="s">
        <v>278</v>
      </c>
      <c r="X1361" t="s">
        <v>288</v>
      </c>
      <c r="Y1361">
        <v>139082279.22613963</v>
      </c>
      <c r="Z1361" t="s">
        <v>31</v>
      </c>
      <c r="AA1361">
        <v>0.15210252393556789</v>
      </c>
      <c r="AB1361">
        <v>97.14</v>
      </c>
      <c r="AC1361" t="s">
        <v>42</v>
      </c>
      <c r="AE1361" t="s">
        <v>182</v>
      </c>
      <c r="AF1361">
        <v>-4.7888208702300643E-3</v>
      </c>
      <c r="AH1361" t="s">
        <v>280</v>
      </c>
      <c r="AJ1361">
        <v>0.13711423242304041</v>
      </c>
      <c r="AK1361">
        <v>0.13711423242304041</v>
      </c>
      <c r="AL1361">
        <v>0</v>
      </c>
      <c r="AN1361" t="s">
        <v>142</v>
      </c>
      <c r="AQ1361">
        <v>-6.5661549783303168E-4</v>
      </c>
    </row>
    <row r="1362" spans="1:43" x14ac:dyDescent="0.2">
      <c r="A1362">
        <v>1360</v>
      </c>
      <c r="B1362">
        <v>142</v>
      </c>
      <c r="C1362">
        <v>8</v>
      </c>
      <c r="D1362">
        <v>112000</v>
      </c>
      <c r="E1362" t="s">
        <v>286</v>
      </c>
      <c r="F1362" t="s">
        <v>87</v>
      </c>
      <c r="G1362" t="s">
        <v>291</v>
      </c>
      <c r="H1362">
        <v>1.0512949136709997</v>
      </c>
      <c r="I1362">
        <v>4.8685427403550949E-3</v>
      </c>
      <c r="J1362">
        <v>14.67</v>
      </c>
      <c r="L1362" s="1">
        <v>49369</v>
      </c>
      <c r="M1362" s="1">
        <v>43024</v>
      </c>
      <c r="R1362">
        <v>6.7936714115369959E-2</v>
      </c>
      <c r="T1362" t="s">
        <v>32</v>
      </c>
      <c r="V1362">
        <v>2891256728</v>
      </c>
      <c r="W1362" t="s">
        <v>278</v>
      </c>
      <c r="X1362" t="s">
        <v>288</v>
      </c>
      <c r="Y1362">
        <v>112000</v>
      </c>
      <c r="Z1362" t="s">
        <v>31</v>
      </c>
      <c r="AA1362">
        <v>0.15419531048262594</v>
      </c>
      <c r="AB1362">
        <v>96.59</v>
      </c>
      <c r="AC1362" t="s">
        <v>42</v>
      </c>
      <c r="AE1362" t="s">
        <v>182</v>
      </c>
      <c r="AF1362">
        <v>-1.0888208702300659E-3</v>
      </c>
      <c r="AH1362" t="s">
        <v>280</v>
      </c>
      <c r="AJ1362">
        <v>7.1662911634014975E-2</v>
      </c>
      <c r="AK1362">
        <v>7.1662911634014975E-2</v>
      </c>
      <c r="AL1362">
        <v>0</v>
      </c>
      <c r="AN1362" t="s">
        <v>142</v>
      </c>
      <c r="AQ1362">
        <v>-7.8028073808568502E-5</v>
      </c>
    </row>
    <row r="1363" spans="1:43" x14ac:dyDescent="0.2">
      <c r="A1363">
        <v>1361</v>
      </c>
      <c r="B1363">
        <v>142</v>
      </c>
      <c r="C1363">
        <v>8</v>
      </c>
      <c r="D1363">
        <v>63000</v>
      </c>
      <c r="E1363" t="s">
        <v>286</v>
      </c>
      <c r="F1363" t="s">
        <v>87</v>
      </c>
      <c r="G1363" t="s">
        <v>1146</v>
      </c>
      <c r="H1363">
        <v>0.8711804554178304</v>
      </c>
      <c r="I1363">
        <v>3.1717651416194505E-3</v>
      </c>
      <c r="J1363">
        <v>18.66</v>
      </c>
      <c r="L1363" s="1">
        <v>52597</v>
      </c>
      <c r="M1363" s="1">
        <v>43024</v>
      </c>
      <c r="R1363">
        <v>6.7936714115369959E-2</v>
      </c>
      <c r="T1363" t="s">
        <v>32</v>
      </c>
      <c r="V1363">
        <v>1883600041</v>
      </c>
      <c r="W1363" t="s">
        <v>278</v>
      </c>
      <c r="X1363" t="s">
        <v>288</v>
      </c>
      <c r="Y1363">
        <v>63000</v>
      </c>
      <c r="Z1363" t="s">
        <v>31</v>
      </c>
      <c r="AA1363">
        <v>0.10045537995098509</v>
      </c>
      <c r="AB1363">
        <v>111.16</v>
      </c>
      <c r="AC1363" t="s">
        <v>42</v>
      </c>
      <c r="AE1363" t="s">
        <v>182</v>
      </c>
      <c r="AF1363">
        <v>7.1117912976993367E-4</v>
      </c>
      <c r="AH1363" t="s">
        <v>280</v>
      </c>
      <c r="AJ1363">
        <v>4.6687055488629711E-2</v>
      </c>
      <c r="AK1363">
        <v>4.6687055488629711E-2</v>
      </c>
      <c r="AL1363">
        <v>0</v>
      </c>
      <c r="AN1363" t="s">
        <v>142</v>
      </c>
      <c r="AQ1363">
        <v>3.3202859493924286E-5</v>
      </c>
    </row>
    <row r="1364" spans="1:43" x14ac:dyDescent="0.2">
      <c r="A1364">
        <v>1362</v>
      </c>
      <c r="B1364">
        <v>144</v>
      </c>
      <c r="C1364">
        <v>8</v>
      </c>
      <c r="D1364">
        <v>83021.272511924893</v>
      </c>
      <c r="E1364" t="s">
        <v>228</v>
      </c>
      <c r="F1364" t="s">
        <v>87</v>
      </c>
      <c r="G1364" t="s">
        <v>207</v>
      </c>
      <c r="H1364">
        <v>2.0574014531075802E-8</v>
      </c>
      <c r="I1364">
        <v>1.7857985225176722E-10</v>
      </c>
      <c r="J1364">
        <v>0.01</v>
      </c>
      <c r="L1364" s="1">
        <v>43027</v>
      </c>
      <c r="M1364" s="1">
        <v>43024</v>
      </c>
      <c r="R1364">
        <v>8.6798739245582424E-5</v>
      </c>
      <c r="T1364" t="s">
        <v>39</v>
      </c>
      <c r="V1364">
        <v>83006.337</v>
      </c>
      <c r="W1364" t="s">
        <v>229</v>
      </c>
      <c r="X1364" t="s">
        <v>230</v>
      </c>
      <c r="Y1364">
        <v>83021.272511924893</v>
      </c>
      <c r="Z1364" t="s">
        <v>31</v>
      </c>
      <c r="AA1364">
        <v>5.6559379741409688E-9</v>
      </c>
      <c r="AB1364">
        <v>99.982010000000002</v>
      </c>
      <c r="AC1364" t="s">
        <v>52</v>
      </c>
      <c r="AE1364" t="s">
        <v>41</v>
      </c>
      <c r="AF1364">
        <v>2.1600000000000001E-2</v>
      </c>
      <c r="AH1364" t="s">
        <v>209</v>
      </c>
      <c r="AJ1364">
        <v>2.05740145310758E-6</v>
      </c>
      <c r="AK1364">
        <v>2.05740145310758E-6</v>
      </c>
      <c r="AL1364">
        <v>0</v>
      </c>
      <c r="AQ1364">
        <v>4.4439871387123731E-8</v>
      </c>
    </row>
    <row r="1365" spans="1:43" x14ac:dyDescent="0.2">
      <c r="A1365">
        <v>1363</v>
      </c>
      <c r="B1365">
        <v>145</v>
      </c>
      <c r="C1365">
        <v>8</v>
      </c>
      <c r="D1365">
        <v>13983032.740027666</v>
      </c>
      <c r="E1365" t="s">
        <v>524</v>
      </c>
      <c r="F1365" t="s">
        <v>87</v>
      </c>
      <c r="G1365" t="s">
        <v>525</v>
      </c>
      <c r="H1365">
        <v>3.4356990115818611E-4</v>
      </c>
      <c r="I1365">
        <v>3.1207698803009477E-7</v>
      </c>
      <c r="J1365">
        <v>0.98</v>
      </c>
      <c r="L1365" s="1">
        <v>43388</v>
      </c>
      <c r="M1365" s="1">
        <v>43024</v>
      </c>
      <c r="R1365">
        <v>8.9016950331944364E-4</v>
      </c>
      <c r="T1365" t="s">
        <v>39</v>
      </c>
      <c r="V1365">
        <v>14144292.904100001</v>
      </c>
      <c r="W1365" t="s">
        <v>526</v>
      </c>
      <c r="X1365" t="s">
        <v>527</v>
      </c>
      <c r="Y1365">
        <v>13983032.740027666</v>
      </c>
      <c r="Z1365" t="s">
        <v>31</v>
      </c>
      <c r="AA1365">
        <v>9.8840270343962185E-6</v>
      </c>
      <c r="AB1365">
        <v>101.14</v>
      </c>
      <c r="AC1365" t="s">
        <v>42</v>
      </c>
      <c r="AE1365" t="s">
        <v>41</v>
      </c>
      <c r="AF1365">
        <v>3.6999999999999998E-2</v>
      </c>
      <c r="AH1365" t="s">
        <v>237</v>
      </c>
      <c r="AJ1365">
        <v>3.5058153179406748E-4</v>
      </c>
      <c r="AK1365">
        <v>3.5058153179406748E-4</v>
      </c>
      <c r="AL1365">
        <v>0</v>
      </c>
      <c r="AN1365" t="s">
        <v>142</v>
      </c>
      <c r="AQ1365">
        <v>1.2971516676380496E-5</v>
      </c>
    </row>
    <row r="1366" spans="1:43" x14ac:dyDescent="0.2">
      <c r="A1366">
        <v>1364</v>
      </c>
      <c r="B1366">
        <v>145</v>
      </c>
      <c r="C1366">
        <v>8</v>
      </c>
      <c r="D1366">
        <v>1965199.2511573872</v>
      </c>
      <c r="E1366" t="s">
        <v>256</v>
      </c>
      <c r="F1366" t="s">
        <v>87</v>
      </c>
      <c r="G1366" t="s">
        <v>207</v>
      </c>
      <c r="H1366">
        <v>1.1283587833496732E-3</v>
      </c>
      <c r="I1366">
        <v>1.2249153387079394E-6</v>
      </c>
      <c r="J1366">
        <v>0.82</v>
      </c>
      <c r="L1366" s="1">
        <v>43325</v>
      </c>
      <c r="M1366" s="1">
        <v>43024</v>
      </c>
      <c r="R1366">
        <v>8.9016950331944364E-4</v>
      </c>
      <c r="T1366" t="s">
        <v>39</v>
      </c>
      <c r="V1366">
        <v>55516946.131700002</v>
      </c>
      <c r="W1366" t="s">
        <v>248</v>
      </c>
      <c r="X1366" t="s">
        <v>257</v>
      </c>
      <c r="Y1366">
        <v>56965198.251157381</v>
      </c>
      <c r="Z1366" t="s">
        <v>31</v>
      </c>
      <c r="AA1366">
        <v>3.8795222932196267E-5</v>
      </c>
      <c r="AB1366">
        <v>97.45765466666667</v>
      </c>
      <c r="AC1366" t="s">
        <v>52</v>
      </c>
      <c r="AE1366" t="s">
        <v>41</v>
      </c>
      <c r="AF1366">
        <v>3.1199999999999999E-2</v>
      </c>
      <c r="AH1366" t="s">
        <v>209</v>
      </c>
      <c r="AJ1366">
        <v>1.3760472967678941E-3</v>
      </c>
      <c r="AK1366">
        <v>1.3760472967678941E-3</v>
      </c>
      <c r="AL1366">
        <v>0</v>
      </c>
      <c r="AQ1366">
        <v>4.2932675659158297E-5</v>
      </c>
    </row>
    <row r="1367" spans="1:43" x14ac:dyDescent="0.2">
      <c r="A1367">
        <v>1365</v>
      </c>
      <c r="B1367">
        <v>146</v>
      </c>
      <c r="C1367">
        <v>8</v>
      </c>
      <c r="D1367">
        <v>1</v>
      </c>
      <c r="E1367" t="s">
        <v>206</v>
      </c>
      <c r="F1367" t="s">
        <v>87</v>
      </c>
      <c r="G1367" t="s">
        <v>207</v>
      </c>
      <c r="H1367">
        <v>1.6039769337453029E-4</v>
      </c>
      <c r="I1367">
        <v>2.4651741495383666E-7</v>
      </c>
      <c r="J1367">
        <v>0.25</v>
      </c>
      <c r="L1367" s="1">
        <v>43115</v>
      </c>
      <c r="M1367" s="1">
        <v>43024</v>
      </c>
      <c r="R1367">
        <v>3.842284289871549E-4</v>
      </c>
      <c r="T1367" t="s">
        <v>39</v>
      </c>
      <c r="V1367">
        <v>25885128</v>
      </c>
      <c r="W1367" t="s">
        <v>206</v>
      </c>
      <c r="X1367" t="s">
        <v>208</v>
      </c>
      <c r="Y1367">
        <v>26065720</v>
      </c>
      <c r="Z1367" t="s">
        <v>31</v>
      </c>
      <c r="AA1367">
        <v>7.8076400609782312E-6</v>
      </c>
      <c r="AB1367">
        <v>99.307165999999995</v>
      </c>
      <c r="AC1367" t="s">
        <v>52</v>
      </c>
      <c r="AE1367" t="s">
        <v>41</v>
      </c>
      <c r="AF1367">
        <v>2.76E-2</v>
      </c>
      <c r="AH1367" t="s">
        <v>209</v>
      </c>
      <c r="AJ1367">
        <v>6.4159077349812117E-4</v>
      </c>
      <c r="AK1367">
        <v>6.4159077349812117E-4</v>
      </c>
      <c r="AL1367">
        <v>0</v>
      </c>
      <c r="AQ1367">
        <v>1.7707905348548143E-5</v>
      </c>
    </row>
    <row r="1368" spans="1:43" x14ac:dyDescent="0.2">
      <c r="A1368">
        <v>1366</v>
      </c>
      <c r="B1368">
        <v>146</v>
      </c>
      <c r="C1368">
        <v>8</v>
      </c>
      <c r="D1368">
        <v>1</v>
      </c>
      <c r="E1368" t="s">
        <v>222</v>
      </c>
      <c r="F1368" t="s">
        <v>87</v>
      </c>
      <c r="G1368" t="s">
        <v>207</v>
      </c>
      <c r="H1368">
        <v>3.834381808009654E-5</v>
      </c>
      <c r="I1368">
        <v>4.910928327428253E-8</v>
      </c>
      <c r="J1368">
        <v>0.3</v>
      </c>
      <c r="L1368" s="1">
        <v>43133</v>
      </c>
      <c r="M1368" s="1">
        <v>43024</v>
      </c>
      <c r="R1368">
        <v>3.842284289871549E-4</v>
      </c>
      <c r="T1368" t="s">
        <v>39</v>
      </c>
      <c r="V1368">
        <v>5156634</v>
      </c>
      <c r="W1368" t="s">
        <v>223</v>
      </c>
      <c r="X1368" t="s">
        <v>224</v>
      </c>
      <c r="Y1368">
        <v>5201600</v>
      </c>
      <c r="Z1368" t="s">
        <v>31</v>
      </c>
      <c r="AA1368">
        <v>1.5553773656519072E-6</v>
      </c>
      <c r="AB1368">
        <v>99.135535000000004</v>
      </c>
      <c r="AC1368" t="s">
        <v>218</v>
      </c>
      <c r="AE1368" t="s">
        <v>41</v>
      </c>
      <c r="AF1368">
        <v>2.8799999999999999E-2</v>
      </c>
      <c r="AH1368" t="s">
        <v>209</v>
      </c>
      <c r="AJ1368">
        <v>1.2781272693365513E-4</v>
      </c>
      <c r="AK1368">
        <v>1.2781272693365513E-4</v>
      </c>
      <c r="AL1368">
        <v>0</v>
      </c>
      <c r="AQ1368">
        <v>3.6810065356892676E-6</v>
      </c>
    </row>
    <row r="1369" spans="1:43" x14ac:dyDescent="0.2">
      <c r="A1369">
        <v>1367</v>
      </c>
      <c r="B1369">
        <v>147</v>
      </c>
      <c r="C1369">
        <v>8</v>
      </c>
      <c r="D1369">
        <v>589366.19738472963</v>
      </c>
      <c r="E1369" t="s">
        <v>1727</v>
      </c>
      <c r="F1369" t="s">
        <v>87</v>
      </c>
      <c r="G1369" t="s">
        <v>207</v>
      </c>
      <c r="H1369">
        <v>1.1629476250910603E-6</v>
      </c>
      <c r="I1369">
        <v>2.2904470767491536E-9</v>
      </c>
      <c r="J1369">
        <v>0.08</v>
      </c>
      <c r="L1369" s="1">
        <v>43052</v>
      </c>
      <c r="M1369" s="1">
        <v>43024</v>
      </c>
      <c r="R1369">
        <v>1.5756149476257343E-4</v>
      </c>
      <c r="T1369" t="s">
        <v>39</v>
      </c>
      <c r="V1369">
        <v>586492.38300000003</v>
      </c>
      <c r="W1369" t="s">
        <v>1728</v>
      </c>
      <c r="X1369" t="s">
        <v>1729</v>
      </c>
      <c r="Y1369">
        <v>589366.19738472963</v>
      </c>
      <c r="Z1369" t="s">
        <v>31</v>
      </c>
      <c r="AA1369">
        <v>7.2542486936778806E-8</v>
      </c>
      <c r="AB1369">
        <v>99.512388999999999</v>
      </c>
      <c r="AC1369" t="s">
        <v>34</v>
      </c>
      <c r="AE1369" t="s">
        <v>178</v>
      </c>
      <c r="AF1369">
        <v>6.3E-2</v>
      </c>
      <c r="AH1369" t="s">
        <v>539</v>
      </c>
      <c r="AJ1369">
        <v>1.4536845313638253E-5</v>
      </c>
      <c r="AK1369">
        <v>1.4536845313638253E-5</v>
      </c>
      <c r="AL1369">
        <v>0</v>
      </c>
      <c r="AN1369" t="s">
        <v>54</v>
      </c>
      <c r="AQ1369">
        <v>9.1582125475920992E-7</v>
      </c>
    </row>
    <row r="1370" spans="1:43" x14ac:dyDescent="0.2">
      <c r="A1370">
        <v>1368</v>
      </c>
      <c r="B1370">
        <v>147</v>
      </c>
      <c r="C1370">
        <v>8</v>
      </c>
      <c r="D1370">
        <v>6994987.1160753518</v>
      </c>
      <c r="E1370" t="s">
        <v>1147</v>
      </c>
      <c r="F1370" t="s">
        <v>87</v>
      </c>
      <c r="G1370" t="s">
        <v>207</v>
      </c>
      <c r="H1370">
        <v>1.0359807622783185E-5</v>
      </c>
      <c r="I1370">
        <v>2.720511290830702E-8</v>
      </c>
      <c r="J1370">
        <v>0.06</v>
      </c>
      <c r="L1370" s="1">
        <v>43047</v>
      </c>
      <c r="M1370" s="1">
        <v>43024</v>
      </c>
      <c r="R1370">
        <v>1.5756149476257343E-4</v>
      </c>
      <c r="T1370" t="s">
        <v>39</v>
      </c>
      <c r="V1370">
        <v>6966147.2039000001</v>
      </c>
      <c r="W1370" t="s">
        <v>1148</v>
      </c>
      <c r="X1370" t="s">
        <v>1149</v>
      </c>
      <c r="Y1370">
        <v>6994987.1160753518</v>
      </c>
      <c r="Z1370" t="s">
        <v>31</v>
      </c>
      <c r="AA1370">
        <v>8.6163376914409802E-7</v>
      </c>
      <c r="AB1370">
        <v>99.587705999999997</v>
      </c>
      <c r="AC1370" t="s">
        <v>144</v>
      </c>
      <c r="AE1370" t="s">
        <v>88</v>
      </c>
      <c r="AF1370">
        <v>6.4799999999999996E-2</v>
      </c>
      <c r="AH1370" t="s">
        <v>539</v>
      </c>
      <c r="AJ1370">
        <v>1.7266346037971976E-4</v>
      </c>
      <c r="AK1370">
        <v>1.7266346037971976E-4</v>
      </c>
      <c r="AL1370">
        <v>0</v>
      </c>
      <c r="AN1370" t="s">
        <v>163</v>
      </c>
      <c r="AQ1370">
        <v>1.118859223260584E-5</v>
      </c>
    </row>
    <row r="1371" spans="1:43" x14ac:dyDescent="0.2">
      <c r="A1371">
        <v>1369</v>
      </c>
      <c r="B1371">
        <v>147</v>
      </c>
      <c r="C1371">
        <v>8</v>
      </c>
      <c r="D1371">
        <v>3166018.867888377</v>
      </c>
      <c r="E1371" t="s">
        <v>1147</v>
      </c>
      <c r="F1371" t="s">
        <v>87</v>
      </c>
      <c r="G1371" t="s">
        <v>207</v>
      </c>
      <c r="H1371">
        <v>6.2418394843297065E-6</v>
      </c>
      <c r="I1371">
        <v>1.2293419490237989E-8</v>
      </c>
      <c r="J1371">
        <v>0.08</v>
      </c>
      <c r="L1371" s="1">
        <v>43054</v>
      </c>
      <c r="M1371" s="1">
        <v>43024</v>
      </c>
      <c r="R1371">
        <v>1.5756149476257343E-4</v>
      </c>
      <c r="T1371" t="s">
        <v>39</v>
      </c>
      <c r="V1371">
        <v>3147855.7026</v>
      </c>
      <c r="W1371" t="s">
        <v>1148</v>
      </c>
      <c r="X1371" t="s">
        <v>1149</v>
      </c>
      <c r="Y1371">
        <v>3166018.867888377</v>
      </c>
      <c r="Z1371" t="s">
        <v>31</v>
      </c>
      <c r="AA1371">
        <v>3.8935421465605832E-7</v>
      </c>
      <c r="AB1371">
        <v>99.426309000000003</v>
      </c>
      <c r="AC1371" t="s">
        <v>144</v>
      </c>
      <c r="AE1371" t="s">
        <v>88</v>
      </c>
      <c r="AF1371">
        <v>6.9239999999999996E-2</v>
      </c>
      <c r="AH1371" t="s">
        <v>539</v>
      </c>
      <c r="AJ1371">
        <v>7.8022993554121333E-5</v>
      </c>
      <c r="AK1371">
        <v>7.8022993554121333E-5</v>
      </c>
      <c r="AL1371">
        <v>0</v>
      </c>
      <c r="AN1371" t="s">
        <v>163</v>
      </c>
      <c r="AQ1371">
        <v>5.4023120736873605E-6</v>
      </c>
    </row>
    <row r="1372" spans="1:43" x14ac:dyDescent="0.2">
      <c r="A1372">
        <v>1370</v>
      </c>
      <c r="B1372">
        <v>147</v>
      </c>
      <c r="C1372">
        <v>8</v>
      </c>
      <c r="D1372">
        <v>8762403.2750638369</v>
      </c>
      <c r="E1372" t="s">
        <v>1736</v>
      </c>
      <c r="F1372" t="s">
        <v>87</v>
      </c>
      <c r="G1372" t="s">
        <v>207</v>
      </c>
      <c r="H1372">
        <v>8.6664079655190276E-6</v>
      </c>
      <c r="I1372">
        <v>3.4137304831736274E-8</v>
      </c>
      <c r="J1372">
        <v>0.04</v>
      </c>
      <c r="L1372" s="1">
        <v>43039</v>
      </c>
      <c r="M1372" s="1">
        <v>43024</v>
      </c>
      <c r="R1372">
        <v>1.5756149476257343E-4</v>
      </c>
      <c r="T1372" t="s">
        <v>39</v>
      </c>
      <c r="V1372">
        <v>8741205.7948000003</v>
      </c>
      <c r="W1372" t="s">
        <v>1737</v>
      </c>
      <c r="X1372" t="s">
        <v>1738</v>
      </c>
      <c r="Y1372">
        <v>8762403.2750638369</v>
      </c>
      <c r="Z1372" t="s">
        <v>31</v>
      </c>
      <c r="AA1372">
        <v>1.0811884784204848E-6</v>
      </c>
      <c r="AB1372">
        <v>99.758086000000006</v>
      </c>
      <c r="AC1372" t="s">
        <v>54</v>
      </c>
      <c r="AE1372" t="s">
        <v>176</v>
      </c>
      <c r="AF1372">
        <v>5.8200000000000002E-2</v>
      </c>
      <c r="AH1372" t="s">
        <v>539</v>
      </c>
      <c r="AJ1372">
        <v>2.166601991379757E-4</v>
      </c>
      <c r="AK1372">
        <v>2.166601991379757E-4</v>
      </c>
      <c r="AL1372">
        <v>0</v>
      </c>
      <c r="AN1372" t="s">
        <v>154</v>
      </c>
      <c r="AQ1372">
        <v>1.2609623589830187E-5</v>
      </c>
    </row>
    <row r="1373" spans="1:43" x14ac:dyDescent="0.2">
      <c r="A1373">
        <v>1371</v>
      </c>
      <c r="B1373">
        <v>147</v>
      </c>
      <c r="C1373">
        <v>8</v>
      </c>
      <c r="D1373">
        <v>2277870.1174381031</v>
      </c>
      <c r="E1373" t="s">
        <v>225</v>
      </c>
      <c r="F1373" t="s">
        <v>87</v>
      </c>
      <c r="G1373" t="s">
        <v>207</v>
      </c>
      <c r="H1373">
        <v>4.5072917979538241E-6</v>
      </c>
      <c r="I1373">
        <v>8.8771954127086459E-9</v>
      </c>
      <c r="J1373">
        <v>0.08</v>
      </c>
      <c r="L1373" s="1">
        <v>43054</v>
      </c>
      <c r="M1373" s="1">
        <v>43024</v>
      </c>
      <c r="R1373">
        <v>1.5756149476257343E-4</v>
      </c>
      <c r="T1373" t="s">
        <v>39</v>
      </c>
      <c r="V1373">
        <v>2273096.6127999998</v>
      </c>
      <c r="W1373" t="s">
        <v>226</v>
      </c>
      <c r="X1373" t="s">
        <v>227</v>
      </c>
      <c r="Y1373">
        <v>2277870.1174381031</v>
      </c>
      <c r="Z1373" t="s">
        <v>31</v>
      </c>
      <c r="AA1373">
        <v>2.8115639029549019E-7</v>
      </c>
      <c r="AB1373">
        <v>99.790440000000004</v>
      </c>
      <c r="AC1373" t="s">
        <v>52</v>
      </c>
      <c r="AE1373" t="s">
        <v>41</v>
      </c>
      <c r="AF1373">
        <v>2.52E-2</v>
      </c>
      <c r="AH1373" t="s">
        <v>209</v>
      </c>
      <c r="AJ1373">
        <v>5.6341147474422805E-5</v>
      </c>
      <c r="AK1373">
        <v>5.6341147474422805E-5</v>
      </c>
      <c r="AL1373">
        <v>0</v>
      </c>
      <c r="AQ1373">
        <v>1.4197969163554546E-6</v>
      </c>
    </row>
    <row r="1374" spans="1:43" x14ac:dyDescent="0.2">
      <c r="A1374">
        <v>1372</v>
      </c>
      <c r="B1374">
        <v>148</v>
      </c>
      <c r="C1374">
        <v>8</v>
      </c>
      <c r="D1374">
        <v>8890630.4848939627</v>
      </c>
      <c r="E1374" t="s">
        <v>219</v>
      </c>
      <c r="F1374" t="s">
        <v>87</v>
      </c>
      <c r="G1374" t="s">
        <v>207</v>
      </c>
      <c r="H1374">
        <v>1.3949781160638641E-4</v>
      </c>
      <c r="I1374">
        <v>1.7313325702298244E-7</v>
      </c>
      <c r="J1374">
        <v>0.41</v>
      </c>
      <c r="L1374" s="1">
        <v>43173</v>
      </c>
      <c r="M1374" s="1">
        <v>43024</v>
      </c>
      <c r="R1374">
        <v>5.0885841549770249E-4</v>
      </c>
      <c r="T1374" t="s">
        <v>39</v>
      </c>
      <c r="V1374">
        <v>13727003.514699999</v>
      </c>
      <c r="W1374" t="s">
        <v>220</v>
      </c>
      <c r="X1374" t="s">
        <v>221</v>
      </c>
      <c r="Y1374">
        <v>13890629.484893963</v>
      </c>
      <c r="Z1374" t="s">
        <v>31</v>
      </c>
      <c r="AA1374">
        <v>5.4834347247776068E-6</v>
      </c>
      <c r="AB1374">
        <v>98.8220405</v>
      </c>
      <c r="AC1374" t="s">
        <v>52</v>
      </c>
      <c r="AE1374" t="s">
        <v>41</v>
      </c>
      <c r="AF1374">
        <v>2.8799999999999999E-2</v>
      </c>
      <c r="AH1374" t="s">
        <v>209</v>
      </c>
      <c r="AJ1374">
        <v>3.402385648936254E-4</v>
      </c>
      <c r="AK1374">
        <v>3.402385648936254E-4</v>
      </c>
      <c r="AL1374">
        <v>0</v>
      </c>
      <c r="AQ1374">
        <v>9.7988706689364112E-6</v>
      </c>
    </row>
    <row r="1375" spans="1:43" x14ac:dyDescent="0.2">
      <c r="A1375">
        <v>1373</v>
      </c>
      <c r="B1375">
        <v>149</v>
      </c>
      <c r="C1375">
        <v>8</v>
      </c>
      <c r="D1375">
        <v>15301416.854428284</v>
      </c>
      <c r="E1375" t="s">
        <v>203</v>
      </c>
      <c r="F1375" t="s">
        <v>87</v>
      </c>
      <c r="G1375" t="s">
        <v>207</v>
      </c>
      <c r="H1375">
        <v>3.7830372286927315E-5</v>
      </c>
      <c r="I1375">
        <v>8.9223987259566336E-8</v>
      </c>
      <c r="J1375">
        <v>0.1</v>
      </c>
      <c r="L1375" s="1">
        <v>43062</v>
      </c>
      <c r="M1375" s="1">
        <v>43024</v>
      </c>
      <c r="R1375">
        <v>2.3585278670492662E-4</v>
      </c>
      <c r="T1375" t="s">
        <v>39</v>
      </c>
      <c r="V1375">
        <v>15262751.1084</v>
      </c>
      <c r="W1375" t="s">
        <v>181</v>
      </c>
      <c r="X1375" t="s">
        <v>236</v>
      </c>
      <c r="Y1375">
        <v>15301416.854428284</v>
      </c>
      <c r="Z1375" t="s">
        <v>31</v>
      </c>
      <c r="AA1375">
        <v>2.8258805872130922E-6</v>
      </c>
      <c r="AB1375">
        <v>99.747306500000008</v>
      </c>
      <c r="AC1375" t="s">
        <v>52</v>
      </c>
      <c r="AE1375" t="s">
        <v>41</v>
      </c>
      <c r="AF1375">
        <v>2.4E-2</v>
      </c>
      <c r="AH1375" t="s">
        <v>209</v>
      </c>
      <c r="AJ1375">
        <v>3.7830372286927309E-4</v>
      </c>
      <c r="AK1375">
        <v>3.7830372286927309E-4</v>
      </c>
      <c r="AL1375">
        <v>0</v>
      </c>
      <c r="AQ1375">
        <v>9.0792893488625552E-6</v>
      </c>
    </row>
    <row r="1376" spans="1:43" x14ac:dyDescent="0.2">
      <c r="A1376">
        <v>1374</v>
      </c>
      <c r="B1376">
        <v>149</v>
      </c>
      <c r="C1376">
        <v>8</v>
      </c>
      <c r="D1376">
        <v>13125056.412883215</v>
      </c>
      <c r="E1376" t="s">
        <v>1147</v>
      </c>
      <c r="F1376" t="s">
        <v>87</v>
      </c>
      <c r="G1376" t="s">
        <v>207</v>
      </c>
      <c r="H1376">
        <v>3.2301202807840354E-5</v>
      </c>
      <c r="I1376">
        <v>7.6183286961501463E-8</v>
      </c>
      <c r="J1376">
        <v>0.1</v>
      </c>
      <c r="L1376" s="1">
        <v>43061</v>
      </c>
      <c r="M1376" s="1">
        <v>43024</v>
      </c>
      <c r="R1376">
        <v>2.3585278670492662E-4</v>
      </c>
      <c r="T1376" t="s">
        <v>39</v>
      </c>
      <c r="V1376">
        <v>13031994.9066</v>
      </c>
      <c r="W1376" t="s">
        <v>1148</v>
      </c>
      <c r="X1376" t="s">
        <v>1149</v>
      </c>
      <c r="Y1376">
        <v>13125056.412883215</v>
      </c>
      <c r="Z1376" t="s">
        <v>31</v>
      </c>
      <c r="AA1376">
        <v>2.412858675193414E-6</v>
      </c>
      <c r="AB1376">
        <v>99.290963000000005</v>
      </c>
      <c r="AC1376" t="s">
        <v>144</v>
      </c>
      <c r="AE1376" t="s">
        <v>88</v>
      </c>
      <c r="AF1376">
        <v>6.948E-2</v>
      </c>
      <c r="AH1376" t="s">
        <v>539</v>
      </c>
      <c r="AJ1376">
        <v>3.230120280784035E-4</v>
      </c>
      <c r="AK1376">
        <v>3.230120280784035E-4</v>
      </c>
      <c r="AL1376">
        <v>0</v>
      </c>
      <c r="AN1376" t="s">
        <v>163</v>
      </c>
      <c r="AQ1376">
        <v>2.2442875710887475E-5</v>
      </c>
    </row>
    <row r="1377" spans="1:43" x14ac:dyDescent="0.2">
      <c r="A1377">
        <v>1375</v>
      </c>
      <c r="B1377">
        <v>149</v>
      </c>
      <c r="C1377">
        <v>8</v>
      </c>
      <c r="D1377">
        <v>26824213.32193188</v>
      </c>
      <c r="E1377" t="s">
        <v>1147</v>
      </c>
      <c r="F1377" t="s">
        <v>87</v>
      </c>
      <c r="G1377" t="s">
        <v>207</v>
      </c>
      <c r="H1377">
        <v>1.051870231957514E-4</v>
      </c>
      <c r="I1377">
        <v>1.5505407841196077E-7</v>
      </c>
      <c r="J1377">
        <v>0.16</v>
      </c>
      <c r="L1377" s="1">
        <v>43082</v>
      </c>
      <c r="M1377" s="1">
        <v>43024</v>
      </c>
      <c r="R1377">
        <v>2.3585278670492662E-4</v>
      </c>
      <c r="T1377" t="s">
        <v>39</v>
      </c>
      <c r="V1377">
        <v>26523717.2181</v>
      </c>
      <c r="W1377" t="s">
        <v>1148</v>
      </c>
      <c r="X1377" t="s">
        <v>1149</v>
      </c>
      <c r="Y1377">
        <v>26824213.32193188</v>
      </c>
      <c r="Z1377" t="s">
        <v>31</v>
      </c>
      <c r="AA1377">
        <v>4.9108353438396456E-6</v>
      </c>
      <c r="AB1377">
        <v>98.879757999999995</v>
      </c>
      <c r="AC1377" t="s">
        <v>144</v>
      </c>
      <c r="AE1377" t="s">
        <v>88</v>
      </c>
      <c r="AF1377">
        <v>7.0319999999999994E-2</v>
      </c>
      <c r="AH1377" t="s">
        <v>539</v>
      </c>
      <c r="AJ1377">
        <v>6.5741889497344626E-4</v>
      </c>
      <c r="AK1377">
        <v>6.5741889497344626E-4</v>
      </c>
      <c r="AL1377">
        <v>0</v>
      </c>
      <c r="AN1377" t="s">
        <v>163</v>
      </c>
      <c r="AQ1377">
        <v>4.622969669453274E-5</v>
      </c>
    </row>
    <row r="1378" spans="1:43" x14ac:dyDescent="0.2">
      <c r="A1378">
        <v>1376</v>
      </c>
      <c r="B1378">
        <v>150</v>
      </c>
      <c r="C1378">
        <v>8</v>
      </c>
      <c r="D1378">
        <v>263478.49760607333</v>
      </c>
      <c r="E1378" t="s">
        <v>215</v>
      </c>
      <c r="F1378" t="s">
        <v>87</v>
      </c>
      <c r="G1378" t="s">
        <v>207</v>
      </c>
      <c r="H1378">
        <v>2.3033950211526651E-5</v>
      </c>
      <c r="I1378">
        <v>2.9815478284911145E-8</v>
      </c>
      <c r="J1378">
        <v>0.45</v>
      </c>
      <c r="L1378" s="1">
        <v>43188</v>
      </c>
      <c r="M1378" s="1">
        <v>43024</v>
      </c>
      <c r="R1378">
        <v>5.8248650817591401E-4</v>
      </c>
      <c r="T1378" t="s">
        <v>39</v>
      </c>
      <c r="V1378">
        <v>2065133.4298</v>
      </c>
      <c r="W1378" t="s">
        <v>216</v>
      </c>
      <c r="X1378" t="s">
        <v>217</v>
      </c>
      <c r="Y1378">
        <v>2092227.4976060733</v>
      </c>
      <c r="Z1378" t="s">
        <v>31</v>
      </c>
      <c r="AA1378">
        <v>9.4430863125062072E-7</v>
      </c>
      <c r="AB1378">
        <v>98.705002000000007</v>
      </c>
      <c r="AC1378" t="s">
        <v>52</v>
      </c>
      <c r="AE1378" t="s">
        <v>41</v>
      </c>
      <c r="AF1378">
        <v>2.8799999999999999E-2</v>
      </c>
      <c r="AH1378" t="s">
        <v>209</v>
      </c>
      <c r="AJ1378">
        <v>5.118655602561478E-5</v>
      </c>
      <c r="AK1378">
        <v>5.118655602561478E-5</v>
      </c>
      <c r="AL1378">
        <v>0</v>
      </c>
      <c r="AQ1378">
        <v>1.4741728135377056E-6</v>
      </c>
    </row>
    <row r="1379" spans="1:43" x14ac:dyDescent="0.2">
      <c r="A1379">
        <v>1377</v>
      </c>
      <c r="B1379">
        <v>151</v>
      </c>
      <c r="C1379">
        <v>8</v>
      </c>
      <c r="D1379">
        <v>973099.92732094135</v>
      </c>
      <c r="E1379" t="s">
        <v>250</v>
      </c>
      <c r="F1379" t="s">
        <v>87</v>
      </c>
      <c r="G1379" t="s">
        <v>207</v>
      </c>
      <c r="H1379">
        <v>5.7507226594282742E-6</v>
      </c>
      <c r="I1379">
        <v>7.9180199843898262E-9</v>
      </c>
      <c r="J1379">
        <v>0.24</v>
      </c>
      <c r="L1379" s="1">
        <v>43110</v>
      </c>
      <c r="M1379" s="1">
        <v>43024</v>
      </c>
      <c r="R1379">
        <v>3.3044973802344435E-4</v>
      </c>
      <c r="T1379" t="s">
        <v>39</v>
      </c>
      <c r="V1379">
        <v>966725.97679999995</v>
      </c>
      <c r="W1379" t="s">
        <v>250</v>
      </c>
      <c r="X1379" t="s">
        <v>258</v>
      </c>
      <c r="Y1379">
        <v>973099.92732094135</v>
      </c>
      <c r="Z1379" t="s">
        <v>31</v>
      </c>
      <c r="AA1379">
        <v>2.5077761765968939E-7</v>
      </c>
      <c r="AB1379">
        <v>99.344984999999994</v>
      </c>
      <c r="AC1379" t="s">
        <v>52</v>
      </c>
      <c r="AE1379" t="s">
        <v>41</v>
      </c>
      <c r="AF1379">
        <v>2.76E-2</v>
      </c>
      <c r="AH1379" t="s">
        <v>209</v>
      </c>
      <c r="AJ1379">
        <v>2.3961344414284476E-5</v>
      </c>
      <c r="AK1379">
        <v>2.3961344414284476E-5</v>
      </c>
      <c r="AL1379">
        <v>0</v>
      </c>
      <c r="AQ1379">
        <v>6.6133310583425148E-7</v>
      </c>
    </row>
    <row r="1380" spans="1:43" x14ac:dyDescent="0.2">
      <c r="A1380">
        <v>1378</v>
      </c>
      <c r="B1380">
        <v>152</v>
      </c>
      <c r="C1380">
        <v>8</v>
      </c>
      <c r="D1380">
        <v>1622490.5993315796</v>
      </c>
      <c r="E1380" t="s">
        <v>219</v>
      </c>
      <c r="F1380" t="s">
        <v>87</v>
      </c>
      <c r="G1380" t="s">
        <v>207</v>
      </c>
      <c r="H1380">
        <v>1.9815898466310735E-5</v>
      </c>
      <c r="I1380">
        <v>2.8884418344195352E-8</v>
      </c>
      <c r="J1380">
        <v>0.5</v>
      </c>
      <c r="L1380" s="1">
        <v>43208</v>
      </c>
      <c r="M1380" s="1">
        <v>43024</v>
      </c>
      <c r="R1380">
        <v>7.2881929611473648E-4</v>
      </c>
      <c r="T1380" t="s">
        <v>39</v>
      </c>
      <c r="V1380">
        <v>1598954.0044</v>
      </c>
      <c r="W1380" t="s">
        <v>220</v>
      </c>
      <c r="X1380" t="s">
        <v>221</v>
      </c>
      <c r="Y1380">
        <v>1622490.5993315796</v>
      </c>
      <c r="Z1380" t="s">
        <v>31</v>
      </c>
      <c r="AA1380">
        <v>9.1482032555154502E-7</v>
      </c>
      <c r="AB1380">
        <v>98.549353999999994</v>
      </c>
      <c r="AC1380" t="s">
        <v>52</v>
      </c>
      <c r="AE1380" t="s">
        <v>41</v>
      </c>
      <c r="AF1380">
        <v>2.8799999999999999E-2</v>
      </c>
      <c r="AH1380" t="s">
        <v>209</v>
      </c>
      <c r="AJ1380">
        <v>3.9631796932621471E-5</v>
      </c>
      <c r="AK1380">
        <v>3.9631796932621471E-5</v>
      </c>
      <c r="AL1380">
        <v>0</v>
      </c>
      <c r="AQ1380">
        <v>1.1413957516594983E-6</v>
      </c>
    </row>
    <row r="1381" spans="1:43" x14ac:dyDescent="0.2">
      <c r="A1381">
        <v>1379</v>
      </c>
      <c r="B1381">
        <v>462</v>
      </c>
      <c r="C1381">
        <v>8</v>
      </c>
      <c r="D1381">
        <v>2300000</v>
      </c>
      <c r="E1381" t="s">
        <v>1150</v>
      </c>
      <c r="F1381" t="s">
        <v>87</v>
      </c>
      <c r="G1381" t="s">
        <v>1151</v>
      </c>
      <c r="H1381">
        <v>1.5625592856051251E-2</v>
      </c>
      <c r="I1381">
        <v>1.2761587307734114E-4</v>
      </c>
      <c r="J1381">
        <v>7.57</v>
      </c>
      <c r="L1381" s="1">
        <v>47269</v>
      </c>
      <c r="M1381" s="1">
        <v>43024</v>
      </c>
      <c r="R1381">
        <v>6.1824992375975926E-2</v>
      </c>
      <c r="T1381" t="s">
        <v>145</v>
      </c>
      <c r="V1381">
        <v>83278488</v>
      </c>
      <c r="W1381" t="s">
        <v>1152</v>
      </c>
      <c r="X1381" t="s">
        <v>1153</v>
      </c>
      <c r="Y1381">
        <v>2300000</v>
      </c>
      <c r="Z1381" t="s">
        <v>145</v>
      </c>
      <c r="AA1381">
        <v>4.0418191276342316E-3</v>
      </c>
      <c r="AB1381">
        <v>108.745</v>
      </c>
      <c r="AC1381" t="s">
        <v>33</v>
      </c>
      <c r="AE1381" t="s">
        <v>182</v>
      </c>
      <c r="AF1381">
        <v>0</v>
      </c>
      <c r="AH1381" t="s">
        <v>280</v>
      </c>
      <c r="AJ1381">
        <v>2.0641470087253964E-3</v>
      </c>
      <c r="AK1381">
        <v>2.0641470087253964E-3</v>
      </c>
      <c r="AL1381">
        <v>0</v>
      </c>
      <c r="AN1381" t="s">
        <v>148</v>
      </c>
      <c r="AQ1381">
        <v>0</v>
      </c>
    </row>
    <row r="1382" spans="1:43" x14ac:dyDescent="0.2">
      <c r="A1382">
        <v>1380</v>
      </c>
      <c r="B1382">
        <v>464</v>
      </c>
      <c r="C1382">
        <v>8</v>
      </c>
      <c r="D1382">
        <v>3270000</v>
      </c>
      <c r="E1382" t="s">
        <v>1150</v>
      </c>
      <c r="F1382" t="s">
        <v>87</v>
      </c>
      <c r="G1382" t="s">
        <v>1154</v>
      </c>
      <c r="H1382">
        <v>3.2117360147979113E-2</v>
      </c>
      <c r="I1382">
        <v>2.4170829785160946E-4</v>
      </c>
      <c r="J1382">
        <v>9.57</v>
      </c>
      <c r="L1382" s="1">
        <v>49999</v>
      </c>
      <c r="M1382" s="1">
        <v>43024</v>
      </c>
      <c r="R1382">
        <v>7.2021747733381214E-2</v>
      </c>
      <c r="T1382" t="s">
        <v>145</v>
      </c>
      <c r="V1382">
        <v>135400451</v>
      </c>
      <c r="W1382" t="s">
        <v>1152</v>
      </c>
      <c r="X1382" t="s">
        <v>1153</v>
      </c>
      <c r="Y1382">
        <v>3270000</v>
      </c>
      <c r="Z1382" t="s">
        <v>145</v>
      </c>
      <c r="AA1382">
        <v>7.6553268649619749E-3</v>
      </c>
      <c r="AB1382">
        <v>124.2633</v>
      </c>
      <c r="AC1382" t="s">
        <v>33</v>
      </c>
      <c r="AE1382" t="s">
        <v>182</v>
      </c>
      <c r="AF1382">
        <v>0</v>
      </c>
      <c r="AH1382" t="s">
        <v>280</v>
      </c>
      <c r="AJ1382">
        <v>3.3560459924743061E-3</v>
      </c>
      <c r="AK1382">
        <v>3.3560459924743061E-3</v>
      </c>
      <c r="AL1382">
        <v>0</v>
      </c>
      <c r="AN1382" t="s">
        <v>148</v>
      </c>
      <c r="AQ1382">
        <v>0</v>
      </c>
    </row>
    <row r="1383" spans="1:43" x14ac:dyDescent="0.2">
      <c r="A1383">
        <v>1381</v>
      </c>
      <c r="B1383">
        <v>465</v>
      </c>
      <c r="C1383">
        <v>8</v>
      </c>
      <c r="D1383">
        <v>6200000</v>
      </c>
      <c r="E1383" t="s">
        <v>1150</v>
      </c>
      <c r="F1383" t="s">
        <v>87</v>
      </c>
      <c r="G1383" t="s">
        <v>1155</v>
      </c>
      <c r="H1383">
        <v>3.1230332240750752E-2</v>
      </c>
      <c r="I1383">
        <v>3.480024524896261E-4</v>
      </c>
      <c r="J1383">
        <v>5.26</v>
      </c>
      <c r="L1383" s="1">
        <v>45631</v>
      </c>
      <c r="M1383" s="1">
        <v>43024</v>
      </c>
      <c r="R1383">
        <v>5.8612661754104657E-2</v>
      </c>
      <c r="T1383" t="s">
        <v>145</v>
      </c>
      <c r="V1383">
        <v>239542770</v>
      </c>
      <c r="W1383" t="s">
        <v>1152</v>
      </c>
      <c r="X1383" t="s">
        <v>1153</v>
      </c>
      <c r="Y1383">
        <v>6200000</v>
      </c>
      <c r="Z1383" t="s">
        <v>145</v>
      </c>
      <c r="AA1383">
        <v>1.1021849672914525E-2</v>
      </c>
      <c r="AB1383">
        <v>115.7565</v>
      </c>
      <c r="AC1383" t="s">
        <v>33</v>
      </c>
      <c r="AE1383" t="s">
        <v>182</v>
      </c>
      <c r="AF1383">
        <v>0</v>
      </c>
      <c r="AH1383" t="s">
        <v>280</v>
      </c>
      <c r="AJ1383">
        <v>5.9373255210552764E-3</v>
      </c>
      <c r="AK1383">
        <v>5.9373255210552764E-3</v>
      </c>
      <c r="AL1383">
        <v>0</v>
      </c>
      <c r="AN1383" t="s">
        <v>148</v>
      </c>
      <c r="AQ1383">
        <v>0</v>
      </c>
    </row>
    <row r="1384" spans="1:43" x14ac:dyDescent="0.2">
      <c r="A1384">
        <v>1382</v>
      </c>
      <c r="B1384">
        <v>466</v>
      </c>
      <c r="C1384">
        <v>8</v>
      </c>
      <c r="D1384">
        <v>2000000</v>
      </c>
      <c r="E1384" t="s">
        <v>1150</v>
      </c>
      <c r="F1384" t="s">
        <v>87</v>
      </c>
      <c r="G1384" t="s">
        <v>1156</v>
      </c>
      <c r="H1384">
        <v>1.437045554254663E-2</v>
      </c>
      <c r="I1384">
        <v>1.0872116075428042E-4</v>
      </c>
      <c r="J1384">
        <v>8.49</v>
      </c>
      <c r="L1384" s="1">
        <v>47997</v>
      </c>
      <c r="M1384" s="1">
        <v>43024</v>
      </c>
      <c r="R1384">
        <v>6.4231968991587424E-2</v>
      </c>
      <c r="T1384" t="s">
        <v>145</v>
      </c>
      <c r="V1384">
        <v>68289676</v>
      </c>
      <c r="W1384" t="s">
        <v>1152</v>
      </c>
      <c r="X1384" t="s">
        <v>1153</v>
      </c>
      <c r="Y1384">
        <v>2000000</v>
      </c>
      <c r="Z1384" t="s">
        <v>145</v>
      </c>
      <c r="AA1384">
        <v>3.4433903598256235E-3</v>
      </c>
      <c r="AB1384">
        <v>102.66840000000001</v>
      </c>
      <c r="AC1384" t="s">
        <v>33</v>
      </c>
      <c r="AE1384" t="s">
        <v>182</v>
      </c>
      <c r="AF1384">
        <v>0</v>
      </c>
      <c r="AH1384" t="s">
        <v>280</v>
      </c>
      <c r="AJ1384">
        <v>1.6926331616662696E-3</v>
      </c>
      <c r="AK1384">
        <v>1.6926331616662696E-3</v>
      </c>
      <c r="AL1384">
        <v>0</v>
      </c>
      <c r="AN1384" t="s">
        <v>148</v>
      </c>
      <c r="AQ1384">
        <v>0</v>
      </c>
    </row>
    <row r="1385" spans="1:43" x14ac:dyDescent="0.2">
      <c r="A1385">
        <v>1383</v>
      </c>
      <c r="B1385">
        <v>467</v>
      </c>
      <c r="C1385">
        <v>8</v>
      </c>
      <c r="D1385">
        <v>2000000</v>
      </c>
      <c r="E1385" t="s">
        <v>1150</v>
      </c>
      <c r="F1385" t="s">
        <v>87</v>
      </c>
      <c r="G1385" t="s">
        <v>1157</v>
      </c>
      <c r="H1385">
        <v>1.8677387252517913E-2</v>
      </c>
      <c r="I1385">
        <v>1.3119369538573732E-4</v>
      </c>
      <c r="J1385">
        <v>11.18</v>
      </c>
      <c r="L1385" s="1">
        <v>52183</v>
      </c>
      <c r="M1385" s="1">
        <v>43024</v>
      </c>
      <c r="R1385">
        <v>7.8530551119499331E-2</v>
      </c>
      <c r="T1385" t="s">
        <v>145</v>
      </c>
      <c r="V1385">
        <v>67401029</v>
      </c>
      <c r="W1385" t="s">
        <v>1152</v>
      </c>
      <c r="X1385" t="s">
        <v>1153</v>
      </c>
      <c r="Y1385">
        <v>2000000</v>
      </c>
      <c r="Z1385" t="s">
        <v>145</v>
      </c>
      <c r="AA1385">
        <v>4.155135052155535E-3</v>
      </c>
      <c r="AB1385">
        <v>101.2983</v>
      </c>
      <c r="AC1385" t="s">
        <v>33</v>
      </c>
      <c r="AE1385" t="s">
        <v>182</v>
      </c>
      <c r="AF1385">
        <v>0</v>
      </c>
      <c r="AH1385" t="s">
        <v>280</v>
      </c>
      <c r="AJ1385">
        <v>1.6706070887761997E-3</v>
      </c>
      <c r="AK1385">
        <v>1.6706070887761997E-3</v>
      </c>
      <c r="AL1385">
        <v>0</v>
      </c>
      <c r="AN1385" t="s">
        <v>148</v>
      </c>
      <c r="AQ1385">
        <v>0</v>
      </c>
    </row>
    <row r="1386" spans="1:43" x14ac:dyDescent="0.2">
      <c r="A1386">
        <v>1384</v>
      </c>
      <c r="B1386">
        <v>0</v>
      </c>
      <c r="C1386">
        <v>17</v>
      </c>
      <c r="D1386">
        <v>32357861.960851002</v>
      </c>
      <c r="E1386" t="s">
        <v>995</v>
      </c>
      <c r="F1386" t="s">
        <v>61</v>
      </c>
      <c r="G1386" t="s">
        <v>996</v>
      </c>
      <c r="H1386">
        <v>0</v>
      </c>
      <c r="I1386">
        <v>0</v>
      </c>
      <c r="J1386">
        <v>0</v>
      </c>
      <c r="L1386" s="1">
        <v>2</v>
      </c>
      <c r="M1386" s="1">
        <v>43024</v>
      </c>
      <c r="R1386">
        <v>0</v>
      </c>
      <c r="T1386" t="s">
        <v>39</v>
      </c>
      <c r="V1386">
        <v>32573591.826499999</v>
      </c>
      <c r="W1386" t="s">
        <v>997</v>
      </c>
      <c r="X1386" t="s">
        <v>998</v>
      </c>
      <c r="Y1386">
        <v>32357861.960851002</v>
      </c>
      <c r="Z1386" t="s">
        <v>31</v>
      </c>
      <c r="AA1386">
        <v>0</v>
      </c>
      <c r="AB1386">
        <v>1.006667</v>
      </c>
      <c r="AC1386" t="s">
        <v>54</v>
      </c>
      <c r="AE1386" t="s">
        <v>41</v>
      </c>
      <c r="AF1386">
        <v>0</v>
      </c>
      <c r="AH1386" t="s">
        <v>597</v>
      </c>
      <c r="AJ1386">
        <v>3.9011271315651824E-4</v>
      </c>
      <c r="AK1386">
        <v>3.9011271315651824E-4</v>
      </c>
      <c r="AL1386">
        <v>0</v>
      </c>
      <c r="AN1386" t="s">
        <v>154</v>
      </c>
      <c r="AQ1386">
        <v>0</v>
      </c>
    </row>
    <row r="1387" spans="1:43" x14ac:dyDescent="0.2">
      <c r="A1387">
        <v>1385</v>
      </c>
      <c r="B1387">
        <v>0</v>
      </c>
      <c r="C1387">
        <v>17</v>
      </c>
      <c r="D1387">
        <v>43143788.651231259</v>
      </c>
      <c r="E1387" t="s">
        <v>999</v>
      </c>
      <c r="F1387" t="s">
        <v>61</v>
      </c>
      <c r="G1387" t="s">
        <v>1000</v>
      </c>
      <c r="H1387">
        <v>0</v>
      </c>
      <c r="I1387">
        <v>0</v>
      </c>
      <c r="J1387">
        <v>0</v>
      </c>
      <c r="L1387" s="1">
        <v>2</v>
      </c>
      <c r="M1387" s="1">
        <v>43024</v>
      </c>
      <c r="R1387">
        <v>0</v>
      </c>
      <c r="T1387" t="s">
        <v>39</v>
      </c>
      <c r="V1387">
        <v>43169674.924400002</v>
      </c>
      <c r="W1387" t="s">
        <v>1001</v>
      </c>
      <c r="X1387" t="s">
        <v>1002</v>
      </c>
      <c r="Y1387">
        <v>43143788.651231259</v>
      </c>
      <c r="Z1387" t="s">
        <v>31</v>
      </c>
      <c r="AA1387">
        <v>0</v>
      </c>
      <c r="AB1387">
        <v>1.0005999999999999</v>
      </c>
      <c r="AC1387" t="s">
        <v>1003</v>
      </c>
      <c r="AE1387" t="s">
        <v>41</v>
      </c>
      <c r="AF1387">
        <v>0</v>
      </c>
      <c r="AH1387" t="s">
        <v>597</v>
      </c>
      <c r="AJ1387">
        <v>5.1701510538182947E-4</v>
      </c>
      <c r="AK1387">
        <v>5.1701510538182947E-4</v>
      </c>
      <c r="AL1387">
        <v>0</v>
      </c>
      <c r="AN1387" t="s">
        <v>603</v>
      </c>
      <c r="AQ1387">
        <v>0</v>
      </c>
    </row>
    <row r="1388" spans="1:43" x14ac:dyDescent="0.2">
      <c r="A1388">
        <v>1386</v>
      </c>
      <c r="B1388">
        <v>0</v>
      </c>
      <c r="C1388">
        <v>17</v>
      </c>
      <c r="D1388">
        <v>0</v>
      </c>
      <c r="E1388" t="s">
        <v>1224</v>
      </c>
      <c r="F1388" t="s">
        <v>61</v>
      </c>
      <c r="G1388" t="s">
        <v>159</v>
      </c>
      <c r="H1388">
        <v>0</v>
      </c>
      <c r="I1388">
        <v>0</v>
      </c>
      <c r="J1388">
        <v>0</v>
      </c>
      <c r="L1388" s="1">
        <v>43024</v>
      </c>
      <c r="M1388" s="1">
        <v>43024</v>
      </c>
      <c r="R1388">
        <v>0</v>
      </c>
      <c r="T1388" t="s">
        <v>39</v>
      </c>
      <c r="V1388">
        <v>100501335</v>
      </c>
      <c r="W1388" t="s">
        <v>45</v>
      </c>
      <c r="X1388" t="s">
        <v>46</v>
      </c>
      <c r="Y1388">
        <v>0</v>
      </c>
      <c r="Z1388" t="s">
        <v>47</v>
      </c>
      <c r="AA1388">
        <v>0</v>
      </c>
      <c r="AB1388">
        <v>0</v>
      </c>
      <c r="AC1388" t="s">
        <v>47</v>
      </c>
      <c r="AE1388" t="s">
        <v>45</v>
      </c>
      <c r="AF1388">
        <v>0</v>
      </c>
      <c r="AH1388" t="s">
        <v>174</v>
      </c>
      <c r="AJ1388">
        <v>1.2036390914926893E-3</v>
      </c>
      <c r="AK1388">
        <v>1.2036390914926893E-3</v>
      </c>
      <c r="AL1388">
        <v>0</v>
      </c>
      <c r="AN1388" t="s">
        <v>47</v>
      </c>
      <c r="AQ1388">
        <v>0</v>
      </c>
    </row>
    <row r="1389" spans="1:43" x14ac:dyDescent="0.2">
      <c r="A1389">
        <v>1387</v>
      </c>
      <c r="B1389">
        <v>0</v>
      </c>
      <c r="C1389">
        <v>17</v>
      </c>
      <c r="D1389">
        <v>0</v>
      </c>
      <c r="E1389" t="s">
        <v>1224</v>
      </c>
      <c r="F1389" t="s">
        <v>61</v>
      </c>
      <c r="G1389" t="s">
        <v>160</v>
      </c>
      <c r="H1389">
        <v>0</v>
      </c>
      <c r="I1389">
        <v>0</v>
      </c>
      <c r="J1389">
        <v>0</v>
      </c>
      <c r="L1389" s="1">
        <v>43024</v>
      </c>
      <c r="M1389" s="1">
        <v>43024</v>
      </c>
      <c r="R1389">
        <v>0</v>
      </c>
      <c r="T1389" t="s">
        <v>39</v>
      </c>
      <c r="V1389">
        <v>-64370188</v>
      </c>
      <c r="W1389" t="s">
        <v>45</v>
      </c>
      <c r="X1389" t="s">
        <v>48</v>
      </c>
      <c r="Y1389">
        <v>0</v>
      </c>
      <c r="Z1389" t="s">
        <v>47</v>
      </c>
      <c r="AA1389">
        <v>0</v>
      </c>
      <c r="AB1389">
        <v>0</v>
      </c>
      <c r="AC1389" t="s">
        <v>47</v>
      </c>
      <c r="AE1389" t="s">
        <v>45</v>
      </c>
      <c r="AF1389">
        <v>0</v>
      </c>
      <c r="AH1389" t="s">
        <v>174</v>
      </c>
      <c r="AJ1389">
        <v>-7.7091985498037026E-4</v>
      </c>
      <c r="AK1389">
        <v>-7.7091985498037026E-4</v>
      </c>
      <c r="AL1389">
        <v>0</v>
      </c>
      <c r="AN1389" t="s">
        <v>47</v>
      </c>
      <c r="AQ1389">
        <v>0</v>
      </c>
    </row>
    <row r="1390" spans="1:43" x14ac:dyDescent="0.2">
      <c r="A1390">
        <v>1388</v>
      </c>
      <c r="B1390">
        <v>66</v>
      </c>
      <c r="C1390">
        <v>17</v>
      </c>
      <c r="D1390">
        <v>0</v>
      </c>
      <c r="E1390" t="s">
        <v>1224</v>
      </c>
      <c r="F1390" t="s">
        <v>61</v>
      </c>
      <c r="G1390" t="s">
        <v>161</v>
      </c>
      <c r="H1390">
        <v>0</v>
      </c>
      <c r="I1390">
        <v>0</v>
      </c>
      <c r="J1390">
        <v>0</v>
      </c>
      <c r="L1390" s="1">
        <v>43024</v>
      </c>
      <c r="M1390" s="1">
        <v>43024</v>
      </c>
      <c r="R1390">
        <v>1.6225130352076695E-2</v>
      </c>
      <c r="T1390" t="s">
        <v>30</v>
      </c>
      <c r="V1390">
        <v>0</v>
      </c>
      <c r="W1390" t="s">
        <v>45</v>
      </c>
      <c r="X1390" t="s">
        <v>51</v>
      </c>
      <c r="Y1390">
        <v>0</v>
      </c>
      <c r="Z1390" t="s">
        <v>47</v>
      </c>
      <c r="AA1390">
        <v>0</v>
      </c>
      <c r="AB1390">
        <v>0</v>
      </c>
      <c r="AC1390" t="s">
        <v>47</v>
      </c>
      <c r="AE1390" t="s">
        <v>45</v>
      </c>
      <c r="AF1390">
        <v>0</v>
      </c>
      <c r="AH1390" t="s">
        <v>174</v>
      </c>
      <c r="AJ1390">
        <v>0</v>
      </c>
      <c r="AK1390">
        <v>0</v>
      </c>
      <c r="AL1390">
        <v>0</v>
      </c>
      <c r="AN1390" t="s">
        <v>47</v>
      </c>
      <c r="AQ1390">
        <v>0</v>
      </c>
    </row>
    <row r="1391" spans="1:43" x14ac:dyDescent="0.2">
      <c r="A1391">
        <v>1389</v>
      </c>
      <c r="B1391">
        <v>73</v>
      </c>
      <c r="C1391">
        <v>17</v>
      </c>
      <c r="D1391">
        <v>0</v>
      </c>
      <c r="E1391" t="s">
        <v>1224</v>
      </c>
      <c r="F1391" t="s">
        <v>61</v>
      </c>
      <c r="G1391" t="s">
        <v>162</v>
      </c>
      <c r="H1391">
        <v>0</v>
      </c>
      <c r="I1391">
        <v>0</v>
      </c>
      <c r="J1391">
        <v>0</v>
      </c>
      <c r="L1391" s="1">
        <v>43024</v>
      </c>
      <c r="M1391" s="1">
        <v>43024</v>
      </c>
      <c r="R1391">
        <v>-3.7306849573442201E-3</v>
      </c>
      <c r="T1391" t="s">
        <v>49</v>
      </c>
      <c r="V1391">
        <v>0</v>
      </c>
      <c r="W1391" t="s">
        <v>45</v>
      </c>
      <c r="X1391" t="s">
        <v>50</v>
      </c>
      <c r="Y1391">
        <v>0</v>
      </c>
      <c r="Z1391" t="s">
        <v>47</v>
      </c>
      <c r="AA1391">
        <v>0</v>
      </c>
      <c r="AB1391">
        <v>0</v>
      </c>
      <c r="AC1391" t="s">
        <v>47</v>
      </c>
      <c r="AE1391" t="s">
        <v>45</v>
      </c>
      <c r="AF1391">
        <v>0</v>
      </c>
      <c r="AH1391" t="s">
        <v>174</v>
      </c>
      <c r="AJ1391">
        <v>0</v>
      </c>
      <c r="AK1391">
        <v>0</v>
      </c>
      <c r="AL1391">
        <v>0</v>
      </c>
      <c r="AN1391" t="s">
        <v>47</v>
      </c>
      <c r="AQ1391">
        <v>0</v>
      </c>
    </row>
    <row r="1392" spans="1:43" x14ac:dyDescent="0.2">
      <c r="A1392">
        <v>1390</v>
      </c>
      <c r="B1392">
        <v>87</v>
      </c>
      <c r="C1392">
        <v>17</v>
      </c>
      <c r="D1392">
        <v>139010696.29566273</v>
      </c>
      <c r="E1392" t="s">
        <v>400</v>
      </c>
      <c r="F1392" t="s">
        <v>61</v>
      </c>
      <c r="G1392" t="s">
        <v>401</v>
      </c>
      <c r="H1392">
        <v>2.4354879470599618E-3</v>
      </c>
      <c r="I1392">
        <v>1.8978311723616778E-5</v>
      </c>
      <c r="J1392">
        <v>1.43</v>
      </c>
      <c r="L1392" s="1">
        <v>43556</v>
      </c>
      <c r="M1392" s="1">
        <v>43024</v>
      </c>
      <c r="R1392">
        <v>1.1143141068521096E-2</v>
      </c>
      <c r="T1392" t="s">
        <v>32</v>
      </c>
      <c r="V1392">
        <v>142208479.73750001</v>
      </c>
      <c r="W1392" t="s">
        <v>226</v>
      </c>
      <c r="X1392" t="s">
        <v>402</v>
      </c>
      <c r="Y1392">
        <v>139010696.29566273</v>
      </c>
      <c r="Z1392" t="s">
        <v>31</v>
      </c>
      <c r="AA1392">
        <v>8.6886165408334875E-4</v>
      </c>
      <c r="AB1392">
        <v>102.16</v>
      </c>
      <c r="AC1392" t="s">
        <v>142</v>
      </c>
      <c r="AE1392" t="s">
        <v>41</v>
      </c>
      <c r="AF1392">
        <v>-4.8888208702300637E-3</v>
      </c>
      <c r="AH1392" t="s">
        <v>237</v>
      </c>
      <c r="AJ1392">
        <v>1.7031384245174558E-3</v>
      </c>
      <c r="AK1392">
        <v>1.7031384245174558E-3</v>
      </c>
      <c r="AL1392">
        <v>0</v>
      </c>
      <c r="AN1392" t="s">
        <v>146</v>
      </c>
      <c r="AQ1392">
        <v>-8.3263386746716875E-6</v>
      </c>
    </row>
    <row r="1393" spans="1:43" x14ac:dyDescent="0.2">
      <c r="A1393">
        <v>1391</v>
      </c>
      <c r="B1393">
        <v>87</v>
      </c>
      <c r="C1393">
        <v>17</v>
      </c>
      <c r="D1393">
        <v>23111212.180929236</v>
      </c>
      <c r="E1393" t="s">
        <v>1007</v>
      </c>
      <c r="F1393" t="s">
        <v>61</v>
      </c>
      <c r="G1393" t="s">
        <v>1008</v>
      </c>
      <c r="H1393">
        <v>8.5430622383206485E-3</v>
      </c>
      <c r="I1393">
        <v>5.0368543745377028E-5</v>
      </c>
      <c r="J1393">
        <v>1.89</v>
      </c>
      <c r="L1393" s="1">
        <v>44287</v>
      </c>
      <c r="M1393" s="1">
        <v>43024</v>
      </c>
      <c r="R1393">
        <v>1.1143141068521096E-2</v>
      </c>
      <c r="T1393" t="s">
        <v>32</v>
      </c>
      <c r="V1393">
        <v>377422087.74599999</v>
      </c>
      <c r="W1393" t="s">
        <v>1009</v>
      </c>
      <c r="X1393" t="s">
        <v>1010</v>
      </c>
      <c r="Y1393">
        <v>23111212.180929236</v>
      </c>
      <c r="Z1393" t="s">
        <v>31</v>
      </c>
      <c r="AA1393">
        <v>2.3059636109738022E-3</v>
      </c>
      <c r="AB1393">
        <v>101.53000000000002</v>
      </c>
      <c r="AC1393" t="s">
        <v>142</v>
      </c>
      <c r="AE1393" t="s">
        <v>41</v>
      </c>
      <c r="AF1393">
        <v>6.1111791297699357E-3</v>
      </c>
      <c r="AH1393" t="s">
        <v>237</v>
      </c>
      <c r="AJ1393">
        <v>4.520138750434206E-3</v>
      </c>
      <c r="AK1393">
        <v>4.520138750434206E-3</v>
      </c>
      <c r="AL1393">
        <v>0</v>
      </c>
      <c r="AN1393" t="s">
        <v>146</v>
      </c>
      <c r="AQ1393">
        <v>2.7623377595317877E-5</v>
      </c>
    </row>
    <row r="1394" spans="1:43" x14ac:dyDescent="0.2">
      <c r="A1394">
        <v>1392</v>
      </c>
      <c r="B1394">
        <v>87</v>
      </c>
      <c r="C1394">
        <v>17</v>
      </c>
      <c r="D1394">
        <v>15958938.973859804</v>
      </c>
      <c r="E1394" t="s">
        <v>1098</v>
      </c>
      <c r="F1394" t="s">
        <v>61</v>
      </c>
      <c r="G1394" t="s">
        <v>1099</v>
      </c>
      <c r="H1394">
        <v>2.3606449563914132E-5</v>
      </c>
      <c r="I1394">
        <v>2.1920833134801958E-6</v>
      </c>
      <c r="J1394">
        <v>0.12</v>
      </c>
      <c r="L1394" s="1">
        <v>43070</v>
      </c>
      <c r="M1394" s="1">
        <v>43024</v>
      </c>
      <c r="R1394">
        <v>1.1143141068521096E-2</v>
      </c>
      <c r="T1394" t="s">
        <v>39</v>
      </c>
      <c r="V1394">
        <v>16425741.1306</v>
      </c>
      <c r="W1394" t="s">
        <v>1100</v>
      </c>
      <c r="X1394" t="s">
        <v>1101</v>
      </c>
      <c r="Y1394">
        <v>15958938.973859804</v>
      </c>
      <c r="Z1394" t="s">
        <v>31</v>
      </c>
      <c r="AA1394">
        <v>1.0035756401180766E-4</v>
      </c>
      <c r="AB1394">
        <v>100.24</v>
      </c>
      <c r="AC1394" t="s">
        <v>150</v>
      </c>
      <c r="AE1394" t="s">
        <v>41</v>
      </c>
      <c r="AF1394">
        <v>5.1700000000000003E-2</v>
      </c>
      <c r="AH1394" t="s">
        <v>237</v>
      </c>
      <c r="AJ1394">
        <v>1.9672041303261777E-4</v>
      </c>
      <c r="AK1394">
        <v>1.9672041303261777E-4</v>
      </c>
      <c r="AL1394">
        <v>0</v>
      </c>
      <c r="AN1394" t="s">
        <v>144</v>
      </c>
      <c r="AQ1394">
        <v>1.0170445353786339E-5</v>
      </c>
    </row>
    <row r="1395" spans="1:43" x14ac:dyDescent="0.2">
      <c r="A1395">
        <v>1393</v>
      </c>
      <c r="B1395">
        <v>87</v>
      </c>
      <c r="C1395">
        <v>17</v>
      </c>
      <c r="D1395">
        <v>10343097.641515294</v>
      </c>
      <c r="E1395" t="s">
        <v>1098</v>
      </c>
      <c r="F1395" t="s">
        <v>61</v>
      </c>
      <c r="G1395" t="s">
        <v>1102</v>
      </c>
      <c r="H1395">
        <v>6.9998896509270835E-6</v>
      </c>
      <c r="I1395">
        <v>1.7333501743191416E-7</v>
      </c>
      <c r="J1395">
        <v>0.45</v>
      </c>
      <c r="L1395" s="1">
        <v>43191</v>
      </c>
      <c r="M1395" s="1">
        <v>43024</v>
      </c>
      <c r="R1395">
        <v>1.1143141068521096E-2</v>
      </c>
      <c r="T1395" t="s">
        <v>39</v>
      </c>
      <c r="V1395">
        <v>1298835.7275</v>
      </c>
      <c r="W1395" t="s">
        <v>1100</v>
      </c>
      <c r="X1395" t="s">
        <v>1101</v>
      </c>
      <c r="Y1395">
        <v>10343097.641515294</v>
      </c>
      <c r="Z1395" t="s">
        <v>31</v>
      </c>
      <c r="AA1395">
        <v>7.9355925937840878E-6</v>
      </c>
      <c r="AB1395">
        <v>100.22</v>
      </c>
      <c r="AC1395" t="s">
        <v>150</v>
      </c>
      <c r="AE1395" t="s">
        <v>41</v>
      </c>
      <c r="AF1395">
        <v>5.5100000000000003E-2</v>
      </c>
      <c r="AH1395" t="s">
        <v>237</v>
      </c>
      <c r="AJ1395">
        <v>1.5555310335393518E-5</v>
      </c>
      <c r="AK1395">
        <v>1.5555310335393518E-5</v>
      </c>
      <c r="AL1395">
        <v>0</v>
      </c>
      <c r="AN1395" t="s">
        <v>144</v>
      </c>
      <c r="AQ1395">
        <v>8.5709759948018286E-7</v>
      </c>
    </row>
    <row r="1396" spans="1:43" x14ac:dyDescent="0.2">
      <c r="A1396">
        <v>1394</v>
      </c>
      <c r="B1396">
        <v>87</v>
      </c>
      <c r="C1396">
        <v>17</v>
      </c>
      <c r="D1396">
        <v>86258279.783889845</v>
      </c>
      <c r="E1396" t="s">
        <v>1098</v>
      </c>
      <c r="F1396" t="s">
        <v>61</v>
      </c>
      <c r="G1396" t="s">
        <v>1103</v>
      </c>
      <c r="H1396">
        <v>1.4049266893877098E-4</v>
      </c>
      <c r="I1396">
        <v>2.8991289427365867E-6</v>
      </c>
      <c r="J1396">
        <v>0.54</v>
      </c>
      <c r="L1396" s="1">
        <v>43313</v>
      </c>
      <c r="M1396" s="1">
        <v>43024</v>
      </c>
      <c r="R1396">
        <v>1.1143141068521096E-2</v>
      </c>
      <c r="T1396" t="s">
        <v>32</v>
      </c>
      <c r="V1396">
        <v>21723782.6796</v>
      </c>
      <c r="W1396" t="s">
        <v>1100</v>
      </c>
      <c r="X1396" t="s">
        <v>1101</v>
      </c>
      <c r="Y1396">
        <v>86258279.783889845</v>
      </c>
      <c r="Z1396" t="s">
        <v>31</v>
      </c>
      <c r="AA1396">
        <v>1.3272739984834515E-4</v>
      </c>
      <c r="AB1396">
        <v>99.98</v>
      </c>
      <c r="AC1396" t="s">
        <v>150</v>
      </c>
      <c r="AE1396" t="s">
        <v>41</v>
      </c>
      <c r="AF1396">
        <v>1.3611179129769932E-2</v>
      </c>
      <c r="AH1396" t="s">
        <v>237</v>
      </c>
      <c r="AJ1396">
        <v>2.6017160914587216E-4</v>
      </c>
      <c r="AK1396">
        <v>2.6017160914587216E-4</v>
      </c>
      <c r="AL1396">
        <v>0</v>
      </c>
      <c r="AN1396" t="s">
        <v>144</v>
      </c>
      <c r="AQ1396">
        <v>3.5412423765649549E-6</v>
      </c>
    </row>
    <row r="1397" spans="1:43" x14ac:dyDescent="0.2">
      <c r="A1397">
        <v>1395</v>
      </c>
      <c r="B1397">
        <v>87</v>
      </c>
      <c r="C1397">
        <v>17</v>
      </c>
      <c r="D1397">
        <v>3441911.9438916869</v>
      </c>
      <c r="E1397" t="s">
        <v>1098</v>
      </c>
      <c r="F1397" t="s">
        <v>61</v>
      </c>
      <c r="G1397" t="s">
        <v>1104</v>
      </c>
      <c r="H1397">
        <v>2.2522642360374228E-5</v>
      </c>
      <c r="I1397">
        <v>2.2815725550681724E-7</v>
      </c>
      <c r="J1397">
        <v>1.1000000000000001</v>
      </c>
      <c r="L1397" s="1">
        <v>43709</v>
      </c>
      <c r="M1397" s="1">
        <v>43024</v>
      </c>
      <c r="R1397">
        <v>1.1143141068521096E-2</v>
      </c>
      <c r="T1397" t="s">
        <v>32</v>
      </c>
      <c r="V1397">
        <v>1709630.2831999999</v>
      </c>
      <c r="W1397" t="s">
        <v>1100</v>
      </c>
      <c r="X1397" t="s">
        <v>1101</v>
      </c>
      <c r="Y1397">
        <v>3441911.9438916869</v>
      </c>
      <c r="Z1397" t="s">
        <v>31</v>
      </c>
      <c r="AA1397">
        <v>1.0445454437555817E-5</v>
      </c>
      <c r="AB1397">
        <v>99.04</v>
      </c>
      <c r="AC1397" t="s">
        <v>150</v>
      </c>
      <c r="AE1397" t="s">
        <v>41</v>
      </c>
      <c r="AF1397">
        <v>1.0411179129769937E-2</v>
      </c>
      <c r="AH1397" t="s">
        <v>237</v>
      </c>
      <c r="AJ1397">
        <v>2.0475129418522024E-5</v>
      </c>
      <c r="AK1397">
        <v>2.0475129418522024E-5</v>
      </c>
      <c r="AL1397">
        <v>0</v>
      </c>
      <c r="AN1397" t="s">
        <v>144</v>
      </c>
      <c r="AQ1397">
        <v>2.1317024008145497E-7</v>
      </c>
    </row>
    <row r="1398" spans="1:43" x14ac:dyDescent="0.2">
      <c r="A1398">
        <v>1396</v>
      </c>
      <c r="B1398">
        <v>87</v>
      </c>
      <c r="C1398">
        <v>17</v>
      </c>
      <c r="D1398">
        <v>38185762.420460321</v>
      </c>
      <c r="E1398" t="s">
        <v>363</v>
      </c>
      <c r="F1398" t="s">
        <v>61</v>
      </c>
      <c r="G1398" t="s">
        <v>403</v>
      </c>
      <c r="H1398">
        <v>6.1474016724383896E-5</v>
      </c>
      <c r="I1398">
        <v>1.037899455164295E-6</v>
      </c>
      <c r="J1398">
        <v>0.66</v>
      </c>
      <c r="L1398" s="1">
        <v>43358</v>
      </c>
      <c r="M1398" s="1">
        <v>43024</v>
      </c>
      <c r="R1398">
        <v>1.1143141068521096E-2</v>
      </c>
      <c r="T1398" t="s">
        <v>32</v>
      </c>
      <c r="V1398">
        <v>7777198.8251</v>
      </c>
      <c r="W1398" t="s">
        <v>364</v>
      </c>
      <c r="X1398" t="s">
        <v>404</v>
      </c>
      <c r="Y1398">
        <v>38185762.420460321</v>
      </c>
      <c r="Z1398" t="s">
        <v>31</v>
      </c>
      <c r="AA1398">
        <v>4.751692619022898E-5</v>
      </c>
      <c r="AB1398">
        <v>101.44</v>
      </c>
      <c r="AC1398" t="s">
        <v>142</v>
      </c>
      <c r="AE1398" t="s">
        <v>44</v>
      </c>
      <c r="AF1398">
        <v>-4.8882087023006601E-4</v>
      </c>
      <c r="AH1398" t="s">
        <v>237</v>
      </c>
      <c r="AJ1398">
        <v>9.3142449582399829E-5</v>
      </c>
      <c r="AK1398">
        <v>9.3142449582399829E-5</v>
      </c>
      <c r="AL1398">
        <v>0</v>
      </c>
      <c r="AN1398" t="s">
        <v>146</v>
      </c>
      <c r="AQ1398">
        <v>-4.552997326022873E-8</v>
      </c>
    </row>
    <row r="1399" spans="1:43" x14ac:dyDescent="0.2">
      <c r="A1399">
        <v>1397</v>
      </c>
      <c r="B1399">
        <v>87</v>
      </c>
      <c r="C1399">
        <v>17</v>
      </c>
      <c r="D1399">
        <v>11497085.792650159</v>
      </c>
      <c r="E1399" t="s">
        <v>246</v>
      </c>
      <c r="F1399" t="s">
        <v>61</v>
      </c>
      <c r="G1399" t="s">
        <v>966</v>
      </c>
      <c r="H1399">
        <v>1.6582250218741496E-4</v>
      </c>
      <c r="I1399">
        <v>1.5527592724449687E-6</v>
      </c>
      <c r="J1399">
        <v>1.19</v>
      </c>
      <c r="L1399" s="1">
        <v>43556</v>
      </c>
      <c r="M1399" s="1">
        <v>43024</v>
      </c>
      <c r="R1399">
        <v>1.1143141068521096E-2</v>
      </c>
      <c r="T1399" t="s">
        <v>32</v>
      </c>
      <c r="V1399">
        <v>11635151.6799</v>
      </c>
      <c r="W1399" t="s">
        <v>247</v>
      </c>
      <c r="X1399" t="s">
        <v>1011</v>
      </c>
      <c r="Y1399">
        <v>11497085.792650159</v>
      </c>
      <c r="Z1399" t="s">
        <v>31</v>
      </c>
      <c r="AA1399">
        <v>7.1088145747491313E-5</v>
      </c>
      <c r="AB1399">
        <v>101.04</v>
      </c>
      <c r="AC1399" t="s">
        <v>142</v>
      </c>
      <c r="AE1399" t="s">
        <v>41</v>
      </c>
      <c r="AF1399">
        <v>4.4111791297699356E-3</v>
      </c>
      <c r="AH1399" t="s">
        <v>237</v>
      </c>
      <c r="AJ1399">
        <v>1.3934664049362601E-4</v>
      </c>
      <c r="AK1399">
        <v>1.3934664049362601E-4</v>
      </c>
      <c r="AL1399">
        <v>0</v>
      </c>
      <c r="AN1399" t="s">
        <v>146</v>
      </c>
      <c r="AQ1399">
        <v>6.1468299234903723E-7</v>
      </c>
    </row>
    <row r="1400" spans="1:43" x14ac:dyDescent="0.2">
      <c r="A1400">
        <v>1398</v>
      </c>
      <c r="B1400">
        <v>87</v>
      </c>
      <c r="C1400">
        <v>17</v>
      </c>
      <c r="D1400">
        <v>31636203.739581019</v>
      </c>
      <c r="E1400" t="s">
        <v>246</v>
      </c>
      <c r="F1400" t="s">
        <v>61</v>
      </c>
      <c r="G1400" t="s">
        <v>967</v>
      </c>
      <c r="H1400">
        <v>4.5856591457482119E-3</v>
      </c>
      <c r="I1400">
        <v>2.7620890136879062E-5</v>
      </c>
      <c r="J1400">
        <v>1.85</v>
      </c>
      <c r="L1400" s="1">
        <v>43814</v>
      </c>
      <c r="M1400" s="1">
        <v>43024</v>
      </c>
      <c r="R1400">
        <v>1.1143141068521096E-2</v>
      </c>
      <c r="T1400" t="s">
        <v>32</v>
      </c>
      <c r="V1400">
        <v>206969136.80019999</v>
      </c>
      <c r="W1400" t="s">
        <v>247</v>
      </c>
      <c r="X1400" t="s">
        <v>1011</v>
      </c>
      <c r="Y1400">
        <v>31636203.739581019</v>
      </c>
      <c r="Z1400" t="s">
        <v>31</v>
      </c>
      <c r="AA1400">
        <v>1.2645346246325463E-3</v>
      </c>
      <c r="AB1400">
        <v>100.03</v>
      </c>
      <c r="AC1400" t="s">
        <v>142</v>
      </c>
      <c r="AE1400" t="s">
        <v>41</v>
      </c>
      <c r="AF1400">
        <v>5.2111791297699342E-3</v>
      </c>
      <c r="AH1400" t="s">
        <v>237</v>
      </c>
      <c r="AJ1400">
        <v>2.4787346733774118E-3</v>
      </c>
      <c r="AK1400">
        <v>2.4787346733774118E-3</v>
      </c>
      <c r="AL1400">
        <v>0</v>
      </c>
      <c r="AN1400" t="s">
        <v>146</v>
      </c>
      <c r="AQ1400">
        <v>1.2917130398141463E-5</v>
      </c>
    </row>
    <row r="1401" spans="1:43" x14ac:dyDescent="0.2">
      <c r="A1401">
        <v>1399</v>
      </c>
      <c r="B1401">
        <v>88</v>
      </c>
      <c r="C1401">
        <v>17</v>
      </c>
      <c r="D1401">
        <v>174307410.74074158</v>
      </c>
      <c r="E1401" t="s">
        <v>400</v>
      </c>
      <c r="F1401" t="s">
        <v>61</v>
      </c>
      <c r="G1401" t="s">
        <v>405</v>
      </c>
      <c r="H1401">
        <v>2.1345186687227329E-2</v>
      </c>
      <c r="I1401">
        <v>7.2629062798218176E-5</v>
      </c>
      <c r="J1401">
        <v>2.31</v>
      </c>
      <c r="L1401" s="1">
        <v>43891</v>
      </c>
      <c r="M1401" s="1">
        <v>43024</v>
      </c>
      <c r="R1401">
        <v>7.8599984868849681E-3</v>
      </c>
      <c r="T1401" t="s">
        <v>32</v>
      </c>
      <c r="V1401">
        <v>771549020.31780005</v>
      </c>
      <c r="W1401" t="s">
        <v>226</v>
      </c>
      <c r="X1401" t="s">
        <v>402</v>
      </c>
      <c r="Y1401">
        <v>174307410.74074158</v>
      </c>
      <c r="Z1401" t="s">
        <v>31</v>
      </c>
      <c r="AA1401">
        <v>3.3250906906990745E-3</v>
      </c>
      <c r="AB1401">
        <v>101.08999999999999</v>
      </c>
      <c r="AC1401" t="s">
        <v>142</v>
      </c>
      <c r="AE1401" t="s">
        <v>41</v>
      </c>
      <c r="AF1401">
        <v>-2.3888208702300649E-3</v>
      </c>
      <c r="AH1401" t="s">
        <v>237</v>
      </c>
      <c r="AJ1401">
        <v>9.2403405572412684E-3</v>
      </c>
      <c r="AK1401">
        <v>9.2403405572412684E-3</v>
      </c>
      <c r="AL1401">
        <v>0</v>
      </c>
      <c r="AN1401" t="s">
        <v>146</v>
      </c>
      <c r="AQ1401">
        <v>-2.2073518371171251E-5</v>
      </c>
    </row>
    <row r="1402" spans="1:43" x14ac:dyDescent="0.2">
      <c r="A1402">
        <v>1400</v>
      </c>
      <c r="B1402">
        <v>88</v>
      </c>
      <c r="C1402">
        <v>17</v>
      </c>
      <c r="D1402">
        <v>13621612.153701331</v>
      </c>
      <c r="E1402" t="s">
        <v>400</v>
      </c>
      <c r="F1402" t="s">
        <v>61</v>
      </c>
      <c r="G1402" t="s">
        <v>406</v>
      </c>
      <c r="H1402">
        <v>3.7811825390636581E-4</v>
      </c>
      <c r="I1402">
        <v>1.320892846030054E-6</v>
      </c>
      <c r="J1402">
        <v>2.25</v>
      </c>
      <c r="L1402" s="1">
        <v>43891</v>
      </c>
      <c r="M1402" s="1">
        <v>43024</v>
      </c>
      <c r="R1402">
        <v>7.8599984868849681E-3</v>
      </c>
      <c r="T1402" t="s">
        <v>39</v>
      </c>
      <c r="V1402">
        <v>14032035.4144</v>
      </c>
      <c r="W1402" t="s">
        <v>226</v>
      </c>
      <c r="X1402" t="s">
        <v>402</v>
      </c>
      <c r="Y1402">
        <v>13621612.153701331</v>
      </c>
      <c r="Z1402" t="s">
        <v>31</v>
      </c>
      <c r="AA1402">
        <v>6.0472878714514963E-5</v>
      </c>
      <c r="AB1402">
        <v>102.35</v>
      </c>
      <c r="AC1402" t="s">
        <v>142</v>
      </c>
      <c r="AE1402" t="s">
        <v>41</v>
      </c>
      <c r="AF1402">
        <v>4.2200000000000001E-2</v>
      </c>
      <c r="AH1402" t="s">
        <v>237</v>
      </c>
      <c r="AJ1402">
        <v>1.6805255729171814E-4</v>
      </c>
      <c r="AK1402">
        <v>1.6805255729171814E-4</v>
      </c>
      <c r="AL1402">
        <v>0</v>
      </c>
      <c r="AN1402" t="s">
        <v>146</v>
      </c>
      <c r="AQ1402">
        <v>7.0918179177105057E-6</v>
      </c>
    </row>
    <row r="1403" spans="1:43" x14ac:dyDescent="0.2">
      <c r="A1403">
        <v>1401</v>
      </c>
      <c r="B1403">
        <v>88</v>
      </c>
      <c r="C1403">
        <v>17</v>
      </c>
      <c r="D1403">
        <v>14000</v>
      </c>
      <c r="E1403" t="s">
        <v>296</v>
      </c>
      <c r="F1403" t="s">
        <v>61</v>
      </c>
      <c r="G1403" t="s">
        <v>1158</v>
      </c>
      <c r="H1403">
        <v>2.5311586972753194E-3</v>
      </c>
      <c r="I1403">
        <v>6.9079526148089368E-6</v>
      </c>
      <c r="J1403">
        <v>2.88</v>
      </c>
      <c r="L1403" s="1">
        <v>45316</v>
      </c>
      <c r="M1403" s="1">
        <v>43024</v>
      </c>
      <c r="R1403">
        <v>7.8599984868849681E-3</v>
      </c>
      <c r="T1403" t="s">
        <v>32</v>
      </c>
      <c r="V1403">
        <v>73384178</v>
      </c>
      <c r="W1403" t="s">
        <v>298</v>
      </c>
      <c r="X1403" t="s">
        <v>1159</v>
      </c>
      <c r="Y1403">
        <v>14000</v>
      </c>
      <c r="Z1403" t="s">
        <v>31</v>
      </c>
      <c r="AA1403">
        <v>3.1625864421666529E-4</v>
      </c>
      <c r="AB1403">
        <v>100.18</v>
      </c>
      <c r="AC1403" t="s">
        <v>55</v>
      </c>
      <c r="AE1403" t="s">
        <v>41</v>
      </c>
      <c r="AF1403">
        <v>2.5711179129769932E-2</v>
      </c>
      <c r="AH1403" t="s">
        <v>237</v>
      </c>
      <c r="AJ1403">
        <v>8.7887454766504144E-4</v>
      </c>
      <c r="AK1403">
        <v>8.7887454766504144E-4</v>
      </c>
      <c r="AL1403">
        <v>0</v>
      </c>
      <c r="AN1403" t="s">
        <v>149</v>
      </c>
      <c r="AQ1403">
        <v>2.2596900927611402E-5</v>
      </c>
    </row>
    <row r="1404" spans="1:43" x14ac:dyDescent="0.2">
      <c r="A1404">
        <v>1402</v>
      </c>
      <c r="B1404">
        <v>88</v>
      </c>
      <c r="C1404">
        <v>17</v>
      </c>
      <c r="D1404">
        <v>69013847.201811507</v>
      </c>
      <c r="E1404" t="s">
        <v>1098</v>
      </c>
      <c r="F1404" t="s">
        <v>61</v>
      </c>
      <c r="G1404" t="s">
        <v>1114</v>
      </c>
      <c r="H1404">
        <v>2.3764657922611537E-3</v>
      </c>
      <c r="I1404">
        <v>6.6949883624754677E-6</v>
      </c>
      <c r="J1404">
        <v>2.79</v>
      </c>
      <c r="L1404" s="1">
        <v>44566</v>
      </c>
      <c r="M1404" s="1">
        <v>43024</v>
      </c>
      <c r="R1404">
        <v>7.8599984868849681E-3</v>
      </c>
      <c r="T1404" t="s">
        <v>32</v>
      </c>
      <c r="V1404">
        <v>71121827.999599993</v>
      </c>
      <c r="W1404" t="s">
        <v>1100</v>
      </c>
      <c r="X1404" t="s">
        <v>1115</v>
      </c>
      <c r="Y1404">
        <v>69013847.201811507</v>
      </c>
      <c r="Z1404" t="s">
        <v>31</v>
      </c>
      <c r="AA1404">
        <v>3.0650875311793177E-4</v>
      </c>
      <c r="AB1404">
        <v>101.92</v>
      </c>
      <c r="AC1404" t="s">
        <v>150</v>
      </c>
      <c r="AE1404" t="s">
        <v>41</v>
      </c>
      <c r="AF1404">
        <v>9.3111791297699337E-3</v>
      </c>
      <c r="AH1404" t="s">
        <v>237</v>
      </c>
      <c r="AJ1404">
        <v>8.5177985385704431E-4</v>
      </c>
      <c r="AK1404">
        <v>8.5177985385704431E-4</v>
      </c>
      <c r="AL1404">
        <v>0</v>
      </c>
      <c r="AN1404" t="s">
        <v>144</v>
      </c>
      <c r="AQ1404">
        <v>7.9310747983921953E-6</v>
      </c>
    </row>
    <row r="1405" spans="1:43" x14ac:dyDescent="0.2">
      <c r="A1405">
        <v>1403</v>
      </c>
      <c r="B1405">
        <v>88</v>
      </c>
      <c r="C1405">
        <v>17</v>
      </c>
      <c r="D1405">
        <v>57507901.35371998</v>
      </c>
      <c r="E1405" t="s">
        <v>246</v>
      </c>
      <c r="F1405" t="s">
        <v>61</v>
      </c>
      <c r="G1405" t="s">
        <v>968</v>
      </c>
      <c r="H1405">
        <v>1.8538312405819251E-3</v>
      </c>
      <c r="I1405">
        <v>5.3967076836718567E-6</v>
      </c>
      <c r="J1405">
        <v>2.7</v>
      </c>
      <c r="L1405" s="1">
        <v>44044</v>
      </c>
      <c r="M1405" s="1">
        <v>43024</v>
      </c>
      <c r="R1405">
        <v>7.8599984868849681E-3</v>
      </c>
      <c r="T1405" t="s">
        <v>32</v>
      </c>
      <c r="V1405">
        <v>57330004.902400002</v>
      </c>
      <c r="W1405" t="s">
        <v>247</v>
      </c>
      <c r="X1405" t="s">
        <v>1011</v>
      </c>
      <c r="Y1405">
        <v>57507901.35371998</v>
      </c>
      <c r="Z1405" t="s">
        <v>31</v>
      </c>
      <c r="AA1405">
        <v>2.4707110057658202E-4</v>
      </c>
      <c r="AB1405">
        <v>99.18</v>
      </c>
      <c r="AC1405" t="s">
        <v>142</v>
      </c>
      <c r="AE1405" t="s">
        <v>41</v>
      </c>
      <c r="AF1405">
        <v>4.511179129769935E-3</v>
      </c>
      <c r="AH1405" t="s">
        <v>237</v>
      </c>
      <c r="AJ1405">
        <v>6.8660416317849074E-4</v>
      </c>
      <c r="AK1405">
        <v>6.8660416317849074E-4</v>
      </c>
      <c r="AL1405">
        <v>0</v>
      </c>
      <c r="AN1405" t="s">
        <v>146</v>
      </c>
      <c r="AQ1405">
        <v>3.0973943713439583E-6</v>
      </c>
    </row>
    <row r="1406" spans="1:43" x14ac:dyDescent="0.2">
      <c r="A1406">
        <v>1404</v>
      </c>
      <c r="B1406">
        <v>88</v>
      </c>
      <c r="C1406">
        <v>17</v>
      </c>
      <c r="D1406">
        <v>135725190.31122482</v>
      </c>
      <c r="E1406" t="s">
        <v>1116</v>
      </c>
      <c r="F1406" t="s">
        <v>61</v>
      </c>
      <c r="G1406" t="s">
        <v>1117</v>
      </c>
      <c r="H1406">
        <v>3.5637925011279856E-3</v>
      </c>
      <c r="I1406">
        <v>9.592946461108892E-6</v>
      </c>
      <c r="J1406">
        <v>2.92</v>
      </c>
      <c r="L1406" s="1">
        <v>44510</v>
      </c>
      <c r="M1406" s="1">
        <v>43024</v>
      </c>
      <c r="R1406">
        <v>7.8599984868849681E-3</v>
      </c>
      <c r="T1406" t="s">
        <v>32</v>
      </c>
      <c r="V1406">
        <v>101907255.2897</v>
      </c>
      <c r="W1406" t="s">
        <v>1118</v>
      </c>
      <c r="X1406" t="s">
        <v>1119</v>
      </c>
      <c r="Y1406">
        <v>135725190.31122482</v>
      </c>
      <c r="Z1406" t="s">
        <v>31</v>
      </c>
      <c r="AA1406">
        <v>4.3918254959212212E-4</v>
      </c>
      <c r="AB1406">
        <v>106.68</v>
      </c>
      <c r="AC1406" t="s">
        <v>150</v>
      </c>
      <c r="AE1406" t="s">
        <v>1120</v>
      </c>
      <c r="AF1406">
        <v>1.2011179129769935E-2</v>
      </c>
      <c r="AH1406" t="s">
        <v>237</v>
      </c>
      <c r="AJ1406">
        <v>1.2204768839479403E-3</v>
      </c>
      <c r="AK1406">
        <v>1.2204768839479403E-3</v>
      </c>
      <c r="AL1406">
        <v>0</v>
      </c>
      <c r="AN1406" t="s">
        <v>144</v>
      </c>
      <c r="AQ1406">
        <v>1.4659366476842144E-5</v>
      </c>
    </row>
    <row r="1407" spans="1:43" x14ac:dyDescent="0.2">
      <c r="A1407">
        <v>1405</v>
      </c>
      <c r="B1407">
        <v>89</v>
      </c>
      <c r="C1407">
        <v>17</v>
      </c>
      <c r="D1407">
        <v>1259260909.2490749</v>
      </c>
      <c r="E1407" t="s">
        <v>915</v>
      </c>
      <c r="F1407" t="s">
        <v>61</v>
      </c>
      <c r="G1407" t="s">
        <v>916</v>
      </c>
      <c r="H1407">
        <v>6.3495904490425026E-2</v>
      </c>
      <c r="I1407">
        <v>2.4766196303080141E-4</v>
      </c>
      <c r="J1407">
        <v>4.16</v>
      </c>
      <c r="L1407" s="1">
        <v>44713</v>
      </c>
      <c r="M1407" s="1">
        <v>43024</v>
      </c>
      <c r="R1407">
        <v>1.6225830224428032E-2</v>
      </c>
      <c r="T1407" t="s">
        <v>39</v>
      </c>
      <c r="V1407">
        <v>1274465049.1708</v>
      </c>
      <c r="W1407" t="s">
        <v>223</v>
      </c>
      <c r="X1407" t="s">
        <v>917</v>
      </c>
      <c r="Y1407">
        <v>1259260909.2490749</v>
      </c>
      <c r="Z1407" t="s">
        <v>31</v>
      </c>
      <c r="AA1407">
        <v>1.1338415449499359E-2</v>
      </c>
      <c r="AB1407">
        <v>99.55</v>
      </c>
      <c r="AC1407" t="s">
        <v>142</v>
      </c>
      <c r="AE1407" t="s">
        <v>41</v>
      </c>
      <c r="AF1407">
        <v>4.6100000000000002E-2</v>
      </c>
      <c r="AH1407" t="s">
        <v>237</v>
      </c>
      <c r="AJ1407">
        <v>1.5263438579429092E-2</v>
      </c>
      <c r="AK1407">
        <v>1.5263438579429092E-2</v>
      </c>
      <c r="AL1407">
        <v>0</v>
      </c>
      <c r="AN1407" t="s">
        <v>146</v>
      </c>
      <c r="AQ1407">
        <v>7.036445185116812E-4</v>
      </c>
    </row>
    <row r="1408" spans="1:43" x14ac:dyDescent="0.2">
      <c r="A1408">
        <v>1406</v>
      </c>
      <c r="B1408">
        <v>89</v>
      </c>
      <c r="C1408">
        <v>17</v>
      </c>
      <c r="D1408">
        <v>17252087.391737856</v>
      </c>
      <c r="E1408" t="s">
        <v>430</v>
      </c>
      <c r="F1408" t="s">
        <v>61</v>
      </c>
      <c r="G1408" t="s">
        <v>1012</v>
      </c>
      <c r="H1408">
        <v>8.3426819193343051E-4</v>
      </c>
      <c r="I1408">
        <v>2.8679436533797422E-6</v>
      </c>
      <c r="J1408">
        <v>4.72</v>
      </c>
      <c r="L1408" s="1">
        <v>46874</v>
      </c>
      <c r="M1408" s="1">
        <v>43024</v>
      </c>
      <c r="R1408">
        <v>1.6225830224428032E-2</v>
      </c>
      <c r="T1408" t="s">
        <v>32</v>
      </c>
      <c r="V1408">
        <v>14758398.522299999</v>
      </c>
      <c r="W1408" t="s">
        <v>248</v>
      </c>
      <c r="X1408" t="s">
        <v>432</v>
      </c>
      <c r="Y1408">
        <v>17252087.391737856</v>
      </c>
      <c r="Z1408" t="s">
        <v>31</v>
      </c>
      <c r="AA1408">
        <v>1.3129968053968096E-4</v>
      </c>
      <c r="AB1408">
        <v>106.92</v>
      </c>
      <c r="AC1408" t="s">
        <v>55</v>
      </c>
      <c r="AE1408" t="s">
        <v>41</v>
      </c>
      <c r="AF1408">
        <v>1.5111791297699358E-3</v>
      </c>
      <c r="AH1408" t="s">
        <v>237</v>
      </c>
      <c r="AJ1408">
        <v>1.7675173557911664E-4</v>
      </c>
      <c r="AK1408">
        <v>1.7675173557911664E-4</v>
      </c>
      <c r="AL1408">
        <v>0</v>
      </c>
      <c r="AN1408" t="s">
        <v>149</v>
      </c>
      <c r="AQ1408">
        <v>2.6710353395777526E-7</v>
      </c>
    </row>
    <row r="1409" spans="1:43" x14ac:dyDescent="0.2">
      <c r="A1409">
        <v>1407</v>
      </c>
      <c r="B1409">
        <v>89</v>
      </c>
      <c r="C1409">
        <v>17</v>
      </c>
      <c r="D1409">
        <v>11000</v>
      </c>
      <c r="E1409" t="s">
        <v>296</v>
      </c>
      <c r="F1409" t="s">
        <v>61</v>
      </c>
      <c r="G1409" t="s">
        <v>1160</v>
      </c>
      <c r="H1409">
        <v>2.6181428015249371E-3</v>
      </c>
      <c r="I1409">
        <v>1.2912322371079637E-5</v>
      </c>
      <c r="J1409">
        <v>3.29</v>
      </c>
      <c r="L1409" s="1">
        <v>45621</v>
      </c>
      <c r="M1409" s="1">
        <v>43024</v>
      </c>
      <c r="R1409">
        <v>1.6225830224428032E-2</v>
      </c>
      <c r="T1409" t="s">
        <v>32</v>
      </c>
      <c r="V1409">
        <v>66446633</v>
      </c>
      <c r="W1409" t="s">
        <v>298</v>
      </c>
      <c r="X1409" t="s">
        <v>1161</v>
      </c>
      <c r="Y1409">
        <v>11000</v>
      </c>
      <c r="Z1409" t="s">
        <v>31</v>
      </c>
      <c r="AA1409">
        <v>5.9114962051301067E-4</v>
      </c>
      <c r="AB1409">
        <v>92.63</v>
      </c>
      <c r="AC1409" t="s">
        <v>55</v>
      </c>
      <c r="AE1409" t="s">
        <v>41</v>
      </c>
      <c r="AF1409">
        <v>4.5611179129769933E-2</v>
      </c>
      <c r="AH1409" t="s">
        <v>237</v>
      </c>
      <c r="AJ1409">
        <v>7.9578808556988968E-4</v>
      </c>
      <c r="AK1409">
        <v>7.9578808556988968E-4</v>
      </c>
      <c r="AL1409">
        <v>0</v>
      </c>
      <c r="AN1409" t="s">
        <v>149</v>
      </c>
      <c r="AQ1409">
        <v>3.6296832920264924E-5</v>
      </c>
    </row>
    <row r="1410" spans="1:43" x14ac:dyDescent="0.2">
      <c r="A1410">
        <v>1408</v>
      </c>
      <c r="B1410">
        <v>89</v>
      </c>
      <c r="C1410">
        <v>17</v>
      </c>
      <c r="D1410">
        <v>83068049.326684207</v>
      </c>
      <c r="E1410" t="s">
        <v>325</v>
      </c>
      <c r="F1410" t="s">
        <v>61</v>
      </c>
      <c r="G1410" t="s">
        <v>824</v>
      </c>
      <c r="H1410">
        <v>2.1267000913242923E-2</v>
      </c>
      <c r="I1410">
        <v>1.0362604991022089E-4</v>
      </c>
      <c r="J1410">
        <v>3.33</v>
      </c>
      <c r="L1410" s="1">
        <v>44378</v>
      </c>
      <c r="M1410" s="1">
        <v>43024</v>
      </c>
      <c r="R1410">
        <v>1.6225830224428032E-2</v>
      </c>
      <c r="T1410" t="s">
        <v>32</v>
      </c>
      <c r="V1410">
        <v>533258224.95310003</v>
      </c>
      <c r="W1410" t="s">
        <v>325</v>
      </c>
      <c r="X1410" t="s">
        <v>825</v>
      </c>
      <c r="Y1410">
        <v>83068049.326684207</v>
      </c>
      <c r="Z1410" t="s">
        <v>31</v>
      </c>
      <c r="AA1410">
        <v>4.7441891798560626E-3</v>
      </c>
      <c r="AB1410">
        <v>108.46</v>
      </c>
      <c r="AC1410" t="s">
        <v>142</v>
      </c>
      <c r="AE1410" t="s">
        <v>44</v>
      </c>
      <c r="AF1410">
        <v>1.3211179129769934E-2</v>
      </c>
      <c r="AH1410" t="s">
        <v>237</v>
      </c>
      <c r="AJ1410">
        <v>6.3864867607336109E-3</v>
      </c>
      <c r="AK1410">
        <v>6.3864867607336109E-3</v>
      </c>
      <c r="AL1410">
        <v>0</v>
      </c>
      <c r="AN1410" t="s">
        <v>146</v>
      </c>
      <c r="AQ1410">
        <v>8.4373020605955879E-5</v>
      </c>
    </row>
    <row r="1411" spans="1:43" x14ac:dyDescent="0.2">
      <c r="A1411">
        <v>1409</v>
      </c>
      <c r="B1411">
        <v>89</v>
      </c>
      <c r="C1411">
        <v>17</v>
      </c>
      <c r="D1411">
        <v>224123208.77433908</v>
      </c>
      <c r="E1411" t="s">
        <v>325</v>
      </c>
      <c r="F1411" t="s">
        <v>61</v>
      </c>
      <c r="G1411" t="s">
        <v>826</v>
      </c>
      <c r="H1411">
        <v>2.264913805486515E-2</v>
      </c>
      <c r="I1411">
        <v>1.0500030537367831E-4</v>
      </c>
      <c r="J1411">
        <v>3.5</v>
      </c>
      <c r="L1411" s="1">
        <v>44440</v>
      </c>
      <c r="M1411" s="1">
        <v>43024</v>
      </c>
      <c r="R1411">
        <v>1.6225830224428032E-2</v>
      </c>
      <c r="T1411" t="s">
        <v>32</v>
      </c>
      <c r="V1411">
        <v>540330124.63189995</v>
      </c>
      <c r="W1411" t="s">
        <v>325</v>
      </c>
      <c r="X1411" t="s">
        <v>825</v>
      </c>
      <c r="Y1411">
        <v>224123208.77433908</v>
      </c>
      <c r="Z1411" t="s">
        <v>31</v>
      </c>
      <c r="AA1411">
        <v>4.8071050963243754E-3</v>
      </c>
      <c r="AB1411">
        <v>109.28000000000002</v>
      </c>
      <c r="AC1411" t="s">
        <v>142</v>
      </c>
      <c r="AE1411" t="s">
        <v>44</v>
      </c>
      <c r="AF1411">
        <v>1.2211179129769933E-2</v>
      </c>
      <c r="AH1411" t="s">
        <v>237</v>
      </c>
      <c r="AJ1411">
        <v>6.4711823013900429E-3</v>
      </c>
      <c r="AK1411">
        <v>6.4711823013900429E-3</v>
      </c>
      <c r="AL1411">
        <v>0</v>
      </c>
      <c r="AN1411" t="s">
        <v>146</v>
      </c>
      <c r="AQ1411">
        <v>7.9020766263670665E-5</v>
      </c>
    </row>
    <row r="1412" spans="1:43" x14ac:dyDescent="0.2">
      <c r="A1412">
        <v>1410</v>
      </c>
      <c r="B1412">
        <v>89</v>
      </c>
      <c r="C1412">
        <v>17</v>
      </c>
      <c r="D1412">
        <v>11501609.081777522</v>
      </c>
      <c r="E1412" t="s">
        <v>1013</v>
      </c>
      <c r="F1412" t="s">
        <v>61</v>
      </c>
      <c r="G1412" t="s">
        <v>1014</v>
      </c>
      <c r="H1412">
        <v>5.0612277063338601E-4</v>
      </c>
      <c r="I1412">
        <v>2.0790537086112536E-6</v>
      </c>
      <c r="J1412">
        <v>3.95</v>
      </c>
      <c r="L1412" s="1">
        <v>45992</v>
      </c>
      <c r="M1412" s="1">
        <v>43024</v>
      </c>
      <c r="R1412">
        <v>1.6225830224428032E-2</v>
      </c>
      <c r="T1412" t="s">
        <v>32</v>
      </c>
      <c r="V1412">
        <v>10698781.7368</v>
      </c>
      <c r="W1412" t="s">
        <v>1015</v>
      </c>
      <c r="X1412" t="s">
        <v>1016</v>
      </c>
      <c r="Y1412">
        <v>11501609.081777522</v>
      </c>
      <c r="Z1412" t="s">
        <v>31</v>
      </c>
      <c r="AA1412">
        <v>9.5182862970059749E-5</v>
      </c>
      <c r="AB1412">
        <v>119.8</v>
      </c>
      <c r="AC1412" t="s">
        <v>55</v>
      </c>
      <c r="AE1412" t="s">
        <v>178</v>
      </c>
      <c r="AF1412">
        <v>-8.8820870230064963E-5</v>
      </c>
      <c r="AH1412" t="s">
        <v>237</v>
      </c>
      <c r="AJ1412">
        <v>1.2813234699579393E-4</v>
      </c>
      <c r="AK1412">
        <v>1.2813234699579393E-4</v>
      </c>
      <c r="AL1412">
        <v>0</v>
      </c>
      <c r="AN1412" t="s">
        <v>149</v>
      </c>
      <c r="AQ1412">
        <v>-1.1380826564787067E-8</v>
      </c>
    </row>
    <row r="1413" spans="1:43" x14ac:dyDescent="0.2">
      <c r="A1413">
        <v>1411</v>
      </c>
      <c r="B1413">
        <v>89</v>
      </c>
      <c r="C1413">
        <v>17</v>
      </c>
      <c r="D1413">
        <v>46005907.822141312</v>
      </c>
      <c r="E1413" t="s">
        <v>1017</v>
      </c>
      <c r="F1413" t="s">
        <v>61</v>
      </c>
      <c r="G1413" t="s">
        <v>1018</v>
      </c>
      <c r="H1413">
        <v>2.4954711513561789E-3</v>
      </c>
      <c r="I1413">
        <v>9.0381900071123445E-6</v>
      </c>
      <c r="J1413">
        <v>4.4800000000000004</v>
      </c>
      <c r="L1413" s="1">
        <v>44742</v>
      </c>
      <c r="M1413" s="1">
        <v>43024</v>
      </c>
      <c r="R1413">
        <v>1.6225830224428032E-2</v>
      </c>
      <c r="T1413" t="s">
        <v>32</v>
      </c>
      <c r="V1413">
        <v>46510401.237499997</v>
      </c>
      <c r="W1413" t="s">
        <v>1019</v>
      </c>
      <c r="X1413" t="s">
        <v>1020</v>
      </c>
      <c r="Y1413">
        <v>46005907.822141312</v>
      </c>
      <c r="Z1413" t="s">
        <v>31</v>
      </c>
      <c r="AA1413">
        <v>4.1378478938813938E-4</v>
      </c>
      <c r="AB1413">
        <v>100.39</v>
      </c>
      <c r="AC1413" t="s">
        <v>150</v>
      </c>
      <c r="AE1413" t="s">
        <v>40</v>
      </c>
      <c r="AF1413">
        <v>-4.8882087023006601E-4</v>
      </c>
      <c r="AH1413" t="s">
        <v>237</v>
      </c>
      <c r="AJ1413">
        <v>5.5702481057057554E-4</v>
      </c>
      <c r="AK1413">
        <v>5.5702481057057554E-4</v>
      </c>
      <c r="AL1413">
        <v>0</v>
      </c>
      <c r="AN1413" t="s">
        <v>144</v>
      </c>
      <c r="AQ1413">
        <v>-2.7228535264284643E-7</v>
      </c>
    </row>
    <row r="1414" spans="1:43" x14ac:dyDescent="0.2">
      <c r="A1414">
        <v>1412</v>
      </c>
      <c r="B1414">
        <v>89</v>
      </c>
      <c r="C1414">
        <v>17</v>
      </c>
      <c r="D1414">
        <v>40000</v>
      </c>
      <c r="E1414" t="s">
        <v>1021</v>
      </c>
      <c r="F1414" t="s">
        <v>61</v>
      </c>
      <c r="G1414" t="s">
        <v>1022</v>
      </c>
      <c r="H1414">
        <v>4.8577537034097278E-2</v>
      </c>
      <c r="I1414">
        <v>2.0419970690055121E-4</v>
      </c>
      <c r="J1414">
        <v>3.86</v>
      </c>
      <c r="L1414" s="1">
        <v>44484</v>
      </c>
      <c r="M1414" s="1">
        <v>43024</v>
      </c>
      <c r="R1414">
        <v>1.6225830224428032E-2</v>
      </c>
      <c r="T1414" t="s">
        <v>32</v>
      </c>
      <c r="V1414">
        <v>1050808878</v>
      </c>
      <c r="W1414" t="s">
        <v>1023</v>
      </c>
      <c r="X1414" t="s">
        <v>1024</v>
      </c>
      <c r="Y1414">
        <v>40000</v>
      </c>
      <c r="Z1414" t="s">
        <v>31</v>
      </c>
      <c r="AA1414">
        <v>9.3486342560262243E-3</v>
      </c>
      <c r="AB1414">
        <v>98.53</v>
      </c>
      <c r="AC1414" t="s">
        <v>142</v>
      </c>
      <c r="AE1414" t="s">
        <v>35</v>
      </c>
      <c r="AF1414">
        <v>3.1117912976993609E-4</v>
      </c>
      <c r="AH1414" t="s">
        <v>237</v>
      </c>
      <c r="AJ1414">
        <v>1.2584854153911211E-2</v>
      </c>
      <c r="AK1414">
        <v>1.2584854153911211E-2</v>
      </c>
      <c r="AL1414">
        <v>0</v>
      </c>
      <c r="AN1414" t="s">
        <v>146</v>
      </c>
      <c r="AQ1414">
        <v>3.916143963895656E-6</v>
      </c>
    </row>
    <row r="1415" spans="1:43" x14ac:dyDescent="0.2">
      <c r="A1415">
        <v>1413</v>
      </c>
      <c r="B1415">
        <v>89</v>
      </c>
      <c r="C1415">
        <v>17</v>
      </c>
      <c r="D1415">
        <v>50774544.407050312</v>
      </c>
      <c r="E1415" t="s">
        <v>547</v>
      </c>
      <c r="F1415" t="s">
        <v>61</v>
      </c>
      <c r="G1415" t="s">
        <v>548</v>
      </c>
      <c r="H1415">
        <v>1.3708316196373866E-3</v>
      </c>
      <c r="I1415">
        <v>6.0939400346613535E-6</v>
      </c>
      <c r="J1415">
        <v>3.65</v>
      </c>
      <c r="L1415" s="1">
        <v>44727</v>
      </c>
      <c r="M1415" s="1">
        <v>43024</v>
      </c>
      <c r="R1415">
        <v>1.6225830224428032E-2</v>
      </c>
      <c r="T1415" t="s">
        <v>39</v>
      </c>
      <c r="V1415">
        <v>31359331.4487</v>
      </c>
      <c r="W1415" t="s">
        <v>549</v>
      </c>
      <c r="X1415" t="s">
        <v>550</v>
      </c>
      <c r="Y1415">
        <v>50774544.407050312</v>
      </c>
      <c r="Z1415" t="s">
        <v>31</v>
      </c>
      <c r="AA1415">
        <v>2.7899166667242161E-4</v>
      </c>
      <c r="AB1415">
        <v>108.3368</v>
      </c>
      <c r="AC1415" t="s">
        <v>55</v>
      </c>
      <c r="AE1415" t="s">
        <v>551</v>
      </c>
      <c r="AF1415">
        <v>0</v>
      </c>
      <c r="AH1415" t="s">
        <v>237</v>
      </c>
      <c r="AJ1415">
        <v>3.7557030674996894E-4</v>
      </c>
      <c r="AK1415">
        <v>3.7557030674996894E-4</v>
      </c>
      <c r="AL1415">
        <v>0</v>
      </c>
      <c r="AN1415" t="s">
        <v>149</v>
      </c>
      <c r="AQ1415">
        <v>0</v>
      </c>
    </row>
    <row r="1416" spans="1:43" x14ac:dyDescent="0.2">
      <c r="A1416">
        <v>1414</v>
      </c>
      <c r="B1416">
        <v>89</v>
      </c>
      <c r="C1416">
        <v>17</v>
      </c>
      <c r="D1416">
        <v>220521286.86755314</v>
      </c>
      <c r="E1416" t="s">
        <v>246</v>
      </c>
      <c r="F1416" t="s">
        <v>61</v>
      </c>
      <c r="G1416" t="s">
        <v>1629</v>
      </c>
      <c r="H1416">
        <v>9.5233410493321385E-3</v>
      </c>
      <c r="I1416">
        <v>4.4023964397660853E-5</v>
      </c>
      <c r="J1416">
        <v>3.51</v>
      </c>
      <c r="L1416" s="1">
        <v>44382</v>
      </c>
      <c r="M1416" s="1">
        <v>43024</v>
      </c>
      <c r="R1416">
        <v>1.6225830224428032E-2</v>
      </c>
      <c r="T1416" t="s">
        <v>32</v>
      </c>
      <c r="V1416">
        <v>226546714.17500001</v>
      </c>
      <c r="W1416" t="s">
        <v>247</v>
      </c>
      <c r="X1416" t="s">
        <v>1011</v>
      </c>
      <c r="Y1416">
        <v>220521286.86755314</v>
      </c>
      <c r="Z1416" t="s">
        <v>31</v>
      </c>
      <c r="AA1416">
        <v>2.0154972203485578E-3</v>
      </c>
      <c r="AB1416">
        <v>101.81</v>
      </c>
      <c r="AC1416" t="s">
        <v>142</v>
      </c>
      <c r="AE1416" t="s">
        <v>41</v>
      </c>
      <c r="AF1416">
        <v>3.6111791297699335E-3</v>
      </c>
      <c r="AH1416" t="s">
        <v>237</v>
      </c>
      <c r="AJ1416">
        <v>2.7132025781573046E-3</v>
      </c>
      <c r="AK1416">
        <v>2.7132025781573046E-3</v>
      </c>
      <c r="AL1416">
        <v>0</v>
      </c>
      <c r="AN1416" t="s">
        <v>146</v>
      </c>
      <c r="AQ1416">
        <v>9.797860525079636E-6</v>
      </c>
    </row>
    <row r="1417" spans="1:43" x14ac:dyDescent="0.2">
      <c r="A1417">
        <v>1415</v>
      </c>
      <c r="B1417">
        <v>90</v>
      </c>
      <c r="C1417">
        <v>17</v>
      </c>
      <c r="D1417">
        <v>10348367.414809341</v>
      </c>
      <c r="E1417" t="s">
        <v>316</v>
      </c>
      <c r="F1417" t="s">
        <v>61</v>
      </c>
      <c r="G1417" t="s">
        <v>906</v>
      </c>
      <c r="H1417">
        <v>6.8223782374178012E-4</v>
      </c>
      <c r="I1417">
        <v>1.6720675295385811E-6</v>
      </c>
      <c r="J1417">
        <v>5.15</v>
      </c>
      <c r="L1417" s="1">
        <v>47088</v>
      </c>
      <c r="M1417" s="1">
        <v>43024</v>
      </c>
      <c r="R1417">
        <v>1.2621914935608911E-2</v>
      </c>
      <c r="T1417" t="s">
        <v>32</v>
      </c>
      <c r="V1417">
        <v>11061247.521199999</v>
      </c>
      <c r="W1417" t="s">
        <v>317</v>
      </c>
      <c r="X1417" t="s">
        <v>541</v>
      </c>
      <c r="Y1417">
        <v>10348367.414809341</v>
      </c>
      <c r="Z1417" t="s">
        <v>31</v>
      </c>
      <c r="AA1417">
        <v>7.6550294916174168E-5</v>
      </c>
      <c r="AB1417">
        <v>105.29</v>
      </c>
      <c r="AC1417" t="s">
        <v>142</v>
      </c>
      <c r="AE1417" t="s">
        <v>41</v>
      </c>
      <c r="AF1417">
        <v>6.9111791297699343E-3</v>
      </c>
      <c r="AH1417" t="s">
        <v>237</v>
      </c>
      <c r="AJ1417">
        <v>1.3247336383335535E-4</v>
      </c>
      <c r="AK1417">
        <v>1.3247336383335535E-4</v>
      </c>
      <c r="AL1417">
        <v>0</v>
      </c>
      <c r="AN1417" t="s">
        <v>146</v>
      </c>
      <c r="AQ1417">
        <v>9.1554714737550473E-7</v>
      </c>
    </row>
    <row r="1418" spans="1:43" x14ac:dyDescent="0.2">
      <c r="A1418">
        <v>1416</v>
      </c>
      <c r="B1418">
        <v>90</v>
      </c>
      <c r="C1418">
        <v>17</v>
      </c>
      <c r="D1418">
        <v>80513292.361035958</v>
      </c>
      <c r="E1418" t="s">
        <v>1731</v>
      </c>
      <c r="F1418" t="s">
        <v>61</v>
      </c>
      <c r="G1418" t="s">
        <v>1732</v>
      </c>
      <c r="H1418">
        <v>6.2223230974531611E-3</v>
      </c>
      <c r="I1418">
        <v>1.3658718754422323E-5</v>
      </c>
      <c r="J1418">
        <v>5.75</v>
      </c>
      <c r="L1418" s="1">
        <v>45823</v>
      </c>
      <c r="M1418" s="1">
        <v>43024</v>
      </c>
      <c r="R1418">
        <v>1.2621914935608911E-2</v>
      </c>
      <c r="T1418" t="s">
        <v>32</v>
      </c>
      <c r="V1418">
        <v>90356678.9595</v>
      </c>
      <c r="W1418" t="s">
        <v>1733</v>
      </c>
      <c r="X1418" t="s">
        <v>1734</v>
      </c>
      <c r="Y1418">
        <v>80513292.361035958</v>
      </c>
      <c r="Z1418" t="s">
        <v>31</v>
      </c>
      <c r="AA1418">
        <v>6.253210054958982E-4</v>
      </c>
      <c r="AB1418">
        <v>110.45</v>
      </c>
      <c r="AC1418" t="s">
        <v>55</v>
      </c>
      <c r="AE1418" t="s">
        <v>1708</v>
      </c>
      <c r="AF1418">
        <v>6.8111791297699349E-3</v>
      </c>
      <c r="AH1418" t="s">
        <v>237</v>
      </c>
      <c r="AJ1418">
        <v>1.0821431473831584E-3</v>
      </c>
      <c r="AK1418">
        <v>1.0821431473831584E-3</v>
      </c>
      <c r="AL1418">
        <v>0</v>
      </c>
      <c r="AN1418" t="s">
        <v>149</v>
      </c>
      <c r="AQ1418">
        <v>7.37067082087972E-6</v>
      </c>
    </row>
    <row r="1419" spans="1:43" x14ac:dyDescent="0.2">
      <c r="A1419">
        <v>1417</v>
      </c>
      <c r="B1419">
        <v>90</v>
      </c>
      <c r="C1419">
        <v>17</v>
      </c>
      <c r="D1419">
        <v>138064941.27335265</v>
      </c>
      <c r="E1419" t="s">
        <v>1025</v>
      </c>
      <c r="F1419" t="s">
        <v>61</v>
      </c>
      <c r="G1419" t="s">
        <v>1026</v>
      </c>
      <c r="H1419">
        <v>8.4927937603572687E-2</v>
      </c>
      <c r="I1419">
        <v>1.8740440630926502E-4</v>
      </c>
      <c r="J1419">
        <v>5.72</v>
      </c>
      <c r="L1419" s="1">
        <v>47102</v>
      </c>
      <c r="M1419" s="1">
        <v>43024</v>
      </c>
      <c r="R1419">
        <v>1.2621914935608911E-2</v>
      </c>
      <c r="T1419" t="s">
        <v>32</v>
      </c>
      <c r="V1419">
        <v>1239738520.2033999</v>
      </c>
      <c r="W1419" t="s">
        <v>782</v>
      </c>
      <c r="X1419" t="s">
        <v>1027</v>
      </c>
      <c r="Y1419">
        <v>138064941.27335265</v>
      </c>
      <c r="Z1419" t="s">
        <v>31</v>
      </c>
      <c r="AA1419">
        <v>8.5797148249889231E-3</v>
      </c>
      <c r="AB1419">
        <v>116.26</v>
      </c>
      <c r="AC1419" t="s">
        <v>55</v>
      </c>
      <c r="AE1419" t="s">
        <v>1708</v>
      </c>
      <c r="AF1419">
        <v>1.3111791297699335E-3</v>
      </c>
      <c r="AH1419" t="s">
        <v>237</v>
      </c>
      <c r="AJ1419">
        <v>1.4847541539086136E-2</v>
      </c>
      <c r="AK1419">
        <v>1.4847541539086136E-2</v>
      </c>
      <c r="AL1419">
        <v>0</v>
      </c>
      <c r="AN1419" t="s">
        <v>149</v>
      </c>
      <c r="AQ1419">
        <v>1.94677865944419E-5</v>
      </c>
    </row>
    <row r="1420" spans="1:43" x14ac:dyDescent="0.2">
      <c r="A1420">
        <v>1418</v>
      </c>
      <c r="B1420">
        <v>90</v>
      </c>
      <c r="C1420">
        <v>17</v>
      </c>
      <c r="D1420">
        <v>224616294.02557182</v>
      </c>
      <c r="E1420" t="s">
        <v>300</v>
      </c>
      <c r="F1420" t="s">
        <v>61</v>
      </c>
      <c r="G1420" t="s">
        <v>990</v>
      </c>
      <c r="H1420">
        <v>1.2635520277009038E-2</v>
      </c>
      <c r="I1420">
        <v>3.0848058433959311E-5</v>
      </c>
      <c r="J1420">
        <v>5.17</v>
      </c>
      <c r="L1420" s="1">
        <v>46919</v>
      </c>
      <c r="M1420" s="1">
        <v>43024</v>
      </c>
      <c r="R1420">
        <v>1.2621914935608911E-2</v>
      </c>
      <c r="T1420" t="s">
        <v>32</v>
      </c>
      <c r="V1420">
        <v>204069515.05160001</v>
      </c>
      <c r="W1420" t="s">
        <v>213</v>
      </c>
      <c r="X1420" t="s">
        <v>991</v>
      </c>
      <c r="Y1420">
        <v>224616294.02557182</v>
      </c>
      <c r="Z1420" t="s">
        <v>31</v>
      </c>
      <c r="AA1420">
        <v>1.4122802632036112E-3</v>
      </c>
      <c r="AB1420">
        <v>108.1</v>
      </c>
      <c r="AC1420" t="s">
        <v>142</v>
      </c>
      <c r="AE1420" t="s">
        <v>41</v>
      </c>
      <c r="AF1420">
        <v>6.1117912976993427E-4</v>
      </c>
      <c r="AH1420" t="s">
        <v>237</v>
      </c>
      <c r="AJ1420">
        <v>2.444007790523992E-3</v>
      </c>
      <c r="AK1420">
        <v>2.444007790523992E-3</v>
      </c>
      <c r="AL1420">
        <v>0</v>
      </c>
      <c r="AN1420" t="s">
        <v>146</v>
      </c>
      <c r="AQ1420">
        <v>1.4937265545633931E-6</v>
      </c>
    </row>
    <row r="1421" spans="1:43" x14ac:dyDescent="0.2">
      <c r="A1421">
        <v>1419</v>
      </c>
      <c r="B1421">
        <v>90</v>
      </c>
      <c r="C1421">
        <v>17</v>
      </c>
      <c r="D1421">
        <v>63260216.333629824</v>
      </c>
      <c r="E1421" t="s">
        <v>430</v>
      </c>
      <c r="F1421" t="s">
        <v>61</v>
      </c>
      <c r="G1421" t="s">
        <v>1028</v>
      </c>
      <c r="H1421">
        <v>5.0897329933955442E-3</v>
      </c>
      <c r="I1421">
        <v>9.6315107777512238E-6</v>
      </c>
      <c r="J1421">
        <v>6.67</v>
      </c>
      <c r="L1421" s="1">
        <v>48183</v>
      </c>
      <c r="M1421" s="1">
        <v>43024</v>
      </c>
      <c r="R1421">
        <v>1.2621914935608911E-2</v>
      </c>
      <c r="T1421" t="s">
        <v>32</v>
      </c>
      <c r="V1421">
        <v>63715443.8046</v>
      </c>
      <c r="W1421" t="s">
        <v>248</v>
      </c>
      <c r="X1421" t="s">
        <v>1029</v>
      </c>
      <c r="Y1421">
        <v>63260216.333629824</v>
      </c>
      <c r="Z1421" t="s">
        <v>31</v>
      </c>
      <c r="AA1421">
        <v>4.4094809420085326E-4</v>
      </c>
      <c r="AB1421">
        <v>102.34</v>
      </c>
      <c r="AC1421" t="s">
        <v>55</v>
      </c>
      <c r="AE1421" t="s">
        <v>41</v>
      </c>
      <c r="AF1421">
        <v>2.8111791297699348E-3</v>
      </c>
      <c r="AH1421" t="s">
        <v>237</v>
      </c>
      <c r="AJ1421">
        <v>7.6307840980442937E-4</v>
      </c>
      <c r="AK1421">
        <v>7.6307840980442937E-4</v>
      </c>
      <c r="AL1421">
        <v>0</v>
      </c>
      <c r="AN1421" t="s">
        <v>149</v>
      </c>
      <c r="AQ1421">
        <v>2.1451501000202416E-6</v>
      </c>
    </row>
    <row r="1422" spans="1:43" x14ac:dyDescent="0.2">
      <c r="A1422">
        <v>1420</v>
      </c>
      <c r="B1422">
        <v>90</v>
      </c>
      <c r="C1422">
        <v>17</v>
      </c>
      <c r="D1422">
        <v>22218590.163181677</v>
      </c>
      <c r="E1422" t="s">
        <v>330</v>
      </c>
      <c r="F1422" t="s">
        <v>61</v>
      </c>
      <c r="G1422" t="s">
        <v>859</v>
      </c>
      <c r="H1422">
        <v>1.7202500990908286E-3</v>
      </c>
      <c r="I1422">
        <v>3.8634965157824269E-6</v>
      </c>
      <c r="J1422">
        <v>5.62</v>
      </c>
      <c r="L1422" s="1">
        <v>47279</v>
      </c>
      <c r="M1422" s="1">
        <v>43024</v>
      </c>
      <c r="R1422">
        <v>1.2621914935608911E-2</v>
      </c>
      <c r="T1422" t="s">
        <v>32</v>
      </c>
      <c r="V1422">
        <v>25558232.848499998</v>
      </c>
      <c r="W1422" t="s">
        <v>331</v>
      </c>
      <c r="X1422" t="s">
        <v>860</v>
      </c>
      <c r="Y1422">
        <v>22218590.163181677</v>
      </c>
      <c r="Z1422" t="s">
        <v>31</v>
      </c>
      <c r="AA1422">
        <v>1.7687790263612796E-4</v>
      </c>
      <c r="AB1422">
        <v>113.26</v>
      </c>
      <c r="AC1422" t="s">
        <v>142</v>
      </c>
      <c r="AE1422" t="s">
        <v>175</v>
      </c>
      <c r="AF1422">
        <v>-1.9888208702300639E-3</v>
      </c>
      <c r="AH1422" t="s">
        <v>237</v>
      </c>
      <c r="AJ1422">
        <v>3.0609432368164212E-4</v>
      </c>
      <c r="AK1422">
        <v>3.0609432368164212E-4</v>
      </c>
      <c r="AL1422">
        <v>0</v>
      </c>
      <c r="AN1422" t="s">
        <v>146</v>
      </c>
      <c r="AQ1422">
        <v>-6.0876677919700629E-7</v>
      </c>
    </row>
    <row r="1423" spans="1:43" x14ac:dyDescent="0.2">
      <c r="A1423">
        <v>1421</v>
      </c>
      <c r="B1423">
        <v>90</v>
      </c>
      <c r="C1423">
        <v>17</v>
      </c>
      <c r="D1423">
        <v>35656526.063306548</v>
      </c>
      <c r="E1423" t="s">
        <v>1030</v>
      </c>
      <c r="F1423" t="s">
        <v>61</v>
      </c>
      <c r="G1423" t="s">
        <v>1031</v>
      </c>
      <c r="H1423">
        <v>3.1278285211248356E-3</v>
      </c>
      <c r="I1423">
        <v>6.4298347763532735E-6</v>
      </c>
      <c r="J1423">
        <v>6.14</v>
      </c>
      <c r="L1423" s="1">
        <v>47596</v>
      </c>
      <c r="M1423" s="1">
        <v>43024</v>
      </c>
      <c r="R1423">
        <v>1.2621914935608911E-2</v>
      </c>
      <c r="T1423" t="s">
        <v>32</v>
      </c>
      <c r="V1423">
        <v>42535359.801700003</v>
      </c>
      <c r="W1423" t="s">
        <v>1032</v>
      </c>
      <c r="X1423" t="s">
        <v>1033</v>
      </c>
      <c r="Y1423">
        <v>35656526.063306548</v>
      </c>
      <c r="Z1423" t="s">
        <v>31</v>
      </c>
      <c r="AA1423">
        <v>2.9436953932592875E-4</v>
      </c>
      <c r="AB1423">
        <v>116.43</v>
      </c>
      <c r="AC1423" t="s">
        <v>55</v>
      </c>
      <c r="AE1423" t="s">
        <v>35</v>
      </c>
      <c r="AF1423">
        <v>1.5111791297699358E-3</v>
      </c>
      <c r="AH1423" t="s">
        <v>237</v>
      </c>
      <c r="AJ1423">
        <v>5.0941832591609704E-4</v>
      </c>
      <c r="AK1423">
        <v>5.0941832591609704E-4</v>
      </c>
      <c r="AL1423">
        <v>0</v>
      </c>
      <c r="AN1423" t="s">
        <v>149</v>
      </c>
      <c r="AQ1423">
        <v>7.6982234244674505E-7</v>
      </c>
    </row>
    <row r="1424" spans="1:43" x14ac:dyDescent="0.2">
      <c r="A1424">
        <v>1422</v>
      </c>
      <c r="B1424">
        <v>90</v>
      </c>
      <c r="C1424">
        <v>17</v>
      </c>
      <c r="D1424">
        <v>21376585.723185435</v>
      </c>
      <c r="E1424" t="s">
        <v>348</v>
      </c>
      <c r="F1424" t="s">
        <v>61</v>
      </c>
      <c r="G1424" t="s">
        <v>648</v>
      </c>
      <c r="H1424">
        <v>1.6322310130478283E-3</v>
      </c>
      <c r="I1424">
        <v>3.4683301350088295E-6</v>
      </c>
      <c r="J1424">
        <v>5.94</v>
      </c>
      <c r="L1424" s="1">
        <v>45595</v>
      </c>
      <c r="M1424" s="1">
        <v>43024</v>
      </c>
      <c r="R1424">
        <v>1.2621914935608911E-2</v>
      </c>
      <c r="T1424" t="s">
        <v>39</v>
      </c>
      <c r="V1424">
        <v>22944084.1538</v>
      </c>
      <c r="W1424" t="s">
        <v>348</v>
      </c>
      <c r="X1424" t="s">
        <v>647</v>
      </c>
      <c r="Y1424">
        <v>21376585.723185435</v>
      </c>
      <c r="Z1424" t="s">
        <v>31</v>
      </c>
      <c r="AA1424">
        <v>1.587864664621812E-4</v>
      </c>
      <c r="AB1424">
        <v>105.0381</v>
      </c>
      <c r="AC1424" t="s">
        <v>142</v>
      </c>
      <c r="AE1424" t="s">
        <v>58</v>
      </c>
      <c r="AF1424">
        <v>0</v>
      </c>
      <c r="AH1424" t="s">
        <v>237</v>
      </c>
      <c r="AJ1424">
        <v>2.7478636583296771E-4</v>
      </c>
      <c r="AK1424">
        <v>2.7478636583296771E-4</v>
      </c>
      <c r="AL1424">
        <v>0</v>
      </c>
      <c r="AN1424" t="s">
        <v>146</v>
      </c>
      <c r="AQ1424">
        <v>0</v>
      </c>
    </row>
    <row r="1425" spans="1:43" x14ac:dyDescent="0.2">
      <c r="A1425">
        <v>1423</v>
      </c>
      <c r="B1425">
        <v>90</v>
      </c>
      <c r="C1425">
        <v>17</v>
      </c>
      <c r="D1425">
        <v>92019973.779771477</v>
      </c>
      <c r="E1425" t="s">
        <v>1034</v>
      </c>
      <c r="F1425" t="s">
        <v>61</v>
      </c>
      <c r="G1425" t="s">
        <v>1035</v>
      </c>
      <c r="H1425">
        <v>8.1139566361619134E-3</v>
      </c>
      <c r="I1425">
        <v>1.6307909307779472E-5</v>
      </c>
      <c r="J1425">
        <v>6.28</v>
      </c>
      <c r="L1425" s="1">
        <v>47644</v>
      </c>
      <c r="M1425" s="1">
        <v>43024</v>
      </c>
      <c r="R1425">
        <v>1.2621914935608911E-2</v>
      </c>
      <c r="T1425" t="s">
        <v>32</v>
      </c>
      <c r="V1425">
        <v>107881899.6362</v>
      </c>
      <c r="W1425" t="s">
        <v>1023</v>
      </c>
      <c r="X1425" t="s">
        <v>1024</v>
      </c>
      <c r="Y1425">
        <v>92019973.779771477</v>
      </c>
      <c r="Z1425" t="s">
        <v>31</v>
      </c>
      <c r="AA1425">
        <v>7.4660577095306572E-4</v>
      </c>
      <c r="AB1425">
        <v>115.24</v>
      </c>
      <c r="AC1425" t="s">
        <v>55</v>
      </c>
      <c r="AE1425" t="s">
        <v>35</v>
      </c>
      <c r="AF1425">
        <v>2.4111791297699338E-3</v>
      </c>
      <c r="AH1425" t="s">
        <v>237</v>
      </c>
      <c r="AJ1425">
        <v>1.2920313114907504E-3</v>
      </c>
      <c r="AK1425">
        <v>1.2920313114907504E-3</v>
      </c>
      <c r="AL1425">
        <v>0</v>
      </c>
      <c r="AN1425" t="s">
        <v>149</v>
      </c>
      <c r="AQ1425">
        <v>3.115318933275774E-6</v>
      </c>
    </row>
    <row r="1426" spans="1:43" x14ac:dyDescent="0.2">
      <c r="A1426">
        <v>1424</v>
      </c>
      <c r="B1426">
        <v>90</v>
      </c>
      <c r="C1426">
        <v>17</v>
      </c>
      <c r="D1426">
        <v>5172149.6641238276</v>
      </c>
      <c r="E1426" t="s">
        <v>1036</v>
      </c>
      <c r="F1426" t="s">
        <v>61</v>
      </c>
      <c r="G1426" t="s">
        <v>1037</v>
      </c>
      <c r="H1426">
        <v>4.4444415639261479E-4</v>
      </c>
      <c r="I1426">
        <v>8.5384114697352319E-7</v>
      </c>
      <c r="J1426">
        <v>6.57</v>
      </c>
      <c r="L1426" s="1">
        <v>47741</v>
      </c>
      <c r="M1426" s="1">
        <v>43024</v>
      </c>
      <c r="R1426">
        <v>1.2621914935608911E-2</v>
      </c>
      <c r="T1426" t="s">
        <v>32</v>
      </c>
      <c r="V1426">
        <v>5648425.1404999997</v>
      </c>
      <c r="W1426" t="s">
        <v>1038</v>
      </c>
      <c r="X1426" t="s">
        <v>1039</v>
      </c>
      <c r="Y1426">
        <v>5172149.6641238276</v>
      </c>
      <c r="Z1426" t="s">
        <v>31</v>
      </c>
      <c r="AA1426">
        <v>3.9090401827505535E-5</v>
      </c>
      <c r="AB1426">
        <v>108.81</v>
      </c>
      <c r="AC1426" t="s">
        <v>142</v>
      </c>
      <c r="AE1426" t="s">
        <v>35</v>
      </c>
      <c r="AF1426">
        <v>6.9111791297699343E-3</v>
      </c>
      <c r="AH1426" t="s">
        <v>237</v>
      </c>
      <c r="AJ1426">
        <v>6.7647512388525839E-5</v>
      </c>
      <c r="AK1426">
        <v>6.7647512388525839E-5</v>
      </c>
      <c r="AL1426">
        <v>0</v>
      </c>
      <c r="AN1426" t="s">
        <v>146</v>
      </c>
      <c r="AQ1426">
        <v>4.6752407580043285E-7</v>
      </c>
    </row>
    <row r="1427" spans="1:43" x14ac:dyDescent="0.2">
      <c r="A1427">
        <v>1425</v>
      </c>
      <c r="B1427">
        <v>90</v>
      </c>
      <c r="C1427">
        <v>17</v>
      </c>
      <c r="D1427">
        <v>122650882.58741295</v>
      </c>
      <c r="E1427" t="s">
        <v>363</v>
      </c>
      <c r="F1427" t="s">
        <v>61</v>
      </c>
      <c r="G1427" t="s">
        <v>946</v>
      </c>
      <c r="H1427">
        <v>1.0444992492823929E-2</v>
      </c>
      <c r="I1427">
        <v>2.1541798488153153E-5</v>
      </c>
      <c r="J1427">
        <v>6.12</v>
      </c>
      <c r="L1427" s="1">
        <v>47557</v>
      </c>
      <c r="M1427" s="1">
        <v>43024</v>
      </c>
      <c r="R1427">
        <v>1.2621914935608911E-2</v>
      </c>
      <c r="T1427" t="s">
        <v>32</v>
      </c>
      <c r="V1427">
        <v>142505706.80899999</v>
      </c>
      <c r="W1427" t="s">
        <v>364</v>
      </c>
      <c r="X1427" t="s">
        <v>404</v>
      </c>
      <c r="Y1427">
        <v>122650882.58741295</v>
      </c>
      <c r="Z1427" t="s">
        <v>31</v>
      </c>
      <c r="AA1427">
        <v>9.8622274409454068E-4</v>
      </c>
      <c r="AB1427">
        <v>115.67</v>
      </c>
      <c r="AC1427" t="s">
        <v>142</v>
      </c>
      <c r="AE1427" t="s">
        <v>44</v>
      </c>
      <c r="AF1427">
        <v>4.1111791297699339E-3</v>
      </c>
      <c r="AH1427" t="s">
        <v>237</v>
      </c>
      <c r="AJ1427">
        <v>1.706698119742472E-3</v>
      </c>
      <c r="AK1427">
        <v>1.706698119742472E-3</v>
      </c>
      <c r="AL1427">
        <v>0</v>
      </c>
      <c r="AN1427" t="s">
        <v>146</v>
      </c>
      <c r="AQ1427">
        <v>7.0165416907028382E-6</v>
      </c>
    </row>
    <row r="1428" spans="1:43" x14ac:dyDescent="0.2">
      <c r="A1428">
        <v>1426</v>
      </c>
      <c r="B1428">
        <v>90</v>
      </c>
      <c r="C1428">
        <v>17</v>
      </c>
      <c r="D1428">
        <v>239361217.99253133</v>
      </c>
      <c r="E1428" t="s">
        <v>369</v>
      </c>
      <c r="F1428" t="s">
        <v>61</v>
      </c>
      <c r="G1428" t="s">
        <v>959</v>
      </c>
      <c r="H1428">
        <v>9.6353029286284433E-2</v>
      </c>
      <c r="I1428">
        <v>2.0337119388624017E-4</v>
      </c>
      <c r="J1428">
        <v>5.98</v>
      </c>
      <c r="L1428" s="1">
        <v>47488</v>
      </c>
      <c r="M1428" s="1">
        <v>43024</v>
      </c>
      <c r="R1428">
        <v>1.2621914935608911E-2</v>
      </c>
      <c r="T1428" t="s">
        <v>32</v>
      </c>
      <c r="V1428">
        <v>1345363793.3382001</v>
      </c>
      <c r="W1428" t="s">
        <v>371</v>
      </c>
      <c r="X1428" t="s">
        <v>739</v>
      </c>
      <c r="Y1428">
        <v>239361217.99253133</v>
      </c>
      <c r="Z1428" t="s">
        <v>31</v>
      </c>
      <c r="AA1428">
        <v>9.3107034222130111E-3</v>
      </c>
      <c r="AB1428">
        <v>113.2</v>
      </c>
      <c r="AC1428" t="s">
        <v>142</v>
      </c>
      <c r="AE1428" t="s">
        <v>177</v>
      </c>
      <c r="AF1428">
        <v>3.4111791297699347E-3</v>
      </c>
      <c r="AH1428" t="s">
        <v>237</v>
      </c>
      <c r="AJ1428">
        <v>1.6112546703392044E-2</v>
      </c>
      <c r="AK1428">
        <v>1.6112546703392044E-2</v>
      </c>
      <c r="AL1428">
        <v>0</v>
      </c>
      <c r="AN1428" t="s">
        <v>146</v>
      </c>
      <c r="AQ1428">
        <v>5.4962783042054307E-5</v>
      </c>
    </row>
    <row r="1429" spans="1:43" x14ac:dyDescent="0.2">
      <c r="A1429">
        <v>1427</v>
      </c>
      <c r="B1429">
        <v>91</v>
      </c>
      <c r="C1429">
        <v>17</v>
      </c>
      <c r="D1429">
        <v>23001192.220103316</v>
      </c>
      <c r="E1429" t="s">
        <v>426</v>
      </c>
      <c r="F1429" t="s">
        <v>61</v>
      </c>
      <c r="G1429" t="s">
        <v>1040</v>
      </c>
      <c r="H1429">
        <v>3.5529594936041168E-3</v>
      </c>
      <c r="I1429">
        <v>1.3618836064581074E-5</v>
      </c>
      <c r="J1429">
        <v>10.25</v>
      </c>
      <c r="L1429" s="1">
        <v>47969</v>
      </c>
      <c r="M1429" s="1">
        <v>43024</v>
      </c>
      <c r="R1429">
        <v>3.9289237581583855E-2</v>
      </c>
      <c r="T1429" t="s">
        <v>32</v>
      </c>
      <c r="V1429">
        <v>28942892.885899998</v>
      </c>
      <c r="W1429" t="s">
        <v>181</v>
      </c>
      <c r="X1429" t="s">
        <v>428</v>
      </c>
      <c r="Y1429">
        <v>23001192.220103316</v>
      </c>
      <c r="Z1429" t="s">
        <v>31</v>
      </c>
      <c r="AA1429">
        <v>6.2349510336248345E-4</v>
      </c>
      <c r="AB1429">
        <v>123.03</v>
      </c>
      <c r="AC1429" t="s">
        <v>142</v>
      </c>
      <c r="AE1429" t="s">
        <v>41</v>
      </c>
      <c r="AF1429">
        <v>4.911179129769936E-3</v>
      </c>
      <c r="AH1429" t="s">
        <v>237</v>
      </c>
      <c r="AJ1429">
        <v>3.4663019449796261E-4</v>
      </c>
      <c r="AK1429">
        <v>3.4663019449796261E-4</v>
      </c>
      <c r="AL1429">
        <v>0</v>
      </c>
      <c r="AN1429" t="s">
        <v>146</v>
      </c>
      <c r="AQ1429">
        <v>1.7023629769664876E-6</v>
      </c>
    </row>
    <row r="1430" spans="1:43" x14ac:dyDescent="0.2">
      <c r="A1430">
        <v>1428</v>
      </c>
      <c r="B1430">
        <v>91</v>
      </c>
      <c r="C1430">
        <v>17</v>
      </c>
      <c r="D1430">
        <v>23004661.989312444</v>
      </c>
      <c r="E1430" t="s">
        <v>426</v>
      </c>
      <c r="F1430" t="s">
        <v>61</v>
      </c>
      <c r="G1430" t="s">
        <v>1041</v>
      </c>
      <c r="H1430">
        <v>3.4437995607027867E-3</v>
      </c>
      <c r="I1430">
        <v>1.1694404418652196E-5</v>
      </c>
      <c r="J1430">
        <v>11.57</v>
      </c>
      <c r="L1430" s="1">
        <v>48366</v>
      </c>
      <c r="M1430" s="1">
        <v>43024</v>
      </c>
      <c r="R1430">
        <v>3.9289237581583855E-2</v>
      </c>
      <c r="T1430" t="s">
        <v>32</v>
      </c>
      <c r="V1430">
        <v>24853070.6184</v>
      </c>
      <c r="W1430" t="s">
        <v>181</v>
      </c>
      <c r="X1430" t="s">
        <v>428</v>
      </c>
      <c r="Y1430">
        <v>23004661.989312444</v>
      </c>
      <c r="Z1430" t="s">
        <v>31</v>
      </c>
      <c r="AA1430">
        <v>5.3539111985738733E-4</v>
      </c>
      <c r="AB1430">
        <v>106.65</v>
      </c>
      <c r="AC1430" t="s">
        <v>142</v>
      </c>
      <c r="AE1430" t="s">
        <v>41</v>
      </c>
      <c r="AF1430">
        <v>5.6111791297699352E-3</v>
      </c>
      <c r="AH1430" t="s">
        <v>237</v>
      </c>
      <c r="AJ1430">
        <v>2.9764905451190897E-4</v>
      </c>
      <c r="AK1430">
        <v>2.9764905451190897E-4</v>
      </c>
      <c r="AL1430">
        <v>0</v>
      </c>
      <c r="AN1430" t="s">
        <v>146</v>
      </c>
      <c r="AQ1430">
        <v>1.6701621626729773E-6</v>
      </c>
    </row>
    <row r="1431" spans="1:43" x14ac:dyDescent="0.2">
      <c r="A1431">
        <v>1429</v>
      </c>
      <c r="B1431">
        <v>91</v>
      </c>
      <c r="C1431">
        <v>17</v>
      </c>
      <c r="D1431">
        <v>51760454.445621327</v>
      </c>
      <c r="E1431" t="s">
        <v>459</v>
      </c>
      <c r="F1431" t="s">
        <v>61</v>
      </c>
      <c r="G1431" t="s">
        <v>1042</v>
      </c>
      <c r="H1431">
        <v>7.5898410742399041E-3</v>
      </c>
      <c r="I1431">
        <v>2.6961941154816927E-5</v>
      </c>
      <c r="J1431">
        <v>11.06</v>
      </c>
      <c r="L1431" s="1">
        <v>48136</v>
      </c>
      <c r="M1431" s="1">
        <v>43024</v>
      </c>
      <c r="R1431">
        <v>3.9289237581583855E-2</v>
      </c>
      <c r="T1431" t="s">
        <v>32</v>
      </c>
      <c r="V1431">
        <v>57299799.420400001</v>
      </c>
      <c r="W1431" t="s">
        <v>249</v>
      </c>
      <c r="X1431" t="s">
        <v>1043</v>
      </c>
      <c r="Y1431">
        <v>51760454.445621327</v>
      </c>
      <c r="Z1431" t="s">
        <v>31</v>
      </c>
      <c r="AA1431">
        <v>1.2343667408476794E-3</v>
      </c>
      <c r="AB1431">
        <v>110.68</v>
      </c>
      <c r="AC1431" t="s">
        <v>142</v>
      </c>
      <c r="AE1431" t="s">
        <v>41</v>
      </c>
      <c r="AF1431">
        <v>6.8111791297699349E-3</v>
      </c>
      <c r="AH1431" t="s">
        <v>237</v>
      </c>
      <c r="AJ1431">
        <v>6.8624241177575986E-4</v>
      </c>
      <c r="AK1431">
        <v>6.8624241177575986E-4</v>
      </c>
      <c r="AL1431">
        <v>0</v>
      </c>
      <c r="AN1431" t="s">
        <v>146</v>
      </c>
      <c r="AQ1431">
        <v>4.6741199930500417E-6</v>
      </c>
    </row>
    <row r="1432" spans="1:43" x14ac:dyDescent="0.2">
      <c r="A1432">
        <v>1430</v>
      </c>
      <c r="B1432">
        <v>91</v>
      </c>
      <c r="C1432">
        <v>17</v>
      </c>
      <c r="D1432">
        <v>13802929.66469834</v>
      </c>
      <c r="E1432" t="s">
        <v>459</v>
      </c>
      <c r="F1432" t="s">
        <v>61</v>
      </c>
      <c r="G1432" t="s">
        <v>1044</v>
      </c>
      <c r="H1432">
        <v>2.791542969743821E-3</v>
      </c>
      <c r="I1432">
        <v>7.2827088285169408E-6</v>
      </c>
      <c r="J1432">
        <v>15.06</v>
      </c>
      <c r="L1432" s="1">
        <v>50861</v>
      </c>
      <c r="M1432" s="1">
        <v>43024</v>
      </c>
      <c r="R1432">
        <v>3.9289237581583855E-2</v>
      </c>
      <c r="T1432" t="s">
        <v>32</v>
      </c>
      <c r="V1432">
        <v>15477288.9947</v>
      </c>
      <c r="W1432" t="s">
        <v>249</v>
      </c>
      <c r="X1432" t="s">
        <v>1043</v>
      </c>
      <c r="Y1432">
        <v>13802929.66469834</v>
      </c>
      <c r="Z1432" t="s">
        <v>31</v>
      </c>
      <c r="AA1432">
        <v>3.3341566579278136E-4</v>
      </c>
      <c r="AB1432">
        <v>111.95</v>
      </c>
      <c r="AC1432" t="s">
        <v>142</v>
      </c>
      <c r="AE1432" t="s">
        <v>41</v>
      </c>
      <c r="AF1432">
        <v>8.5111791297699316E-3</v>
      </c>
      <c r="AH1432" t="s">
        <v>237</v>
      </c>
      <c r="AJ1432">
        <v>1.8536141897369329E-4</v>
      </c>
      <c r="AK1432">
        <v>1.8536141897369329E-4</v>
      </c>
      <c r="AL1432">
        <v>0</v>
      </c>
      <c r="AN1432" t="s">
        <v>146</v>
      </c>
      <c r="AQ1432">
        <v>1.5776442406334387E-6</v>
      </c>
    </row>
    <row r="1433" spans="1:43" x14ac:dyDescent="0.2">
      <c r="A1433">
        <v>1431</v>
      </c>
      <c r="B1433">
        <v>91</v>
      </c>
      <c r="C1433">
        <v>17</v>
      </c>
      <c r="D1433">
        <v>57510667.213650145</v>
      </c>
      <c r="E1433" t="s">
        <v>459</v>
      </c>
      <c r="F1433" t="s">
        <v>61</v>
      </c>
      <c r="G1433" t="s">
        <v>1045</v>
      </c>
      <c r="H1433">
        <v>1.154661859466396E-2</v>
      </c>
      <c r="I1433">
        <v>2.9767574883837676E-5</v>
      </c>
      <c r="J1433">
        <v>15.24</v>
      </c>
      <c r="L1433" s="1">
        <v>51075</v>
      </c>
      <c r="M1433" s="1">
        <v>43024</v>
      </c>
      <c r="R1433">
        <v>3.9289237581583855E-2</v>
      </c>
      <c r="T1433" t="s">
        <v>32</v>
      </c>
      <c r="V1433">
        <v>63262361.574100003</v>
      </c>
      <c r="W1433" t="s">
        <v>249</v>
      </c>
      <c r="X1433" t="s">
        <v>1043</v>
      </c>
      <c r="Y1433">
        <v>57510667.213650145</v>
      </c>
      <c r="Z1433" t="s">
        <v>31</v>
      </c>
      <c r="AA1433">
        <v>1.3628137596367899E-3</v>
      </c>
      <c r="AB1433">
        <v>108.13</v>
      </c>
      <c r="AC1433" t="s">
        <v>142</v>
      </c>
      <c r="AE1433" t="s">
        <v>41</v>
      </c>
      <c r="AF1433">
        <v>9.011179129769932E-3</v>
      </c>
      <c r="AH1433" t="s">
        <v>237</v>
      </c>
      <c r="AJ1433">
        <v>7.5765213875747766E-4</v>
      </c>
      <c r="AK1433">
        <v>7.5765213875747766E-4</v>
      </c>
      <c r="AL1433">
        <v>0</v>
      </c>
      <c r="AN1433" t="s">
        <v>146</v>
      </c>
      <c r="AQ1433">
        <v>6.8273391403969357E-6</v>
      </c>
    </row>
    <row r="1434" spans="1:43" x14ac:dyDescent="0.2">
      <c r="A1434">
        <v>1432</v>
      </c>
      <c r="B1434">
        <v>91</v>
      </c>
      <c r="C1434">
        <v>17</v>
      </c>
      <c r="D1434">
        <v>34503911.376605064</v>
      </c>
      <c r="E1434" t="s">
        <v>466</v>
      </c>
      <c r="F1434" t="s">
        <v>61</v>
      </c>
      <c r="G1434" t="s">
        <v>1046</v>
      </c>
      <c r="H1434">
        <v>3.6716667695444768E-3</v>
      </c>
      <c r="I1434">
        <v>1.8283521930169766E-5</v>
      </c>
      <c r="J1434">
        <v>7.89</v>
      </c>
      <c r="L1434" s="1">
        <v>46419</v>
      </c>
      <c r="M1434" s="1">
        <v>43024</v>
      </c>
      <c r="R1434">
        <v>3.9289237581583855E-2</v>
      </c>
      <c r="T1434" t="s">
        <v>32</v>
      </c>
      <c r="V1434">
        <v>38856332.0898</v>
      </c>
      <c r="W1434" t="s">
        <v>250</v>
      </c>
      <c r="X1434" t="s">
        <v>1047</v>
      </c>
      <c r="Y1434">
        <v>34503911.376605064</v>
      </c>
      <c r="Z1434" t="s">
        <v>31</v>
      </c>
      <c r="AA1434">
        <v>8.3705291271762546E-4</v>
      </c>
      <c r="AB1434">
        <v>111.69</v>
      </c>
      <c r="AC1434" t="s">
        <v>142</v>
      </c>
      <c r="AE1434" t="s">
        <v>41</v>
      </c>
      <c r="AF1434">
        <v>2.211179129769935E-3</v>
      </c>
      <c r="AH1434" t="s">
        <v>237</v>
      </c>
      <c r="AJ1434">
        <v>4.6535700501197424E-4</v>
      </c>
      <c r="AK1434">
        <v>4.6535700501197424E-4</v>
      </c>
      <c r="AL1434">
        <v>0</v>
      </c>
      <c r="AN1434" t="s">
        <v>146</v>
      </c>
      <c r="AQ1434">
        <v>1.0289876973747206E-6</v>
      </c>
    </row>
    <row r="1435" spans="1:43" x14ac:dyDescent="0.2">
      <c r="A1435">
        <v>1433</v>
      </c>
      <c r="B1435">
        <v>91</v>
      </c>
      <c r="C1435">
        <v>17</v>
      </c>
      <c r="D1435">
        <v>57509768.78857062</v>
      </c>
      <c r="E1435" t="s">
        <v>915</v>
      </c>
      <c r="F1435" t="s">
        <v>61</v>
      </c>
      <c r="G1435" t="s">
        <v>1048</v>
      </c>
      <c r="H1435">
        <v>5.8565569772344129E-3</v>
      </c>
      <c r="I1435">
        <v>3.019680557593772E-5</v>
      </c>
      <c r="J1435">
        <v>7.62</v>
      </c>
      <c r="L1435" s="1">
        <v>48228</v>
      </c>
      <c r="M1435" s="1">
        <v>43024</v>
      </c>
      <c r="R1435">
        <v>3.9289237581583855E-2</v>
      </c>
      <c r="T1435" t="s">
        <v>32</v>
      </c>
      <c r="V1435">
        <v>64174567.1316</v>
      </c>
      <c r="W1435" t="s">
        <v>223</v>
      </c>
      <c r="X1435" t="s">
        <v>917</v>
      </c>
      <c r="Y1435">
        <v>57509768.78857062</v>
      </c>
      <c r="Z1435" t="s">
        <v>31</v>
      </c>
      <c r="AA1435">
        <v>1.3824647219854214E-3</v>
      </c>
      <c r="AB1435">
        <v>110.48</v>
      </c>
      <c r="AC1435" t="s">
        <v>55</v>
      </c>
      <c r="AE1435" t="s">
        <v>41</v>
      </c>
      <c r="AF1435">
        <v>2.7111791297699354E-3</v>
      </c>
      <c r="AH1435" t="s">
        <v>237</v>
      </c>
      <c r="AJ1435">
        <v>7.6857703113312505E-4</v>
      </c>
      <c r="AK1435">
        <v>7.6857703113312505E-4</v>
      </c>
      <c r="AL1435">
        <v>0</v>
      </c>
      <c r="AN1435" t="s">
        <v>149</v>
      </c>
      <c r="AQ1435">
        <v>2.0837500064286664E-6</v>
      </c>
    </row>
    <row r="1436" spans="1:43" x14ac:dyDescent="0.2">
      <c r="A1436">
        <v>1434</v>
      </c>
      <c r="B1436">
        <v>91</v>
      </c>
      <c r="C1436">
        <v>17</v>
      </c>
      <c r="D1436">
        <v>39680889.543385722</v>
      </c>
      <c r="E1436" t="s">
        <v>430</v>
      </c>
      <c r="F1436" t="s">
        <v>61</v>
      </c>
      <c r="G1436" t="s">
        <v>1049</v>
      </c>
      <c r="H1436">
        <v>6.175787396953401E-3</v>
      </c>
      <c r="I1436">
        <v>2.082763762165266E-5</v>
      </c>
      <c r="J1436">
        <v>11.65</v>
      </c>
      <c r="L1436" s="1">
        <v>50100</v>
      </c>
      <c r="M1436" s="1">
        <v>43024</v>
      </c>
      <c r="R1436">
        <v>3.9289237581583855E-2</v>
      </c>
      <c r="T1436" t="s">
        <v>32</v>
      </c>
      <c r="V1436">
        <v>44263113.3741</v>
      </c>
      <c r="W1436" t="s">
        <v>248</v>
      </c>
      <c r="X1436" t="s">
        <v>1029</v>
      </c>
      <c r="Y1436">
        <v>39680889.543385722</v>
      </c>
      <c r="Z1436" t="s">
        <v>31</v>
      </c>
      <c r="AA1436">
        <v>9.5352715974616825E-4</v>
      </c>
      <c r="AB1436">
        <v>111</v>
      </c>
      <c r="AC1436" t="s">
        <v>55</v>
      </c>
      <c r="AE1436" t="s">
        <v>41</v>
      </c>
      <c r="AF1436">
        <v>7.0111791297699337E-3</v>
      </c>
      <c r="AH1436" t="s">
        <v>237</v>
      </c>
      <c r="AJ1436">
        <v>5.3011050617625757E-4</v>
      </c>
      <c r="AK1436">
        <v>5.3011050617625757E-4</v>
      </c>
      <c r="AL1436">
        <v>0</v>
      </c>
      <c r="AN1436" t="s">
        <v>149</v>
      </c>
      <c r="AQ1436">
        <v>3.7166997173747524E-6</v>
      </c>
    </row>
    <row r="1437" spans="1:43" x14ac:dyDescent="0.2">
      <c r="A1437">
        <v>1435</v>
      </c>
      <c r="B1437">
        <v>91</v>
      </c>
      <c r="C1437">
        <v>17</v>
      </c>
      <c r="D1437">
        <v>44858169.759204157</v>
      </c>
      <c r="E1437" t="s">
        <v>430</v>
      </c>
      <c r="F1437" t="s">
        <v>61</v>
      </c>
      <c r="G1437" t="s">
        <v>1050</v>
      </c>
      <c r="H1437">
        <v>7.6234882957502441E-3</v>
      </c>
      <c r="I1437">
        <v>2.3752660019996443E-5</v>
      </c>
      <c r="J1437">
        <v>12.61</v>
      </c>
      <c r="L1437" s="1">
        <v>50679</v>
      </c>
      <c r="M1437" s="1">
        <v>43024</v>
      </c>
      <c r="R1437">
        <v>3.9289237581583855E-2</v>
      </c>
      <c r="T1437" t="s">
        <v>32</v>
      </c>
      <c r="V1437">
        <v>50479401.576899998</v>
      </c>
      <c r="W1437" t="s">
        <v>248</v>
      </c>
      <c r="X1437" t="s">
        <v>1029</v>
      </c>
      <c r="Y1437">
        <v>44858169.759204157</v>
      </c>
      <c r="Z1437" t="s">
        <v>31</v>
      </c>
      <c r="AA1437">
        <v>1.087440009122187E-3</v>
      </c>
      <c r="AB1437">
        <v>112.34</v>
      </c>
      <c r="AC1437" t="s">
        <v>55</v>
      </c>
      <c r="AE1437" t="s">
        <v>41</v>
      </c>
      <c r="AF1437">
        <v>6.7111791297699355E-3</v>
      </c>
      <c r="AH1437" t="s">
        <v>237</v>
      </c>
      <c r="AJ1437">
        <v>6.0455894494450789E-4</v>
      </c>
      <c r="AK1437">
        <v>6.0455894494450789E-4</v>
      </c>
      <c r="AL1437">
        <v>0</v>
      </c>
      <c r="AN1437" t="s">
        <v>149</v>
      </c>
      <c r="AQ1437">
        <v>4.0573033740273124E-6</v>
      </c>
    </row>
    <row r="1438" spans="1:43" x14ac:dyDescent="0.2">
      <c r="A1438">
        <v>1436</v>
      </c>
      <c r="B1438">
        <v>91</v>
      </c>
      <c r="C1438">
        <v>17</v>
      </c>
      <c r="D1438">
        <v>74765074.813694909</v>
      </c>
      <c r="E1438" t="s">
        <v>598</v>
      </c>
      <c r="F1438" t="s">
        <v>61</v>
      </c>
      <c r="G1438" t="s">
        <v>1051</v>
      </c>
      <c r="H1438">
        <v>1.1369709135468259E-2</v>
      </c>
      <c r="I1438">
        <v>3.6766024975877926E-5</v>
      </c>
      <c r="J1438">
        <v>12.15</v>
      </c>
      <c r="L1438" s="1">
        <v>53865</v>
      </c>
      <c r="M1438" s="1">
        <v>43024</v>
      </c>
      <c r="R1438">
        <v>3.9289237581583855E-2</v>
      </c>
      <c r="T1438" t="s">
        <v>32</v>
      </c>
      <c r="V1438">
        <v>78135540.928100005</v>
      </c>
      <c r="W1438" t="s">
        <v>600</v>
      </c>
      <c r="X1438" t="s">
        <v>601</v>
      </c>
      <c r="Y1438">
        <v>74765074.813694909</v>
      </c>
      <c r="Z1438" t="s">
        <v>31</v>
      </c>
      <c r="AA1438">
        <v>1.6832155430800981E-3</v>
      </c>
      <c r="AB1438">
        <v>103.42</v>
      </c>
      <c r="AC1438" t="s">
        <v>142</v>
      </c>
      <c r="AE1438" t="s">
        <v>89</v>
      </c>
      <c r="AF1438">
        <v>7.0111791297699337E-3</v>
      </c>
      <c r="AH1438" t="s">
        <v>237</v>
      </c>
      <c r="AJ1438">
        <v>9.3577852966816942E-4</v>
      </c>
      <c r="AK1438">
        <v>9.3577852966816942E-4</v>
      </c>
      <c r="AL1438">
        <v>0</v>
      </c>
      <c r="AN1438" t="s">
        <v>146</v>
      </c>
      <c r="AQ1438">
        <v>6.5609108972962644E-6</v>
      </c>
    </row>
    <row r="1439" spans="1:43" x14ac:dyDescent="0.2">
      <c r="A1439">
        <v>1437</v>
      </c>
      <c r="B1439">
        <v>91</v>
      </c>
      <c r="C1439">
        <v>17</v>
      </c>
      <c r="D1439">
        <v>50030741.889164038</v>
      </c>
      <c r="E1439" t="s">
        <v>1030</v>
      </c>
      <c r="F1439" t="s">
        <v>61</v>
      </c>
      <c r="G1439" t="s">
        <v>1052</v>
      </c>
      <c r="H1439">
        <v>7.3256352134433147E-3</v>
      </c>
      <c r="I1439">
        <v>2.5225120274933493E-5</v>
      </c>
      <c r="J1439">
        <v>11.41</v>
      </c>
      <c r="L1439" s="1">
        <v>49444</v>
      </c>
      <c r="M1439" s="1">
        <v>43024</v>
      </c>
      <c r="R1439">
        <v>3.9289237581583855E-2</v>
      </c>
      <c r="T1439" t="s">
        <v>32</v>
      </c>
      <c r="V1439">
        <v>53608689.515699998</v>
      </c>
      <c r="W1439" t="s">
        <v>1032</v>
      </c>
      <c r="X1439" t="s">
        <v>1033</v>
      </c>
      <c r="Y1439">
        <v>50030741.889164038</v>
      </c>
      <c r="Z1439" t="s">
        <v>31</v>
      </c>
      <c r="AA1439">
        <v>1.1548519196919003E-3</v>
      </c>
      <c r="AB1439">
        <v>105.48</v>
      </c>
      <c r="AC1439" t="s">
        <v>55</v>
      </c>
      <c r="AE1439" t="s">
        <v>35</v>
      </c>
      <c r="AF1439">
        <v>9.5111791297699325E-3</v>
      </c>
      <c r="AH1439" t="s">
        <v>237</v>
      </c>
      <c r="AJ1439">
        <v>6.4203639031054464E-4</v>
      </c>
      <c r="AK1439">
        <v>6.4203639031054464E-4</v>
      </c>
      <c r="AL1439">
        <v>0</v>
      </c>
      <c r="AN1439" t="s">
        <v>149</v>
      </c>
      <c r="AQ1439">
        <v>6.1065231160744748E-6</v>
      </c>
    </row>
    <row r="1440" spans="1:43" x14ac:dyDescent="0.2">
      <c r="A1440">
        <v>1438</v>
      </c>
      <c r="B1440">
        <v>91</v>
      </c>
      <c r="C1440">
        <v>17</v>
      </c>
      <c r="D1440">
        <v>34507060.206369162</v>
      </c>
      <c r="E1440" t="s">
        <v>1013</v>
      </c>
      <c r="F1440" t="s">
        <v>61</v>
      </c>
      <c r="G1440" t="s">
        <v>1054</v>
      </c>
      <c r="H1440">
        <v>5.0372725284117854E-3</v>
      </c>
      <c r="I1440">
        <v>2.3366068138365552E-5</v>
      </c>
      <c r="J1440">
        <v>8.4700000000000006</v>
      </c>
      <c r="L1440" s="1">
        <v>47178</v>
      </c>
      <c r="M1440" s="1">
        <v>43024</v>
      </c>
      <c r="R1440">
        <v>3.9289237581583855E-2</v>
      </c>
      <c r="T1440" t="s">
        <v>32</v>
      </c>
      <c r="V1440">
        <v>49657812.465499997</v>
      </c>
      <c r="W1440" t="s">
        <v>1015</v>
      </c>
      <c r="X1440" t="s">
        <v>1016</v>
      </c>
      <c r="Y1440">
        <v>34507060.206369162</v>
      </c>
      <c r="Z1440" t="s">
        <v>31</v>
      </c>
      <c r="AA1440">
        <v>1.0697411291258688E-3</v>
      </c>
      <c r="AB1440">
        <v>142.61000000000001</v>
      </c>
      <c r="AC1440" t="s">
        <v>55</v>
      </c>
      <c r="AE1440" t="s">
        <v>178</v>
      </c>
      <c r="AF1440">
        <v>5.6111791297699352E-3</v>
      </c>
      <c r="AH1440" t="s">
        <v>237</v>
      </c>
      <c r="AJ1440">
        <v>5.9471930677825087E-4</v>
      </c>
      <c r="AK1440">
        <v>5.9471930677825087E-4</v>
      </c>
      <c r="AL1440">
        <v>0</v>
      </c>
      <c r="AN1440" t="s">
        <v>149</v>
      </c>
      <c r="AQ1440">
        <v>3.3370765622653649E-6</v>
      </c>
    </row>
    <row r="1441" spans="1:43" x14ac:dyDescent="0.2">
      <c r="A1441">
        <v>1439</v>
      </c>
      <c r="B1441">
        <v>91</v>
      </c>
      <c r="C1441">
        <v>17</v>
      </c>
      <c r="D1441">
        <v>5748620.8693426037</v>
      </c>
      <c r="E1441" t="s">
        <v>1013</v>
      </c>
      <c r="F1441" t="s">
        <v>61</v>
      </c>
      <c r="G1441" t="s">
        <v>1055</v>
      </c>
      <c r="H1441">
        <v>5.7579319687177963E-4</v>
      </c>
      <c r="I1441">
        <v>2.7487819817442328E-6</v>
      </c>
      <c r="J1441">
        <v>8.23</v>
      </c>
      <c r="L1441" s="1">
        <v>46997</v>
      </c>
      <c r="M1441" s="1">
        <v>43024</v>
      </c>
      <c r="R1441">
        <v>3.9289237581583855E-2</v>
      </c>
      <c r="T1441" t="s">
        <v>32</v>
      </c>
      <c r="V1441">
        <v>5841740.2255999995</v>
      </c>
      <c r="W1441" t="s">
        <v>1015</v>
      </c>
      <c r="X1441" t="s">
        <v>1016</v>
      </c>
      <c r="Y1441">
        <v>5748620.8693426037</v>
      </c>
      <c r="Z1441" t="s">
        <v>31</v>
      </c>
      <c r="AA1441">
        <v>1.2584424232007759E-4</v>
      </c>
      <c r="AB1441">
        <v>101.19</v>
      </c>
      <c r="AC1441" t="s">
        <v>55</v>
      </c>
      <c r="AE1441" t="s">
        <v>178</v>
      </c>
      <c r="AF1441">
        <v>9.911179129769937E-3</v>
      </c>
      <c r="AH1441" t="s">
        <v>237</v>
      </c>
      <c r="AJ1441">
        <v>6.9962721369596549E-5</v>
      </c>
      <c r="AK1441">
        <v>6.9962721369596549E-5</v>
      </c>
      <c r="AL1441">
        <v>0</v>
      </c>
      <c r="AN1441" t="s">
        <v>149</v>
      </c>
      <c r="AQ1441">
        <v>6.9341306390025452E-7</v>
      </c>
    </row>
    <row r="1442" spans="1:43" x14ac:dyDescent="0.2">
      <c r="A1442">
        <v>1440</v>
      </c>
      <c r="B1442">
        <v>91</v>
      </c>
      <c r="C1442">
        <v>17</v>
      </c>
      <c r="D1442">
        <v>11498598.8964474</v>
      </c>
      <c r="E1442" t="s">
        <v>1056</v>
      </c>
      <c r="F1442" t="s">
        <v>61</v>
      </c>
      <c r="G1442" t="s">
        <v>1057</v>
      </c>
      <c r="H1442">
        <v>1.4262049069163423E-3</v>
      </c>
      <c r="I1442">
        <v>5.8983687818796694E-6</v>
      </c>
      <c r="J1442">
        <v>9.5</v>
      </c>
      <c r="L1442" s="1">
        <v>49278</v>
      </c>
      <c r="M1442" s="1">
        <v>43024</v>
      </c>
      <c r="R1442">
        <v>3.9289237581583855E-2</v>
      </c>
      <c r="T1442" t="s">
        <v>32</v>
      </c>
      <c r="V1442">
        <v>12535275.044500001</v>
      </c>
      <c r="W1442" t="s">
        <v>1056</v>
      </c>
      <c r="X1442" t="s">
        <v>1058</v>
      </c>
      <c r="Y1442">
        <v>11498598.8964474</v>
      </c>
      <c r="Z1442" t="s">
        <v>31</v>
      </c>
      <c r="AA1442">
        <v>2.7003805875103882E-4</v>
      </c>
      <c r="AB1442">
        <v>107.42</v>
      </c>
      <c r="AC1442" t="s">
        <v>142</v>
      </c>
      <c r="AE1442" t="s">
        <v>40</v>
      </c>
      <c r="AF1442">
        <v>8.0111791297699381E-3</v>
      </c>
      <c r="AH1442" t="s">
        <v>237</v>
      </c>
      <c r="AJ1442">
        <v>1.5012683230698339E-4</v>
      </c>
      <c r="AK1442">
        <v>1.5012683230698339E-4</v>
      </c>
      <c r="AL1442">
        <v>0</v>
      </c>
      <c r="AN1442" t="s">
        <v>146</v>
      </c>
      <c r="AQ1442">
        <v>1.2026929457961765E-6</v>
      </c>
    </row>
    <row r="1443" spans="1:43" x14ac:dyDescent="0.2">
      <c r="A1443">
        <v>1441</v>
      </c>
      <c r="B1443">
        <v>91</v>
      </c>
      <c r="C1443">
        <v>17</v>
      </c>
      <c r="D1443">
        <v>574149.73007614864</v>
      </c>
      <c r="E1443" t="s">
        <v>1059</v>
      </c>
      <c r="F1443" t="s">
        <v>61</v>
      </c>
      <c r="G1443" t="s">
        <v>1060</v>
      </c>
      <c r="H1443">
        <v>6.3613260739689783E-5</v>
      </c>
      <c r="I1443">
        <v>2.8994391119964187E-7</v>
      </c>
      <c r="J1443">
        <v>8.6199999999999992</v>
      </c>
      <c r="L1443" s="1">
        <v>46905</v>
      </c>
      <c r="M1443" s="1">
        <v>43024</v>
      </c>
      <c r="R1443">
        <v>3.9289237581583855E-2</v>
      </c>
      <c r="T1443" t="s">
        <v>32</v>
      </c>
      <c r="V1443">
        <v>616191.83349999995</v>
      </c>
      <c r="W1443" t="s">
        <v>1059</v>
      </c>
      <c r="X1443" t="s">
        <v>1061</v>
      </c>
      <c r="Y1443">
        <v>574149.73007614864</v>
      </c>
      <c r="Z1443" t="s">
        <v>31</v>
      </c>
      <c r="AA1443">
        <v>1.3274159996161489E-5</v>
      </c>
      <c r="AB1443">
        <v>105.66</v>
      </c>
      <c r="AC1443" t="s">
        <v>142</v>
      </c>
      <c r="AE1443" t="s">
        <v>177</v>
      </c>
      <c r="AF1443">
        <v>1.2211179129769933E-2</v>
      </c>
      <c r="AH1443" t="s">
        <v>237</v>
      </c>
      <c r="AJ1443">
        <v>7.3797286240939431E-6</v>
      </c>
      <c r="AK1443">
        <v>7.3797286240939431E-6</v>
      </c>
      <c r="AL1443">
        <v>0</v>
      </c>
      <c r="AN1443" t="s">
        <v>146</v>
      </c>
      <c r="AQ1443">
        <v>9.0115188157901742E-8</v>
      </c>
    </row>
    <row r="1444" spans="1:43" x14ac:dyDescent="0.2">
      <c r="A1444">
        <v>1442</v>
      </c>
      <c r="B1444">
        <v>91</v>
      </c>
      <c r="C1444">
        <v>17</v>
      </c>
      <c r="D1444">
        <v>133428974.02336583</v>
      </c>
      <c r="E1444" t="s">
        <v>1062</v>
      </c>
      <c r="F1444" t="s">
        <v>61</v>
      </c>
      <c r="G1444" t="s">
        <v>1063</v>
      </c>
      <c r="H1444">
        <v>1.6220444552858111E-2</v>
      </c>
      <c r="I1444">
        <v>6.7724643965584488E-5</v>
      </c>
      <c r="J1444">
        <v>9.41</v>
      </c>
      <c r="L1444" s="1">
        <v>49263</v>
      </c>
      <c r="M1444" s="1">
        <v>43024</v>
      </c>
      <c r="R1444">
        <v>3.9289237581583855E-2</v>
      </c>
      <c r="T1444" t="s">
        <v>32</v>
      </c>
      <c r="V1444">
        <v>143929121.89680001</v>
      </c>
      <c r="W1444" t="s">
        <v>1064</v>
      </c>
      <c r="X1444" t="s">
        <v>1065</v>
      </c>
      <c r="Y1444">
        <v>133428974.02336583</v>
      </c>
      <c r="Z1444" t="s">
        <v>31</v>
      </c>
      <c r="AA1444">
        <v>3.1005574697626262E-3</v>
      </c>
      <c r="AB1444">
        <v>106.1</v>
      </c>
      <c r="AC1444" t="s">
        <v>55</v>
      </c>
      <c r="AE1444" t="s">
        <v>176</v>
      </c>
      <c r="AF1444">
        <v>9.8111791297699341E-3</v>
      </c>
      <c r="AH1444" t="s">
        <v>237</v>
      </c>
      <c r="AJ1444">
        <v>1.7237454360104262E-3</v>
      </c>
      <c r="AK1444">
        <v>1.7237454360104262E-3</v>
      </c>
      <c r="AL1444">
        <v>0</v>
      </c>
      <c r="AN1444" t="s">
        <v>149</v>
      </c>
      <c r="AQ1444">
        <v>1.6911975246821669E-5</v>
      </c>
    </row>
    <row r="1445" spans="1:43" x14ac:dyDescent="0.2">
      <c r="A1445">
        <v>1443</v>
      </c>
      <c r="B1445">
        <v>91</v>
      </c>
      <c r="C1445">
        <v>17</v>
      </c>
      <c r="D1445">
        <v>69585582.263533548</v>
      </c>
      <c r="E1445" t="s">
        <v>1021</v>
      </c>
      <c r="F1445" t="s">
        <v>61</v>
      </c>
      <c r="G1445" t="s">
        <v>1066</v>
      </c>
      <c r="H1445">
        <v>9.5382102560073491E-3</v>
      </c>
      <c r="I1445">
        <v>3.1203081503028514E-5</v>
      </c>
      <c r="J1445">
        <v>12.01</v>
      </c>
      <c r="L1445" s="1">
        <v>50328</v>
      </c>
      <c r="M1445" s="1">
        <v>43024</v>
      </c>
      <c r="R1445">
        <v>3.9289237581583855E-2</v>
      </c>
      <c r="T1445" t="s">
        <v>32</v>
      </c>
      <c r="V1445">
        <v>66313115.259599999</v>
      </c>
      <c r="W1445" t="s">
        <v>1023</v>
      </c>
      <c r="X1445" t="s">
        <v>1024</v>
      </c>
      <c r="Y1445">
        <v>69585582.263533548</v>
      </c>
      <c r="Z1445" t="s">
        <v>31</v>
      </c>
      <c r="AA1445">
        <v>1.4285338655008776E-3</v>
      </c>
      <c r="AB1445">
        <v>95.29</v>
      </c>
      <c r="AC1445" t="s">
        <v>142</v>
      </c>
      <c r="AE1445" t="s">
        <v>35</v>
      </c>
      <c r="AF1445">
        <v>8.5111791297699316E-3</v>
      </c>
      <c r="AH1445" t="s">
        <v>237</v>
      </c>
      <c r="AJ1445">
        <v>7.9418903047521637E-4</v>
      </c>
      <c r="AK1445">
        <v>7.9418903047521637E-4</v>
      </c>
      <c r="AL1445">
        <v>0</v>
      </c>
      <c r="AN1445" t="s">
        <v>146</v>
      </c>
      <c r="AQ1445">
        <v>6.7594851012728779E-6</v>
      </c>
    </row>
    <row r="1446" spans="1:43" x14ac:dyDescent="0.2">
      <c r="A1446">
        <v>1444</v>
      </c>
      <c r="B1446">
        <v>91</v>
      </c>
      <c r="C1446">
        <v>17</v>
      </c>
      <c r="D1446">
        <v>46009849.5488199</v>
      </c>
      <c r="E1446" t="s">
        <v>1067</v>
      </c>
      <c r="F1446" t="s">
        <v>61</v>
      </c>
      <c r="G1446" t="s">
        <v>1068</v>
      </c>
      <c r="H1446">
        <v>6.0787070668979646E-3</v>
      </c>
      <c r="I1446">
        <v>2.3030642829335286E-5</v>
      </c>
      <c r="J1446">
        <v>10.37</v>
      </c>
      <c r="L1446" s="1">
        <v>49628</v>
      </c>
      <c r="M1446" s="1">
        <v>43024</v>
      </c>
      <c r="R1446">
        <v>3.9289237581583855E-2</v>
      </c>
      <c r="T1446" t="s">
        <v>32</v>
      </c>
      <c r="V1446">
        <v>48944963.089500003</v>
      </c>
      <c r="W1446" t="s">
        <v>1069</v>
      </c>
      <c r="X1446" t="s">
        <v>1070</v>
      </c>
      <c r="Y1446">
        <v>46009849.5488199</v>
      </c>
      <c r="Z1446" t="s">
        <v>31</v>
      </c>
      <c r="AA1446">
        <v>1.05438474795405E-3</v>
      </c>
      <c r="AB1446">
        <v>104.89</v>
      </c>
      <c r="AC1446" t="s">
        <v>142</v>
      </c>
      <c r="AE1446" t="s">
        <v>38</v>
      </c>
      <c r="AF1446">
        <v>5.6111791297699352E-3</v>
      </c>
      <c r="AH1446" t="s">
        <v>237</v>
      </c>
      <c r="AJ1446">
        <v>5.8618197366422039E-4</v>
      </c>
      <c r="AK1446">
        <v>5.8618197366422039E-4</v>
      </c>
      <c r="AL1446">
        <v>0</v>
      </c>
      <c r="AN1446" t="s">
        <v>146</v>
      </c>
      <c r="AQ1446">
        <v>3.2891720568720234E-6</v>
      </c>
    </row>
    <row r="1447" spans="1:43" x14ac:dyDescent="0.2">
      <c r="A1447">
        <v>1445</v>
      </c>
      <c r="B1447">
        <v>91</v>
      </c>
      <c r="C1447">
        <v>17</v>
      </c>
      <c r="D1447">
        <v>23000552.657780569</v>
      </c>
      <c r="E1447" t="s">
        <v>1067</v>
      </c>
      <c r="F1447" t="s">
        <v>61</v>
      </c>
      <c r="G1447" t="s">
        <v>1071</v>
      </c>
      <c r="H1447">
        <v>4.7421499457024766E-3</v>
      </c>
      <c r="I1447">
        <v>1.2387995735651569E-5</v>
      </c>
      <c r="J1447">
        <v>15.04</v>
      </c>
      <c r="L1447" s="1">
        <v>51789</v>
      </c>
      <c r="M1447" s="1">
        <v>43024</v>
      </c>
      <c r="R1447">
        <v>3.9289237581583855E-2</v>
      </c>
      <c r="T1447" t="s">
        <v>32</v>
      </c>
      <c r="V1447">
        <v>26327098.1417</v>
      </c>
      <c r="W1447" t="s">
        <v>1069</v>
      </c>
      <c r="X1447" t="s">
        <v>1070</v>
      </c>
      <c r="Y1447">
        <v>23000552.657780569</v>
      </c>
      <c r="Z1447" t="s">
        <v>31</v>
      </c>
      <c r="AA1447">
        <v>5.6714499278993056E-4</v>
      </c>
      <c r="AB1447">
        <v>114.45</v>
      </c>
      <c r="AC1447" t="s">
        <v>142</v>
      </c>
      <c r="AE1447" t="s">
        <v>38</v>
      </c>
      <c r="AF1447">
        <v>8.9111791297699361E-3</v>
      </c>
      <c r="AH1447" t="s">
        <v>237</v>
      </c>
      <c r="AJ1447">
        <v>3.1530252298553704E-4</v>
      </c>
      <c r="AK1447">
        <v>3.1530252298553704E-4</v>
      </c>
      <c r="AL1447">
        <v>0</v>
      </c>
      <c r="AN1447" t="s">
        <v>146</v>
      </c>
      <c r="AQ1447">
        <v>2.8097172623925232E-6</v>
      </c>
    </row>
    <row r="1448" spans="1:43" x14ac:dyDescent="0.2">
      <c r="A1448">
        <v>1446</v>
      </c>
      <c r="B1448">
        <v>91</v>
      </c>
      <c r="C1448">
        <v>17</v>
      </c>
      <c r="D1448">
        <v>158751511.02461317</v>
      </c>
      <c r="E1448" t="s">
        <v>363</v>
      </c>
      <c r="F1448" t="s">
        <v>61</v>
      </c>
      <c r="G1448" t="s">
        <v>947</v>
      </c>
      <c r="H1448">
        <v>1.7954381667001234E-2</v>
      </c>
      <c r="I1448">
        <v>8.3087628615458785E-5</v>
      </c>
      <c r="J1448">
        <v>8.49</v>
      </c>
      <c r="L1448" s="1">
        <v>48653</v>
      </c>
      <c r="M1448" s="1">
        <v>43024</v>
      </c>
      <c r="R1448">
        <v>3.9289237581583855E-2</v>
      </c>
      <c r="T1448" t="s">
        <v>32</v>
      </c>
      <c r="V1448">
        <v>176578697.6036</v>
      </c>
      <c r="W1448" t="s">
        <v>364</v>
      </c>
      <c r="X1448" t="s">
        <v>404</v>
      </c>
      <c r="Y1448">
        <v>158751511.02461317</v>
      </c>
      <c r="Z1448" t="s">
        <v>31</v>
      </c>
      <c r="AA1448">
        <v>3.8039028699720727E-3</v>
      </c>
      <c r="AB1448">
        <v>110.86</v>
      </c>
      <c r="AC1448" t="s">
        <v>142</v>
      </c>
      <c r="AE1448" t="s">
        <v>44</v>
      </c>
      <c r="AF1448">
        <v>3.7111791297699363E-3</v>
      </c>
      <c r="AH1448" t="s">
        <v>237</v>
      </c>
      <c r="AJ1448">
        <v>2.1147681586573893E-3</v>
      </c>
      <c r="AK1448">
        <v>2.1147681586573893E-3</v>
      </c>
      <c r="AL1448">
        <v>0</v>
      </c>
      <c r="AN1448" t="s">
        <v>146</v>
      </c>
      <c r="AQ1448">
        <v>7.8482834547113004E-6</v>
      </c>
    </row>
    <row r="1449" spans="1:43" x14ac:dyDescent="0.2">
      <c r="A1449">
        <v>1447</v>
      </c>
      <c r="B1449">
        <v>91</v>
      </c>
      <c r="C1449">
        <v>17</v>
      </c>
      <c r="D1449">
        <v>28753572.859821606</v>
      </c>
      <c r="E1449" t="s">
        <v>369</v>
      </c>
      <c r="F1449" t="s">
        <v>61</v>
      </c>
      <c r="G1449" t="s">
        <v>1631</v>
      </c>
      <c r="H1449">
        <v>4.3793784035899425E-3</v>
      </c>
      <c r="I1449">
        <v>1.4556889894949463E-5</v>
      </c>
      <c r="J1449">
        <v>11.82</v>
      </c>
      <c r="L1449" s="1">
        <v>48611</v>
      </c>
      <c r="M1449" s="1">
        <v>43024</v>
      </c>
      <c r="R1449">
        <v>3.9289237581583855E-2</v>
      </c>
      <c r="T1449" t="s">
        <v>32</v>
      </c>
      <c r="V1449">
        <v>30936454.700199999</v>
      </c>
      <c r="W1449" t="s">
        <v>371</v>
      </c>
      <c r="X1449" t="s">
        <v>739</v>
      </c>
      <c r="Y1449">
        <v>28753572.859821606</v>
      </c>
      <c r="Z1449" t="s">
        <v>31</v>
      </c>
      <c r="AA1449">
        <v>6.664409151155309E-4</v>
      </c>
      <c r="AB1449">
        <v>106.76</v>
      </c>
      <c r="AC1449" t="s">
        <v>142</v>
      </c>
      <c r="AE1449" t="s">
        <v>177</v>
      </c>
      <c r="AF1449">
        <v>8.6111791297699344E-3</v>
      </c>
      <c r="AH1449" t="s">
        <v>237</v>
      </c>
      <c r="AJ1449">
        <v>3.7050578710574807E-4</v>
      </c>
      <c r="AK1449">
        <v>3.7050578710574807E-4</v>
      </c>
      <c r="AL1449">
        <v>0</v>
      </c>
      <c r="AN1449" t="s">
        <v>146</v>
      </c>
      <c r="AQ1449">
        <v>3.1904917013840003E-6</v>
      </c>
    </row>
    <row r="1450" spans="1:43" x14ac:dyDescent="0.2">
      <c r="A1450">
        <v>1448</v>
      </c>
      <c r="B1450">
        <v>91</v>
      </c>
      <c r="C1450">
        <v>17</v>
      </c>
      <c r="D1450">
        <v>61556179.857407555</v>
      </c>
      <c r="E1450" t="s">
        <v>1072</v>
      </c>
      <c r="F1450" t="s">
        <v>61</v>
      </c>
      <c r="G1450" t="s">
        <v>1073</v>
      </c>
      <c r="H1450">
        <v>9.9713624022890773E-2</v>
      </c>
      <c r="I1450">
        <v>3.3256980172802062E-4</v>
      </c>
      <c r="J1450">
        <v>11.78</v>
      </c>
      <c r="L1450" s="1">
        <v>49195</v>
      </c>
      <c r="M1450" s="1">
        <v>43024</v>
      </c>
      <c r="R1450">
        <v>3.9289237581583855E-2</v>
      </c>
      <c r="T1450" t="s">
        <v>32</v>
      </c>
      <c r="V1450">
        <v>706780822.00670004</v>
      </c>
      <c r="W1450" t="s">
        <v>1074</v>
      </c>
      <c r="X1450" t="s">
        <v>1075</v>
      </c>
      <c r="Y1450">
        <v>61556179.857407555</v>
      </c>
      <c r="Z1450" t="s">
        <v>31</v>
      </c>
      <c r="AA1450">
        <v>1.5225650850070004E-2</v>
      </c>
      <c r="AB1450">
        <v>118.26</v>
      </c>
      <c r="AC1450" t="s">
        <v>142</v>
      </c>
      <c r="AE1450" t="s">
        <v>41</v>
      </c>
      <c r="AF1450">
        <v>8.3111791297699328E-3</v>
      </c>
      <c r="AH1450" t="s">
        <v>237</v>
      </c>
      <c r="AJ1450">
        <v>8.464653991756433E-3</v>
      </c>
      <c r="AK1450">
        <v>8.464653991756433E-3</v>
      </c>
      <c r="AL1450">
        <v>0</v>
      </c>
      <c r="AN1450" t="s">
        <v>146</v>
      </c>
      <c r="AQ1450">
        <v>7.0351255597009816E-5</v>
      </c>
    </row>
    <row r="1451" spans="1:43" x14ac:dyDescent="0.2">
      <c r="A1451">
        <v>1449</v>
      </c>
      <c r="B1451">
        <v>91</v>
      </c>
      <c r="C1451">
        <v>17</v>
      </c>
      <c r="D1451">
        <v>74773333.181451231</v>
      </c>
      <c r="E1451" t="s">
        <v>1072</v>
      </c>
      <c r="F1451" t="s">
        <v>61</v>
      </c>
      <c r="G1451" t="s">
        <v>1076</v>
      </c>
      <c r="H1451">
        <v>6.423800880588347E-2</v>
      </c>
      <c r="I1451">
        <v>1.9091243492755155E-4</v>
      </c>
      <c r="J1451">
        <v>13.22</v>
      </c>
      <c r="L1451" s="1">
        <v>49926</v>
      </c>
      <c r="M1451" s="1">
        <v>43024</v>
      </c>
      <c r="R1451">
        <v>3.9289237581583855E-2</v>
      </c>
      <c r="T1451" t="s">
        <v>32</v>
      </c>
      <c r="V1451">
        <v>405729104.05059999</v>
      </c>
      <c r="W1451" t="s">
        <v>1074</v>
      </c>
      <c r="X1451" t="s">
        <v>1075</v>
      </c>
      <c r="Y1451">
        <v>74773333.181451231</v>
      </c>
      <c r="Z1451" t="s">
        <v>31</v>
      </c>
      <c r="AA1451">
        <v>8.7403187602727566E-3</v>
      </c>
      <c r="AB1451">
        <v>118.31</v>
      </c>
      <c r="AC1451" t="s">
        <v>142</v>
      </c>
      <c r="AE1451" t="s">
        <v>41</v>
      </c>
      <c r="AF1451">
        <v>7.9111791297699352E-3</v>
      </c>
      <c r="AH1451" t="s">
        <v>237</v>
      </c>
      <c r="AJ1451">
        <v>4.8591534648928496E-3</v>
      </c>
      <c r="AK1451">
        <v>4.8591534648928496E-3</v>
      </c>
      <c r="AL1451">
        <v>0</v>
      </c>
      <c r="AN1451" t="s">
        <v>146</v>
      </c>
      <c r="AQ1451">
        <v>3.8441633479809577E-5</v>
      </c>
    </row>
    <row r="1452" spans="1:43" x14ac:dyDescent="0.2">
      <c r="A1452">
        <v>1450</v>
      </c>
      <c r="B1452">
        <v>91</v>
      </c>
      <c r="C1452">
        <v>17</v>
      </c>
      <c r="D1452">
        <v>23003801.505005382</v>
      </c>
      <c r="E1452" t="s">
        <v>398</v>
      </c>
      <c r="F1452" t="s">
        <v>61</v>
      </c>
      <c r="G1452" t="s">
        <v>1077</v>
      </c>
      <c r="H1452">
        <v>2.3284085653588241E-3</v>
      </c>
      <c r="I1452">
        <v>1.2262921891605586E-5</v>
      </c>
      <c r="J1452">
        <v>7.46</v>
      </c>
      <c r="L1452" s="1">
        <v>47939</v>
      </c>
      <c r="M1452" s="1">
        <v>43024</v>
      </c>
      <c r="R1452">
        <v>3.9289237581583855E-2</v>
      </c>
      <c r="T1452" t="s">
        <v>32</v>
      </c>
      <c r="V1452">
        <v>26061289.899799999</v>
      </c>
      <c r="W1452" t="s">
        <v>399</v>
      </c>
      <c r="X1452" t="s">
        <v>1078</v>
      </c>
      <c r="Y1452">
        <v>23003801.505005382</v>
      </c>
      <c r="Z1452" t="s">
        <v>31</v>
      </c>
      <c r="AA1452">
        <v>5.6141888455633448E-4</v>
      </c>
      <c r="AB1452">
        <v>113.09</v>
      </c>
      <c r="AC1452" t="s">
        <v>55</v>
      </c>
      <c r="AE1452" t="s">
        <v>35</v>
      </c>
      <c r="AF1452">
        <v>1.1111791297699347E-3</v>
      </c>
      <c r="AH1452" t="s">
        <v>237</v>
      </c>
      <c r="AJ1452">
        <v>3.1211911063791211E-4</v>
      </c>
      <c r="AK1452">
        <v>3.1211911063791211E-4</v>
      </c>
      <c r="AL1452">
        <v>0</v>
      </c>
      <c r="AN1452" t="s">
        <v>149</v>
      </c>
      <c r="AQ1452">
        <v>3.4682024174320117E-7</v>
      </c>
    </row>
    <row r="1453" spans="1:43" x14ac:dyDescent="0.2">
      <c r="A1453">
        <v>1451</v>
      </c>
      <c r="B1453">
        <v>91</v>
      </c>
      <c r="C1453">
        <v>17</v>
      </c>
      <c r="D1453">
        <v>87989541.799636126</v>
      </c>
      <c r="E1453" t="s">
        <v>398</v>
      </c>
      <c r="F1453" t="s">
        <v>61</v>
      </c>
      <c r="G1453" t="s">
        <v>1079</v>
      </c>
      <c r="H1453">
        <v>1.3677580350175805E-2</v>
      </c>
      <c r="I1453">
        <v>4.7056191236362532E-5</v>
      </c>
      <c r="J1453">
        <v>11.42</v>
      </c>
      <c r="L1453" s="1">
        <v>48533</v>
      </c>
      <c r="M1453" s="1">
        <v>43024</v>
      </c>
      <c r="R1453">
        <v>3.9289237581583855E-2</v>
      </c>
      <c r="T1453" t="s">
        <v>32</v>
      </c>
      <c r="V1453">
        <v>100004309.9215</v>
      </c>
      <c r="W1453" t="s">
        <v>399</v>
      </c>
      <c r="X1453" t="s">
        <v>1078</v>
      </c>
      <c r="Y1453">
        <v>87989541.799636126</v>
      </c>
      <c r="Z1453" t="s">
        <v>31</v>
      </c>
      <c r="AA1453">
        <v>2.1543180841323349E-3</v>
      </c>
      <c r="AB1453">
        <v>111.7</v>
      </c>
      <c r="AC1453" t="s">
        <v>55</v>
      </c>
      <c r="AE1453" t="s">
        <v>35</v>
      </c>
      <c r="AF1453">
        <v>8.2111791297699369E-3</v>
      </c>
      <c r="AH1453" t="s">
        <v>237</v>
      </c>
      <c r="AJ1453">
        <v>1.1976865455495451E-3</v>
      </c>
      <c r="AK1453">
        <v>1.1976865455495451E-3</v>
      </c>
      <c r="AL1453">
        <v>0</v>
      </c>
      <c r="AN1453" t="s">
        <v>149</v>
      </c>
      <c r="AQ1453">
        <v>9.8344187668226756E-6</v>
      </c>
    </row>
    <row r="1454" spans="1:43" x14ac:dyDescent="0.2">
      <c r="A1454">
        <v>1452</v>
      </c>
      <c r="B1454">
        <v>92</v>
      </c>
      <c r="C1454">
        <v>17</v>
      </c>
      <c r="D1454">
        <v>12035050.08105512</v>
      </c>
      <c r="E1454" t="s">
        <v>407</v>
      </c>
      <c r="F1454" t="s">
        <v>61</v>
      </c>
      <c r="G1454" t="s">
        <v>408</v>
      </c>
      <c r="H1454">
        <v>1.1435510972101927E-4</v>
      </c>
      <c r="I1454">
        <v>1.4287642380095679E-6</v>
      </c>
      <c r="J1454">
        <v>0.78</v>
      </c>
      <c r="L1454" s="1">
        <v>43313</v>
      </c>
      <c r="M1454" s="1">
        <v>43024</v>
      </c>
      <c r="R1454">
        <v>9.7453984204662249E-3</v>
      </c>
      <c r="T1454" t="s">
        <v>32</v>
      </c>
      <c r="V1454">
        <v>12241553.043199999</v>
      </c>
      <c r="W1454" t="s">
        <v>229</v>
      </c>
      <c r="X1454" t="s">
        <v>409</v>
      </c>
      <c r="Y1454">
        <v>12035050.08105512</v>
      </c>
      <c r="Z1454" t="s">
        <v>31</v>
      </c>
      <c r="AA1454">
        <v>6.5411427381463093E-5</v>
      </c>
      <c r="AB1454">
        <v>101.01</v>
      </c>
      <c r="AC1454" t="s">
        <v>42</v>
      </c>
      <c r="AE1454" t="s">
        <v>41</v>
      </c>
      <c r="AF1454">
        <v>-2.788820870230066E-3</v>
      </c>
      <c r="AH1454" t="s">
        <v>237</v>
      </c>
      <c r="AJ1454">
        <v>1.4660911502694778E-4</v>
      </c>
      <c r="AK1454">
        <v>1.4660911502694778E-4</v>
      </c>
      <c r="AL1454">
        <v>0</v>
      </c>
      <c r="AN1454" t="s">
        <v>142</v>
      </c>
      <c r="AQ1454">
        <v>-4.0886655975311234E-7</v>
      </c>
    </row>
    <row r="1455" spans="1:43" x14ac:dyDescent="0.2">
      <c r="A1455">
        <v>1453</v>
      </c>
      <c r="B1455">
        <v>92</v>
      </c>
      <c r="C1455">
        <v>17</v>
      </c>
      <c r="D1455">
        <v>6181280.1207492594</v>
      </c>
      <c r="E1455" t="s">
        <v>407</v>
      </c>
      <c r="F1455" t="s">
        <v>61</v>
      </c>
      <c r="G1455" t="s">
        <v>410</v>
      </c>
      <c r="H1455">
        <v>4.6005126446303444E-5</v>
      </c>
      <c r="I1455">
        <v>7.3498079771008949E-7</v>
      </c>
      <c r="J1455">
        <v>0.61</v>
      </c>
      <c r="L1455" s="1">
        <v>43252</v>
      </c>
      <c r="M1455" s="1">
        <v>43024</v>
      </c>
      <c r="R1455">
        <v>9.7453984204662249E-3</v>
      </c>
      <c r="T1455" t="s">
        <v>32</v>
      </c>
      <c r="V1455">
        <v>6297264.5741999997</v>
      </c>
      <c r="W1455" t="s">
        <v>229</v>
      </c>
      <c r="X1455" t="s">
        <v>409</v>
      </c>
      <c r="Y1455">
        <v>6181280.1207492594</v>
      </c>
      <c r="Z1455" t="s">
        <v>31</v>
      </c>
      <c r="AA1455">
        <v>3.3648758694547746E-5</v>
      </c>
      <c r="AB1455">
        <v>100.68</v>
      </c>
      <c r="AC1455" t="s">
        <v>42</v>
      </c>
      <c r="AE1455" t="s">
        <v>41</v>
      </c>
      <c r="AF1455">
        <v>-2.8888208702300654E-3</v>
      </c>
      <c r="AH1455" t="s">
        <v>237</v>
      </c>
      <c r="AJ1455">
        <v>7.541824007590729E-5</v>
      </c>
      <c r="AK1455">
        <v>7.541824007590729E-5</v>
      </c>
      <c r="AL1455">
        <v>0</v>
      </c>
      <c r="AN1455" t="s">
        <v>142</v>
      </c>
      <c r="AQ1455">
        <v>-2.1786978592730249E-7</v>
      </c>
    </row>
    <row r="1456" spans="1:43" x14ac:dyDescent="0.2">
      <c r="A1456">
        <v>1454</v>
      </c>
      <c r="B1456">
        <v>92</v>
      </c>
      <c r="C1456">
        <v>17</v>
      </c>
      <c r="D1456">
        <v>37361794.410067879</v>
      </c>
      <c r="E1456" t="s">
        <v>407</v>
      </c>
      <c r="F1456" t="s">
        <v>61</v>
      </c>
      <c r="G1456" t="s">
        <v>446</v>
      </c>
      <c r="H1456">
        <v>4.3006178308071938E-4</v>
      </c>
      <c r="I1456">
        <v>4.4117088647765594E-6</v>
      </c>
      <c r="J1456">
        <v>0.95</v>
      </c>
      <c r="L1456" s="1">
        <v>43374</v>
      </c>
      <c r="M1456" s="1">
        <v>43024</v>
      </c>
      <c r="R1456">
        <v>9.7453984204662249E-3</v>
      </c>
      <c r="T1456" t="s">
        <v>32</v>
      </c>
      <c r="V1456">
        <v>37799216.023599997</v>
      </c>
      <c r="W1456" t="s">
        <v>229</v>
      </c>
      <c r="X1456" t="s">
        <v>409</v>
      </c>
      <c r="Y1456">
        <v>37361794.410067879</v>
      </c>
      <c r="Z1456" t="s">
        <v>31</v>
      </c>
      <c r="AA1456">
        <v>2.0197606180184669E-4</v>
      </c>
      <c r="AB1456">
        <v>101.04</v>
      </c>
      <c r="AC1456" t="s">
        <v>42</v>
      </c>
      <c r="AE1456" t="s">
        <v>41</v>
      </c>
      <c r="AF1456">
        <v>-2.788820870230066E-3</v>
      </c>
      <c r="AH1456" t="s">
        <v>237</v>
      </c>
      <c r="AJ1456">
        <v>4.5269661376917832E-4</v>
      </c>
      <c r="AK1456">
        <v>4.5269661376917832E-4</v>
      </c>
      <c r="AL1456">
        <v>0</v>
      </c>
      <c r="AN1456" t="s">
        <v>142</v>
      </c>
      <c r="AQ1456">
        <v>-1.262489764361964E-6</v>
      </c>
    </row>
    <row r="1457" spans="1:43" x14ac:dyDescent="0.2">
      <c r="A1457">
        <v>1455</v>
      </c>
      <c r="B1457">
        <v>92</v>
      </c>
      <c r="C1457">
        <v>17</v>
      </c>
      <c r="D1457">
        <v>11875754.468003603</v>
      </c>
      <c r="E1457" t="s">
        <v>411</v>
      </c>
      <c r="F1457" t="s">
        <v>61</v>
      </c>
      <c r="G1457" t="s">
        <v>412</v>
      </c>
      <c r="H1457">
        <v>1.7353195202065589E-5</v>
      </c>
      <c r="I1457">
        <v>1.4092816759354339E-6</v>
      </c>
      <c r="J1457">
        <v>0.12</v>
      </c>
      <c r="L1457" s="1">
        <v>43070</v>
      </c>
      <c r="M1457" s="1">
        <v>43024</v>
      </c>
      <c r="R1457">
        <v>9.7453984204662249E-3</v>
      </c>
      <c r="T1457" t="s">
        <v>32</v>
      </c>
      <c r="V1457">
        <v>12074627.8006</v>
      </c>
      <c r="W1457" t="s">
        <v>211</v>
      </c>
      <c r="X1457" t="s">
        <v>413</v>
      </c>
      <c r="Y1457">
        <v>11875754.468003603</v>
      </c>
      <c r="Z1457" t="s">
        <v>31</v>
      </c>
      <c r="AA1457">
        <v>6.4519480228521727E-5</v>
      </c>
      <c r="AB1457">
        <v>100.18</v>
      </c>
      <c r="AC1457" t="s">
        <v>42</v>
      </c>
      <c r="AE1457" t="s">
        <v>41</v>
      </c>
      <c r="AF1457">
        <v>8.1117912976993653E-4</v>
      </c>
      <c r="AH1457" t="s">
        <v>237</v>
      </c>
      <c r="AJ1457">
        <v>1.4460996001721324E-4</v>
      </c>
      <c r="AK1457">
        <v>1.4460996001721324E-4</v>
      </c>
      <c r="AL1457">
        <v>0</v>
      </c>
      <c r="AN1457" t="s">
        <v>142</v>
      </c>
      <c r="AQ1457">
        <v>1.1730458152282835E-7</v>
      </c>
    </row>
    <row r="1458" spans="1:43" x14ac:dyDescent="0.2">
      <c r="A1458">
        <v>1456</v>
      </c>
      <c r="B1458">
        <v>92</v>
      </c>
      <c r="C1458">
        <v>17</v>
      </c>
      <c r="D1458">
        <v>3862982.4465609947</v>
      </c>
      <c r="E1458" t="s">
        <v>411</v>
      </c>
      <c r="F1458" t="s">
        <v>61</v>
      </c>
      <c r="G1458" t="s">
        <v>447</v>
      </c>
      <c r="H1458">
        <v>4.4629539715996683E-5</v>
      </c>
      <c r="I1458">
        <v>4.578238377414829E-7</v>
      </c>
      <c r="J1458">
        <v>0.95</v>
      </c>
      <c r="L1458" s="1">
        <v>43374</v>
      </c>
      <c r="M1458" s="1">
        <v>43024</v>
      </c>
      <c r="R1458">
        <v>9.7453984204662249E-3</v>
      </c>
      <c r="T1458" t="s">
        <v>32</v>
      </c>
      <c r="V1458">
        <v>3922602.9355000001</v>
      </c>
      <c r="W1458" t="s">
        <v>211</v>
      </c>
      <c r="X1458" t="s">
        <v>413</v>
      </c>
      <c r="Y1458">
        <v>3862982.4465609947</v>
      </c>
      <c r="Z1458" t="s">
        <v>31</v>
      </c>
      <c r="AA1458">
        <v>2.0960008599913742E-5</v>
      </c>
      <c r="AB1458">
        <v>101.39</v>
      </c>
      <c r="AC1458" t="s">
        <v>42</v>
      </c>
      <c r="AE1458" t="s">
        <v>41</v>
      </c>
      <c r="AF1458">
        <v>-3.5888208702300646E-3</v>
      </c>
      <c r="AH1458" t="s">
        <v>237</v>
      </c>
      <c r="AJ1458">
        <v>4.6978462858943877E-5</v>
      </c>
      <c r="AK1458">
        <v>4.6978462858943877E-5</v>
      </c>
      <c r="AL1458">
        <v>0</v>
      </c>
      <c r="AN1458" t="s">
        <v>142</v>
      </c>
      <c r="AQ1458">
        <v>-1.6859728795950573E-7</v>
      </c>
    </row>
    <row r="1459" spans="1:43" x14ac:dyDescent="0.2">
      <c r="A1459">
        <v>1457</v>
      </c>
      <c r="B1459">
        <v>92</v>
      </c>
      <c r="C1459">
        <v>17</v>
      </c>
      <c r="D1459">
        <v>35810923.367705882</v>
      </c>
      <c r="E1459" t="s">
        <v>414</v>
      </c>
      <c r="F1459" t="s">
        <v>61</v>
      </c>
      <c r="G1459" t="s">
        <v>415</v>
      </c>
      <c r="H1459">
        <v>3.0674501276830869E-4</v>
      </c>
      <c r="I1459">
        <v>4.2705033755973828E-6</v>
      </c>
      <c r="J1459">
        <v>0.7</v>
      </c>
      <c r="L1459" s="1">
        <v>43282</v>
      </c>
      <c r="M1459" s="1">
        <v>43024</v>
      </c>
      <c r="R1459">
        <v>9.7453984204662249E-3</v>
      </c>
      <c r="T1459" t="s">
        <v>32</v>
      </c>
      <c r="V1459">
        <v>36589377.171400003</v>
      </c>
      <c r="W1459" t="s">
        <v>200</v>
      </c>
      <c r="X1459" t="s">
        <v>305</v>
      </c>
      <c r="Y1459">
        <v>35810923.367705882</v>
      </c>
      <c r="Z1459" t="s">
        <v>31</v>
      </c>
      <c r="AA1459">
        <v>1.9551141749203733E-4</v>
      </c>
      <c r="AB1459">
        <v>101.14</v>
      </c>
      <c r="AC1459" t="s">
        <v>42</v>
      </c>
      <c r="AE1459" t="s">
        <v>41</v>
      </c>
      <c r="AF1459">
        <v>-4.9888208702300665E-3</v>
      </c>
      <c r="AH1459" t="s">
        <v>237</v>
      </c>
      <c r="AJ1459">
        <v>4.3820716109758387E-4</v>
      </c>
      <c r="AK1459">
        <v>4.3820716109758387E-4</v>
      </c>
      <c r="AL1459">
        <v>0</v>
      </c>
      <c r="AN1459" t="s">
        <v>142</v>
      </c>
      <c r="AQ1459">
        <v>-2.1861370307678955E-6</v>
      </c>
    </row>
    <row r="1460" spans="1:43" x14ac:dyDescent="0.2">
      <c r="A1460">
        <v>1458</v>
      </c>
      <c r="B1460">
        <v>92</v>
      </c>
      <c r="C1460">
        <v>17</v>
      </c>
      <c r="D1460">
        <v>23000772.229228109</v>
      </c>
      <c r="E1460" t="s">
        <v>414</v>
      </c>
      <c r="F1460" t="s">
        <v>61</v>
      </c>
      <c r="G1460" t="s">
        <v>416</v>
      </c>
      <c r="H1460">
        <v>8.0810952072454763E-5</v>
      </c>
      <c r="I1460">
        <v>2.7156376713216293E-6</v>
      </c>
      <c r="J1460">
        <v>0.28999999999999998</v>
      </c>
      <c r="L1460" s="1">
        <v>43132</v>
      </c>
      <c r="M1460" s="1">
        <v>43024</v>
      </c>
      <c r="R1460">
        <v>9.7453984204662249E-3</v>
      </c>
      <c r="T1460" t="s">
        <v>32</v>
      </c>
      <c r="V1460">
        <v>23267395.498300001</v>
      </c>
      <c r="W1460" t="s">
        <v>200</v>
      </c>
      <c r="X1460" t="s">
        <v>305</v>
      </c>
      <c r="Y1460">
        <v>23000772.229228109</v>
      </c>
      <c r="Z1460" t="s">
        <v>31</v>
      </c>
      <c r="AA1460">
        <v>1.2432683546131055E-4</v>
      </c>
      <c r="AB1460">
        <v>100.37</v>
      </c>
      <c r="AC1460" t="s">
        <v>42</v>
      </c>
      <c r="AE1460" t="s">
        <v>41</v>
      </c>
      <c r="AF1460">
        <v>1.2111791297699341E-3</v>
      </c>
      <c r="AH1460" t="s">
        <v>237</v>
      </c>
      <c r="AJ1460">
        <v>2.7865845542225784E-4</v>
      </c>
      <c r="AK1460">
        <v>2.7865845542225784E-4</v>
      </c>
      <c r="AL1460">
        <v>0</v>
      </c>
      <c r="AN1460" t="s">
        <v>142</v>
      </c>
      <c r="AQ1460">
        <v>3.3750530554136425E-7</v>
      </c>
    </row>
    <row r="1461" spans="1:43" x14ac:dyDescent="0.2">
      <c r="A1461">
        <v>1459</v>
      </c>
      <c r="B1461">
        <v>92</v>
      </c>
      <c r="C1461">
        <v>17</v>
      </c>
      <c r="D1461">
        <v>22991668.783996306</v>
      </c>
      <c r="E1461" t="s">
        <v>417</v>
      </c>
      <c r="F1461" t="s">
        <v>61</v>
      </c>
      <c r="G1461" t="s">
        <v>816</v>
      </c>
      <c r="H1461">
        <v>7.8418216510434635E-7</v>
      </c>
      <c r="I1461">
        <v>1.9105419082914201E-7</v>
      </c>
      <c r="J1461">
        <v>0.04</v>
      </c>
      <c r="L1461" s="1">
        <v>43040</v>
      </c>
      <c r="M1461" s="1">
        <v>43024</v>
      </c>
      <c r="R1461">
        <v>9.7453984204662249E-3</v>
      </c>
      <c r="T1461" t="s">
        <v>32</v>
      </c>
      <c r="V1461">
        <v>1636939.0756999999</v>
      </c>
      <c r="W1461" t="s">
        <v>216</v>
      </c>
      <c r="X1461" t="s">
        <v>419</v>
      </c>
      <c r="Y1461">
        <v>22991668.783996306</v>
      </c>
      <c r="Z1461" t="s">
        <v>31</v>
      </c>
      <c r="AA1461">
        <v>8.7468086034645872E-6</v>
      </c>
      <c r="AB1461">
        <v>99.94</v>
      </c>
      <c r="AC1461" t="s">
        <v>42</v>
      </c>
      <c r="AE1461" t="s">
        <v>41</v>
      </c>
      <c r="AF1461">
        <v>2.1311179129769937E-2</v>
      </c>
      <c r="AH1461" t="s">
        <v>237</v>
      </c>
      <c r="AJ1461">
        <v>1.9604554127608657E-5</v>
      </c>
      <c r="AK1461">
        <v>1.9604554127608657E-5</v>
      </c>
      <c r="AL1461">
        <v>0</v>
      </c>
      <c r="AN1461" t="s">
        <v>142</v>
      </c>
      <c r="AQ1461">
        <v>4.1779616477273869E-7</v>
      </c>
    </row>
    <row r="1462" spans="1:43" x14ac:dyDescent="0.2">
      <c r="A1462">
        <v>1460</v>
      </c>
      <c r="B1462">
        <v>92</v>
      </c>
      <c r="C1462">
        <v>17</v>
      </c>
      <c r="D1462">
        <v>60046157.354052819</v>
      </c>
      <c r="E1462" t="s">
        <v>417</v>
      </c>
      <c r="F1462" t="s">
        <v>61</v>
      </c>
      <c r="G1462" t="s">
        <v>418</v>
      </c>
      <c r="H1462">
        <v>3.2553002133130237E-4</v>
      </c>
      <c r="I1462">
        <v>7.0498216793253566E-6</v>
      </c>
      <c r="J1462">
        <v>0.45</v>
      </c>
      <c r="L1462" s="1">
        <v>43191</v>
      </c>
      <c r="M1462" s="1">
        <v>43024</v>
      </c>
      <c r="R1462">
        <v>9.7453984204662249E-3</v>
      </c>
      <c r="T1462" t="s">
        <v>32</v>
      </c>
      <c r="V1462">
        <v>60402383.917999998</v>
      </c>
      <c r="W1462" t="s">
        <v>216</v>
      </c>
      <c r="X1462" t="s">
        <v>419</v>
      </c>
      <c r="Y1462">
        <v>60046157.354052819</v>
      </c>
      <c r="Z1462" t="s">
        <v>31</v>
      </c>
      <c r="AA1462">
        <v>3.2275366821322038E-4</v>
      </c>
      <c r="AB1462">
        <v>100.45</v>
      </c>
      <c r="AC1462" t="s">
        <v>42</v>
      </c>
      <c r="AE1462" t="s">
        <v>41</v>
      </c>
      <c r="AF1462">
        <v>1.6111791297699352E-3</v>
      </c>
      <c r="AH1462" t="s">
        <v>237</v>
      </c>
      <c r="AJ1462">
        <v>7.2340004740289413E-4</v>
      </c>
      <c r="AK1462">
        <v>7.2340004740289413E-4</v>
      </c>
      <c r="AL1462">
        <v>0</v>
      </c>
      <c r="AN1462" t="s">
        <v>142</v>
      </c>
      <c r="AQ1462">
        <v>1.1655270588501248E-6</v>
      </c>
    </row>
    <row r="1463" spans="1:43" x14ac:dyDescent="0.2">
      <c r="A1463">
        <v>1461</v>
      </c>
      <c r="B1463">
        <v>93</v>
      </c>
      <c r="C1463">
        <v>17</v>
      </c>
      <c r="D1463">
        <v>62337801.927264184</v>
      </c>
      <c r="E1463" t="s">
        <v>423</v>
      </c>
      <c r="F1463" t="s">
        <v>61</v>
      </c>
      <c r="G1463" t="s">
        <v>424</v>
      </c>
      <c r="H1463">
        <v>2.3902817970056521E-4</v>
      </c>
      <c r="I1463">
        <v>1.8710155955825673E-6</v>
      </c>
      <c r="J1463">
        <v>0.95</v>
      </c>
      <c r="L1463" s="1">
        <v>43556</v>
      </c>
      <c r="M1463" s="1">
        <v>43024</v>
      </c>
      <c r="R1463">
        <v>7.4362145000229692E-3</v>
      </c>
      <c r="T1463" t="s">
        <v>32</v>
      </c>
      <c r="V1463">
        <v>21008790.261500001</v>
      </c>
      <c r="W1463" t="s">
        <v>319</v>
      </c>
      <c r="X1463" t="s">
        <v>425</v>
      </c>
      <c r="Y1463">
        <v>62337801.927264184</v>
      </c>
      <c r="Z1463" t="s">
        <v>31</v>
      </c>
      <c r="AA1463">
        <v>8.5658499495012164E-5</v>
      </c>
      <c r="AB1463">
        <v>100.96</v>
      </c>
      <c r="AC1463" t="s">
        <v>36</v>
      </c>
      <c r="AE1463" t="s">
        <v>178</v>
      </c>
      <c r="AF1463">
        <v>-9.8882087023006646E-4</v>
      </c>
      <c r="AH1463" t="s">
        <v>237</v>
      </c>
      <c r="AJ1463">
        <v>2.5160861021112128E-4</v>
      </c>
      <c r="AK1463">
        <v>2.5160861021112128E-4</v>
      </c>
      <c r="AL1463">
        <v>0</v>
      </c>
      <c r="AN1463" t="s">
        <v>150</v>
      </c>
      <c r="AQ1463">
        <v>-2.487958449063385E-7</v>
      </c>
    </row>
    <row r="1464" spans="1:43" x14ac:dyDescent="0.2">
      <c r="A1464">
        <v>1462</v>
      </c>
      <c r="B1464">
        <v>93</v>
      </c>
      <c r="C1464">
        <v>17</v>
      </c>
      <c r="D1464">
        <v>40901227.114230208</v>
      </c>
      <c r="E1464" t="s">
        <v>426</v>
      </c>
      <c r="F1464" t="s">
        <v>61</v>
      </c>
      <c r="G1464" t="s">
        <v>427</v>
      </c>
      <c r="H1464">
        <v>2.2094187225759146E-4</v>
      </c>
      <c r="I1464">
        <v>3.6510470092091651E-6</v>
      </c>
      <c r="J1464">
        <v>0.45</v>
      </c>
      <c r="L1464" s="1">
        <v>43191</v>
      </c>
      <c r="M1464" s="1">
        <v>43024</v>
      </c>
      <c r="R1464">
        <v>7.4362145000229692E-3</v>
      </c>
      <c r="T1464" t="s">
        <v>32</v>
      </c>
      <c r="V1464">
        <v>40995960.179300003</v>
      </c>
      <c r="W1464" t="s">
        <v>181</v>
      </c>
      <c r="X1464" t="s">
        <v>428</v>
      </c>
      <c r="Y1464">
        <v>40901227.114230208</v>
      </c>
      <c r="Z1464" t="s">
        <v>31</v>
      </c>
      <c r="AA1464">
        <v>1.6715157753521124E-4</v>
      </c>
      <c r="AB1464">
        <v>100.11</v>
      </c>
      <c r="AC1464" t="s">
        <v>33</v>
      </c>
      <c r="AE1464" t="s">
        <v>41</v>
      </c>
      <c r="AF1464">
        <v>4.1111791297699339E-3</v>
      </c>
      <c r="AH1464" t="s">
        <v>237</v>
      </c>
      <c r="AJ1464">
        <v>4.9098193835020324E-4</v>
      </c>
      <c r="AK1464">
        <v>4.9098193835020324E-4</v>
      </c>
      <c r="AL1464">
        <v>0</v>
      </c>
      <c r="AN1464" t="s">
        <v>148</v>
      </c>
      <c r="AQ1464">
        <v>2.0185146980393438E-6</v>
      </c>
    </row>
    <row r="1465" spans="1:43" x14ac:dyDescent="0.2">
      <c r="A1465">
        <v>1463</v>
      </c>
      <c r="B1465">
        <v>93</v>
      </c>
      <c r="C1465">
        <v>17</v>
      </c>
      <c r="D1465">
        <v>26707360.497027263</v>
      </c>
      <c r="E1465" t="s">
        <v>426</v>
      </c>
      <c r="F1465" t="s">
        <v>61</v>
      </c>
      <c r="G1465" t="s">
        <v>429</v>
      </c>
      <c r="H1465">
        <v>1.5384863355739331E-4</v>
      </c>
      <c r="I1465">
        <v>2.3834404993087676E-6</v>
      </c>
      <c r="J1465">
        <v>0.48</v>
      </c>
      <c r="L1465" s="1">
        <v>43199</v>
      </c>
      <c r="M1465" s="1">
        <v>43024</v>
      </c>
      <c r="R1465">
        <v>7.4362145000229692E-3</v>
      </c>
      <c r="T1465" t="s">
        <v>32</v>
      </c>
      <c r="V1465">
        <v>26762578.392700002</v>
      </c>
      <c r="W1465" t="s">
        <v>181</v>
      </c>
      <c r="X1465" t="s">
        <v>428</v>
      </c>
      <c r="Y1465">
        <v>26707360.497027263</v>
      </c>
      <c r="Z1465" t="s">
        <v>31</v>
      </c>
      <c r="AA1465">
        <v>1.0911824427784254E-4</v>
      </c>
      <c r="AB1465">
        <v>100.15</v>
      </c>
      <c r="AC1465" t="s">
        <v>33</v>
      </c>
      <c r="AE1465" t="s">
        <v>41</v>
      </c>
      <c r="AF1465">
        <v>3.3111791297699353E-3</v>
      </c>
      <c r="AH1465" t="s">
        <v>237</v>
      </c>
      <c r="AJ1465">
        <v>3.2051798657790274E-4</v>
      </c>
      <c r="AK1465">
        <v>3.2051798657790274E-4</v>
      </c>
      <c r="AL1465">
        <v>0</v>
      </c>
      <c r="AN1465" t="s">
        <v>148</v>
      </c>
      <c r="AQ1465">
        <v>1.0612924678726318E-6</v>
      </c>
    </row>
    <row r="1466" spans="1:43" x14ac:dyDescent="0.2">
      <c r="A1466">
        <v>1464</v>
      </c>
      <c r="B1466">
        <v>93</v>
      </c>
      <c r="C1466">
        <v>17</v>
      </c>
      <c r="D1466">
        <v>29625415.510485217</v>
      </c>
      <c r="E1466" t="s">
        <v>459</v>
      </c>
      <c r="F1466" t="s">
        <v>61</v>
      </c>
      <c r="G1466" t="s">
        <v>854</v>
      </c>
      <c r="H1466">
        <v>2.3614698799688486E-4</v>
      </c>
      <c r="I1466">
        <v>2.7015994711987465E-6</v>
      </c>
      <c r="J1466">
        <v>0.65</v>
      </c>
      <c r="L1466" s="1">
        <v>43266</v>
      </c>
      <c r="M1466" s="1">
        <v>43024</v>
      </c>
      <c r="R1466">
        <v>7.4362145000229692E-3</v>
      </c>
      <c r="T1466" t="s">
        <v>32</v>
      </c>
      <c r="V1466">
        <v>30335041.992699999</v>
      </c>
      <c r="W1466" t="s">
        <v>249</v>
      </c>
      <c r="X1466" t="s">
        <v>461</v>
      </c>
      <c r="Y1466">
        <v>29625415.510485217</v>
      </c>
      <c r="Z1466" t="s">
        <v>31</v>
      </c>
      <c r="AA1466">
        <v>1.2368414110805348E-4</v>
      </c>
      <c r="AB1466">
        <v>101.15</v>
      </c>
      <c r="AC1466" t="s">
        <v>34</v>
      </c>
      <c r="AE1466" t="s">
        <v>41</v>
      </c>
      <c r="AF1466">
        <v>-4.5888208702300655E-3</v>
      </c>
      <c r="AH1466" t="s">
        <v>237</v>
      </c>
      <c r="AJ1466">
        <v>3.6330305845674594E-4</v>
      </c>
      <c r="AK1466">
        <v>3.6330305845674594E-4</v>
      </c>
      <c r="AL1466">
        <v>0</v>
      </c>
      <c r="AN1466" t="s">
        <v>54</v>
      </c>
      <c r="AQ1466">
        <v>-1.6671326568647293E-6</v>
      </c>
    </row>
    <row r="1467" spans="1:43" x14ac:dyDescent="0.2">
      <c r="A1467">
        <v>1465</v>
      </c>
      <c r="B1467">
        <v>93</v>
      </c>
      <c r="C1467">
        <v>17</v>
      </c>
      <c r="D1467">
        <v>74096393.157494798</v>
      </c>
      <c r="E1467" t="s">
        <v>459</v>
      </c>
      <c r="F1467" t="s">
        <v>61</v>
      </c>
      <c r="G1467" t="s">
        <v>855</v>
      </c>
      <c r="H1467">
        <v>4.7586814228510059E-4</v>
      </c>
      <c r="I1467">
        <v>6.6767124146404877E-6</v>
      </c>
      <c r="J1467">
        <v>0.53</v>
      </c>
      <c r="L1467" s="1">
        <v>43221</v>
      </c>
      <c r="M1467" s="1">
        <v>43024</v>
      </c>
      <c r="R1467">
        <v>7.4362145000229692E-3</v>
      </c>
      <c r="T1467" t="s">
        <v>32</v>
      </c>
      <c r="V1467">
        <v>74969792.387999997</v>
      </c>
      <c r="W1467" t="s">
        <v>249</v>
      </c>
      <c r="X1467" t="s">
        <v>461</v>
      </c>
      <c r="Y1467">
        <v>74096393.157494798</v>
      </c>
      <c r="Z1467" t="s">
        <v>31</v>
      </c>
      <c r="AA1467">
        <v>3.0567204696107793E-4</v>
      </c>
      <c r="AB1467">
        <v>100.17</v>
      </c>
      <c r="AC1467" t="s">
        <v>34</v>
      </c>
      <c r="AE1467" t="s">
        <v>41</v>
      </c>
      <c r="AF1467">
        <v>-4.7888208702300643E-3</v>
      </c>
      <c r="AH1467" t="s">
        <v>237</v>
      </c>
      <c r="AJ1467">
        <v>8.9786441940585017E-4</v>
      </c>
      <c r="AK1467">
        <v>8.9786441940585017E-4</v>
      </c>
      <c r="AL1467">
        <v>0</v>
      </c>
      <c r="AN1467" t="s">
        <v>54</v>
      </c>
      <c r="AQ1467">
        <v>-4.2997118702877351E-6</v>
      </c>
    </row>
    <row r="1468" spans="1:43" x14ac:dyDescent="0.2">
      <c r="A1468">
        <v>1466</v>
      </c>
      <c r="B1468">
        <v>93</v>
      </c>
      <c r="C1468">
        <v>17</v>
      </c>
      <c r="D1468">
        <v>37047841.5563704</v>
      </c>
      <c r="E1468" t="s">
        <v>505</v>
      </c>
      <c r="F1468" t="s">
        <v>61</v>
      </c>
      <c r="G1468" t="s">
        <v>806</v>
      </c>
      <c r="H1468">
        <v>3.0633345987210356E-4</v>
      </c>
      <c r="I1468">
        <v>3.2542304516330586E-6</v>
      </c>
      <c r="J1468">
        <v>0.7</v>
      </c>
      <c r="L1468" s="1">
        <v>43282</v>
      </c>
      <c r="M1468" s="1">
        <v>43024</v>
      </c>
      <c r="R1468">
        <v>7.4362145000229692E-3</v>
      </c>
      <c r="T1468" t="s">
        <v>32</v>
      </c>
      <c r="V1468">
        <v>36540286.025600001</v>
      </c>
      <c r="W1468" t="s">
        <v>206</v>
      </c>
      <c r="X1468" t="s">
        <v>507</v>
      </c>
      <c r="Y1468">
        <v>37047841.5563704</v>
      </c>
      <c r="Z1468" t="s">
        <v>31</v>
      </c>
      <c r="AA1468">
        <v>1.4898459326367615E-4</v>
      </c>
      <c r="AB1468">
        <v>98.64</v>
      </c>
      <c r="AC1468" t="s">
        <v>36</v>
      </c>
      <c r="AE1468" t="s">
        <v>41</v>
      </c>
      <c r="AF1468">
        <v>-3.8888208702300663E-3</v>
      </c>
      <c r="AH1468" t="s">
        <v>237</v>
      </c>
      <c r="AJ1468">
        <v>4.3761922838871938E-4</v>
      </c>
      <c r="AK1468">
        <v>4.3761922838871938E-4</v>
      </c>
      <c r="AL1468">
        <v>0</v>
      </c>
      <c r="AN1468" t="s">
        <v>150</v>
      </c>
      <c r="AQ1468">
        <v>-1.7018227885720298E-6</v>
      </c>
    </row>
    <row r="1469" spans="1:43" x14ac:dyDescent="0.2">
      <c r="A1469">
        <v>1467</v>
      </c>
      <c r="B1469">
        <v>93</v>
      </c>
      <c r="C1469">
        <v>17</v>
      </c>
      <c r="D1469">
        <v>68153396.21744433</v>
      </c>
      <c r="E1469" t="s">
        <v>430</v>
      </c>
      <c r="F1469" t="s">
        <v>61</v>
      </c>
      <c r="G1469" t="s">
        <v>431</v>
      </c>
      <c r="H1469">
        <v>3.311711794935871E-5</v>
      </c>
      <c r="I1469">
        <v>6.1566498173498045E-6</v>
      </c>
      <c r="J1469">
        <v>0.04</v>
      </c>
      <c r="L1469" s="1">
        <v>43040</v>
      </c>
      <c r="M1469" s="1">
        <v>43024</v>
      </c>
      <c r="R1469">
        <v>7.4362145000229692E-3</v>
      </c>
      <c r="T1469" t="s">
        <v>32</v>
      </c>
      <c r="V1469">
        <v>69130244.0405</v>
      </c>
      <c r="W1469" t="s">
        <v>248</v>
      </c>
      <c r="X1469" t="s">
        <v>432</v>
      </c>
      <c r="Y1469">
        <v>68153396.21744433</v>
      </c>
      <c r="Z1469" t="s">
        <v>31</v>
      </c>
      <c r="AA1469">
        <v>2.8186263466511676E-4</v>
      </c>
      <c r="AB1469">
        <v>99.94</v>
      </c>
      <c r="AC1469" t="s">
        <v>34</v>
      </c>
      <c r="AE1469" t="s">
        <v>41</v>
      </c>
      <c r="AF1469">
        <v>2.1411179129769933E-2</v>
      </c>
      <c r="AH1469" t="s">
        <v>237</v>
      </c>
      <c r="AJ1469">
        <v>8.279279487339678E-4</v>
      </c>
      <c r="AK1469">
        <v>8.279279487339678E-4</v>
      </c>
      <c r="AL1469">
        <v>0</v>
      </c>
      <c r="AN1469" t="s">
        <v>54</v>
      </c>
      <c r="AQ1469">
        <v>1.7726913616885964E-5</v>
      </c>
    </row>
    <row r="1470" spans="1:43" x14ac:dyDescent="0.2">
      <c r="A1470">
        <v>1468</v>
      </c>
      <c r="B1470">
        <v>93</v>
      </c>
      <c r="C1470">
        <v>17</v>
      </c>
      <c r="D1470">
        <v>23377517.687444832</v>
      </c>
      <c r="E1470" t="s">
        <v>430</v>
      </c>
      <c r="F1470" t="s">
        <v>61</v>
      </c>
      <c r="G1470" t="s">
        <v>433</v>
      </c>
      <c r="H1470">
        <v>5.9381486296654671E-5</v>
      </c>
      <c r="I1470">
        <v>2.1027308068195179E-6</v>
      </c>
      <c r="J1470">
        <v>0.21</v>
      </c>
      <c r="L1470" s="1">
        <v>43101</v>
      </c>
      <c r="M1470" s="1">
        <v>43024</v>
      </c>
      <c r="R1470">
        <v>7.4362145000229692E-3</v>
      </c>
      <c r="T1470" t="s">
        <v>32</v>
      </c>
      <c r="V1470">
        <v>23610615.860800002</v>
      </c>
      <c r="W1470" t="s">
        <v>248</v>
      </c>
      <c r="X1470" t="s">
        <v>432</v>
      </c>
      <c r="Y1470">
        <v>23377517.687444832</v>
      </c>
      <c r="Z1470" t="s">
        <v>31</v>
      </c>
      <c r="AA1470">
        <v>9.6266843621906995E-5</v>
      </c>
      <c r="AB1470">
        <v>100.11</v>
      </c>
      <c r="AC1470" t="s">
        <v>34</v>
      </c>
      <c r="AE1470" t="s">
        <v>41</v>
      </c>
      <c r="AF1470">
        <v>4.1117912976993548E-4</v>
      </c>
      <c r="AH1470" t="s">
        <v>237</v>
      </c>
      <c r="AJ1470">
        <v>2.8276898236502226E-4</v>
      </c>
      <c r="AK1470">
        <v>2.8276898236502226E-4</v>
      </c>
      <c r="AL1470">
        <v>0</v>
      </c>
      <c r="AN1470" t="s">
        <v>54</v>
      </c>
      <c r="AQ1470">
        <v>1.1626870409478008E-7</v>
      </c>
    </row>
    <row r="1471" spans="1:43" x14ac:dyDescent="0.2">
      <c r="A1471">
        <v>1469</v>
      </c>
      <c r="B1471">
        <v>93</v>
      </c>
      <c r="C1471">
        <v>17</v>
      </c>
      <c r="D1471">
        <v>6951807.2144146292</v>
      </c>
      <c r="E1471" t="s">
        <v>430</v>
      </c>
      <c r="F1471" t="s">
        <v>61</v>
      </c>
      <c r="G1471" t="s">
        <v>474</v>
      </c>
      <c r="H1471">
        <v>1.7330974136809492E-5</v>
      </c>
      <c r="I1471">
        <v>1.3565983281649033E-7</v>
      </c>
      <c r="J1471">
        <v>0.95</v>
      </c>
      <c r="L1471" s="1">
        <v>43647</v>
      </c>
      <c r="M1471" s="1">
        <v>43024</v>
      </c>
      <c r="R1471">
        <v>7.4362145000229692E-3</v>
      </c>
      <c r="T1471" t="s">
        <v>32</v>
      </c>
      <c r="V1471">
        <v>1523263.0777</v>
      </c>
      <c r="W1471" t="s">
        <v>248</v>
      </c>
      <c r="X1471" t="s">
        <v>432</v>
      </c>
      <c r="Y1471">
        <v>6951807.2144146292</v>
      </c>
      <c r="Z1471" t="s">
        <v>31</v>
      </c>
      <c r="AA1471">
        <v>6.2107540675985595E-6</v>
      </c>
      <c r="AB1471">
        <v>100.97</v>
      </c>
      <c r="AC1471" t="s">
        <v>34</v>
      </c>
      <c r="AE1471" t="s">
        <v>41</v>
      </c>
      <c r="AF1471">
        <v>-4.088820870230065E-3</v>
      </c>
      <c r="AH1471" t="s">
        <v>237</v>
      </c>
      <c r="AJ1471">
        <v>1.8243130670325781E-5</v>
      </c>
      <c r="AK1471">
        <v>1.8243130670325781E-5</v>
      </c>
      <c r="AL1471">
        <v>0</v>
      </c>
      <c r="AN1471" t="s">
        <v>54</v>
      </c>
      <c r="AQ1471">
        <v>-7.4592893423162249E-8</v>
      </c>
    </row>
    <row r="1472" spans="1:43" x14ac:dyDescent="0.2">
      <c r="A1472">
        <v>1470</v>
      </c>
      <c r="B1472">
        <v>93</v>
      </c>
      <c r="C1472">
        <v>17</v>
      </c>
      <c r="D1472">
        <v>5408454.184893745</v>
      </c>
      <c r="E1472" t="s">
        <v>326</v>
      </c>
      <c r="F1472" t="s">
        <v>61</v>
      </c>
      <c r="G1472" t="s">
        <v>434</v>
      </c>
      <c r="H1472">
        <v>3.6375797668362348E-5</v>
      </c>
      <c r="I1472">
        <v>4.9181497103886874E-7</v>
      </c>
      <c r="J1472">
        <v>0.55000000000000004</v>
      </c>
      <c r="L1472" s="1">
        <v>43227</v>
      </c>
      <c r="M1472" s="1">
        <v>43024</v>
      </c>
      <c r="R1472">
        <v>7.4362145000229692E-3</v>
      </c>
      <c r="T1472" t="s">
        <v>32</v>
      </c>
      <c r="V1472">
        <v>5522368.4924999997</v>
      </c>
      <c r="W1472" t="s">
        <v>327</v>
      </c>
      <c r="X1472" t="s">
        <v>435</v>
      </c>
      <c r="Y1472">
        <v>5408454.184893745</v>
      </c>
      <c r="Z1472" t="s">
        <v>31</v>
      </c>
      <c r="AA1472">
        <v>2.251618455123308E-5</v>
      </c>
      <c r="AB1472">
        <v>100.56</v>
      </c>
      <c r="AC1472" t="s">
        <v>34</v>
      </c>
      <c r="AE1472" t="s">
        <v>35</v>
      </c>
      <c r="AF1472">
        <v>9.1117912976993592E-4</v>
      </c>
      <c r="AH1472" t="s">
        <v>237</v>
      </c>
      <c r="AJ1472">
        <v>6.6137813942476997E-5</v>
      </c>
      <c r="AK1472">
        <v>6.6137813942476997E-5</v>
      </c>
      <c r="AL1472">
        <v>0</v>
      </c>
      <c r="AN1472" t="s">
        <v>54</v>
      </c>
      <c r="AQ1472">
        <v>6.0263395752992125E-8</v>
      </c>
    </row>
    <row r="1473" spans="1:43" x14ac:dyDescent="0.2">
      <c r="A1473">
        <v>1471</v>
      </c>
      <c r="B1473">
        <v>93</v>
      </c>
      <c r="C1473">
        <v>17</v>
      </c>
      <c r="D1473">
        <v>53790636.394218735</v>
      </c>
      <c r="E1473" t="s">
        <v>332</v>
      </c>
      <c r="F1473" t="s">
        <v>61</v>
      </c>
      <c r="G1473" t="s">
        <v>436</v>
      </c>
      <c r="H1473">
        <v>1.7793692233498225E-4</v>
      </c>
      <c r="I1473">
        <v>2.4503280036238073E-6</v>
      </c>
      <c r="J1473">
        <v>0.54</v>
      </c>
      <c r="L1473" s="1">
        <v>43409</v>
      </c>
      <c r="M1473" s="1">
        <v>43024</v>
      </c>
      <c r="R1473">
        <v>7.4362145000229692E-3</v>
      </c>
      <c r="T1473" t="s">
        <v>32</v>
      </c>
      <c r="V1473">
        <v>27513628.0112</v>
      </c>
      <c r="W1473" t="s">
        <v>333</v>
      </c>
      <c r="X1473" t="s">
        <v>437</v>
      </c>
      <c r="Y1473">
        <v>53790636.394218735</v>
      </c>
      <c r="Z1473" t="s">
        <v>31</v>
      </c>
      <c r="AA1473">
        <v>1.1218047597068339E-4</v>
      </c>
      <c r="AB1473">
        <v>100.72</v>
      </c>
      <c r="AC1473" t="s">
        <v>34</v>
      </c>
      <c r="AE1473" t="s">
        <v>35</v>
      </c>
      <c r="AF1473">
        <v>-2.4888208702300643E-3</v>
      </c>
      <c r="AH1473" t="s">
        <v>237</v>
      </c>
      <c r="AJ1473">
        <v>3.2951281913885599E-4</v>
      </c>
      <c r="AK1473">
        <v>3.2951281913885599E-4</v>
      </c>
      <c r="AL1473">
        <v>0</v>
      </c>
      <c r="AN1473" t="s">
        <v>54</v>
      </c>
      <c r="AQ1473">
        <v>-8.2009838128112933E-7</v>
      </c>
    </row>
    <row r="1474" spans="1:43" x14ac:dyDescent="0.2">
      <c r="A1474">
        <v>1472</v>
      </c>
      <c r="B1474">
        <v>93</v>
      </c>
      <c r="C1474">
        <v>17</v>
      </c>
      <c r="D1474">
        <v>59610588.133293398</v>
      </c>
      <c r="E1474" t="s">
        <v>440</v>
      </c>
      <c r="F1474" t="s">
        <v>61</v>
      </c>
      <c r="G1474" t="s">
        <v>441</v>
      </c>
      <c r="H1474">
        <v>4.9693787749035265E-4</v>
      </c>
      <c r="I1474">
        <v>4.3474548825934092E-6</v>
      </c>
      <c r="J1474">
        <v>0.85</v>
      </c>
      <c r="L1474" s="1">
        <v>43617</v>
      </c>
      <c r="M1474" s="1">
        <v>43024</v>
      </c>
      <c r="R1474">
        <v>7.4362145000229692E-3</v>
      </c>
      <c r="T1474" t="s">
        <v>32</v>
      </c>
      <c r="V1474">
        <v>48815610.097199999</v>
      </c>
      <c r="W1474" t="s">
        <v>442</v>
      </c>
      <c r="X1474" t="s">
        <v>443</v>
      </c>
      <c r="Y1474">
        <v>59610588.133293398</v>
      </c>
      <c r="Z1474" t="s">
        <v>31</v>
      </c>
      <c r="AA1474">
        <v>1.9903439754560934E-4</v>
      </c>
      <c r="AB1474">
        <v>100.95</v>
      </c>
      <c r="AC1474" t="s">
        <v>34</v>
      </c>
      <c r="AE1474" t="s">
        <v>41</v>
      </c>
      <c r="AF1474">
        <v>2.4111791297699338E-3</v>
      </c>
      <c r="AH1474" t="s">
        <v>237</v>
      </c>
      <c r="AJ1474">
        <v>5.8463279704747367E-4</v>
      </c>
      <c r="AK1474">
        <v>5.8463279704747367E-4</v>
      </c>
      <c r="AL1474">
        <v>0</v>
      </c>
      <c r="AN1474" t="s">
        <v>54</v>
      </c>
      <c r="AQ1474">
        <v>1.40965439881989E-6</v>
      </c>
    </row>
    <row r="1475" spans="1:43" x14ac:dyDescent="0.2">
      <c r="A1475">
        <v>1473</v>
      </c>
      <c r="B1475">
        <v>93</v>
      </c>
      <c r="C1475">
        <v>17</v>
      </c>
      <c r="D1475">
        <v>173492557.16577685</v>
      </c>
      <c r="E1475" t="s">
        <v>359</v>
      </c>
      <c r="F1475" t="s">
        <v>61</v>
      </c>
      <c r="G1475" t="s">
        <v>444</v>
      </c>
      <c r="H1475">
        <v>5.2552775146548296E-4</v>
      </c>
      <c r="I1475">
        <v>6.4064542387083463E-6</v>
      </c>
      <c r="J1475">
        <v>0.61</v>
      </c>
      <c r="L1475" s="1">
        <v>43435</v>
      </c>
      <c r="M1475" s="1">
        <v>43024</v>
      </c>
      <c r="R1475">
        <v>7.4362145000229692E-3</v>
      </c>
      <c r="T1475" t="s">
        <v>32</v>
      </c>
      <c r="V1475">
        <v>71935185.221699998</v>
      </c>
      <c r="W1475" t="s">
        <v>360</v>
      </c>
      <c r="X1475" t="s">
        <v>445</v>
      </c>
      <c r="Y1475">
        <v>173492557.16577685</v>
      </c>
      <c r="Z1475" t="s">
        <v>31</v>
      </c>
      <c r="AA1475">
        <v>2.9329913575645584E-4</v>
      </c>
      <c r="AB1475">
        <v>100.59</v>
      </c>
      <c r="AC1475" t="s">
        <v>33</v>
      </c>
      <c r="AE1475" t="s">
        <v>38</v>
      </c>
      <c r="AF1475">
        <v>1.5111791297699358E-3</v>
      </c>
      <c r="AH1475" t="s">
        <v>237</v>
      </c>
      <c r="AJ1475">
        <v>8.6152090404177531E-4</v>
      </c>
      <c r="AK1475">
        <v>8.6152090404177531E-4</v>
      </c>
      <c r="AL1475">
        <v>0</v>
      </c>
      <c r="AN1475" t="s">
        <v>148</v>
      </c>
      <c r="AQ1475">
        <v>1.3019124100484584E-6</v>
      </c>
    </row>
    <row r="1476" spans="1:43" x14ac:dyDescent="0.2">
      <c r="A1476">
        <v>1474</v>
      </c>
      <c r="B1476">
        <v>93</v>
      </c>
      <c r="C1476">
        <v>17</v>
      </c>
      <c r="D1476">
        <v>10000</v>
      </c>
      <c r="E1476" t="s">
        <v>1162</v>
      </c>
      <c r="F1476" t="s">
        <v>61</v>
      </c>
      <c r="G1476" t="s">
        <v>1163</v>
      </c>
      <c r="H1476">
        <v>5.2480958638431892E-4</v>
      </c>
      <c r="I1476">
        <v>3.9420168242647772E-6</v>
      </c>
      <c r="J1476">
        <v>0.99</v>
      </c>
      <c r="L1476" s="1">
        <v>46357</v>
      </c>
      <c r="M1476" s="1">
        <v>43024</v>
      </c>
      <c r="R1476">
        <v>7.4362145000229692E-3</v>
      </c>
      <c r="T1476" t="s">
        <v>32</v>
      </c>
      <c r="V1476">
        <v>44263129</v>
      </c>
      <c r="W1476" t="s">
        <v>941</v>
      </c>
      <c r="X1476" t="s">
        <v>1164</v>
      </c>
      <c r="Y1476">
        <v>10000</v>
      </c>
      <c r="Z1476" t="s">
        <v>31</v>
      </c>
      <c r="AA1476">
        <v>1.8047270527719807E-4</v>
      </c>
      <c r="AB1476">
        <v>99.61</v>
      </c>
      <c r="AC1476" t="s">
        <v>36</v>
      </c>
      <c r="AE1476" t="s">
        <v>178</v>
      </c>
      <c r="AF1476">
        <v>-3.5888208702300646E-3</v>
      </c>
      <c r="AH1476" t="s">
        <v>237</v>
      </c>
      <c r="AJ1476">
        <v>5.3011069331749389E-4</v>
      </c>
      <c r="AK1476">
        <v>5.3011069331749389E-4</v>
      </c>
      <c r="AL1476">
        <v>0</v>
      </c>
      <c r="AN1476" t="s">
        <v>150</v>
      </c>
      <c r="AQ1476">
        <v>-1.9024723197099513E-6</v>
      </c>
    </row>
    <row r="1477" spans="1:43" x14ac:dyDescent="0.2">
      <c r="A1477">
        <v>1475</v>
      </c>
      <c r="B1477">
        <v>93</v>
      </c>
      <c r="C1477">
        <v>17</v>
      </c>
      <c r="D1477">
        <v>37043125.312925376</v>
      </c>
      <c r="E1477" t="s">
        <v>948</v>
      </c>
      <c r="F1477" t="s">
        <v>61</v>
      </c>
      <c r="G1477" t="s">
        <v>949</v>
      </c>
      <c r="H1477">
        <v>5.8373144070951239E-5</v>
      </c>
      <c r="I1477">
        <v>3.3390401565564419E-6</v>
      </c>
      <c r="J1477">
        <v>0.13</v>
      </c>
      <c r="L1477" s="1">
        <v>43072</v>
      </c>
      <c r="M1477" s="1">
        <v>43024</v>
      </c>
      <c r="R1477">
        <v>7.4362145000229692E-3</v>
      </c>
      <c r="T1477" t="s">
        <v>32</v>
      </c>
      <c r="V1477">
        <v>37492575.951499999</v>
      </c>
      <c r="W1477" t="s">
        <v>950</v>
      </c>
      <c r="X1477" t="s">
        <v>951</v>
      </c>
      <c r="Y1477">
        <v>37043125.312925376</v>
      </c>
      <c r="Z1477" t="s">
        <v>31</v>
      </c>
      <c r="AA1477">
        <v>1.5286733592146238E-4</v>
      </c>
      <c r="AB1477">
        <v>99.97</v>
      </c>
      <c r="AC1477" t="s">
        <v>33</v>
      </c>
      <c r="AE1477" t="s">
        <v>35</v>
      </c>
      <c r="AF1477">
        <v>1.2411179129769932E-2</v>
      </c>
      <c r="AH1477" t="s">
        <v>237</v>
      </c>
      <c r="AJ1477">
        <v>4.4902418516116338E-4</v>
      </c>
      <c r="AK1477">
        <v>4.4902418516116338E-4</v>
      </c>
      <c r="AL1477">
        <v>0</v>
      </c>
      <c r="AN1477" t="s">
        <v>148</v>
      </c>
      <c r="AQ1477">
        <v>5.5729195956341808E-6</v>
      </c>
    </row>
    <row r="1478" spans="1:43" x14ac:dyDescent="0.2">
      <c r="A1478">
        <v>1476</v>
      </c>
      <c r="B1478">
        <v>95</v>
      </c>
      <c r="C1478">
        <v>17</v>
      </c>
      <c r="D1478">
        <v>14815371.585953334</v>
      </c>
      <c r="E1478" t="s">
        <v>407</v>
      </c>
      <c r="F1478" t="s">
        <v>61</v>
      </c>
      <c r="G1478" t="s">
        <v>845</v>
      </c>
      <c r="H1478">
        <v>5.2318399681582041E-4</v>
      </c>
      <c r="I1478">
        <v>3.2477345621548275E-6</v>
      </c>
      <c r="J1478">
        <v>2.83</v>
      </c>
      <c r="L1478" s="1">
        <v>44105</v>
      </c>
      <c r="M1478" s="1">
        <v>43024</v>
      </c>
      <c r="R1478">
        <v>1.7567603112550394E-2</v>
      </c>
      <c r="T1478" t="s">
        <v>32</v>
      </c>
      <c r="V1478">
        <v>15436312.5077</v>
      </c>
      <c r="W1478" t="s">
        <v>229</v>
      </c>
      <c r="X1478" t="s">
        <v>409</v>
      </c>
      <c r="Y1478">
        <v>14815371.585953334</v>
      </c>
      <c r="Z1478" t="s">
        <v>31</v>
      </c>
      <c r="AA1478">
        <v>1.4868719961986878E-4</v>
      </c>
      <c r="AB1478">
        <v>104.03</v>
      </c>
      <c r="AC1478" t="s">
        <v>42</v>
      </c>
      <c r="AE1478" t="s">
        <v>41</v>
      </c>
      <c r="AF1478">
        <v>-1.9888208702300639E-3</v>
      </c>
      <c r="AH1478" t="s">
        <v>237</v>
      </c>
      <c r="AJ1478">
        <v>1.8487067025294007E-4</v>
      </c>
      <c r="AK1478">
        <v>1.8487067025294007E-4</v>
      </c>
      <c r="AL1478">
        <v>0</v>
      </c>
      <c r="AN1478" t="s">
        <v>142</v>
      </c>
      <c r="AQ1478">
        <v>-3.6767464729246749E-7</v>
      </c>
    </row>
    <row r="1479" spans="1:43" x14ac:dyDescent="0.2">
      <c r="A1479">
        <v>1477</v>
      </c>
      <c r="B1479">
        <v>95</v>
      </c>
      <c r="C1479">
        <v>17</v>
      </c>
      <c r="D1479">
        <v>37046259.552557051</v>
      </c>
      <c r="E1479" t="s">
        <v>983</v>
      </c>
      <c r="F1479" t="s">
        <v>61</v>
      </c>
      <c r="G1479" t="s">
        <v>984</v>
      </c>
      <c r="H1479">
        <v>1.9544416888607182E-4</v>
      </c>
      <c r="I1479">
        <v>2.258872098455776E-6</v>
      </c>
      <c r="J1479">
        <v>1.52</v>
      </c>
      <c r="L1479" s="1">
        <v>44044</v>
      </c>
      <c r="M1479" s="1">
        <v>43024</v>
      </c>
      <c r="R1479">
        <v>1.7567603112550394E-2</v>
      </c>
      <c r="T1479" t="s">
        <v>32</v>
      </c>
      <c r="V1479">
        <v>10736300.938200001</v>
      </c>
      <c r="W1479" t="s">
        <v>985</v>
      </c>
      <c r="X1479" t="s">
        <v>986</v>
      </c>
      <c r="Y1479">
        <v>37046259.552557051</v>
      </c>
      <c r="Z1479" t="s">
        <v>31</v>
      </c>
      <c r="AA1479">
        <v>1.0341527615360405E-4</v>
      </c>
      <c r="AB1479">
        <v>106.3</v>
      </c>
      <c r="AC1479" t="s">
        <v>42</v>
      </c>
      <c r="AE1479" t="s">
        <v>41</v>
      </c>
      <c r="AF1479">
        <v>3.8111791297699357E-3</v>
      </c>
      <c r="AH1479" t="s">
        <v>237</v>
      </c>
      <c r="AJ1479">
        <v>1.2858169005662619E-4</v>
      </c>
      <c r="AK1479">
        <v>1.2858169005662619E-4</v>
      </c>
      <c r="AL1479">
        <v>0</v>
      </c>
      <c r="AN1479" t="s">
        <v>142</v>
      </c>
      <c r="AQ1479">
        <v>4.9004785361436021E-7</v>
      </c>
    </row>
    <row r="1480" spans="1:43" x14ac:dyDescent="0.2">
      <c r="A1480">
        <v>1478</v>
      </c>
      <c r="B1480">
        <v>95</v>
      </c>
      <c r="C1480">
        <v>17</v>
      </c>
      <c r="D1480">
        <v>40904544.479517341</v>
      </c>
      <c r="E1480" t="s">
        <v>411</v>
      </c>
      <c r="F1480" t="s">
        <v>61</v>
      </c>
      <c r="G1480" t="s">
        <v>448</v>
      </c>
      <c r="H1480">
        <v>5.9349933736980022E-4</v>
      </c>
      <c r="I1480">
        <v>8.835898988537542E-6</v>
      </c>
      <c r="J1480">
        <v>1.18</v>
      </c>
      <c r="L1480" s="1">
        <v>43466</v>
      </c>
      <c r="M1480" s="1">
        <v>43024</v>
      </c>
      <c r="R1480">
        <v>1.7567603112550394E-2</v>
      </c>
      <c r="T1480" t="s">
        <v>32</v>
      </c>
      <c r="V1480">
        <v>41996565.748599999</v>
      </c>
      <c r="W1480" t="s">
        <v>211</v>
      </c>
      <c r="X1480" t="s">
        <v>413</v>
      </c>
      <c r="Y1480">
        <v>40904544.479517341</v>
      </c>
      <c r="Z1480" t="s">
        <v>31</v>
      </c>
      <c r="AA1480">
        <v>4.0452353835776522E-4</v>
      </c>
      <c r="AB1480">
        <v>101.63</v>
      </c>
      <c r="AC1480" t="s">
        <v>42</v>
      </c>
      <c r="AE1480" t="s">
        <v>41</v>
      </c>
      <c r="AF1480">
        <v>-2.788820870230066E-3</v>
      </c>
      <c r="AH1480" t="s">
        <v>237</v>
      </c>
      <c r="AJ1480">
        <v>5.0296554014389854E-4</v>
      </c>
      <c r="AK1480">
        <v>5.0296554014389854E-4</v>
      </c>
      <c r="AL1480">
        <v>0</v>
      </c>
      <c r="AN1480" t="s">
        <v>142</v>
      </c>
      <c r="AQ1480">
        <v>-1.4026807953598423E-6</v>
      </c>
    </row>
    <row r="1481" spans="1:43" x14ac:dyDescent="0.2">
      <c r="A1481">
        <v>1479</v>
      </c>
      <c r="B1481">
        <v>95</v>
      </c>
      <c r="C1481">
        <v>17</v>
      </c>
      <c r="D1481">
        <v>29632964.234278657</v>
      </c>
      <c r="E1481" t="s">
        <v>411</v>
      </c>
      <c r="F1481" t="s">
        <v>61</v>
      </c>
      <c r="G1481" t="s">
        <v>890</v>
      </c>
      <c r="H1481">
        <v>4.2869760897896021E-4</v>
      </c>
      <c r="I1481">
        <v>6.382363940543808E-6</v>
      </c>
      <c r="J1481">
        <v>1.18</v>
      </c>
      <c r="L1481" s="1">
        <v>43466</v>
      </c>
      <c r="M1481" s="1">
        <v>43024</v>
      </c>
      <c r="R1481">
        <v>1.7567603112550394E-2</v>
      </c>
      <c r="T1481" t="s">
        <v>32</v>
      </c>
      <c r="V1481">
        <v>30335041.992699999</v>
      </c>
      <c r="W1481" t="s">
        <v>211</v>
      </c>
      <c r="X1481" t="s">
        <v>413</v>
      </c>
      <c r="Y1481">
        <v>29632964.234278657</v>
      </c>
      <c r="Z1481" t="s">
        <v>31</v>
      </c>
      <c r="AA1481">
        <v>2.9219623805852438E-4</v>
      </c>
      <c r="AB1481">
        <v>101.39</v>
      </c>
      <c r="AC1481" t="s">
        <v>42</v>
      </c>
      <c r="AE1481" t="s">
        <v>41</v>
      </c>
      <c r="AF1481">
        <v>-2.6888208702300666E-3</v>
      </c>
      <c r="AH1481" t="s">
        <v>237</v>
      </c>
      <c r="AJ1481">
        <v>3.6330305845674594E-4</v>
      </c>
      <c r="AK1481">
        <v>3.6330305845674594E-4</v>
      </c>
      <c r="AL1481">
        <v>0</v>
      </c>
      <c r="AN1481" t="s">
        <v>142</v>
      </c>
      <c r="AQ1481">
        <v>-9.7685684579691228E-7</v>
      </c>
    </row>
    <row r="1482" spans="1:43" x14ac:dyDescent="0.2">
      <c r="A1482">
        <v>1480</v>
      </c>
      <c r="B1482">
        <v>95</v>
      </c>
      <c r="C1482">
        <v>17</v>
      </c>
      <c r="D1482">
        <v>29625259.378750794</v>
      </c>
      <c r="E1482" t="s">
        <v>414</v>
      </c>
      <c r="F1482" t="s">
        <v>61</v>
      </c>
      <c r="G1482" t="s">
        <v>963</v>
      </c>
      <c r="H1482">
        <v>1.000271733669915E-3</v>
      </c>
      <c r="I1482">
        <v>6.2983429468873755E-6</v>
      </c>
      <c r="J1482">
        <v>2.79</v>
      </c>
      <c r="L1482" s="1">
        <v>44075</v>
      </c>
      <c r="M1482" s="1">
        <v>43024</v>
      </c>
      <c r="R1482">
        <v>1.7567603112550394E-2</v>
      </c>
      <c r="T1482" t="s">
        <v>32</v>
      </c>
      <c r="V1482">
        <v>29935694.604400001</v>
      </c>
      <c r="W1482" t="s">
        <v>200</v>
      </c>
      <c r="X1482" t="s">
        <v>305</v>
      </c>
      <c r="Y1482">
        <v>29625259.378750794</v>
      </c>
      <c r="Z1482" t="s">
        <v>31</v>
      </c>
      <c r="AA1482">
        <v>2.8834960403811209E-4</v>
      </c>
      <c r="AB1482">
        <v>100.77</v>
      </c>
      <c r="AC1482" t="s">
        <v>42</v>
      </c>
      <c r="AE1482" t="s">
        <v>41</v>
      </c>
      <c r="AF1482">
        <v>-3.7888208702300634E-3</v>
      </c>
      <c r="AH1482" t="s">
        <v>237</v>
      </c>
      <c r="AJ1482">
        <v>3.5852033464871507E-4</v>
      </c>
      <c r="AK1482">
        <v>3.5852033464871507E-4</v>
      </c>
      <c r="AL1482">
        <v>0</v>
      </c>
      <c r="AN1482" t="s">
        <v>142</v>
      </c>
      <c r="AQ1482">
        <v>-1.3583693263189182E-6</v>
      </c>
    </row>
    <row r="1483" spans="1:43" x14ac:dyDescent="0.2">
      <c r="A1483">
        <v>1481</v>
      </c>
      <c r="B1483">
        <v>95</v>
      </c>
      <c r="C1483">
        <v>17</v>
      </c>
      <c r="D1483">
        <v>2317598.5691222693</v>
      </c>
      <c r="E1483" t="s">
        <v>417</v>
      </c>
      <c r="F1483" t="s">
        <v>61</v>
      </c>
      <c r="G1483" t="s">
        <v>449</v>
      </c>
      <c r="H1483">
        <v>4.0256803899700892E-5</v>
      </c>
      <c r="I1483">
        <v>4.9455633111168975E-7</v>
      </c>
      <c r="J1483">
        <v>1.43</v>
      </c>
      <c r="L1483" s="1">
        <v>43556</v>
      </c>
      <c r="M1483" s="1">
        <v>43024</v>
      </c>
      <c r="R1483">
        <v>1.7567603112550394E-2</v>
      </c>
      <c r="T1483" t="s">
        <v>32</v>
      </c>
      <c r="V1483">
        <v>2350600.375</v>
      </c>
      <c r="W1483" t="s">
        <v>216</v>
      </c>
      <c r="X1483" t="s">
        <v>419</v>
      </c>
      <c r="Y1483">
        <v>2317598.5691222693</v>
      </c>
      <c r="Z1483" t="s">
        <v>31</v>
      </c>
      <c r="AA1483">
        <v>2.2641689005053663E-5</v>
      </c>
      <c r="AB1483">
        <v>101.3</v>
      </c>
      <c r="AC1483" t="s">
        <v>42</v>
      </c>
      <c r="AE1483" t="s">
        <v>41</v>
      </c>
      <c r="AF1483">
        <v>-2.5888208702300637E-3</v>
      </c>
      <c r="AH1483" t="s">
        <v>237</v>
      </c>
      <c r="AJ1483">
        <v>2.8151611118671955E-5</v>
      </c>
      <c r="AK1483">
        <v>2.8151611118671955E-5</v>
      </c>
      <c r="AL1483">
        <v>0</v>
      </c>
      <c r="AN1483" t="s">
        <v>142</v>
      </c>
      <c r="AQ1483">
        <v>-7.2879478394618675E-8</v>
      </c>
    </row>
    <row r="1484" spans="1:43" x14ac:dyDescent="0.2">
      <c r="A1484">
        <v>1482</v>
      </c>
      <c r="B1484">
        <v>95</v>
      </c>
      <c r="C1484">
        <v>17</v>
      </c>
      <c r="D1484">
        <v>297583029.52721578</v>
      </c>
      <c r="E1484" t="s">
        <v>450</v>
      </c>
      <c r="F1484" t="s">
        <v>61</v>
      </c>
      <c r="G1484" t="s">
        <v>451</v>
      </c>
      <c r="H1484">
        <v>4.7539375279705811E-3</v>
      </c>
      <c r="I1484">
        <v>3.8309765006076196E-5</v>
      </c>
      <c r="J1484">
        <v>2.1800000000000002</v>
      </c>
      <c r="L1484" s="1">
        <v>44377</v>
      </c>
      <c r="M1484" s="1">
        <v>43024</v>
      </c>
      <c r="R1484">
        <v>1.7567603112550394E-2</v>
      </c>
      <c r="T1484" t="s">
        <v>32</v>
      </c>
      <c r="V1484">
        <v>182084309.35870001</v>
      </c>
      <c r="W1484" t="s">
        <v>452</v>
      </c>
      <c r="X1484" t="s">
        <v>453</v>
      </c>
      <c r="Y1484">
        <v>297583029.52721578</v>
      </c>
      <c r="Z1484" t="s">
        <v>31</v>
      </c>
      <c r="AA1484">
        <v>1.7538907715011606E-3</v>
      </c>
      <c r="AB1484">
        <v>101.75</v>
      </c>
      <c r="AC1484" t="s">
        <v>42</v>
      </c>
      <c r="AE1484" t="s">
        <v>176</v>
      </c>
      <c r="AF1484">
        <v>-2.2888208702300655E-3</v>
      </c>
      <c r="AH1484" t="s">
        <v>237</v>
      </c>
      <c r="AJ1484">
        <v>2.1807052880598995E-3</v>
      </c>
      <c r="AK1484">
        <v>2.1807052880598995E-3</v>
      </c>
      <c r="AL1484">
        <v>0</v>
      </c>
      <c r="AN1484" t="s">
        <v>142</v>
      </c>
      <c r="AQ1484">
        <v>-4.9912437751325647E-6</v>
      </c>
    </row>
    <row r="1485" spans="1:43" x14ac:dyDescent="0.2">
      <c r="A1485">
        <v>1483</v>
      </c>
      <c r="B1485">
        <v>96</v>
      </c>
      <c r="C1485">
        <v>17</v>
      </c>
      <c r="D1485">
        <v>1158485.0592553676</v>
      </c>
      <c r="E1485" t="s">
        <v>454</v>
      </c>
      <c r="F1485" t="s">
        <v>61</v>
      </c>
      <c r="G1485" t="s">
        <v>455</v>
      </c>
      <c r="H1485">
        <v>3.9501808721841895E-5</v>
      </c>
      <c r="I1485">
        <v>2.8001826965323457E-7</v>
      </c>
      <c r="J1485">
        <v>2.76</v>
      </c>
      <c r="L1485" s="1">
        <v>44075</v>
      </c>
      <c r="M1485" s="1">
        <v>43024</v>
      </c>
      <c r="R1485">
        <v>1.9564937638300903E-2</v>
      </c>
      <c r="T1485" t="s">
        <v>32</v>
      </c>
      <c r="V1485">
        <v>1195042.7627999999</v>
      </c>
      <c r="W1485" t="s">
        <v>456</v>
      </c>
      <c r="X1485" t="s">
        <v>457</v>
      </c>
      <c r="Y1485">
        <v>1158485.0592553676</v>
      </c>
      <c r="Z1485" t="s">
        <v>31</v>
      </c>
      <c r="AA1485">
        <v>1.2819746060009409E-5</v>
      </c>
      <c r="AB1485">
        <v>102.74</v>
      </c>
      <c r="AC1485" t="s">
        <v>34</v>
      </c>
      <c r="AE1485" t="s">
        <v>177</v>
      </c>
      <c r="AF1485">
        <v>-1.1888208702300652E-3</v>
      </c>
      <c r="AH1485" t="s">
        <v>237</v>
      </c>
      <c r="AJ1485">
        <v>1.4312249536899239E-5</v>
      </c>
      <c r="AK1485">
        <v>1.4312249536899239E-5</v>
      </c>
      <c r="AL1485">
        <v>0</v>
      </c>
      <c r="AN1485" t="s">
        <v>54</v>
      </c>
      <c r="AQ1485">
        <v>-1.7014700949406402E-8</v>
      </c>
    </row>
    <row r="1486" spans="1:43" x14ac:dyDescent="0.2">
      <c r="A1486">
        <v>1484</v>
      </c>
      <c r="B1486">
        <v>96</v>
      </c>
      <c r="C1486">
        <v>17</v>
      </c>
      <c r="D1486">
        <v>386044.5493688719</v>
      </c>
      <c r="E1486" t="s">
        <v>454</v>
      </c>
      <c r="F1486" t="s">
        <v>61</v>
      </c>
      <c r="G1486" t="s">
        <v>458</v>
      </c>
      <c r="H1486">
        <v>7.8608017113996489E-6</v>
      </c>
      <c r="I1486">
        <v>8.0521515848472849E-8</v>
      </c>
      <c r="J1486">
        <v>1.91</v>
      </c>
      <c r="L1486" s="1">
        <v>44287</v>
      </c>
      <c r="M1486" s="1">
        <v>43024</v>
      </c>
      <c r="R1486">
        <v>1.9564937638300903E-2</v>
      </c>
      <c r="T1486" t="s">
        <v>32</v>
      </c>
      <c r="V1486">
        <v>343644.20179999998</v>
      </c>
      <c r="W1486" t="s">
        <v>456</v>
      </c>
      <c r="X1486" t="s">
        <v>457</v>
      </c>
      <c r="Y1486">
        <v>386044.5493688719</v>
      </c>
      <c r="Z1486" t="s">
        <v>31</v>
      </c>
      <c r="AA1486">
        <v>3.6864215567890212E-6</v>
      </c>
      <c r="AB1486">
        <v>101.61</v>
      </c>
      <c r="AC1486" t="s">
        <v>34</v>
      </c>
      <c r="AE1486" t="s">
        <v>177</v>
      </c>
      <c r="AF1486">
        <v>-2.1888208702300661E-3</v>
      </c>
      <c r="AH1486" t="s">
        <v>237</v>
      </c>
      <c r="AJ1486">
        <v>4.115602990261596E-6</v>
      </c>
      <c r="AK1486">
        <v>4.115602990261596E-6</v>
      </c>
      <c r="AL1486">
        <v>0</v>
      </c>
      <c r="AN1486" t="s">
        <v>54</v>
      </c>
      <c r="AQ1486">
        <v>-9.008317718665849E-9</v>
      </c>
    </row>
    <row r="1487" spans="1:43" x14ac:dyDescent="0.2">
      <c r="A1487">
        <v>1485</v>
      </c>
      <c r="B1487">
        <v>96</v>
      </c>
      <c r="C1487">
        <v>17</v>
      </c>
      <c r="D1487">
        <v>18518010.649566166</v>
      </c>
      <c r="E1487" t="s">
        <v>426</v>
      </c>
      <c r="F1487" t="s">
        <v>61</v>
      </c>
      <c r="G1487" t="s">
        <v>1474</v>
      </c>
      <c r="H1487">
        <v>3.398677117992029E-4</v>
      </c>
      <c r="I1487">
        <v>4.4627453601499518E-6</v>
      </c>
      <c r="J1487">
        <v>1.49</v>
      </c>
      <c r="L1487" s="1">
        <v>43586</v>
      </c>
      <c r="M1487" s="1">
        <v>43024</v>
      </c>
      <c r="R1487">
        <v>1.9564937638300903E-2</v>
      </c>
      <c r="T1487" t="s">
        <v>32</v>
      </c>
      <c r="V1487">
        <v>19045798.516899999</v>
      </c>
      <c r="W1487" t="s">
        <v>181</v>
      </c>
      <c r="X1487" t="s">
        <v>428</v>
      </c>
      <c r="Y1487">
        <v>18518010.649566166</v>
      </c>
      <c r="Z1487" t="s">
        <v>31</v>
      </c>
      <c r="AA1487">
        <v>2.0431260545412326E-4</v>
      </c>
      <c r="AB1487">
        <v>101.45</v>
      </c>
      <c r="AC1487" t="s">
        <v>33</v>
      </c>
      <c r="AE1487" t="s">
        <v>41</v>
      </c>
      <c r="AF1487">
        <v>-3.4888208702300652E-3</v>
      </c>
      <c r="AH1487" t="s">
        <v>237</v>
      </c>
      <c r="AJ1487">
        <v>2.2809913543570665E-4</v>
      </c>
      <c r="AK1487">
        <v>2.2809913543570665E-4</v>
      </c>
      <c r="AL1487">
        <v>0</v>
      </c>
      <c r="AN1487" t="s">
        <v>148</v>
      </c>
      <c r="AQ1487">
        <v>-7.9579702418952762E-7</v>
      </c>
    </row>
    <row r="1488" spans="1:43" x14ac:dyDescent="0.2">
      <c r="A1488">
        <v>1486</v>
      </c>
      <c r="B1488">
        <v>96</v>
      </c>
      <c r="C1488">
        <v>17</v>
      </c>
      <c r="D1488">
        <v>74086318.559962451</v>
      </c>
      <c r="E1488" t="s">
        <v>426</v>
      </c>
      <c r="F1488" t="s">
        <v>61</v>
      </c>
      <c r="G1488" t="s">
        <v>805</v>
      </c>
      <c r="H1488">
        <v>1.79633403732407E-3</v>
      </c>
      <c r="I1488">
        <v>1.7840184476041988E-5</v>
      </c>
      <c r="J1488">
        <v>1.97</v>
      </c>
      <c r="L1488" s="1">
        <v>43770</v>
      </c>
      <c r="M1488" s="1">
        <v>43024</v>
      </c>
      <c r="R1488">
        <v>1.9564937638300903E-2</v>
      </c>
      <c r="T1488" t="s">
        <v>32</v>
      </c>
      <c r="V1488">
        <v>76137115.5229</v>
      </c>
      <c r="W1488" t="s">
        <v>181</v>
      </c>
      <c r="X1488" t="s">
        <v>428</v>
      </c>
      <c r="Y1488">
        <v>74086318.559962451</v>
      </c>
      <c r="Z1488" t="s">
        <v>31</v>
      </c>
      <c r="AA1488">
        <v>8.1675611712693985E-4</v>
      </c>
      <c r="AB1488">
        <v>101.38</v>
      </c>
      <c r="AC1488" t="s">
        <v>33</v>
      </c>
      <c r="AE1488" t="s">
        <v>41</v>
      </c>
      <c r="AF1488">
        <v>-7.888208702300642E-4</v>
      </c>
      <c r="AH1488" t="s">
        <v>237</v>
      </c>
      <c r="AJ1488">
        <v>9.1184468899698987E-4</v>
      </c>
      <c r="AK1488">
        <v>9.1184468899698987E-4</v>
      </c>
      <c r="AL1488">
        <v>0</v>
      </c>
      <c r="AN1488" t="s">
        <v>148</v>
      </c>
      <c r="AQ1488">
        <v>-7.1928212108926783E-7</v>
      </c>
    </row>
    <row r="1489" spans="1:43" x14ac:dyDescent="0.2">
      <c r="A1489">
        <v>1487</v>
      </c>
      <c r="B1489">
        <v>96</v>
      </c>
      <c r="C1489">
        <v>17</v>
      </c>
      <c r="D1489">
        <v>222288090.48553577</v>
      </c>
      <c r="E1489" t="s">
        <v>407</v>
      </c>
      <c r="F1489" t="s">
        <v>61</v>
      </c>
      <c r="G1489" t="s">
        <v>980</v>
      </c>
      <c r="H1489">
        <v>2.4916409059349215E-3</v>
      </c>
      <c r="I1489">
        <v>2.2464884304910741E-5</v>
      </c>
      <c r="J1489">
        <v>2.17</v>
      </c>
      <c r="L1489" s="1">
        <v>44562</v>
      </c>
      <c r="M1489" s="1">
        <v>43024</v>
      </c>
      <c r="R1489">
        <v>1.9564937638300903E-2</v>
      </c>
      <c r="T1489" t="s">
        <v>32</v>
      </c>
      <c r="V1489">
        <v>95874092.211799994</v>
      </c>
      <c r="W1489" t="s">
        <v>229</v>
      </c>
      <c r="X1489" t="s">
        <v>981</v>
      </c>
      <c r="Y1489">
        <v>222288090.48553577</v>
      </c>
      <c r="Z1489" t="s">
        <v>31</v>
      </c>
      <c r="AA1489">
        <v>1.028483292940454E-3</v>
      </c>
      <c r="AB1489">
        <v>108.93</v>
      </c>
      <c r="AC1489" t="s">
        <v>33</v>
      </c>
      <c r="AE1489" t="s">
        <v>41</v>
      </c>
      <c r="AF1489">
        <v>-4.8882087023006601E-4</v>
      </c>
      <c r="AH1489" t="s">
        <v>237</v>
      </c>
      <c r="AJ1489">
        <v>1.1482216156382128E-3</v>
      </c>
      <c r="AK1489">
        <v>1.1482216156382128E-3</v>
      </c>
      <c r="AL1489">
        <v>0</v>
      </c>
      <c r="AN1489" t="s">
        <v>148</v>
      </c>
      <c r="AQ1489">
        <v>-5.6127468937324349E-7</v>
      </c>
    </row>
    <row r="1490" spans="1:43" x14ac:dyDescent="0.2">
      <c r="A1490">
        <v>1488</v>
      </c>
      <c r="B1490">
        <v>96</v>
      </c>
      <c r="C1490">
        <v>17</v>
      </c>
      <c r="D1490">
        <v>79337687.6955899</v>
      </c>
      <c r="E1490" t="s">
        <v>459</v>
      </c>
      <c r="F1490" t="s">
        <v>61</v>
      </c>
      <c r="G1490" t="s">
        <v>460</v>
      </c>
      <c r="H1490">
        <v>1.3808080687733111E-3</v>
      </c>
      <c r="I1490">
        <v>1.8891904724484294E-5</v>
      </c>
      <c r="J1490">
        <v>1.43</v>
      </c>
      <c r="L1490" s="1">
        <v>43556</v>
      </c>
      <c r="M1490" s="1">
        <v>43024</v>
      </c>
      <c r="R1490">
        <v>1.9564937638300903E-2</v>
      </c>
      <c r="T1490" t="s">
        <v>32</v>
      </c>
      <c r="V1490">
        <v>80625575.054299995</v>
      </c>
      <c r="W1490" t="s">
        <v>249</v>
      </c>
      <c r="X1490" t="s">
        <v>461</v>
      </c>
      <c r="Y1490">
        <v>79337687.6955899</v>
      </c>
      <c r="Z1490" t="s">
        <v>31</v>
      </c>
      <c r="AA1490">
        <v>8.6490578438935459E-4</v>
      </c>
      <c r="AB1490">
        <v>101.5</v>
      </c>
      <c r="AC1490" t="s">
        <v>34</v>
      </c>
      <c r="AE1490" t="s">
        <v>41</v>
      </c>
      <c r="AF1490">
        <v>-4.1888208702300644E-3</v>
      </c>
      <c r="AH1490" t="s">
        <v>237</v>
      </c>
      <c r="AJ1490">
        <v>9.6560004809322466E-4</v>
      </c>
      <c r="AK1490">
        <v>9.6560004809322466E-4</v>
      </c>
      <c r="AL1490">
        <v>0</v>
      </c>
      <c r="AN1490" t="s">
        <v>54</v>
      </c>
      <c r="AQ1490">
        <v>-4.0447256337480535E-6</v>
      </c>
    </row>
    <row r="1491" spans="1:43" x14ac:dyDescent="0.2">
      <c r="A1491">
        <v>1489</v>
      </c>
      <c r="B1491">
        <v>96</v>
      </c>
      <c r="C1491">
        <v>17</v>
      </c>
      <c r="D1491">
        <v>129672156.02560523</v>
      </c>
      <c r="E1491" t="s">
        <v>459</v>
      </c>
      <c r="F1491" t="s">
        <v>61</v>
      </c>
      <c r="G1491" t="s">
        <v>857</v>
      </c>
      <c r="H1491">
        <v>4.3567505116091955E-3</v>
      </c>
      <c r="I1491">
        <v>3.0551810776082244E-5</v>
      </c>
      <c r="J1491">
        <v>2.79</v>
      </c>
      <c r="L1491" s="1">
        <v>44075</v>
      </c>
      <c r="M1491" s="1">
        <v>43024</v>
      </c>
      <c r="R1491">
        <v>1.9564937638300903E-2</v>
      </c>
      <c r="T1491" t="s">
        <v>32</v>
      </c>
      <c r="V1491">
        <v>130386922.26620001</v>
      </c>
      <c r="W1491" t="s">
        <v>249</v>
      </c>
      <c r="X1491" t="s">
        <v>461</v>
      </c>
      <c r="Y1491">
        <v>129672156.02560523</v>
      </c>
      <c r="Z1491" t="s">
        <v>31</v>
      </c>
      <c r="AA1491">
        <v>1.3987175062107919E-3</v>
      </c>
      <c r="AB1491">
        <v>100.27</v>
      </c>
      <c r="AC1491" t="s">
        <v>34</v>
      </c>
      <c r="AE1491" t="s">
        <v>41</v>
      </c>
      <c r="AF1491">
        <v>-1.5888208702300663E-3</v>
      </c>
      <c r="AH1491" t="s">
        <v>237</v>
      </c>
      <c r="AJ1491">
        <v>1.5615593231574176E-3</v>
      </c>
      <c r="AK1491">
        <v>1.5615593231574176E-3</v>
      </c>
      <c r="AL1491">
        <v>0</v>
      </c>
      <c r="AN1491" t="s">
        <v>54</v>
      </c>
      <c r="AQ1491">
        <v>-2.4810380427348415E-6</v>
      </c>
    </row>
    <row r="1492" spans="1:43" x14ac:dyDescent="0.2">
      <c r="A1492">
        <v>1490</v>
      </c>
      <c r="B1492">
        <v>96</v>
      </c>
      <c r="C1492">
        <v>17</v>
      </c>
      <c r="D1492">
        <v>772297.26025750535</v>
      </c>
      <c r="E1492" t="s">
        <v>462</v>
      </c>
      <c r="F1492" t="s">
        <v>61</v>
      </c>
      <c r="G1492" t="s">
        <v>463</v>
      </c>
      <c r="H1492">
        <v>2.5318495041597972E-5</v>
      </c>
      <c r="I1492">
        <v>1.9125667049594401E-7</v>
      </c>
      <c r="J1492">
        <v>2.59</v>
      </c>
      <c r="L1492" s="1">
        <v>44021</v>
      </c>
      <c r="M1492" s="1">
        <v>43024</v>
      </c>
      <c r="R1492">
        <v>1.9564937638300903E-2</v>
      </c>
      <c r="T1492" t="s">
        <v>32</v>
      </c>
      <c r="V1492">
        <v>816232.09869999997</v>
      </c>
      <c r="W1492" t="s">
        <v>220</v>
      </c>
      <c r="X1492" t="s">
        <v>464</v>
      </c>
      <c r="Y1492">
        <v>772297.26025750535</v>
      </c>
      <c r="Z1492" t="s">
        <v>31</v>
      </c>
      <c r="AA1492">
        <v>8.7560784911541709E-6</v>
      </c>
      <c r="AB1492">
        <v>104.56</v>
      </c>
      <c r="AC1492" t="s">
        <v>33</v>
      </c>
      <c r="AE1492" t="s">
        <v>41</v>
      </c>
      <c r="AF1492">
        <v>-9.8882087023006646E-4</v>
      </c>
      <c r="AH1492" t="s">
        <v>237</v>
      </c>
      <c r="AJ1492">
        <v>9.7754807110416891E-6</v>
      </c>
      <c r="AK1492">
        <v>9.7754807110416891E-6</v>
      </c>
      <c r="AL1492">
        <v>0</v>
      </c>
      <c r="AN1492" t="s">
        <v>148</v>
      </c>
      <c r="AQ1492">
        <v>-9.6661993436094724E-9</v>
      </c>
    </row>
    <row r="1493" spans="1:43" x14ac:dyDescent="0.2">
      <c r="A1493">
        <v>1491</v>
      </c>
      <c r="B1493">
        <v>96</v>
      </c>
      <c r="C1493">
        <v>17</v>
      </c>
      <c r="D1493">
        <v>109372412.25641388</v>
      </c>
      <c r="E1493" t="s">
        <v>462</v>
      </c>
      <c r="F1493" t="s">
        <v>61</v>
      </c>
      <c r="G1493" t="s">
        <v>465</v>
      </c>
      <c r="H1493">
        <v>3.5059548064512972E-3</v>
      </c>
      <c r="I1493">
        <v>2.6382225827277284E-5</v>
      </c>
      <c r="J1493">
        <v>2.6</v>
      </c>
      <c r="L1493" s="1">
        <v>44013</v>
      </c>
      <c r="M1493" s="1">
        <v>43024</v>
      </c>
      <c r="R1493">
        <v>1.9564937638300903E-2</v>
      </c>
      <c r="T1493" t="s">
        <v>32</v>
      </c>
      <c r="V1493">
        <v>112592253.6429</v>
      </c>
      <c r="W1493" t="s">
        <v>220</v>
      </c>
      <c r="X1493" t="s">
        <v>464</v>
      </c>
      <c r="Y1493">
        <v>109372412.25641388</v>
      </c>
      <c r="Z1493" t="s">
        <v>31</v>
      </c>
      <c r="AA1493">
        <v>1.2078263179839974E-3</v>
      </c>
      <c r="AB1493">
        <v>102.05</v>
      </c>
      <c r="AC1493" t="s">
        <v>33</v>
      </c>
      <c r="AE1493" t="s">
        <v>41</v>
      </c>
      <c r="AF1493">
        <v>-1.388820870230064E-3</v>
      </c>
      <c r="AH1493" t="s">
        <v>237</v>
      </c>
      <c r="AJ1493">
        <v>1.348444156327422E-3</v>
      </c>
      <c r="AK1493">
        <v>1.348444156327422E-3</v>
      </c>
      <c r="AL1493">
        <v>0</v>
      </c>
      <c r="AN1493" t="s">
        <v>148</v>
      </c>
      <c r="AQ1493">
        <v>-1.8727473866472948E-6</v>
      </c>
    </row>
    <row r="1494" spans="1:43" x14ac:dyDescent="0.2">
      <c r="A1494">
        <v>1492</v>
      </c>
      <c r="B1494">
        <v>96</v>
      </c>
      <c r="C1494">
        <v>17</v>
      </c>
      <c r="D1494">
        <v>44456254.267380774</v>
      </c>
      <c r="E1494" t="s">
        <v>300</v>
      </c>
      <c r="F1494" t="s">
        <v>61</v>
      </c>
      <c r="G1494" t="s">
        <v>899</v>
      </c>
      <c r="H1494">
        <v>1.3675131812307469E-3</v>
      </c>
      <c r="I1494">
        <v>1.0876142321274002E-5</v>
      </c>
      <c r="J1494">
        <v>2.46</v>
      </c>
      <c r="L1494" s="1">
        <v>43966</v>
      </c>
      <c r="M1494" s="1">
        <v>43024</v>
      </c>
      <c r="R1494">
        <v>1.9564937638300903E-2</v>
      </c>
      <c r="T1494" t="s">
        <v>32</v>
      </c>
      <c r="V1494">
        <v>46416454.127499998</v>
      </c>
      <c r="W1494" t="s">
        <v>213</v>
      </c>
      <c r="X1494" t="s">
        <v>302</v>
      </c>
      <c r="Y1494">
        <v>44456254.267380774</v>
      </c>
      <c r="Z1494" t="s">
        <v>31</v>
      </c>
      <c r="AA1494">
        <v>4.9792959167956703E-4</v>
      </c>
      <c r="AB1494">
        <v>102.98</v>
      </c>
      <c r="AC1494" t="s">
        <v>33</v>
      </c>
      <c r="AE1494" t="s">
        <v>41</v>
      </c>
      <c r="AF1494">
        <v>-2.8888208702300654E-3</v>
      </c>
      <c r="AH1494" t="s">
        <v>237</v>
      </c>
      <c r="AJ1494">
        <v>5.5589966716697032E-4</v>
      </c>
      <c r="AK1494">
        <v>5.5589966716697032E-4</v>
      </c>
      <c r="AL1494">
        <v>0</v>
      </c>
      <c r="AN1494" t="s">
        <v>148</v>
      </c>
      <c r="AQ1494">
        <v>-1.605894560265891E-6</v>
      </c>
    </row>
    <row r="1495" spans="1:43" x14ac:dyDescent="0.2">
      <c r="A1495">
        <v>1493</v>
      </c>
      <c r="B1495">
        <v>96</v>
      </c>
      <c r="C1495">
        <v>17</v>
      </c>
      <c r="D1495">
        <v>29631327.822801769</v>
      </c>
      <c r="E1495" t="s">
        <v>466</v>
      </c>
      <c r="F1495" t="s">
        <v>61</v>
      </c>
      <c r="G1495" t="s">
        <v>813</v>
      </c>
      <c r="H1495">
        <v>8.9922565618267484E-4</v>
      </c>
      <c r="I1495">
        <v>7.2699561512290264E-6</v>
      </c>
      <c r="J1495">
        <v>2.42</v>
      </c>
      <c r="L1495" s="1">
        <v>43952</v>
      </c>
      <c r="M1495" s="1">
        <v>43024</v>
      </c>
      <c r="R1495">
        <v>1.9564937638300903E-2</v>
      </c>
      <c r="T1495" t="s">
        <v>32</v>
      </c>
      <c r="V1495">
        <v>31026220.164700001</v>
      </c>
      <c r="W1495" t="s">
        <v>250</v>
      </c>
      <c r="X1495" t="s">
        <v>814</v>
      </c>
      <c r="Y1495">
        <v>29631327.822801769</v>
      </c>
      <c r="Z1495" t="s">
        <v>31</v>
      </c>
      <c r="AA1495">
        <v>3.3283182501475368E-4</v>
      </c>
      <c r="AB1495">
        <v>103.04</v>
      </c>
      <c r="AC1495" t="s">
        <v>33</v>
      </c>
      <c r="AE1495" t="s">
        <v>41</v>
      </c>
      <c r="AF1495">
        <v>-1.0888208702300659E-3</v>
      </c>
      <c r="AH1495" t="s">
        <v>237</v>
      </c>
      <c r="AJ1495">
        <v>3.7158084966226236E-4</v>
      </c>
      <c r="AK1495">
        <v>3.7158084966226236E-4</v>
      </c>
      <c r="AL1495">
        <v>0</v>
      </c>
      <c r="AN1495" t="s">
        <v>148</v>
      </c>
      <c r="AQ1495">
        <v>-4.0458498409009176E-7</v>
      </c>
    </row>
    <row r="1496" spans="1:43" x14ac:dyDescent="0.2">
      <c r="A1496">
        <v>1494</v>
      </c>
      <c r="B1496">
        <v>96</v>
      </c>
      <c r="C1496">
        <v>17</v>
      </c>
      <c r="D1496">
        <v>7726497.87559726</v>
      </c>
      <c r="E1496" t="s">
        <v>466</v>
      </c>
      <c r="F1496" t="s">
        <v>61</v>
      </c>
      <c r="G1496" t="s">
        <v>467</v>
      </c>
      <c r="H1496">
        <v>1.2696154948218356E-4</v>
      </c>
      <c r="I1496">
        <v>1.8399961467266486E-6</v>
      </c>
      <c r="J1496">
        <v>1.35</v>
      </c>
      <c r="L1496" s="1">
        <v>43525</v>
      </c>
      <c r="M1496" s="1">
        <v>43024</v>
      </c>
      <c r="R1496">
        <v>1.9564937638300903E-2</v>
      </c>
      <c r="T1496" t="s">
        <v>32</v>
      </c>
      <c r="V1496">
        <v>7852609.3366999999</v>
      </c>
      <c r="W1496" t="s">
        <v>250</v>
      </c>
      <c r="X1496" t="s">
        <v>468</v>
      </c>
      <c r="Y1496">
        <v>7726497.87559726</v>
      </c>
      <c r="Z1496" t="s">
        <v>31</v>
      </c>
      <c r="AA1496">
        <v>8.4238372666334954E-5</v>
      </c>
      <c r="AB1496">
        <v>101.26</v>
      </c>
      <c r="AC1496" t="s">
        <v>33</v>
      </c>
      <c r="AE1496" t="s">
        <v>41</v>
      </c>
      <c r="AF1496">
        <v>-2.788820870230066E-3</v>
      </c>
      <c r="AH1496" t="s">
        <v>237</v>
      </c>
      <c r="AJ1496">
        <v>9.4045592209024859E-5</v>
      </c>
      <c r="AK1496">
        <v>9.4045592209024859E-5</v>
      </c>
      <c r="AL1496">
        <v>0</v>
      </c>
      <c r="AN1496" t="s">
        <v>148</v>
      </c>
      <c r="AQ1496">
        <v>-2.622763103056746E-7</v>
      </c>
    </row>
    <row r="1497" spans="1:43" x14ac:dyDescent="0.2">
      <c r="A1497">
        <v>1495</v>
      </c>
      <c r="B1497">
        <v>96</v>
      </c>
      <c r="C1497">
        <v>17</v>
      </c>
      <c r="D1497">
        <v>8943525.0653452538</v>
      </c>
      <c r="E1497" t="s">
        <v>469</v>
      </c>
      <c r="F1497" t="s">
        <v>61</v>
      </c>
      <c r="G1497" t="s">
        <v>470</v>
      </c>
      <c r="H1497">
        <v>1.7385764199913701E-4</v>
      </c>
      <c r="I1497">
        <v>2.1665693781243053E-6</v>
      </c>
      <c r="J1497">
        <v>1.57</v>
      </c>
      <c r="L1497" s="1">
        <v>43617</v>
      </c>
      <c r="M1497" s="1">
        <v>43024</v>
      </c>
      <c r="R1497">
        <v>1.9564937638300903E-2</v>
      </c>
      <c r="T1497" t="s">
        <v>32</v>
      </c>
      <c r="V1497">
        <v>9246336.1717000008</v>
      </c>
      <c r="W1497" t="s">
        <v>220</v>
      </c>
      <c r="X1497" t="s">
        <v>471</v>
      </c>
      <c r="Y1497">
        <v>8943525.0653452538</v>
      </c>
      <c r="Z1497" t="s">
        <v>31</v>
      </c>
      <c r="AA1497">
        <v>9.9189489612022761E-5</v>
      </c>
      <c r="AB1497">
        <v>102.05</v>
      </c>
      <c r="AC1497" t="s">
        <v>33</v>
      </c>
      <c r="AE1497" t="s">
        <v>41</v>
      </c>
      <c r="AF1497">
        <v>-1.8888208702300645E-3</v>
      </c>
      <c r="AH1497" t="s">
        <v>237</v>
      </c>
      <c r="AJ1497">
        <v>1.1073735159180701E-4</v>
      </c>
      <c r="AK1497">
        <v>1.1073735159180701E-4</v>
      </c>
      <c r="AL1497">
        <v>0</v>
      </c>
      <c r="AN1497" t="s">
        <v>148</v>
      </c>
      <c r="AQ1497">
        <v>-2.0916302080060953E-7</v>
      </c>
    </row>
    <row r="1498" spans="1:43" x14ac:dyDescent="0.2">
      <c r="A1498">
        <v>1496</v>
      </c>
      <c r="B1498">
        <v>96</v>
      </c>
      <c r="C1498">
        <v>17</v>
      </c>
      <c r="D1498">
        <v>2317581.3007723149</v>
      </c>
      <c r="E1498" t="s">
        <v>469</v>
      </c>
      <c r="F1498" t="s">
        <v>61</v>
      </c>
      <c r="G1498" t="s">
        <v>472</v>
      </c>
      <c r="H1498">
        <v>6.7752504647033306E-5</v>
      </c>
      <c r="I1498">
        <v>5.5931372500333277E-7</v>
      </c>
      <c r="J1498">
        <v>2.37</v>
      </c>
      <c r="L1498" s="1">
        <v>43922</v>
      </c>
      <c r="M1498" s="1">
        <v>43024</v>
      </c>
      <c r="R1498">
        <v>1.9564937638300903E-2</v>
      </c>
      <c r="T1498" t="s">
        <v>32</v>
      </c>
      <c r="V1498">
        <v>2387000.7483000001</v>
      </c>
      <c r="W1498" t="s">
        <v>220</v>
      </c>
      <c r="X1498" t="s">
        <v>471</v>
      </c>
      <c r="Y1498">
        <v>2317581.3007723149</v>
      </c>
      <c r="Z1498" t="s">
        <v>31</v>
      </c>
      <c r="AA1498">
        <v>2.5606400365590702E-5</v>
      </c>
      <c r="AB1498">
        <v>102.85</v>
      </c>
      <c r="AC1498" t="s">
        <v>33</v>
      </c>
      <c r="AE1498" t="s">
        <v>41</v>
      </c>
      <c r="AF1498">
        <v>-7.888208702300642E-4</v>
      </c>
      <c r="AH1498" t="s">
        <v>237</v>
      </c>
      <c r="AJ1498">
        <v>2.8587554703389578E-5</v>
      </c>
      <c r="AK1498">
        <v>2.8587554703389578E-5</v>
      </c>
      <c r="AL1498">
        <v>0</v>
      </c>
      <c r="AN1498" t="s">
        <v>148</v>
      </c>
      <c r="AQ1498">
        <v>-2.2550459778877332E-8</v>
      </c>
    </row>
    <row r="1499" spans="1:43" x14ac:dyDescent="0.2">
      <c r="A1499">
        <v>1497</v>
      </c>
      <c r="B1499">
        <v>96</v>
      </c>
      <c r="C1499">
        <v>17</v>
      </c>
      <c r="D1499">
        <v>66677455.953770116</v>
      </c>
      <c r="E1499" t="s">
        <v>430</v>
      </c>
      <c r="F1499" t="s">
        <v>61</v>
      </c>
      <c r="G1499" t="s">
        <v>473</v>
      </c>
      <c r="H1499">
        <v>2.0460234917320298E-3</v>
      </c>
      <c r="I1499">
        <v>1.5759969300092843E-5</v>
      </c>
      <c r="J1499">
        <v>2.54</v>
      </c>
      <c r="L1499" s="1">
        <v>43983</v>
      </c>
      <c r="M1499" s="1">
        <v>43024</v>
      </c>
      <c r="R1499">
        <v>1.9564937638300903E-2</v>
      </c>
      <c r="T1499" t="s">
        <v>32</v>
      </c>
      <c r="V1499">
        <v>67259315.891599998</v>
      </c>
      <c r="W1499" t="s">
        <v>248</v>
      </c>
      <c r="X1499" t="s">
        <v>432</v>
      </c>
      <c r="Y1499">
        <v>66677455.953770116</v>
      </c>
      <c r="Z1499" t="s">
        <v>31</v>
      </c>
      <c r="AA1499">
        <v>7.2152008006810657E-4</v>
      </c>
      <c r="AB1499">
        <v>100.03</v>
      </c>
      <c r="AC1499" t="s">
        <v>34</v>
      </c>
      <c r="AE1499" t="s">
        <v>41</v>
      </c>
      <c r="AF1499">
        <v>-1.0888208702300659E-3</v>
      </c>
      <c r="AH1499" t="s">
        <v>237</v>
      </c>
      <c r="AJ1499">
        <v>8.055210597370196E-4</v>
      </c>
      <c r="AK1499">
        <v>8.055210597370196E-4</v>
      </c>
      <c r="AL1499">
        <v>0</v>
      </c>
      <c r="AN1499" t="s">
        <v>54</v>
      </c>
      <c r="AQ1499">
        <v>-8.7706814125150651E-7</v>
      </c>
    </row>
    <row r="1500" spans="1:43" x14ac:dyDescent="0.2">
      <c r="A1500">
        <v>1498</v>
      </c>
      <c r="B1500">
        <v>96</v>
      </c>
      <c r="C1500">
        <v>17</v>
      </c>
      <c r="D1500">
        <v>6181492.9903905578</v>
      </c>
      <c r="E1500" t="s">
        <v>430</v>
      </c>
      <c r="F1500" t="s">
        <v>61</v>
      </c>
      <c r="G1500" t="s">
        <v>475</v>
      </c>
      <c r="H1500">
        <v>5.7632924058280624E-5</v>
      </c>
      <c r="I1500">
        <v>6.3347447478269232E-7</v>
      </c>
      <c r="J1500">
        <v>1.78</v>
      </c>
      <c r="L1500" s="1">
        <v>44348</v>
      </c>
      <c r="M1500" s="1">
        <v>43024</v>
      </c>
      <c r="R1500">
        <v>1.9564937638300903E-2</v>
      </c>
      <c r="T1500" t="s">
        <v>32</v>
      </c>
      <c r="V1500">
        <v>2703498.909</v>
      </c>
      <c r="W1500" t="s">
        <v>248</v>
      </c>
      <c r="X1500" t="s">
        <v>432</v>
      </c>
      <c r="Y1500">
        <v>6181492.9903905578</v>
      </c>
      <c r="Z1500" t="s">
        <v>31</v>
      </c>
      <c r="AA1500">
        <v>2.9001614474186654E-5</v>
      </c>
      <c r="AB1500">
        <v>101.41</v>
      </c>
      <c r="AC1500" t="s">
        <v>34</v>
      </c>
      <c r="AE1500" t="s">
        <v>41</v>
      </c>
      <c r="AF1500">
        <v>-1.6888208702300657E-3</v>
      </c>
      <c r="AH1500" t="s">
        <v>237</v>
      </c>
      <c r="AJ1500">
        <v>3.2378047223753161E-5</v>
      </c>
      <c r="AK1500">
        <v>3.2378047223753161E-5</v>
      </c>
      <c r="AL1500">
        <v>0</v>
      </c>
      <c r="AN1500" t="s">
        <v>54</v>
      </c>
      <c r="AQ1500">
        <v>-5.4680721888768979E-8</v>
      </c>
    </row>
    <row r="1501" spans="1:43" x14ac:dyDescent="0.2">
      <c r="A1501">
        <v>1499</v>
      </c>
      <c r="B1501">
        <v>96</v>
      </c>
      <c r="C1501">
        <v>17</v>
      </c>
      <c r="D1501">
        <v>2318032.7081860509</v>
      </c>
      <c r="E1501" t="s">
        <v>332</v>
      </c>
      <c r="F1501" t="s">
        <v>61</v>
      </c>
      <c r="G1501" t="s">
        <v>476</v>
      </c>
      <c r="H1501">
        <v>4.4479102234968164E-5</v>
      </c>
      <c r="I1501">
        <v>5.473150071916744E-7</v>
      </c>
      <c r="J1501">
        <v>1.59</v>
      </c>
      <c r="L1501" s="1">
        <v>44075</v>
      </c>
      <c r="M1501" s="1">
        <v>43024</v>
      </c>
      <c r="R1501">
        <v>1.9564937638300903E-2</v>
      </c>
      <c r="T1501" t="s">
        <v>32</v>
      </c>
      <c r="V1501">
        <v>2335793.4435000001</v>
      </c>
      <c r="W1501" t="s">
        <v>333</v>
      </c>
      <c r="X1501" t="s">
        <v>334</v>
      </c>
      <c r="Y1501">
        <v>2318032.7081860509</v>
      </c>
      <c r="Z1501" t="s">
        <v>31</v>
      </c>
      <c r="AA1501">
        <v>2.5057077224705435E-5</v>
      </c>
      <c r="AB1501">
        <v>100.45</v>
      </c>
      <c r="AC1501" t="s">
        <v>34</v>
      </c>
      <c r="AE1501" t="s">
        <v>35</v>
      </c>
      <c r="AF1501">
        <v>-1.4888208702300634E-3</v>
      </c>
      <c r="AH1501" t="s">
        <v>237</v>
      </c>
      <c r="AJ1501">
        <v>2.79742781352001E-5</v>
      </c>
      <c r="AK1501">
        <v>2.79742781352001E-5</v>
      </c>
      <c r="AL1501">
        <v>0</v>
      </c>
      <c r="AN1501" t="s">
        <v>54</v>
      </c>
      <c r="AQ1501">
        <v>-4.1648689117306448E-8</v>
      </c>
    </row>
    <row r="1502" spans="1:43" x14ac:dyDescent="0.2">
      <c r="A1502">
        <v>1500</v>
      </c>
      <c r="B1502">
        <v>96</v>
      </c>
      <c r="C1502">
        <v>17</v>
      </c>
      <c r="D1502">
        <v>1158959.434230661</v>
      </c>
      <c r="E1502" t="s">
        <v>477</v>
      </c>
      <c r="F1502" t="s">
        <v>61</v>
      </c>
      <c r="G1502" t="s">
        <v>478</v>
      </c>
      <c r="H1502">
        <v>1.662940052043248E-5</v>
      </c>
      <c r="I1502">
        <v>2.0990528009328388E-7</v>
      </c>
      <c r="J1502">
        <v>1.55</v>
      </c>
      <c r="L1502" s="1">
        <v>44059</v>
      </c>
      <c r="M1502" s="1">
        <v>43024</v>
      </c>
      <c r="R1502">
        <v>1.9564937638300903E-2</v>
      </c>
      <c r="T1502" t="s">
        <v>32</v>
      </c>
      <c r="V1502">
        <v>895819.35549999995</v>
      </c>
      <c r="W1502" t="s">
        <v>479</v>
      </c>
      <c r="X1502" t="s">
        <v>480</v>
      </c>
      <c r="Y1502">
        <v>1158959.434230661</v>
      </c>
      <c r="Z1502" t="s">
        <v>31</v>
      </c>
      <c r="AA1502">
        <v>9.6098457817892016E-6</v>
      </c>
      <c r="AB1502">
        <v>102.47</v>
      </c>
      <c r="AC1502" t="s">
        <v>33</v>
      </c>
      <c r="AE1502" t="s">
        <v>44</v>
      </c>
      <c r="AF1502">
        <v>-4.8888208702300637E-3</v>
      </c>
      <c r="AH1502" t="s">
        <v>237</v>
      </c>
      <c r="AJ1502">
        <v>1.0728645497053212E-5</v>
      </c>
      <c r="AK1502">
        <v>1.0728645497053212E-5</v>
      </c>
      <c r="AL1502">
        <v>0</v>
      </c>
      <c r="AN1502" t="s">
        <v>148</v>
      </c>
      <c r="AQ1502">
        <v>-5.2450426015293537E-8</v>
      </c>
    </row>
    <row r="1503" spans="1:43" x14ac:dyDescent="0.2">
      <c r="A1503">
        <v>1501</v>
      </c>
      <c r="B1503">
        <v>96</v>
      </c>
      <c r="C1503">
        <v>17</v>
      </c>
      <c r="D1503">
        <v>14350945.961818837</v>
      </c>
      <c r="E1503" t="s">
        <v>339</v>
      </c>
      <c r="F1503" t="s">
        <v>61</v>
      </c>
      <c r="G1503" t="s">
        <v>481</v>
      </c>
      <c r="H1503">
        <v>3.1782947690715656E-4</v>
      </c>
      <c r="I1503">
        <v>3.3795184213599537E-6</v>
      </c>
      <c r="J1503">
        <v>1.84</v>
      </c>
      <c r="L1503" s="1">
        <v>43709</v>
      </c>
      <c r="M1503" s="1">
        <v>43024</v>
      </c>
      <c r="R1503">
        <v>1.9564937638300903E-2</v>
      </c>
      <c r="T1503" t="s">
        <v>32</v>
      </c>
      <c r="V1503">
        <v>14422876.8937</v>
      </c>
      <c r="W1503" t="s">
        <v>341</v>
      </c>
      <c r="X1503" t="s">
        <v>482</v>
      </c>
      <c r="Y1503">
        <v>14350945.961818837</v>
      </c>
      <c r="Z1503" t="s">
        <v>31</v>
      </c>
      <c r="AA1503">
        <v>1.5472050456068529E-4</v>
      </c>
      <c r="AB1503">
        <v>100.22</v>
      </c>
      <c r="AC1503" t="s">
        <v>34</v>
      </c>
      <c r="AE1503" t="s">
        <v>35</v>
      </c>
      <c r="AF1503">
        <v>-1.7888208702300651E-3</v>
      </c>
      <c r="AH1503" t="s">
        <v>237</v>
      </c>
      <c r="AJ1503">
        <v>1.7273341136258508E-4</v>
      </c>
      <c r="AK1503">
        <v>1.7273341136258508E-4</v>
      </c>
      <c r="AL1503">
        <v>0</v>
      </c>
      <c r="AN1503" t="s">
        <v>54</v>
      </c>
      <c r="AQ1503">
        <v>-3.0898913123142728E-7</v>
      </c>
    </row>
    <row r="1504" spans="1:43" x14ac:dyDescent="0.2">
      <c r="A1504">
        <v>1502</v>
      </c>
      <c r="B1504">
        <v>96</v>
      </c>
      <c r="C1504">
        <v>17</v>
      </c>
      <c r="D1504">
        <v>3863188.1452708095</v>
      </c>
      <c r="E1504" t="s">
        <v>438</v>
      </c>
      <c r="F1504" t="s">
        <v>61</v>
      </c>
      <c r="G1504" t="s">
        <v>483</v>
      </c>
      <c r="H1504">
        <v>5.8301247739684795E-5</v>
      </c>
      <c r="I1504">
        <v>9.4269444319178886E-7</v>
      </c>
      <c r="J1504">
        <v>1.21</v>
      </c>
      <c r="L1504" s="1">
        <v>43477</v>
      </c>
      <c r="M1504" s="1">
        <v>43024</v>
      </c>
      <c r="R1504">
        <v>1.9564937638300903E-2</v>
      </c>
      <c r="T1504" t="s">
        <v>32</v>
      </c>
      <c r="V1504">
        <v>4023166.6786000002</v>
      </c>
      <c r="W1504" t="s">
        <v>438</v>
      </c>
      <c r="X1504" t="s">
        <v>439</v>
      </c>
      <c r="Y1504">
        <v>3863188.1452708095</v>
      </c>
      <c r="Z1504" t="s">
        <v>31</v>
      </c>
      <c r="AA1504">
        <v>4.3158267454714628E-5</v>
      </c>
      <c r="AB1504">
        <v>102.92</v>
      </c>
      <c r="AC1504" t="s">
        <v>36</v>
      </c>
      <c r="AE1504" t="s">
        <v>175</v>
      </c>
      <c r="AF1504">
        <v>-2.8888208702300654E-3</v>
      </c>
      <c r="AH1504" t="s">
        <v>237</v>
      </c>
      <c r="AJ1504">
        <v>4.818284937164033E-5</v>
      </c>
      <c r="AK1504">
        <v>4.818284937164033E-5</v>
      </c>
      <c r="AL1504">
        <v>0</v>
      </c>
      <c r="AN1504" t="s">
        <v>150</v>
      </c>
      <c r="AQ1504">
        <v>-1.3919162085194618E-7</v>
      </c>
    </row>
    <row r="1505" spans="1:43" x14ac:dyDescent="0.2">
      <c r="A1505">
        <v>1503</v>
      </c>
      <c r="B1505">
        <v>96</v>
      </c>
      <c r="C1505">
        <v>17</v>
      </c>
      <c r="D1505">
        <v>86519164.796550035</v>
      </c>
      <c r="E1505" t="s">
        <v>508</v>
      </c>
      <c r="F1505" t="s">
        <v>61</v>
      </c>
      <c r="G1505" t="s">
        <v>509</v>
      </c>
      <c r="H1505">
        <v>2.0430569544739202E-3</v>
      </c>
      <c r="I1505">
        <v>1.3831239413764435E-5</v>
      </c>
      <c r="J1505">
        <v>2.89</v>
      </c>
      <c r="L1505" s="1">
        <v>45245</v>
      </c>
      <c r="M1505" s="1">
        <v>43024</v>
      </c>
      <c r="R1505">
        <v>1.9564937638300903E-2</v>
      </c>
      <c r="T1505" t="s">
        <v>32</v>
      </c>
      <c r="V1505">
        <v>59028014.787900001</v>
      </c>
      <c r="W1505" t="s">
        <v>510</v>
      </c>
      <c r="X1505" t="s">
        <v>511</v>
      </c>
      <c r="Y1505">
        <v>86519164.796550035</v>
      </c>
      <c r="Z1505" t="s">
        <v>31</v>
      </c>
      <c r="AA1505">
        <v>6.3321931529407717E-4</v>
      </c>
      <c r="AB1505">
        <v>103.45</v>
      </c>
      <c r="AC1505" t="s">
        <v>33</v>
      </c>
      <c r="AE1505" t="s">
        <v>178</v>
      </c>
      <c r="AF1505">
        <v>-7.888208702300642E-4</v>
      </c>
      <c r="AH1505" t="s">
        <v>237</v>
      </c>
      <c r="AJ1505">
        <v>7.0694012265533574E-4</v>
      </c>
      <c r="AK1505">
        <v>7.0694012265533574E-4</v>
      </c>
      <c r="AL1505">
        <v>0</v>
      </c>
      <c r="AN1505" t="s">
        <v>148</v>
      </c>
      <c r="AQ1505">
        <v>-5.5764912275353021E-7</v>
      </c>
    </row>
    <row r="1506" spans="1:43" x14ac:dyDescent="0.2">
      <c r="A1506">
        <v>1504</v>
      </c>
      <c r="B1506">
        <v>96</v>
      </c>
      <c r="C1506">
        <v>17</v>
      </c>
      <c r="D1506">
        <v>20224070.835658427</v>
      </c>
      <c r="E1506" t="s">
        <v>484</v>
      </c>
      <c r="F1506" t="s">
        <v>61</v>
      </c>
      <c r="G1506" t="s">
        <v>485</v>
      </c>
      <c r="H1506">
        <v>4.3601304136579557E-4</v>
      </c>
      <c r="I1506">
        <v>4.819529923055199E-6</v>
      </c>
      <c r="J1506">
        <v>1.77</v>
      </c>
      <c r="L1506" s="1">
        <v>44331</v>
      </c>
      <c r="M1506" s="1">
        <v>43024</v>
      </c>
      <c r="R1506">
        <v>1.9564937638300903E-2</v>
      </c>
      <c r="T1506" t="s">
        <v>32</v>
      </c>
      <c r="V1506">
        <v>20568459.200100001</v>
      </c>
      <c r="W1506" t="s">
        <v>486</v>
      </c>
      <c r="X1506" t="s">
        <v>487</v>
      </c>
      <c r="Y1506">
        <v>20224070.835658427</v>
      </c>
      <c r="Z1506" t="s">
        <v>31</v>
      </c>
      <c r="AA1506">
        <v>2.2064685214538693E-4</v>
      </c>
      <c r="AB1506">
        <v>100.65</v>
      </c>
      <c r="AC1506" t="s">
        <v>36</v>
      </c>
      <c r="AE1506" t="s">
        <v>175</v>
      </c>
      <c r="AF1506">
        <v>-2.3888208702300649E-3</v>
      </c>
      <c r="AH1506" t="s">
        <v>237</v>
      </c>
      <c r="AJ1506">
        <v>2.4633505161909353E-4</v>
      </c>
      <c r="AK1506">
        <v>2.4633505161909353E-4</v>
      </c>
      <c r="AL1506">
        <v>0</v>
      </c>
      <c r="AN1506" t="s">
        <v>150</v>
      </c>
      <c r="AQ1506">
        <v>-5.8845031237689093E-7</v>
      </c>
    </row>
    <row r="1507" spans="1:43" x14ac:dyDescent="0.2">
      <c r="A1507">
        <v>1505</v>
      </c>
      <c r="B1507">
        <v>96</v>
      </c>
      <c r="C1507">
        <v>17</v>
      </c>
      <c r="D1507">
        <v>76800159.460619614</v>
      </c>
      <c r="E1507" t="s">
        <v>488</v>
      </c>
      <c r="F1507" t="s">
        <v>61</v>
      </c>
      <c r="G1507" t="s">
        <v>489</v>
      </c>
      <c r="H1507">
        <v>2.5116877796615184E-3</v>
      </c>
      <c r="I1507">
        <v>1.8133215784487112E-5</v>
      </c>
      <c r="J1507">
        <v>2.71</v>
      </c>
      <c r="L1507" s="1">
        <v>44044</v>
      </c>
      <c r="M1507" s="1">
        <v>43024</v>
      </c>
      <c r="R1507">
        <v>1.9564937638300903E-2</v>
      </c>
      <c r="T1507" t="s">
        <v>32</v>
      </c>
      <c r="V1507">
        <v>77387694.439999998</v>
      </c>
      <c r="W1507" t="s">
        <v>490</v>
      </c>
      <c r="X1507" t="s">
        <v>491</v>
      </c>
      <c r="Y1507">
        <v>76800159.460619614</v>
      </c>
      <c r="Z1507" t="s">
        <v>31</v>
      </c>
      <c r="AA1507">
        <v>8.3017162378852592E-4</v>
      </c>
      <c r="AB1507">
        <v>100.31</v>
      </c>
      <c r="AC1507" t="s">
        <v>33</v>
      </c>
      <c r="AE1507" t="s">
        <v>41</v>
      </c>
      <c r="AF1507">
        <v>-2.788820870230066E-3</v>
      </c>
      <c r="AH1507" t="s">
        <v>237</v>
      </c>
      <c r="AJ1507">
        <v>9.2682205891568949E-4</v>
      </c>
      <c r="AK1507">
        <v>9.2682205891568949E-4</v>
      </c>
      <c r="AL1507">
        <v>0</v>
      </c>
      <c r="AN1507" t="s">
        <v>148</v>
      </c>
      <c r="AQ1507">
        <v>-2.5847407008936747E-6</v>
      </c>
    </row>
    <row r="1508" spans="1:43" x14ac:dyDescent="0.2">
      <c r="A1508">
        <v>1506</v>
      </c>
      <c r="B1508">
        <v>96</v>
      </c>
      <c r="C1508">
        <v>17</v>
      </c>
      <c r="D1508">
        <v>182711410.88752073</v>
      </c>
      <c r="E1508" t="s">
        <v>440</v>
      </c>
      <c r="F1508" t="s">
        <v>61</v>
      </c>
      <c r="G1508" t="s">
        <v>821</v>
      </c>
      <c r="H1508">
        <v>2.1647367434923979E-2</v>
      </c>
      <c r="I1508">
        <v>1.4454928119374518E-4</v>
      </c>
      <c r="J1508">
        <v>2.93</v>
      </c>
      <c r="L1508" s="1">
        <v>44166</v>
      </c>
      <c r="M1508" s="1">
        <v>43024</v>
      </c>
      <c r="R1508">
        <v>1.9564937638300903E-2</v>
      </c>
      <c r="T1508" t="s">
        <v>32</v>
      </c>
      <c r="V1508">
        <v>616897506.625</v>
      </c>
      <c r="W1508" t="s">
        <v>442</v>
      </c>
      <c r="X1508" t="s">
        <v>443</v>
      </c>
      <c r="Y1508">
        <v>182711410.88752073</v>
      </c>
      <c r="Z1508" t="s">
        <v>31</v>
      </c>
      <c r="AA1508">
        <v>6.6177291944397292E-3</v>
      </c>
      <c r="AB1508">
        <v>104.33999999999999</v>
      </c>
      <c r="AC1508" t="s">
        <v>34</v>
      </c>
      <c r="AE1508" t="s">
        <v>41</v>
      </c>
      <c r="AF1508">
        <v>1.4111791297699364E-3</v>
      </c>
      <c r="AH1508" t="s">
        <v>237</v>
      </c>
      <c r="AJ1508">
        <v>7.3881800119194466E-3</v>
      </c>
      <c r="AK1508">
        <v>7.3881800119194466E-3</v>
      </c>
      <c r="AL1508">
        <v>0</v>
      </c>
      <c r="AN1508" t="s">
        <v>54</v>
      </c>
      <c r="AQ1508">
        <v>1.0426045439804122E-5</v>
      </c>
    </row>
    <row r="1509" spans="1:43" x14ac:dyDescent="0.2">
      <c r="A1509">
        <v>1507</v>
      </c>
      <c r="B1509">
        <v>96</v>
      </c>
      <c r="C1509">
        <v>17</v>
      </c>
      <c r="D1509">
        <v>1545272.9146031165</v>
      </c>
      <c r="E1509" t="s">
        <v>492</v>
      </c>
      <c r="F1509" t="s">
        <v>61</v>
      </c>
      <c r="G1509" t="s">
        <v>493</v>
      </c>
      <c r="H1509">
        <v>1.6917197174217445E-5</v>
      </c>
      <c r="I1509">
        <v>2.2826476395062383E-7</v>
      </c>
      <c r="J1509">
        <v>1.45</v>
      </c>
      <c r="L1509" s="1">
        <v>44027</v>
      </c>
      <c r="M1509" s="1">
        <v>43024</v>
      </c>
      <c r="R1509">
        <v>1.9564937638300903E-2</v>
      </c>
      <c r="T1509" t="s">
        <v>32</v>
      </c>
      <c r="V1509">
        <v>974172.70129999996</v>
      </c>
      <c r="W1509" t="s">
        <v>494</v>
      </c>
      <c r="X1509" t="s">
        <v>495</v>
      </c>
      <c r="Y1509">
        <v>1545272.9146031165</v>
      </c>
      <c r="Z1509" t="s">
        <v>31</v>
      </c>
      <c r="AA1509">
        <v>1.0450376369794788E-5</v>
      </c>
      <c r="AB1509">
        <v>103.94</v>
      </c>
      <c r="AC1509" t="s">
        <v>34</v>
      </c>
      <c r="AE1509" t="s">
        <v>57</v>
      </c>
      <c r="AF1509">
        <v>-8.1888208702300645E-3</v>
      </c>
      <c r="AH1509" t="s">
        <v>237</v>
      </c>
      <c r="AJ1509">
        <v>1.1667032533943066E-5</v>
      </c>
      <c r="AK1509">
        <v>1.1667032533943066E-5</v>
      </c>
      <c r="AL1509">
        <v>0</v>
      </c>
      <c r="AN1509" t="s">
        <v>54</v>
      </c>
      <c r="AQ1509">
        <v>-9.5539239507606132E-8</v>
      </c>
    </row>
    <row r="1510" spans="1:43" x14ac:dyDescent="0.2">
      <c r="A1510">
        <v>1508</v>
      </c>
      <c r="B1510">
        <v>96</v>
      </c>
      <c r="C1510">
        <v>17</v>
      </c>
      <c r="D1510">
        <v>8949443.9675067626</v>
      </c>
      <c r="E1510" t="s">
        <v>496</v>
      </c>
      <c r="F1510" t="s">
        <v>61</v>
      </c>
      <c r="G1510" t="s">
        <v>497</v>
      </c>
      <c r="H1510">
        <v>2.9392898177646947E-4</v>
      </c>
      <c r="I1510">
        <v>2.0835877530963438E-6</v>
      </c>
      <c r="J1510">
        <v>2.76</v>
      </c>
      <c r="L1510" s="1">
        <v>44057</v>
      </c>
      <c r="M1510" s="1">
        <v>43024</v>
      </c>
      <c r="R1510">
        <v>1.9564937638300903E-2</v>
      </c>
      <c r="T1510" t="s">
        <v>32</v>
      </c>
      <c r="V1510">
        <v>8892192.8847000003</v>
      </c>
      <c r="W1510" t="s">
        <v>498</v>
      </c>
      <c r="X1510" t="s">
        <v>499</v>
      </c>
      <c r="Y1510">
        <v>8949443.9675067626</v>
      </c>
      <c r="Z1510" t="s">
        <v>31</v>
      </c>
      <c r="AA1510">
        <v>9.5390439779228747E-5</v>
      </c>
      <c r="AB1510">
        <v>99.03</v>
      </c>
      <c r="AC1510" t="s">
        <v>33</v>
      </c>
      <c r="AE1510" t="s">
        <v>43</v>
      </c>
      <c r="AF1510">
        <v>-4.8882087023006601E-4</v>
      </c>
      <c r="AH1510" t="s">
        <v>237</v>
      </c>
      <c r="AJ1510">
        <v>1.0649600789002519E-4</v>
      </c>
      <c r="AK1510">
        <v>1.0649600789002519E-4</v>
      </c>
      <c r="AL1510">
        <v>0</v>
      </c>
      <c r="AN1510" t="s">
        <v>148</v>
      </c>
      <c r="AQ1510">
        <v>-5.2057471252830086E-8</v>
      </c>
    </row>
    <row r="1511" spans="1:43" x14ac:dyDescent="0.2">
      <c r="A1511">
        <v>1509</v>
      </c>
      <c r="B1511">
        <v>96</v>
      </c>
      <c r="C1511">
        <v>17</v>
      </c>
      <c r="D1511">
        <v>3701426.2164235357</v>
      </c>
      <c r="E1511" t="s">
        <v>933</v>
      </c>
      <c r="F1511" t="s">
        <v>61</v>
      </c>
      <c r="G1511" t="s">
        <v>934</v>
      </c>
      <c r="H1511">
        <v>1.0327740209648384E-4</v>
      </c>
      <c r="I1511">
        <v>8.7095514287216952E-7</v>
      </c>
      <c r="J1511">
        <v>2.3199999999999998</v>
      </c>
      <c r="L1511" s="1">
        <v>43891</v>
      </c>
      <c r="M1511" s="1">
        <v>43024</v>
      </c>
      <c r="R1511">
        <v>1.9564937638300903E-2</v>
      </c>
      <c r="T1511" t="s">
        <v>32</v>
      </c>
      <c r="V1511">
        <v>3717002.6137999999</v>
      </c>
      <c r="W1511" t="s">
        <v>358</v>
      </c>
      <c r="X1511" t="s">
        <v>935</v>
      </c>
      <c r="Y1511">
        <v>3701426.2164235357</v>
      </c>
      <c r="Z1511" t="s">
        <v>31</v>
      </c>
      <c r="AA1511">
        <v>3.9873911709787082E-5</v>
      </c>
      <c r="AB1511">
        <v>100.14</v>
      </c>
      <c r="AC1511" t="s">
        <v>34</v>
      </c>
      <c r="AE1511" t="s">
        <v>35</v>
      </c>
      <c r="AF1511">
        <v>-1.1888208702300652E-3</v>
      </c>
      <c r="AH1511" t="s">
        <v>237</v>
      </c>
      <c r="AJ1511">
        <v>4.4516121593312003E-5</v>
      </c>
      <c r="AK1511">
        <v>4.4516121593312003E-5</v>
      </c>
      <c r="AL1511">
        <v>0</v>
      </c>
      <c r="AN1511" t="s">
        <v>54</v>
      </c>
      <c r="AQ1511">
        <v>-5.2921694411828574E-8</v>
      </c>
    </row>
    <row r="1512" spans="1:43" x14ac:dyDescent="0.2">
      <c r="A1512">
        <v>1510</v>
      </c>
      <c r="B1512">
        <v>96</v>
      </c>
      <c r="C1512">
        <v>17</v>
      </c>
      <c r="D1512">
        <v>36429486.951284446</v>
      </c>
      <c r="E1512" t="s">
        <v>500</v>
      </c>
      <c r="F1512" t="s">
        <v>61</v>
      </c>
      <c r="G1512" t="s">
        <v>501</v>
      </c>
      <c r="H1512">
        <v>5.1756257933017026E-4</v>
      </c>
      <c r="I1512">
        <v>6.5753763561772365E-6</v>
      </c>
      <c r="J1512">
        <v>1.54</v>
      </c>
      <c r="L1512" s="1">
        <v>44058</v>
      </c>
      <c r="M1512" s="1">
        <v>43024</v>
      </c>
      <c r="R1512">
        <v>1.9564937638300903E-2</v>
      </c>
      <c r="T1512" t="s">
        <v>32</v>
      </c>
      <c r="V1512">
        <v>28061940.161499999</v>
      </c>
      <c r="W1512" t="s">
        <v>502</v>
      </c>
      <c r="X1512" t="s">
        <v>503</v>
      </c>
      <c r="Y1512">
        <v>36429486.951284446</v>
      </c>
      <c r="Z1512" t="s">
        <v>31</v>
      </c>
      <c r="AA1512">
        <v>3.0103269775779231E-4</v>
      </c>
      <c r="AB1512">
        <v>102.11</v>
      </c>
      <c r="AC1512" t="s">
        <v>33</v>
      </c>
      <c r="AE1512" t="s">
        <v>35</v>
      </c>
      <c r="AF1512">
        <v>-2.5888208702300637E-3</v>
      </c>
      <c r="AH1512" t="s">
        <v>237</v>
      </c>
      <c r="AJ1512">
        <v>3.3607959696764299E-4</v>
      </c>
      <c r="AK1512">
        <v>3.3607959696764299E-4</v>
      </c>
      <c r="AL1512">
        <v>0</v>
      </c>
      <c r="AN1512" t="s">
        <v>148</v>
      </c>
      <c r="AQ1512">
        <v>-8.700498746883426E-7</v>
      </c>
    </row>
    <row r="1513" spans="1:43" x14ac:dyDescent="0.2">
      <c r="A1513">
        <v>1511</v>
      </c>
      <c r="B1513">
        <v>96</v>
      </c>
      <c r="C1513">
        <v>17</v>
      </c>
      <c r="D1513">
        <v>22990584.594034217</v>
      </c>
      <c r="E1513" t="s">
        <v>359</v>
      </c>
      <c r="F1513" t="s">
        <v>61</v>
      </c>
      <c r="G1513" t="s">
        <v>504</v>
      </c>
      <c r="H1513">
        <v>7.2814510650626954E-4</v>
      </c>
      <c r="I1513">
        <v>5.6532196827099724E-6</v>
      </c>
      <c r="J1513">
        <v>2.52</v>
      </c>
      <c r="L1513" s="1">
        <v>44348</v>
      </c>
      <c r="M1513" s="1">
        <v>43024</v>
      </c>
      <c r="R1513">
        <v>1.9564937638300903E-2</v>
      </c>
      <c r="T1513" t="s">
        <v>32</v>
      </c>
      <c r="V1513">
        <v>24126423.1677</v>
      </c>
      <c r="W1513" t="s">
        <v>360</v>
      </c>
      <c r="X1513" t="s">
        <v>445</v>
      </c>
      <c r="Y1513">
        <v>22990584.594034217</v>
      </c>
      <c r="Z1513" t="s">
        <v>31</v>
      </c>
      <c r="AA1513">
        <v>2.5881468678289028E-4</v>
      </c>
      <c r="AB1513">
        <v>103.52</v>
      </c>
      <c r="AC1513" t="s">
        <v>33</v>
      </c>
      <c r="AE1513" t="s">
        <v>38</v>
      </c>
      <c r="AF1513">
        <v>-7.888208702300642E-4</v>
      </c>
      <c r="AH1513" t="s">
        <v>237</v>
      </c>
      <c r="AJ1513">
        <v>2.8894647083582123E-4</v>
      </c>
      <c r="AK1513">
        <v>2.8894647083582123E-4</v>
      </c>
      <c r="AL1513">
        <v>0</v>
      </c>
      <c r="AN1513" t="s">
        <v>148</v>
      </c>
      <c r="AQ1513">
        <v>-2.2792700657461836E-7</v>
      </c>
    </row>
    <row r="1514" spans="1:43" x14ac:dyDescent="0.2">
      <c r="A1514">
        <v>1512</v>
      </c>
      <c r="B1514">
        <v>98</v>
      </c>
      <c r="C1514">
        <v>17</v>
      </c>
      <c r="D1514">
        <v>108615374.15998976</v>
      </c>
      <c r="E1514" t="s">
        <v>780</v>
      </c>
      <c r="F1514" t="s">
        <v>61</v>
      </c>
      <c r="G1514" t="s">
        <v>781</v>
      </c>
      <c r="H1514">
        <v>3.2415642207044307E-2</v>
      </c>
      <c r="I1514">
        <v>2.316038152179991E-4</v>
      </c>
      <c r="J1514">
        <v>3.85</v>
      </c>
      <c r="L1514" s="1">
        <v>45656</v>
      </c>
      <c r="M1514" s="1">
        <v>43024</v>
      </c>
      <c r="R1514">
        <v>2.7507543515381132E-2</v>
      </c>
      <c r="T1514" t="s">
        <v>32</v>
      </c>
      <c r="V1514">
        <v>703022860.02820003</v>
      </c>
      <c r="W1514" t="s">
        <v>1711</v>
      </c>
      <c r="X1514" t="s">
        <v>783</v>
      </c>
      <c r="Y1514">
        <v>108615374.15998976</v>
      </c>
      <c r="Z1514" t="s">
        <v>31</v>
      </c>
      <c r="AA1514">
        <v>1.0603244214389759E-2</v>
      </c>
      <c r="AB1514">
        <v>115</v>
      </c>
      <c r="AC1514" t="s">
        <v>42</v>
      </c>
      <c r="AE1514" t="s">
        <v>1708</v>
      </c>
      <c r="AF1514">
        <v>-4.9888208702300665E-3</v>
      </c>
      <c r="AH1514" t="s">
        <v>237</v>
      </c>
      <c r="AJ1514">
        <v>8.4196473265050146E-3</v>
      </c>
      <c r="AK1514">
        <v>8.4196473265050146E-3</v>
      </c>
      <c r="AL1514">
        <v>0</v>
      </c>
      <c r="AN1514" t="s">
        <v>142</v>
      </c>
      <c r="AQ1514">
        <v>-4.2004112302444999E-5</v>
      </c>
    </row>
    <row r="1515" spans="1:43" x14ac:dyDescent="0.2">
      <c r="A1515">
        <v>1513</v>
      </c>
      <c r="B1515">
        <v>98</v>
      </c>
      <c r="C1515">
        <v>17</v>
      </c>
      <c r="D1515">
        <v>66690552.999593966</v>
      </c>
      <c r="E1515" t="s">
        <v>407</v>
      </c>
      <c r="F1515" t="s">
        <v>61</v>
      </c>
      <c r="G1515" t="s">
        <v>852</v>
      </c>
      <c r="H1515">
        <v>4.1517721667641075E-3</v>
      </c>
      <c r="I1515">
        <v>2.3402674906395884E-5</v>
      </c>
      <c r="J1515">
        <v>4.88</v>
      </c>
      <c r="L1515" s="1">
        <v>44958</v>
      </c>
      <c r="M1515" s="1">
        <v>43024</v>
      </c>
      <c r="R1515">
        <v>2.7507543515381132E-2</v>
      </c>
      <c r="T1515" t="s">
        <v>32</v>
      </c>
      <c r="V1515">
        <v>71037756.565099999</v>
      </c>
      <c r="W1515" t="s">
        <v>229</v>
      </c>
      <c r="X1515" t="s">
        <v>409</v>
      </c>
      <c r="Y1515">
        <v>66690552.999593966</v>
      </c>
      <c r="Z1515" t="s">
        <v>31</v>
      </c>
      <c r="AA1515">
        <v>1.0714170535961103E-3</v>
      </c>
      <c r="AB1515">
        <v>105.78</v>
      </c>
      <c r="AC1515" t="s">
        <v>42</v>
      </c>
      <c r="AE1515" t="s">
        <v>41</v>
      </c>
      <c r="AF1515">
        <v>-1.4888208702300634E-3</v>
      </c>
      <c r="AH1515" t="s">
        <v>237</v>
      </c>
      <c r="AJ1515">
        <v>8.5077298499264503E-4</v>
      </c>
      <c r="AK1515">
        <v>8.5077298499264503E-4</v>
      </c>
      <c r="AL1515">
        <v>0</v>
      </c>
      <c r="AN1515" t="s">
        <v>142</v>
      </c>
      <c r="AQ1515">
        <v>-1.2666485758849785E-6</v>
      </c>
    </row>
    <row r="1516" spans="1:43" x14ac:dyDescent="0.2">
      <c r="A1516">
        <v>1514</v>
      </c>
      <c r="B1516">
        <v>98</v>
      </c>
      <c r="C1516">
        <v>17</v>
      </c>
      <c r="D1516">
        <v>118560640.98551643</v>
      </c>
      <c r="E1516" t="s">
        <v>414</v>
      </c>
      <c r="F1516" t="s">
        <v>61</v>
      </c>
      <c r="G1516" t="s">
        <v>960</v>
      </c>
      <c r="H1516">
        <v>6.2248162085014377E-3</v>
      </c>
      <c r="I1516">
        <v>4.1062206889832876E-5</v>
      </c>
      <c r="J1516">
        <v>4.17</v>
      </c>
      <c r="L1516" s="1">
        <v>44652</v>
      </c>
      <c r="M1516" s="1">
        <v>43024</v>
      </c>
      <c r="R1516">
        <v>2.7507543515381132E-2</v>
      </c>
      <c r="T1516" t="s">
        <v>32</v>
      </c>
      <c r="V1516">
        <v>124642463.6813</v>
      </c>
      <c r="W1516" t="s">
        <v>200</v>
      </c>
      <c r="X1516" t="s">
        <v>305</v>
      </c>
      <c r="Y1516">
        <v>118560640.98551643</v>
      </c>
      <c r="Z1516" t="s">
        <v>31</v>
      </c>
      <c r="AA1516">
        <v>1.8799025707969391E-3</v>
      </c>
      <c r="AB1516">
        <v>104.97</v>
      </c>
      <c r="AC1516" t="s">
        <v>42</v>
      </c>
      <c r="AE1516" t="s">
        <v>41</v>
      </c>
      <c r="AF1516">
        <v>-2.8882087023006375E-4</v>
      </c>
      <c r="AH1516" t="s">
        <v>237</v>
      </c>
      <c r="AJ1516">
        <v>1.4927616806957884E-3</v>
      </c>
      <c r="AK1516">
        <v>1.4927616806957884E-3</v>
      </c>
      <c r="AL1516">
        <v>0</v>
      </c>
      <c r="AN1516" t="s">
        <v>142</v>
      </c>
      <c r="AQ1516">
        <v>-4.3114072766465016E-7</v>
      </c>
    </row>
    <row r="1517" spans="1:43" x14ac:dyDescent="0.2">
      <c r="A1517">
        <v>1515</v>
      </c>
      <c r="B1517">
        <v>98</v>
      </c>
      <c r="C1517">
        <v>17</v>
      </c>
      <c r="D1517">
        <v>7404540.7991155451</v>
      </c>
      <c r="E1517" t="s">
        <v>414</v>
      </c>
      <c r="F1517" t="s">
        <v>61</v>
      </c>
      <c r="G1517" t="s">
        <v>961</v>
      </c>
      <c r="H1517">
        <v>2.8296065652667749E-4</v>
      </c>
      <c r="I1517">
        <v>2.5603791357067091E-6</v>
      </c>
      <c r="J1517">
        <v>3.04</v>
      </c>
      <c r="L1517" s="1">
        <v>44197</v>
      </c>
      <c r="M1517" s="1">
        <v>43024</v>
      </c>
      <c r="R1517">
        <v>2.7507543515381132E-2</v>
      </c>
      <c r="T1517" t="s">
        <v>32</v>
      </c>
      <c r="V1517">
        <v>7771914.5560999997</v>
      </c>
      <c r="W1517" t="s">
        <v>200</v>
      </c>
      <c r="X1517" t="s">
        <v>305</v>
      </c>
      <c r="Y1517">
        <v>7404540.7991155451</v>
      </c>
      <c r="Z1517" t="s">
        <v>31</v>
      </c>
      <c r="AA1517">
        <v>1.1721881710701881E-4</v>
      </c>
      <c r="AB1517">
        <v>103.89</v>
      </c>
      <c r="AC1517" t="s">
        <v>42</v>
      </c>
      <c r="AE1517" t="s">
        <v>41</v>
      </c>
      <c r="AF1517">
        <v>-1.2888208702300646E-3</v>
      </c>
      <c r="AH1517" t="s">
        <v>237</v>
      </c>
      <c r="AJ1517">
        <v>9.3079163331143919E-5</v>
      </c>
      <c r="AK1517">
        <v>9.3079163331143919E-5</v>
      </c>
      <c r="AL1517">
        <v>0</v>
      </c>
      <c r="AN1517" t="s">
        <v>142</v>
      </c>
      <c r="AQ1517">
        <v>-1.1996236828473122E-7</v>
      </c>
    </row>
    <row r="1518" spans="1:43" x14ac:dyDescent="0.2">
      <c r="A1518">
        <v>1516</v>
      </c>
      <c r="B1518">
        <v>98</v>
      </c>
      <c r="C1518">
        <v>17</v>
      </c>
      <c r="D1518">
        <v>29629202.568861984</v>
      </c>
      <c r="E1518" t="s">
        <v>417</v>
      </c>
      <c r="F1518" t="s">
        <v>61</v>
      </c>
      <c r="G1518" t="s">
        <v>817</v>
      </c>
      <c r="H1518">
        <v>1.5556287456353272E-3</v>
      </c>
      <c r="I1518">
        <v>1.0261756694086698E-5</v>
      </c>
      <c r="J1518">
        <v>4.17</v>
      </c>
      <c r="L1518" s="1">
        <v>44652</v>
      </c>
      <c r="M1518" s="1">
        <v>43024</v>
      </c>
      <c r="R1518">
        <v>2.7507543515381132E-2</v>
      </c>
      <c r="T1518" t="s">
        <v>32</v>
      </c>
      <c r="V1518">
        <v>31149096.2841</v>
      </c>
      <c r="W1518" t="s">
        <v>216</v>
      </c>
      <c r="X1518" t="s">
        <v>419</v>
      </c>
      <c r="Y1518">
        <v>29629202.568861984</v>
      </c>
      <c r="Z1518" t="s">
        <v>31</v>
      </c>
      <c r="AA1518">
        <v>4.6980189939286525E-4</v>
      </c>
      <c r="AB1518">
        <v>104.97</v>
      </c>
      <c r="AC1518" t="s">
        <v>42</v>
      </c>
      <c r="AE1518" t="s">
        <v>41</v>
      </c>
      <c r="AF1518">
        <v>-2.8882087023006375E-4</v>
      </c>
      <c r="AH1518" t="s">
        <v>237</v>
      </c>
      <c r="AJ1518">
        <v>3.7305245698688905E-4</v>
      </c>
      <c r="AK1518">
        <v>3.7305245698688905E-4</v>
      </c>
      <c r="AL1518">
        <v>0</v>
      </c>
      <c r="AN1518" t="s">
        <v>142</v>
      </c>
      <c r="AQ1518">
        <v>-1.0774533526841672E-7</v>
      </c>
    </row>
    <row r="1519" spans="1:43" x14ac:dyDescent="0.2">
      <c r="A1519">
        <v>1517</v>
      </c>
      <c r="B1519">
        <v>98</v>
      </c>
      <c r="C1519">
        <v>17</v>
      </c>
      <c r="D1519">
        <v>14500</v>
      </c>
      <c r="E1519" t="s">
        <v>1165</v>
      </c>
      <c r="F1519" t="s">
        <v>61</v>
      </c>
      <c r="G1519" t="s">
        <v>1166</v>
      </c>
      <c r="H1519">
        <v>1.1780825819182333E-2</v>
      </c>
      <c r="I1519">
        <v>7.9622009549946829E-5</v>
      </c>
      <c r="J1519">
        <v>4.07</v>
      </c>
      <c r="L1519" s="1">
        <v>46113</v>
      </c>
      <c r="M1519" s="1">
        <v>43024</v>
      </c>
      <c r="R1519">
        <v>2.7507543515381132E-2</v>
      </c>
      <c r="T1519" t="s">
        <v>32</v>
      </c>
      <c r="V1519">
        <v>241688993</v>
      </c>
      <c r="W1519" t="s">
        <v>1167</v>
      </c>
      <c r="X1519" t="s">
        <v>432</v>
      </c>
      <c r="Y1519">
        <v>14500</v>
      </c>
      <c r="Z1519" t="s">
        <v>31</v>
      </c>
      <c r="AA1519">
        <v>3.6452405212060121E-3</v>
      </c>
      <c r="AB1519">
        <v>102.39</v>
      </c>
      <c r="AC1519" t="s">
        <v>42</v>
      </c>
      <c r="AE1519" t="s">
        <v>41</v>
      </c>
      <c r="AF1519">
        <v>1.7311179129769934E-2</v>
      </c>
      <c r="AH1519" t="s">
        <v>237</v>
      </c>
      <c r="AJ1519">
        <v>2.8945517983248975E-3</v>
      </c>
      <c r="AK1519">
        <v>2.8945517983248975E-3</v>
      </c>
      <c r="AL1519">
        <v>0</v>
      </c>
      <c r="AN1519" t="s">
        <v>142</v>
      </c>
      <c r="AQ1519">
        <v>5.0108104681199996E-5</v>
      </c>
    </row>
    <row r="1520" spans="1:43" x14ac:dyDescent="0.2">
      <c r="A1520">
        <v>1518</v>
      </c>
      <c r="B1520">
        <v>99</v>
      </c>
      <c r="C1520">
        <v>17</v>
      </c>
      <c r="D1520">
        <v>163013834.81855586</v>
      </c>
      <c r="E1520" t="s">
        <v>784</v>
      </c>
      <c r="F1520" t="s">
        <v>61</v>
      </c>
      <c r="G1520" t="s">
        <v>785</v>
      </c>
      <c r="H1520">
        <v>1.0027350203823875E-2</v>
      </c>
      <c r="I1520">
        <v>4.2730209634853326E-5</v>
      </c>
      <c r="J1520">
        <v>4.93</v>
      </c>
      <c r="L1520" s="1">
        <v>46833</v>
      </c>
      <c r="M1520" s="1">
        <v>43024</v>
      </c>
      <c r="R1520">
        <v>2.1008534579703107E-2</v>
      </c>
      <c r="T1520" t="s">
        <v>32</v>
      </c>
      <c r="V1520">
        <v>169830156.6142</v>
      </c>
      <c r="W1520" t="s">
        <v>786</v>
      </c>
      <c r="X1520" t="s">
        <v>787</v>
      </c>
      <c r="Y1520">
        <v>163013834.81855586</v>
      </c>
      <c r="Z1520" t="s">
        <v>31</v>
      </c>
      <c r="AA1520">
        <v>1.9562667724793551E-3</v>
      </c>
      <c r="AB1520">
        <v>108.85</v>
      </c>
      <c r="AC1520" t="s">
        <v>34</v>
      </c>
      <c r="AE1520" t="s">
        <v>178</v>
      </c>
      <c r="AF1520">
        <v>-1.5888208702300663E-3</v>
      </c>
      <c r="AH1520" t="s">
        <v>237</v>
      </c>
      <c r="AJ1520">
        <v>2.0339452746093055E-3</v>
      </c>
      <c r="AK1520">
        <v>2.0339452746093055E-3</v>
      </c>
      <c r="AL1520">
        <v>0</v>
      </c>
      <c r="AN1520" t="s">
        <v>54</v>
      </c>
      <c r="AQ1520">
        <v>-3.231574701205088E-6</v>
      </c>
    </row>
    <row r="1521" spans="1:43" x14ac:dyDescent="0.2">
      <c r="A1521">
        <v>1519</v>
      </c>
      <c r="B1521">
        <v>99</v>
      </c>
      <c r="C1521">
        <v>17</v>
      </c>
      <c r="D1521">
        <v>148199461.92911032</v>
      </c>
      <c r="E1521" t="s">
        <v>788</v>
      </c>
      <c r="F1521" t="s">
        <v>61</v>
      </c>
      <c r="G1521" t="s">
        <v>789</v>
      </c>
      <c r="H1521">
        <v>9.2649509177353002E-3</v>
      </c>
      <c r="I1521">
        <v>4.0805669126728329E-5</v>
      </c>
      <c r="J1521">
        <v>4.7699999999999996</v>
      </c>
      <c r="L1521" s="1">
        <v>46888</v>
      </c>
      <c r="M1521" s="1">
        <v>43024</v>
      </c>
      <c r="R1521">
        <v>2.1008534579703107E-2</v>
      </c>
      <c r="T1521" t="s">
        <v>32</v>
      </c>
      <c r="V1521">
        <v>162181118.17750001</v>
      </c>
      <c r="W1521" t="s">
        <v>786</v>
      </c>
      <c r="X1521" t="s">
        <v>790</v>
      </c>
      <c r="Y1521">
        <v>148199461.92911032</v>
      </c>
      <c r="Z1521" t="s">
        <v>31</v>
      </c>
      <c r="AA1521">
        <v>1.8681578050647753E-3</v>
      </c>
      <c r="AB1521">
        <v>107.63</v>
      </c>
      <c r="AC1521" t="s">
        <v>34</v>
      </c>
      <c r="AE1521" t="s">
        <v>178</v>
      </c>
      <c r="AF1521">
        <v>2.1117912976993669E-4</v>
      </c>
      <c r="AH1521" t="s">
        <v>237</v>
      </c>
      <c r="AJ1521">
        <v>1.9423377186027885E-3</v>
      </c>
      <c r="AK1521">
        <v>1.9423377186027885E-3</v>
      </c>
      <c r="AL1521">
        <v>0</v>
      </c>
      <c r="AN1521" t="s">
        <v>54</v>
      </c>
      <c r="AQ1521">
        <v>4.1018118913386107E-7</v>
      </c>
    </row>
    <row r="1522" spans="1:43" x14ac:dyDescent="0.2">
      <c r="A1522">
        <v>1520</v>
      </c>
      <c r="B1522">
        <v>99</v>
      </c>
      <c r="C1522">
        <v>17</v>
      </c>
      <c r="D1522">
        <v>148193030.41161624</v>
      </c>
      <c r="E1522" t="s">
        <v>775</v>
      </c>
      <c r="F1522" t="s">
        <v>61</v>
      </c>
      <c r="G1522" t="s">
        <v>776</v>
      </c>
      <c r="H1522">
        <v>8.3715252339289052E-3</v>
      </c>
      <c r="I1522">
        <v>3.7741089562629303E-5</v>
      </c>
      <c r="J1522">
        <v>4.66</v>
      </c>
      <c r="L1522" s="1">
        <v>46371</v>
      </c>
      <c r="M1522" s="1">
        <v>43024</v>
      </c>
      <c r="R1522">
        <v>2.1008534579703107E-2</v>
      </c>
      <c r="T1522" t="s">
        <v>32</v>
      </c>
      <c r="V1522">
        <v>150001022.83570001</v>
      </c>
      <c r="W1522" t="s">
        <v>777</v>
      </c>
      <c r="X1522" t="s">
        <v>778</v>
      </c>
      <c r="Y1522">
        <v>148193030.41161624</v>
      </c>
      <c r="Z1522" t="s">
        <v>31</v>
      </c>
      <c r="AA1522">
        <v>1.7278557746254909E-3</v>
      </c>
      <c r="AB1522">
        <v>114.99</v>
      </c>
      <c r="AC1522" t="s">
        <v>33</v>
      </c>
      <c r="AE1522" t="s">
        <v>1708</v>
      </c>
      <c r="AF1522">
        <v>-2.4888208702300643E-3</v>
      </c>
      <c r="AH1522" t="s">
        <v>237</v>
      </c>
      <c r="AJ1522">
        <v>1.7964646424740139E-3</v>
      </c>
      <c r="AK1522">
        <v>1.7964646424740139E-3</v>
      </c>
      <c r="AL1522">
        <v>0</v>
      </c>
      <c r="AN1522" t="s">
        <v>148</v>
      </c>
      <c r="AQ1522">
        <v>-4.4710786948197164E-6</v>
      </c>
    </row>
    <row r="1523" spans="1:43" x14ac:dyDescent="0.2">
      <c r="A1523">
        <v>1521</v>
      </c>
      <c r="B1523">
        <v>99</v>
      </c>
      <c r="C1523">
        <v>17</v>
      </c>
      <c r="D1523">
        <v>189628196.14289096</v>
      </c>
      <c r="E1523" t="s">
        <v>320</v>
      </c>
      <c r="F1523" t="s">
        <v>61</v>
      </c>
      <c r="G1523" t="s">
        <v>800</v>
      </c>
      <c r="H1523">
        <v>4.9452297879096288E-2</v>
      </c>
      <c r="I1523">
        <v>2.5216512379581864E-4</v>
      </c>
      <c r="J1523">
        <v>4.12</v>
      </c>
      <c r="L1523" s="1">
        <v>45261</v>
      </c>
      <c r="M1523" s="1">
        <v>43024</v>
      </c>
      <c r="R1523">
        <v>2.1008534579703107E-2</v>
      </c>
      <c r="T1523" t="s">
        <v>32</v>
      </c>
      <c r="V1523">
        <v>1002224019.794</v>
      </c>
      <c r="W1523" t="s">
        <v>321</v>
      </c>
      <c r="X1523" t="s">
        <v>529</v>
      </c>
      <c r="Y1523">
        <v>189628196.14289096</v>
      </c>
      <c r="Z1523" t="s">
        <v>31</v>
      </c>
      <c r="AA1523">
        <v>1.1544578345750409E-2</v>
      </c>
      <c r="AB1523">
        <v>100.36</v>
      </c>
      <c r="AC1523" t="s">
        <v>34</v>
      </c>
      <c r="AE1523" t="s">
        <v>40</v>
      </c>
      <c r="AF1523">
        <v>5.1117912976993488E-4</v>
      </c>
      <c r="AH1523" t="s">
        <v>237</v>
      </c>
      <c r="AJ1523">
        <v>1.2002984922110748E-2</v>
      </c>
      <c r="AK1523">
        <v>1.2002984922110748E-2</v>
      </c>
      <c r="AL1523">
        <v>0</v>
      </c>
      <c r="AN1523" t="s">
        <v>54</v>
      </c>
      <c r="AQ1523">
        <v>6.1356753871262216E-6</v>
      </c>
    </row>
    <row r="1524" spans="1:43" x14ac:dyDescent="0.2">
      <c r="A1524">
        <v>1522</v>
      </c>
      <c r="B1524">
        <v>99</v>
      </c>
      <c r="C1524">
        <v>17</v>
      </c>
      <c r="D1524">
        <v>148186815.54599106</v>
      </c>
      <c r="E1524" t="s">
        <v>426</v>
      </c>
      <c r="F1524" t="s">
        <v>61</v>
      </c>
      <c r="G1524" t="s">
        <v>801</v>
      </c>
      <c r="H1524">
        <v>6.338056392191393E-3</v>
      </c>
      <c r="I1524">
        <v>3.8595152719843823E-5</v>
      </c>
      <c r="J1524">
        <v>3.45</v>
      </c>
      <c r="L1524" s="1">
        <v>44356</v>
      </c>
      <c r="M1524" s="1">
        <v>43024</v>
      </c>
      <c r="R1524">
        <v>2.1008534579703107E-2</v>
      </c>
      <c r="T1524" t="s">
        <v>32</v>
      </c>
      <c r="V1524">
        <v>153395475.63589999</v>
      </c>
      <c r="W1524" t="s">
        <v>181</v>
      </c>
      <c r="X1524" t="s">
        <v>428</v>
      </c>
      <c r="Y1524">
        <v>148186815.54599106</v>
      </c>
      <c r="Z1524" t="s">
        <v>31</v>
      </c>
      <c r="AA1524">
        <v>1.7669563404859212E-3</v>
      </c>
      <c r="AB1524">
        <v>102.44</v>
      </c>
      <c r="AC1524" t="s">
        <v>33</v>
      </c>
      <c r="AE1524" t="s">
        <v>41</v>
      </c>
      <c r="AF1524">
        <v>-7.888208702300642E-4</v>
      </c>
      <c r="AH1524" t="s">
        <v>237</v>
      </c>
      <c r="AJ1524">
        <v>1.8371177948380848E-3</v>
      </c>
      <c r="AK1524">
        <v>1.8371177948380848E-3</v>
      </c>
      <c r="AL1524">
        <v>0</v>
      </c>
      <c r="AN1524" t="s">
        <v>148</v>
      </c>
      <c r="AQ1524">
        <v>-1.4491568576393145E-6</v>
      </c>
    </row>
    <row r="1525" spans="1:43" x14ac:dyDescent="0.2">
      <c r="A1525">
        <v>1523</v>
      </c>
      <c r="B1525">
        <v>99</v>
      </c>
      <c r="C1525">
        <v>17</v>
      </c>
      <c r="D1525">
        <v>111145801.8093635</v>
      </c>
      <c r="E1525" t="s">
        <v>407</v>
      </c>
      <c r="F1525" t="s">
        <v>61</v>
      </c>
      <c r="G1525" t="s">
        <v>982</v>
      </c>
      <c r="H1525">
        <v>1.3796817320266296E-2</v>
      </c>
      <c r="I1525">
        <v>6.7095118926541948E-5</v>
      </c>
      <c r="J1525">
        <v>4.32</v>
      </c>
      <c r="L1525" s="1">
        <v>46113</v>
      </c>
      <c r="M1525" s="1">
        <v>43024</v>
      </c>
      <c r="R1525">
        <v>2.1008534579703107E-2</v>
      </c>
      <c r="T1525" t="s">
        <v>32</v>
      </c>
      <c r="V1525">
        <v>266667883.27779999</v>
      </c>
      <c r="W1525" t="s">
        <v>229</v>
      </c>
      <c r="X1525" t="s">
        <v>981</v>
      </c>
      <c r="Y1525">
        <v>111145801.8093635</v>
      </c>
      <c r="Z1525" t="s">
        <v>31</v>
      </c>
      <c r="AA1525">
        <v>3.0717366676451894E-3</v>
      </c>
      <c r="AB1525">
        <v>109.1</v>
      </c>
      <c r="AC1525" t="s">
        <v>33</v>
      </c>
      <c r="AE1525" t="s">
        <v>41</v>
      </c>
      <c r="AF1525">
        <v>2.1117912976993669E-4</v>
      </c>
      <c r="AH1525" t="s">
        <v>237</v>
      </c>
      <c r="AJ1525">
        <v>3.1937077130246051E-3</v>
      </c>
      <c r="AK1525">
        <v>3.1937077130246051E-3</v>
      </c>
      <c r="AL1525">
        <v>0</v>
      </c>
      <c r="AN1525" t="s">
        <v>148</v>
      </c>
      <c r="AQ1525">
        <v>6.7444441557607084E-7</v>
      </c>
    </row>
    <row r="1526" spans="1:43" x14ac:dyDescent="0.2">
      <c r="A1526">
        <v>1524</v>
      </c>
      <c r="B1526">
        <v>99</v>
      </c>
      <c r="C1526">
        <v>17</v>
      </c>
      <c r="D1526">
        <v>152086008.60347342</v>
      </c>
      <c r="E1526" t="s">
        <v>505</v>
      </c>
      <c r="F1526" t="s">
        <v>61</v>
      </c>
      <c r="G1526" t="s">
        <v>506</v>
      </c>
      <c r="H1526">
        <v>4.152777362466635E-2</v>
      </c>
      <c r="I1526">
        <v>2.410048807215154E-4</v>
      </c>
      <c r="J1526">
        <v>3.62</v>
      </c>
      <c r="L1526" s="1">
        <v>44409</v>
      </c>
      <c r="M1526" s="1">
        <v>43024</v>
      </c>
      <c r="R1526">
        <v>2.1008534579703107E-2</v>
      </c>
      <c r="T1526" t="s">
        <v>32</v>
      </c>
      <c r="V1526">
        <v>957867910.95770001</v>
      </c>
      <c r="W1526" t="s">
        <v>206</v>
      </c>
      <c r="X1526" t="s">
        <v>507</v>
      </c>
      <c r="Y1526">
        <v>152086008.60347342</v>
      </c>
      <c r="Z1526" t="s">
        <v>31</v>
      </c>
      <c r="AA1526">
        <v>1.1033642104491146E-2</v>
      </c>
      <c r="AB1526">
        <v>100.08999999999999</v>
      </c>
      <c r="AC1526" t="s">
        <v>36</v>
      </c>
      <c r="AE1526" t="s">
        <v>41</v>
      </c>
      <c r="AF1526">
        <v>2.3111791297699344E-3</v>
      </c>
      <c r="AH1526" t="s">
        <v>237</v>
      </c>
      <c r="AJ1526">
        <v>1.1471760669797335E-2</v>
      </c>
      <c r="AK1526">
        <v>1.1471760669797335E-2</v>
      </c>
      <c r="AL1526">
        <v>0</v>
      </c>
      <c r="AN1526" t="s">
        <v>150</v>
      </c>
      <c r="AQ1526">
        <v>2.6513293841751165E-5</v>
      </c>
    </row>
    <row r="1527" spans="1:43" x14ac:dyDescent="0.2">
      <c r="A1527">
        <v>1525</v>
      </c>
      <c r="B1527">
        <v>99</v>
      </c>
      <c r="C1527">
        <v>17</v>
      </c>
      <c r="D1527">
        <v>268313355.2348465</v>
      </c>
      <c r="E1527" t="s">
        <v>505</v>
      </c>
      <c r="F1527" t="s">
        <v>61</v>
      </c>
      <c r="G1527" t="s">
        <v>807</v>
      </c>
      <c r="H1527">
        <v>2.9106124407034476E-2</v>
      </c>
      <c r="I1527">
        <v>1.3558248804574821E-4</v>
      </c>
      <c r="J1527">
        <v>4.51</v>
      </c>
      <c r="L1527" s="1">
        <v>44774</v>
      </c>
      <c r="M1527" s="1">
        <v>43024</v>
      </c>
      <c r="R1527">
        <v>2.1008534579703107E-2</v>
      </c>
      <c r="T1527" t="s">
        <v>32</v>
      </c>
      <c r="V1527">
        <v>538869230.35759997</v>
      </c>
      <c r="W1527" t="s">
        <v>206</v>
      </c>
      <c r="X1527" t="s">
        <v>507</v>
      </c>
      <c r="Y1527">
        <v>268313355.2348465</v>
      </c>
      <c r="Z1527" t="s">
        <v>31</v>
      </c>
      <c r="AA1527">
        <v>6.2072130832148929E-3</v>
      </c>
      <c r="AB1527">
        <v>100.2</v>
      </c>
      <c r="AC1527" t="s">
        <v>36</v>
      </c>
      <c r="AE1527" t="s">
        <v>41</v>
      </c>
      <c r="AF1527">
        <v>2.1111791297699356E-3</v>
      </c>
      <c r="AH1527" t="s">
        <v>237</v>
      </c>
      <c r="AJ1527">
        <v>6.4536861212936758E-3</v>
      </c>
      <c r="AK1527">
        <v>6.4536861212936758E-3</v>
      </c>
      <c r="AL1527">
        <v>0</v>
      </c>
      <c r="AN1527" t="s">
        <v>150</v>
      </c>
      <c r="AQ1527">
        <v>1.3624887449361094E-5</v>
      </c>
    </row>
    <row r="1528" spans="1:43" x14ac:dyDescent="0.2">
      <c r="A1528">
        <v>1526</v>
      </c>
      <c r="B1528">
        <v>99</v>
      </c>
      <c r="C1528">
        <v>17</v>
      </c>
      <c r="D1528">
        <v>148198785.52598786</v>
      </c>
      <c r="E1528" t="s">
        <v>505</v>
      </c>
      <c r="F1528" t="s">
        <v>61</v>
      </c>
      <c r="G1528" t="s">
        <v>976</v>
      </c>
      <c r="H1528">
        <v>3.201599464977107E-3</v>
      </c>
      <c r="I1528">
        <v>2.1084925727376337E-5</v>
      </c>
      <c r="J1528">
        <v>3.19</v>
      </c>
      <c r="L1528" s="1">
        <v>45413</v>
      </c>
      <c r="M1528" s="1">
        <v>43024</v>
      </c>
      <c r="R1528">
        <v>2.1008534579703107E-2</v>
      </c>
      <c r="T1528" t="s">
        <v>32</v>
      </c>
      <c r="V1528">
        <v>83801513.474399999</v>
      </c>
      <c r="W1528" t="s">
        <v>206</v>
      </c>
      <c r="X1528" t="s">
        <v>507</v>
      </c>
      <c r="Y1528">
        <v>148198785.52598786</v>
      </c>
      <c r="Z1528" t="s">
        <v>31</v>
      </c>
      <c r="AA1528">
        <v>9.6530627752917215E-4</v>
      </c>
      <c r="AB1528">
        <v>113.02</v>
      </c>
      <c r="AC1528" t="s">
        <v>36</v>
      </c>
      <c r="AE1528" t="s">
        <v>41</v>
      </c>
      <c r="AF1528">
        <v>3.1117912976993609E-4</v>
      </c>
      <c r="AH1528" t="s">
        <v>237</v>
      </c>
      <c r="AJ1528">
        <v>1.0036361959175884E-3</v>
      </c>
      <c r="AK1528">
        <v>1.0036361959175884E-3</v>
      </c>
      <c r="AL1528">
        <v>0</v>
      </c>
      <c r="AN1528" t="s">
        <v>150</v>
      </c>
      <c r="AQ1528">
        <v>3.1231063805124423E-7</v>
      </c>
    </row>
    <row r="1529" spans="1:43" x14ac:dyDescent="0.2">
      <c r="A1529">
        <v>1527</v>
      </c>
      <c r="B1529">
        <v>99</v>
      </c>
      <c r="C1529">
        <v>17</v>
      </c>
      <c r="D1529">
        <v>185232966.02604601</v>
      </c>
      <c r="E1529" t="s">
        <v>411</v>
      </c>
      <c r="F1529" t="s">
        <v>61</v>
      </c>
      <c r="G1529" t="s">
        <v>987</v>
      </c>
      <c r="H1529">
        <v>4.3412618445107078E-3</v>
      </c>
      <c r="I1529">
        <v>2.7063367827878011E-5</v>
      </c>
      <c r="J1529">
        <v>3.37</v>
      </c>
      <c r="L1529" s="1">
        <v>45474</v>
      </c>
      <c r="M1529" s="1">
        <v>43024</v>
      </c>
      <c r="R1529">
        <v>2.1008534579703107E-2</v>
      </c>
      <c r="T1529" t="s">
        <v>32</v>
      </c>
      <c r="V1529">
        <v>107562683.0758</v>
      </c>
      <c r="W1529" t="s">
        <v>211</v>
      </c>
      <c r="X1529" t="s">
        <v>413</v>
      </c>
      <c r="Y1529">
        <v>185232966.02604601</v>
      </c>
      <c r="Z1529" t="s">
        <v>31</v>
      </c>
      <c r="AA1529">
        <v>1.2390102385521861E-3</v>
      </c>
      <c r="AB1529">
        <v>114.51</v>
      </c>
      <c r="AC1529" t="s">
        <v>33</v>
      </c>
      <c r="AE1529" t="s">
        <v>41</v>
      </c>
      <c r="AF1529">
        <v>-1.6888208702300657E-3</v>
      </c>
      <c r="AH1529" t="s">
        <v>237</v>
      </c>
      <c r="AJ1529">
        <v>1.2882082624660854E-3</v>
      </c>
      <c r="AK1529">
        <v>1.2882082624660854E-3</v>
      </c>
      <c r="AL1529">
        <v>0</v>
      </c>
      <c r="AN1529" t="s">
        <v>148</v>
      </c>
      <c r="AQ1529">
        <v>-2.1755529988555354E-6</v>
      </c>
    </row>
    <row r="1530" spans="1:43" x14ac:dyDescent="0.2">
      <c r="A1530">
        <v>1528</v>
      </c>
      <c r="B1530">
        <v>99</v>
      </c>
      <c r="C1530">
        <v>17</v>
      </c>
      <c r="D1530">
        <v>111140129.99305506</v>
      </c>
      <c r="E1530" t="s">
        <v>411</v>
      </c>
      <c r="F1530" t="s">
        <v>61</v>
      </c>
      <c r="G1530" t="s">
        <v>988</v>
      </c>
      <c r="H1530">
        <v>4.5862550320441356E-3</v>
      </c>
      <c r="I1530">
        <v>2.0114926394997204E-5</v>
      </c>
      <c r="J1530">
        <v>4.79</v>
      </c>
      <c r="L1530" s="1">
        <v>46478</v>
      </c>
      <c r="M1530" s="1">
        <v>43024</v>
      </c>
      <c r="R1530">
        <v>2.1008534579703107E-2</v>
      </c>
      <c r="T1530" t="s">
        <v>32</v>
      </c>
      <c r="V1530">
        <v>79946275.226300001</v>
      </c>
      <c r="W1530" t="s">
        <v>211</v>
      </c>
      <c r="X1530" t="s">
        <v>989</v>
      </c>
      <c r="Y1530">
        <v>111140129.99305506</v>
      </c>
      <c r="Z1530" t="s">
        <v>31</v>
      </c>
      <c r="AA1530">
        <v>9.2089794254846381E-4</v>
      </c>
      <c r="AB1530">
        <v>110.68</v>
      </c>
      <c r="AC1530" t="s">
        <v>33</v>
      </c>
      <c r="AE1530" t="s">
        <v>41</v>
      </c>
      <c r="AF1530">
        <v>-8.8882087023006359E-4</v>
      </c>
      <c r="AH1530" t="s">
        <v>237</v>
      </c>
      <c r="AJ1530">
        <v>9.5746451608437065E-4</v>
      </c>
      <c r="AK1530">
        <v>9.5746451608437065E-4</v>
      </c>
      <c r="AL1530">
        <v>0</v>
      </c>
      <c r="AN1530" t="s">
        <v>148</v>
      </c>
      <c r="AQ1530">
        <v>-8.5101444440051706E-7</v>
      </c>
    </row>
    <row r="1531" spans="1:43" x14ac:dyDescent="0.2">
      <c r="A1531">
        <v>1529</v>
      </c>
      <c r="B1531">
        <v>99</v>
      </c>
      <c r="C1531">
        <v>17</v>
      </c>
      <c r="D1531">
        <v>37039352.35006661</v>
      </c>
      <c r="E1531" t="s">
        <v>469</v>
      </c>
      <c r="F1531" t="s">
        <v>61</v>
      </c>
      <c r="G1531" t="s">
        <v>918</v>
      </c>
      <c r="H1531">
        <v>1.708766043426755E-3</v>
      </c>
      <c r="I1531">
        <v>9.835252195055739E-6</v>
      </c>
      <c r="J1531">
        <v>3.65</v>
      </c>
      <c r="L1531" s="1">
        <v>44440</v>
      </c>
      <c r="M1531" s="1">
        <v>43024</v>
      </c>
      <c r="R1531">
        <v>2.1008534579703107E-2</v>
      </c>
      <c r="T1531" t="s">
        <v>32</v>
      </c>
      <c r="V1531">
        <v>39089965.504500002</v>
      </c>
      <c r="W1531" t="s">
        <v>220</v>
      </c>
      <c r="X1531" t="s">
        <v>471</v>
      </c>
      <c r="Y1531">
        <v>37039352.35006661</v>
      </c>
      <c r="Z1531" t="s">
        <v>31</v>
      </c>
      <c r="AA1531">
        <v>4.5027574712501711E-4</v>
      </c>
      <c r="AB1531">
        <v>105.09</v>
      </c>
      <c r="AC1531" t="s">
        <v>33</v>
      </c>
      <c r="AE1531" t="s">
        <v>41</v>
      </c>
      <c r="AF1531">
        <v>-2.5888208702300637E-3</v>
      </c>
      <c r="AH1531" t="s">
        <v>237</v>
      </c>
      <c r="AJ1531">
        <v>4.681550803908918E-4</v>
      </c>
      <c r="AK1531">
        <v>4.681550803908918E-4</v>
      </c>
      <c r="AL1531">
        <v>0</v>
      </c>
      <c r="AN1531" t="s">
        <v>148</v>
      </c>
      <c r="AQ1531">
        <v>-1.211969642620174E-6</v>
      </c>
    </row>
    <row r="1532" spans="1:43" x14ac:dyDescent="0.2">
      <c r="A1532">
        <v>1530</v>
      </c>
      <c r="B1532">
        <v>99</v>
      </c>
      <c r="C1532">
        <v>17</v>
      </c>
      <c r="D1532">
        <v>51866748.586732589</v>
      </c>
      <c r="E1532" t="s">
        <v>469</v>
      </c>
      <c r="F1532" t="s">
        <v>61</v>
      </c>
      <c r="G1532" t="s">
        <v>920</v>
      </c>
      <c r="H1532">
        <v>2.8190533012319285E-3</v>
      </c>
      <c r="I1532">
        <v>1.3869831091559058E-5</v>
      </c>
      <c r="J1532">
        <v>4.2699999999999996</v>
      </c>
      <c r="L1532" s="1">
        <v>44713</v>
      </c>
      <c r="M1532" s="1">
        <v>43024</v>
      </c>
      <c r="R1532">
        <v>2.1008534579703107E-2</v>
      </c>
      <c r="T1532" t="s">
        <v>32</v>
      </c>
      <c r="V1532">
        <v>55125299.094499998</v>
      </c>
      <c r="W1532" t="s">
        <v>220</v>
      </c>
      <c r="X1532" t="s">
        <v>471</v>
      </c>
      <c r="Y1532">
        <v>51866748.586732589</v>
      </c>
      <c r="Z1532" t="s">
        <v>31</v>
      </c>
      <c r="AA1532">
        <v>6.3498611254616155E-4</v>
      </c>
      <c r="AB1532">
        <v>104.91</v>
      </c>
      <c r="AC1532" t="s">
        <v>33</v>
      </c>
      <c r="AE1532" t="s">
        <v>41</v>
      </c>
      <c r="AF1532">
        <v>-1.8882087023006436E-4</v>
      </c>
      <c r="AH1532" t="s">
        <v>237</v>
      </c>
      <c r="AJ1532">
        <v>6.6019983635408168E-4</v>
      </c>
      <c r="AK1532">
        <v>6.6019983635408168E-4</v>
      </c>
      <c r="AL1532">
        <v>0</v>
      </c>
      <c r="AN1532" t="s">
        <v>148</v>
      </c>
      <c r="AQ1532">
        <v>-1.2465950762612378E-7</v>
      </c>
    </row>
    <row r="1533" spans="1:43" x14ac:dyDescent="0.2">
      <c r="A1533">
        <v>1531</v>
      </c>
      <c r="B1533">
        <v>99</v>
      </c>
      <c r="C1533">
        <v>17</v>
      </c>
      <c r="D1533">
        <v>111149599.53138377</v>
      </c>
      <c r="E1533" t="s">
        <v>430</v>
      </c>
      <c r="F1533" t="s">
        <v>61</v>
      </c>
      <c r="G1533" t="s">
        <v>1599</v>
      </c>
      <c r="H1533">
        <v>4.8945475691666547E-3</v>
      </c>
      <c r="I1533">
        <v>2.8327072137421336E-5</v>
      </c>
      <c r="J1533">
        <v>3.63</v>
      </c>
      <c r="L1533" s="1">
        <v>44409</v>
      </c>
      <c r="M1533" s="1">
        <v>43024</v>
      </c>
      <c r="R1533">
        <v>2.1008534579703107E-2</v>
      </c>
      <c r="T1533" t="s">
        <v>32</v>
      </c>
      <c r="V1533">
        <v>112585244.4589</v>
      </c>
      <c r="W1533" t="s">
        <v>248</v>
      </c>
      <c r="X1533" t="s">
        <v>432</v>
      </c>
      <c r="Y1533">
        <v>111149599.53138377</v>
      </c>
      <c r="Z1533" t="s">
        <v>31</v>
      </c>
      <c r="AA1533">
        <v>1.2968649219746175E-3</v>
      </c>
      <c r="AB1533">
        <v>100.79</v>
      </c>
      <c r="AC1533" t="s">
        <v>34</v>
      </c>
      <c r="AE1533" t="s">
        <v>41</v>
      </c>
      <c r="AF1533">
        <v>-1.6888208702300657E-3</v>
      </c>
      <c r="AH1533" t="s">
        <v>237</v>
      </c>
      <c r="AJ1533">
        <v>1.3483602118916404E-3</v>
      </c>
      <c r="AK1533">
        <v>1.3483602118916404E-3</v>
      </c>
      <c r="AL1533">
        <v>0</v>
      </c>
      <c r="AN1533" t="s">
        <v>54</v>
      </c>
      <c r="AQ1533">
        <v>-2.2771388664304358E-6</v>
      </c>
    </row>
    <row r="1534" spans="1:43" x14ac:dyDescent="0.2">
      <c r="A1534">
        <v>1532</v>
      </c>
      <c r="B1534">
        <v>99</v>
      </c>
      <c r="C1534">
        <v>17</v>
      </c>
      <c r="D1534">
        <v>7000</v>
      </c>
      <c r="E1534" t="s">
        <v>430</v>
      </c>
      <c r="F1534" t="s">
        <v>61</v>
      </c>
      <c r="G1534" t="s">
        <v>942</v>
      </c>
      <c r="H1534">
        <v>8.8685703481659467E-3</v>
      </c>
      <c r="I1534">
        <v>4.9420601281690695E-5</v>
      </c>
      <c r="J1534">
        <v>3.77</v>
      </c>
      <c r="L1534" s="1">
        <v>44501</v>
      </c>
      <c r="M1534" s="1">
        <v>43024</v>
      </c>
      <c r="R1534">
        <v>2.1008534579703107E-2</v>
      </c>
      <c r="T1534" t="s">
        <v>32</v>
      </c>
      <c r="V1534">
        <v>196420952</v>
      </c>
      <c r="W1534" t="s">
        <v>248</v>
      </c>
      <c r="X1534" t="s">
        <v>432</v>
      </c>
      <c r="Y1534">
        <v>7000</v>
      </c>
      <c r="Z1534" t="s">
        <v>31</v>
      </c>
      <c r="AA1534">
        <v>2.2625650795886623E-3</v>
      </c>
      <c r="AB1534">
        <v>103.7</v>
      </c>
      <c r="AC1534" t="s">
        <v>34</v>
      </c>
      <c r="AE1534" t="s">
        <v>41</v>
      </c>
      <c r="AF1534">
        <v>-7.888208702300642E-4</v>
      </c>
      <c r="AH1534" t="s">
        <v>237</v>
      </c>
      <c r="AJ1534">
        <v>2.3524059278954767E-3</v>
      </c>
      <c r="AK1534">
        <v>2.3524059278954767E-3</v>
      </c>
      <c r="AL1534">
        <v>0</v>
      </c>
      <c r="AN1534" t="s">
        <v>54</v>
      </c>
      <c r="AQ1534">
        <v>-1.8556268911768716E-6</v>
      </c>
    </row>
    <row r="1535" spans="1:43" x14ac:dyDescent="0.2">
      <c r="A1535">
        <v>1533</v>
      </c>
      <c r="B1535">
        <v>99</v>
      </c>
      <c r="C1535">
        <v>17</v>
      </c>
      <c r="D1535">
        <v>15000</v>
      </c>
      <c r="E1535" t="s">
        <v>430</v>
      </c>
      <c r="F1535" t="s">
        <v>61</v>
      </c>
      <c r="G1535" t="s">
        <v>943</v>
      </c>
      <c r="H1535">
        <v>2.374267281392984E-2</v>
      </c>
      <c r="I1535">
        <v>1.0819929779306332E-4</v>
      </c>
      <c r="J1535">
        <v>4.6100000000000003</v>
      </c>
      <c r="L1535" s="1">
        <v>44866</v>
      </c>
      <c r="M1535" s="1">
        <v>43024</v>
      </c>
      <c r="R1535">
        <v>2.1008534579703107E-2</v>
      </c>
      <c r="T1535" t="s">
        <v>32</v>
      </c>
      <c r="V1535">
        <v>430035421</v>
      </c>
      <c r="W1535" t="s">
        <v>248</v>
      </c>
      <c r="X1535" t="s">
        <v>432</v>
      </c>
      <c r="Y1535">
        <v>15000</v>
      </c>
      <c r="Z1535" t="s">
        <v>31</v>
      </c>
      <c r="AA1535">
        <v>4.9535607919302263E-3</v>
      </c>
      <c r="AB1535">
        <v>105.83</v>
      </c>
      <c r="AC1535" t="s">
        <v>34</v>
      </c>
      <c r="AE1535" t="s">
        <v>41</v>
      </c>
      <c r="AF1535">
        <v>-9.8882087023006646E-4</v>
      </c>
      <c r="AH1535" t="s">
        <v>237</v>
      </c>
      <c r="AJ1535">
        <v>5.1502544064923727E-3</v>
      </c>
      <c r="AK1535">
        <v>5.1502544064923727E-3</v>
      </c>
      <c r="AL1535">
        <v>0</v>
      </c>
      <c r="AN1535" t="s">
        <v>54</v>
      </c>
      <c r="AQ1535">
        <v>-5.0926790441340228E-6</v>
      </c>
    </row>
    <row r="1536" spans="1:43" x14ac:dyDescent="0.2">
      <c r="A1536">
        <v>1534</v>
      </c>
      <c r="B1536">
        <v>99</v>
      </c>
      <c r="C1536">
        <v>17</v>
      </c>
      <c r="D1536">
        <v>247358496.51997456</v>
      </c>
      <c r="E1536" t="s">
        <v>911</v>
      </c>
      <c r="F1536" t="s">
        <v>61</v>
      </c>
      <c r="G1536" t="s">
        <v>912</v>
      </c>
      <c r="H1536">
        <v>1.0662734982587378E-2</v>
      </c>
      <c r="I1536">
        <v>6.2397893202199709E-5</v>
      </c>
      <c r="J1536">
        <v>3.59</v>
      </c>
      <c r="L1536" s="1">
        <v>44392</v>
      </c>
      <c r="M1536" s="1">
        <v>43024</v>
      </c>
      <c r="R1536">
        <v>2.1008534579703107E-2</v>
      </c>
      <c r="T1536" t="s">
        <v>32</v>
      </c>
      <c r="V1536">
        <v>247998876.33320001</v>
      </c>
      <c r="W1536" t="s">
        <v>913</v>
      </c>
      <c r="X1536" t="s">
        <v>914</v>
      </c>
      <c r="Y1536">
        <v>247358496.51997456</v>
      </c>
      <c r="Z1536" t="s">
        <v>31</v>
      </c>
      <c r="AA1536">
        <v>2.8566891243288826E-3</v>
      </c>
      <c r="AB1536">
        <v>99.68</v>
      </c>
      <c r="AC1536" t="s">
        <v>34</v>
      </c>
      <c r="AE1536" t="s">
        <v>176</v>
      </c>
      <c r="AF1536">
        <v>3.1117912976993609E-4</v>
      </c>
      <c r="AH1536" t="s">
        <v>237</v>
      </c>
      <c r="AJ1536">
        <v>2.9701211650661223E-3</v>
      </c>
      <c r="AK1536">
        <v>2.9701211650661223E-3</v>
      </c>
      <c r="AL1536">
        <v>0</v>
      </c>
      <c r="AN1536" t="s">
        <v>54</v>
      </c>
      <c r="AQ1536">
        <v>9.2423971945654457E-7</v>
      </c>
    </row>
    <row r="1537" spans="1:43" x14ac:dyDescent="0.2">
      <c r="A1537">
        <v>1535</v>
      </c>
      <c r="B1537">
        <v>99</v>
      </c>
      <c r="C1537">
        <v>17</v>
      </c>
      <c r="D1537">
        <v>148223056.35728267</v>
      </c>
      <c r="E1537" t="s">
        <v>831</v>
      </c>
      <c r="F1537" t="s">
        <v>61</v>
      </c>
      <c r="G1537" t="s">
        <v>835</v>
      </c>
      <c r="H1537">
        <v>4.1801547127015247E-2</v>
      </c>
      <c r="I1537">
        <v>1.9868535029479389E-4</v>
      </c>
      <c r="J1537">
        <v>4.42</v>
      </c>
      <c r="L1537" s="1">
        <v>44696</v>
      </c>
      <c r="M1537" s="1">
        <v>43024</v>
      </c>
      <c r="R1537">
        <v>2.1008534579703107E-2</v>
      </c>
      <c r="T1537" t="s">
        <v>32</v>
      </c>
      <c r="V1537">
        <v>789669988.65339994</v>
      </c>
      <c r="W1537" t="s">
        <v>833</v>
      </c>
      <c r="X1537" t="s">
        <v>836</v>
      </c>
      <c r="Y1537">
        <v>148223056.35728267</v>
      </c>
      <c r="Z1537" t="s">
        <v>31</v>
      </c>
      <c r="AA1537">
        <v>9.0961769736578723E-3</v>
      </c>
      <c r="AB1537">
        <v>96.09</v>
      </c>
      <c r="AC1537" t="s">
        <v>34</v>
      </c>
      <c r="AE1537" t="s">
        <v>41</v>
      </c>
      <c r="AF1537">
        <v>6.1117912976993427E-4</v>
      </c>
      <c r="AH1537" t="s">
        <v>237</v>
      </c>
      <c r="AJ1537">
        <v>9.4573636033971151E-3</v>
      </c>
      <c r="AK1537">
        <v>9.4573636033971151E-3</v>
      </c>
      <c r="AL1537">
        <v>0</v>
      </c>
      <c r="AN1537" t="s">
        <v>54</v>
      </c>
      <c r="AQ1537">
        <v>5.7801432570420989E-6</v>
      </c>
    </row>
    <row r="1538" spans="1:43" x14ac:dyDescent="0.2">
      <c r="A1538">
        <v>1536</v>
      </c>
      <c r="B1538">
        <v>99</v>
      </c>
      <c r="C1538">
        <v>17</v>
      </c>
      <c r="D1538">
        <v>74085640.42432639</v>
      </c>
      <c r="E1538" t="s">
        <v>886</v>
      </c>
      <c r="F1538" t="s">
        <v>61</v>
      </c>
      <c r="G1538" t="s">
        <v>887</v>
      </c>
      <c r="H1538">
        <v>2.8859323356480613E-3</v>
      </c>
      <c r="I1538">
        <v>1.2899831759179924E-5</v>
      </c>
      <c r="J1538">
        <v>4.7</v>
      </c>
      <c r="L1538" s="1">
        <v>46905</v>
      </c>
      <c r="M1538" s="1">
        <v>43024</v>
      </c>
      <c r="R1538">
        <v>2.1008534579703107E-2</v>
      </c>
      <c r="T1538" t="s">
        <v>32</v>
      </c>
      <c r="V1538">
        <v>51270060.8464</v>
      </c>
      <c r="W1538" t="s">
        <v>888</v>
      </c>
      <c r="X1538" t="s">
        <v>889</v>
      </c>
      <c r="Y1538">
        <v>74085640.42432639</v>
      </c>
      <c r="Z1538" t="s">
        <v>31</v>
      </c>
      <c r="AA1538">
        <v>5.9057777756545322E-4</v>
      </c>
      <c r="AB1538">
        <v>116.93</v>
      </c>
      <c r="AC1538" t="s">
        <v>36</v>
      </c>
      <c r="AE1538" t="s">
        <v>178</v>
      </c>
      <c r="AF1538">
        <v>4.1117912976993548E-4</v>
      </c>
      <c r="AH1538" t="s">
        <v>237</v>
      </c>
      <c r="AJ1538">
        <v>6.1402815652086406E-4</v>
      </c>
      <c r="AK1538">
        <v>6.1402815652086406E-4</v>
      </c>
      <c r="AL1538">
        <v>0</v>
      </c>
      <c r="AN1538" t="s">
        <v>150</v>
      </c>
      <c r="AQ1538">
        <v>2.524755630524866E-7</v>
      </c>
    </row>
    <row r="1539" spans="1:43" x14ac:dyDescent="0.2">
      <c r="A1539">
        <v>1537</v>
      </c>
      <c r="B1539">
        <v>99</v>
      </c>
      <c r="C1539">
        <v>17</v>
      </c>
      <c r="D1539">
        <v>74091173.787822768</v>
      </c>
      <c r="E1539" t="s">
        <v>894</v>
      </c>
      <c r="F1539" t="s">
        <v>61</v>
      </c>
      <c r="G1539" t="s">
        <v>895</v>
      </c>
      <c r="H1539">
        <v>3.230030918506213E-3</v>
      </c>
      <c r="I1539">
        <v>1.4437918349988927E-5</v>
      </c>
      <c r="J1539">
        <v>4.7</v>
      </c>
      <c r="L1539" s="1">
        <v>46539</v>
      </c>
      <c r="M1539" s="1">
        <v>43024</v>
      </c>
      <c r="R1539">
        <v>2.1008534579703107E-2</v>
      </c>
      <c r="T1539" t="s">
        <v>32</v>
      </c>
      <c r="V1539">
        <v>57383147.789700001</v>
      </c>
      <c r="W1539" t="s">
        <v>894</v>
      </c>
      <c r="X1539" t="s">
        <v>896</v>
      </c>
      <c r="Y1539">
        <v>74091173.787822768</v>
      </c>
      <c r="Z1539" t="s">
        <v>31</v>
      </c>
      <c r="AA1539">
        <v>6.6099418124116697E-4</v>
      </c>
      <c r="AB1539">
        <v>117.72</v>
      </c>
      <c r="AC1539" t="s">
        <v>33</v>
      </c>
      <c r="AE1539" t="s">
        <v>178</v>
      </c>
      <c r="AF1539">
        <v>-9.8882087023006646E-4</v>
      </c>
      <c r="AH1539" t="s">
        <v>237</v>
      </c>
      <c r="AJ1539">
        <v>6.8724062095876866E-4</v>
      </c>
      <c r="AK1539">
        <v>6.8724062095876866E-4</v>
      </c>
      <c r="AL1539">
        <v>0</v>
      </c>
      <c r="AN1539" t="s">
        <v>148</v>
      </c>
      <c r="AQ1539">
        <v>-6.7955786887390091E-7</v>
      </c>
    </row>
    <row r="1540" spans="1:43" x14ac:dyDescent="0.2">
      <c r="A1540">
        <v>1538</v>
      </c>
      <c r="B1540">
        <v>99</v>
      </c>
      <c r="C1540">
        <v>17</v>
      </c>
      <c r="D1540">
        <v>148196957.77831173</v>
      </c>
      <c r="E1540" t="s">
        <v>921</v>
      </c>
      <c r="F1540" t="s">
        <v>61</v>
      </c>
      <c r="G1540" t="s">
        <v>922</v>
      </c>
      <c r="H1540">
        <v>7.2176268930344897E-3</v>
      </c>
      <c r="I1540">
        <v>3.2608981541012941E-5</v>
      </c>
      <c r="J1540">
        <v>4.6500000000000004</v>
      </c>
      <c r="L1540" s="1">
        <v>46266</v>
      </c>
      <c r="M1540" s="1">
        <v>43024</v>
      </c>
      <c r="R1540">
        <v>2.1008534579703107E-2</v>
      </c>
      <c r="T1540" t="s">
        <v>32</v>
      </c>
      <c r="V1540">
        <v>129603587.00470001</v>
      </c>
      <c r="W1540" t="s">
        <v>327</v>
      </c>
      <c r="X1540" t="s">
        <v>923</v>
      </c>
      <c r="Y1540">
        <v>148196957.77831173</v>
      </c>
      <c r="Z1540" t="s">
        <v>31</v>
      </c>
      <c r="AA1540">
        <v>1.4928985281889135E-3</v>
      </c>
      <c r="AB1540">
        <v>120.77</v>
      </c>
      <c r="AC1540" t="s">
        <v>34</v>
      </c>
      <c r="AE1540" t="s">
        <v>56</v>
      </c>
      <c r="AF1540">
        <v>-2.2888208702300655E-3</v>
      </c>
      <c r="AH1540" t="s">
        <v>237</v>
      </c>
      <c r="AJ1540">
        <v>1.55217782645903E-3</v>
      </c>
      <c r="AK1540">
        <v>1.55217782645903E-3</v>
      </c>
      <c r="AL1540">
        <v>0</v>
      </c>
      <c r="AN1540" t="s">
        <v>54</v>
      </c>
      <c r="AQ1540">
        <v>-3.5526570035077686E-6</v>
      </c>
    </row>
    <row r="1541" spans="1:43" x14ac:dyDescent="0.2">
      <c r="A1541">
        <v>1539</v>
      </c>
      <c r="B1541">
        <v>99</v>
      </c>
      <c r="C1541">
        <v>17</v>
      </c>
      <c r="D1541">
        <v>27603860.22519546</v>
      </c>
      <c r="E1541" t="s">
        <v>488</v>
      </c>
      <c r="F1541" t="s">
        <v>61</v>
      </c>
      <c r="G1541" t="s">
        <v>512</v>
      </c>
      <c r="H1541">
        <v>1.0942502433445832E-3</v>
      </c>
      <c r="I1541">
        <v>7.1393149304823651E-6</v>
      </c>
      <c r="J1541">
        <v>3.22</v>
      </c>
      <c r="L1541" s="1">
        <v>44256</v>
      </c>
      <c r="M1541" s="1">
        <v>43024</v>
      </c>
      <c r="R1541">
        <v>2.1008534579703107E-2</v>
      </c>
      <c r="T1541" t="s">
        <v>32</v>
      </c>
      <c r="V1541">
        <v>28375029.8237</v>
      </c>
      <c r="W1541" t="s">
        <v>490</v>
      </c>
      <c r="X1541" t="s">
        <v>491</v>
      </c>
      <c r="Y1541">
        <v>27603860.22519546</v>
      </c>
      <c r="Z1541" t="s">
        <v>31</v>
      </c>
      <c r="AA1541">
        <v>3.268508321423392E-4</v>
      </c>
      <c r="AB1541">
        <v>102.42</v>
      </c>
      <c r="AC1541" t="s">
        <v>33</v>
      </c>
      <c r="AE1541" t="s">
        <v>41</v>
      </c>
      <c r="AF1541">
        <v>-1.1888208702300652E-3</v>
      </c>
      <c r="AH1541" t="s">
        <v>237</v>
      </c>
      <c r="AJ1541">
        <v>3.3982926811943577E-4</v>
      </c>
      <c r="AK1541">
        <v>3.3982926811943577E-4</v>
      </c>
      <c r="AL1541">
        <v>0</v>
      </c>
      <c r="AN1541" t="s">
        <v>148</v>
      </c>
      <c r="AQ1541">
        <v>-4.0399612625539382E-7</v>
      </c>
    </row>
    <row r="1542" spans="1:43" x14ac:dyDescent="0.2">
      <c r="A1542">
        <v>1540</v>
      </c>
      <c r="B1542">
        <v>99</v>
      </c>
      <c r="C1542">
        <v>17</v>
      </c>
      <c r="D1542">
        <v>88550228.378523156</v>
      </c>
      <c r="E1542" t="s">
        <v>488</v>
      </c>
      <c r="F1542" t="s">
        <v>61</v>
      </c>
      <c r="G1542" t="s">
        <v>905</v>
      </c>
      <c r="H1542">
        <v>2.9644030341837383E-2</v>
      </c>
      <c r="I1542">
        <v>1.479281796955484E-4</v>
      </c>
      <c r="J1542">
        <v>4.21</v>
      </c>
      <c r="L1542" s="1">
        <v>44621</v>
      </c>
      <c r="M1542" s="1">
        <v>43024</v>
      </c>
      <c r="R1542">
        <v>2.1008534579703107E-2</v>
      </c>
      <c r="T1542" t="s">
        <v>32</v>
      </c>
      <c r="V1542">
        <v>587936875.10619998</v>
      </c>
      <c r="W1542" t="s">
        <v>490</v>
      </c>
      <c r="X1542" t="s">
        <v>491</v>
      </c>
      <c r="Y1542">
        <v>88550228.378523156</v>
      </c>
      <c r="Z1542" t="s">
        <v>31</v>
      </c>
      <c r="AA1542">
        <v>6.7724213179547604E-3</v>
      </c>
      <c r="AB1542">
        <v>98.57</v>
      </c>
      <c r="AC1542" t="s">
        <v>33</v>
      </c>
      <c r="AE1542" t="s">
        <v>41</v>
      </c>
      <c r="AF1542">
        <v>-1.0888208702300659E-3</v>
      </c>
      <c r="AH1542" t="s">
        <v>237</v>
      </c>
      <c r="AJ1542">
        <v>7.0413373733580484E-3</v>
      </c>
      <c r="AK1542">
        <v>7.0413373733580484E-3</v>
      </c>
      <c r="AL1542">
        <v>0</v>
      </c>
      <c r="AN1542" t="s">
        <v>148</v>
      </c>
      <c r="AQ1542">
        <v>-7.6667550864431964E-6</v>
      </c>
    </row>
    <row r="1543" spans="1:43" x14ac:dyDescent="0.2">
      <c r="A1543">
        <v>1541</v>
      </c>
      <c r="B1543">
        <v>99</v>
      </c>
      <c r="C1543">
        <v>17</v>
      </c>
      <c r="D1543">
        <v>97122965.053796992</v>
      </c>
      <c r="E1543" t="s">
        <v>440</v>
      </c>
      <c r="F1543" t="s">
        <v>61</v>
      </c>
      <c r="G1543" t="s">
        <v>823</v>
      </c>
      <c r="H1543">
        <v>4.2143559673069417E-2</v>
      </c>
      <c r="I1543">
        <v>1.7814374863248697E-4</v>
      </c>
      <c r="J1543">
        <v>4.97</v>
      </c>
      <c r="L1543" s="1">
        <v>45417</v>
      </c>
      <c r="M1543" s="1">
        <v>43024</v>
      </c>
      <c r="R1543">
        <v>2.1008534579703107E-2</v>
      </c>
      <c r="T1543" t="s">
        <v>32</v>
      </c>
      <c r="V1543">
        <v>708027903.17739999</v>
      </c>
      <c r="W1543" t="s">
        <v>442</v>
      </c>
      <c r="X1543" t="s">
        <v>443</v>
      </c>
      <c r="Y1543">
        <v>97122965.053796992</v>
      </c>
      <c r="Z1543" t="s">
        <v>31</v>
      </c>
      <c r="AA1543">
        <v>8.155745060758935E-3</v>
      </c>
      <c r="AB1543">
        <v>98.69</v>
      </c>
      <c r="AC1543" t="s">
        <v>34</v>
      </c>
      <c r="AE1543" t="s">
        <v>41</v>
      </c>
      <c r="AF1543">
        <v>1.6111791297699352E-3</v>
      </c>
      <c r="AH1543" t="s">
        <v>237</v>
      </c>
      <c r="AJ1543">
        <v>8.4795894714425387E-3</v>
      </c>
      <c r="AK1543">
        <v>8.4795894714425387E-3</v>
      </c>
      <c r="AL1543">
        <v>0</v>
      </c>
      <c r="AN1543" t="s">
        <v>54</v>
      </c>
      <c r="AQ1543">
        <v>1.3662137585405094E-5</v>
      </c>
    </row>
    <row r="1544" spans="1:43" x14ac:dyDescent="0.2">
      <c r="A1544">
        <v>1542</v>
      </c>
      <c r="B1544">
        <v>99</v>
      </c>
      <c r="C1544">
        <v>17</v>
      </c>
      <c r="D1544">
        <v>1158070.5371362078</v>
      </c>
      <c r="E1544" t="s">
        <v>513</v>
      </c>
      <c r="F1544" t="s">
        <v>61</v>
      </c>
      <c r="G1544" t="s">
        <v>514</v>
      </c>
      <c r="H1544">
        <v>2.4209942231141158E-5</v>
      </c>
      <c r="I1544">
        <v>1.5553988028609895E-7</v>
      </c>
      <c r="J1544">
        <v>3.27</v>
      </c>
      <c r="L1544" s="1">
        <v>45505</v>
      </c>
      <c r="M1544" s="1">
        <v>43024</v>
      </c>
      <c r="R1544">
        <v>2.1008534579703107E-2</v>
      </c>
      <c r="T1544" t="s">
        <v>32</v>
      </c>
      <c r="V1544">
        <v>618189.39</v>
      </c>
      <c r="W1544" t="s">
        <v>515</v>
      </c>
      <c r="X1544" t="s">
        <v>516</v>
      </c>
      <c r="Y1544">
        <v>1158070.5371362078</v>
      </c>
      <c r="Z1544" t="s">
        <v>31</v>
      </c>
      <c r="AA1544">
        <v>7.1208988254278323E-6</v>
      </c>
      <c r="AB1544">
        <v>113</v>
      </c>
      <c r="AC1544" t="s">
        <v>34</v>
      </c>
      <c r="AE1544" t="s">
        <v>175</v>
      </c>
      <c r="AF1544">
        <v>-3.4888208702300652E-3</v>
      </c>
      <c r="AH1544" t="s">
        <v>237</v>
      </c>
      <c r="AJ1544">
        <v>7.4036520584529529E-6</v>
      </c>
      <c r="AK1544">
        <v>7.4036520584529529E-6</v>
      </c>
      <c r="AL1544">
        <v>0</v>
      </c>
      <c r="AN1544" t="s">
        <v>54</v>
      </c>
      <c r="AQ1544">
        <v>-2.5830015817452444E-8</v>
      </c>
    </row>
    <row r="1545" spans="1:43" x14ac:dyDescent="0.2">
      <c r="A1545">
        <v>1543</v>
      </c>
      <c r="B1545">
        <v>101</v>
      </c>
      <c r="C1545">
        <v>17</v>
      </c>
      <c r="D1545">
        <v>14817876.337725492</v>
      </c>
      <c r="E1545" t="s">
        <v>407</v>
      </c>
      <c r="F1545" t="s">
        <v>61</v>
      </c>
      <c r="G1545" t="s">
        <v>847</v>
      </c>
      <c r="H1545">
        <v>1.4835475793313463E-3</v>
      </c>
      <c r="I1545">
        <v>8.7308180226330596E-6</v>
      </c>
      <c r="J1545">
        <v>7.63</v>
      </c>
      <c r="L1545" s="1">
        <v>46235</v>
      </c>
      <c r="M1545" s="1">
        <v>43024</v>
      </c>
      <c r="R1545">
        <v>4.4903272696326317E-2</v>
      </c>
      <c r="T1545" t="s">
        <v>32</v>
      </c>
      <c r="V1545">
        <v>16235007.2842</v>
      </c>
      <c r="W1545" t="s">
        <v>229</v>
      </c>
      <c r="X1545" t="s">
        <v>409</v>
      </c>
      <c r="Y1545">
        <v>14817876.337725492</v>
      </c>
      <c r="Z1545" t="s">
        <v>31</v>
      </c>
      <c r="AA1545">
        <v>3.9971274047552631E-4</v>
      </c>
      <c r="AB1545">
        <v>108.76</v>
      </c>
      <c r="AC1545" t="s">
        <v>42</v>
      </c>
      <c r="AE1545" t="s">
        <v>41</v>
      </c>
      <c r="AF1545">
        <v>1.0111791297699353E-3</v>
      </c>
      <c r="AH1545" t="s">
        <v>237</v>
      </c>
      <c r="AJ1545">
        <v>1.9443611786780425E-4</v>
      </c>
      <c r="AK1545">
        <v>1.9443611786780425E-4</v>
      </c>
      <c r="AL1545">
        <v>0</v>
      </c>
      <c r="AN1545" t="s">
        <v>142</v>
      </c>
      <c r="AQ1545">
        <v>1.9660974446141088E-7</v>
      </c>
    </row>
    <row r="1546" spans="1:43" x14ac:dyDescent="0.2">
      <c r="A1546">
        <v>1544</v>
      </c>
      <c r="B1546">
        <v>101</v>
      </c>
      <c r="C1546">
        <v>17</v>
      </c>
      <c r="D1546">
        <v>163008906.39772752</v>
      </c>
      <c r="E1546" t="s">
        <v>407</v>
      </c>
      <c r="F1546" t="s">
        <v>61</v>
      </c>
      <c r="G1546" t="s">
        <v>853</v>
      </c>
      <c r="H1546">
        <v>1.1895323925253965E-2</v>
      </c>
      <c r="I1546">
        <v>9.3544478813802718E-5</v>
      </c>
      <c r="J1546">
        <v>5.71</v>
      </c>
      <c r="L1546" s="1">
        <v>45323</v>
      </c>
      <c r="M1546" s="1">
        <v>43024</v>
      </c>
      <c r="R1546">
        <v>4.4903272696326317E-2</v>
      </c>
      <c r="T1546" t="s">
        <v>32</v>
      </c>
      <c r="V1546">
        <v>173946506.6162</v>
      </c>
      <c r="W1546" t="s">
        <v>229</v>
      </c>
      <c r="X1546" t="s">
        <v>409</v>
      </c>
      <c r="Y1546">
        <v>163008906.39772752</v>
      </c>
      <c r="Z1546" t="s">
        <v>31</v>
      </c>
      <c r="AA1546">
        <v>4.2826365050892979E-3</v>
      </c>
      <c r="AB1546">
        <v>105.97</v>
      </c>
      <c r="AC1546" t="s">
        <v>42</v>
      </c>
      <c r="AE1546" t="s">
        <v>41</v>
      </c>
      <c r="AF1546">
        <v>-8.8820870230064963E-5</v>
      </c>
      <c r="AH1546" t="s">
        <v>237</v>
      </c>
      <c r="AJ1546">
        <v>2.0832441200094509E-3</v>
      </c>
      <c r="AK1546">
        <v>2.0832441200094509E-3</v>
      </c>
      <c r="AL1546">
        <v>0</v>
      </c>
      <c r="AN1546" t="s">
        <v>142</v>
      </c>
      <c r="AQ1546">
        <v>-1.8503555564090533E-7</v>
      </c>
    </row>
    <row r="1547" spans="1:43" x14ac:dyDescent="0.2">
      <c r="A1547">
        <v>1545</v>
      </c>
      <c r="B1547">
        <v>101</v>
      </c>
      <c r="C1547">
        <v>17</v>
      </c>
      <c r="D1547">
        <v>103729927.66637567</v>
      </c>
      <c r="E1547" t="s">
        <v>411</v>
      </c>
      <c r="F1547" t="s">
        <v>61</v>
      </c>
      <c r="G1547" t="s">
        <v>891</v>
      </c>
      <c r="H1547">
        <v>8.6573775988448443E-3</v>
      </c>
      <c r="I1547">
        <v>5.8282546799999521E-5</v>
      </c>
      <c r="J1547">
        <v>6.67</v>
      </c>
      <c r="L1547" s="1">
        <v>45717</v>
      </c>
      <c r="M1547" s="1">
        <v>43024</v>
      </c>
      <c r="R1547">
        <v>4.4903272696326317E-2</v>
      </c>
      <c r="T1547" t="s">
        <v>32</v>
      </c>
      <c r="V1547">
        <v>108376737.3672</v>
      </c>
      <c r="W1547" t="s">
        <v>211</v>
      </c>
      <c r="X1547" t="s">
        <v>413</v>
      </c>
      <c r="Y1547">
        <v>103729927.66637567</v>
      </c>
      <c r="Z1547" t="s">
        <v>31</v>
      </c>
      <c r="AA1547">
        <v>2.6682810754879512E-3</v>
      </c>
      <c r="AB1547">
        <v>104.1</v>
      </c>
      <c r="AC1547" t="s">
        <v>42</v>
      </c>
      <c r="AE1547" t="s">
        <v>41</v>
      </c>
      <c r="AF1547">
        <v>2.1117912976993669E-4</v>
      </c>
      <c r="AH1547" t="s">
        <v>237</v>
      </c>
      <c r="AJ1547">
        <v>1.2979576609962286E-3</v>
      </c>
      <c r="AK1547">
        <v>1.2979576609962286E-3</v>
      </c>
      <c r="AL1547">
        <v>0</v>
      </c>
      <c r="AN1547" t="s">
        <v>142</v>
      </c>
      <c r="AQ1547">
        <v>2.7410156932740605E-7</v>
      </c>
    </row>
    <row r="1548" spans="1:43" x14ac:dyDescent="0.2">
      <c r="A1548">
        <v>1546</v>
      </c>
      <c r="B1548">
        <v>101</v>
      </c>
      <c r="C1548">
        <v>17</v>
      </c>
      <c r="D1548">
        <v>185248034.77747068</v>
      </c>
      <c r="E1548" t="s">
        <v>411</v>
      </c>
      <c r="F1548" t="s">
        <v>61</v>
      </c>
      <c r="G1548" t="s">
        <v>892</v>
      </c>
      <c r="H1548">
        <v>1.5813542811938419E-2</v>
      </c>
      <c r="I1548">
        <v>1.0411727641928178E-4</v>
      </c>
      <c r="J1548">
        <v>6.82</v>
      </c>
      <c r="L1548" s="1">
        <v>45809</v>
      </c>
      <c r="M1548" s="1">
        <v>43024</v>
      </c>
      <c r="R1548">
        <v>4.4903272696326317E-2</v>
      </c>
      <c r="T1548" t="s">
        <v>32</v>
      </c>
      <c r="V1548">
        <v>193606685.73050001</v>
      </c>
      <c r="W1548" t="s">
        <v>211</v>
      </c>
      <c r="X1548" t="s">
        <v>413</v>
      </c>
      <c r="Y1548">
        <v>185248034.77747068</v>
      </c>
      <c r="Z1548" t="s">
        <v>31</v>
      </c>
      <c r="AA1548">
        <v>4.7666784235468546E-3</v>
      </c>
      <c r="AB1548">
        <v>103.36</v>
      </c>
      <c r="AC1548" t="s">
        <v>42</v>
      </c>
      <c r="AE1548" t="s">
        <v>41</v>
      </c>
      <c r="AF1548">
        <v>1.4111791297699364E-3</v>
      </c>
      <c r="AH1548" t="s">
        <v>237</v>
      </c>
      <c r="AJ1548">
        <v>2.3187012920730821E-3</v>
      </c>
      <c r="AK1548">
        <v>2.3187012920730821E-3</v>
      </c>
      <c r="AL1548">
        <v>0</v>
      </c>
      <c r="AN1548" t="s">
        <v>142</v>
      </c>
      <c r="AQ1548">
        <v>3.2721028715441191E-6</v>
      </c>
    </row>
    <row r="1549" spans="1:43" x14ac:dyDescent="0.2">
      <c r="A1549">
        <v>1547</v>
      </c>
      <c r="B1549">
        <v>101</v>
      </c>
      <c r="C1549">
        <v>17</v>
      </c>
      <c r="D1549">
        <v>12000</v>
      </c>
      <c r="E1549" t="s">
        <v>411</v>
      </c>
      <c r="F1549" t="s">
        <v>61</v>
      </c>
      <c r="G1549" t="s">
        <v>893</v>
      </c>
      <c r="H1549">
        <v>2.9574292054959882E-2</v>
      </c>
      <c r="I1549">
        <v>1.7801374007301077E-4</v>
      </c>
      <c r="J1549">
        <v>7.46</v>
      </c>
      <c r="L1549" s="1">
        <v>46082</v>
      </c>
      <c r="M1549" s="1">
        <v>43024</v>
      </c>
      <c r="R1549">
        <v>4.4903272696326317E-2</v>
      </c>
      <c r="T1549" t="s">
        <v>32</v>
      </c>
      <c r="V1549">
        <v>331017593</v>
      </c>
      <c r="W1549" t="s">
        <v>211</v>
      </c>
      <c r="X1549" t="s">
        <v>413</v>
      </c>
      <c r="Y1549">
        <v>12000</v>
      </c>
      <c r="Z1549" t="s">
        <v>31</v>
      </c>
      <c r="AA1549">
        <v>8.1497930322710199E-3</v>
      </c>
      <c r="AB1549">
        <v>103.09</v>
      </c>
      <c r="AC1549" t="s">
        <v>42</v>
      </c>
      <c r="AE1549" t="s">
        <v>41</v>
      </c>
      <c r="AF1549">
        <v>2.211179129769935E-3</v>
      </c>
      <c r="AH1549" t="s">
        <v>237</v>
      </c>
      <c r="AJ1549">
        <v>3.9643823129973032E-3</v>
      </c>
      <c r="AK1549">
        <v>3.9643823129973032E-3</v>
      </c>
      <c r="AL1549">
        <v>0</v>
      </c>
      <c r="AN1549" t="s">
        <v>142</v>
      </c>
      <c r="AQ1549">
        <v>8.7659594329286986E-6</v>
      </c>
    </row>
    <row r="1550" spans="1:43" x14ac:dyDescent="0.2">
      <c r="A1550">
        <v>1548</v>
      </c>
      <c r="B1550">
        <v>101</v>
      </c>
      <c r="C1550">
        <v>17</v>
      </c>
      <c r="D1550">
        <v>74094085.815718472</v>
      </c>
      <c r="E1550" t="s">
        <v>414</v>
      </c>
      <c r="F1550" t="s">
        <v>61</v>
      </c>
      <c r="G1550" t="s">
        <v>965</v>
      </c>
      <c r="H1550">
        <v>5.8682255189608729E-3</v>
      </c>
      <c r="I1550">
        <v>4.0663970790345843E-5</v>
      </c>
      <c r="J1550">
        <v>6.48</v>
      </c>
      <c r="L1550" s="1">
        <v>45627</v>
      </c>
      <c r="M1550" s="1">
        <v>43024</v>
      </c>
      <c r="R1550">
        <v>4.4903272696326317E-2</v>
      </c>
      <c r="T1550" t="s">
        <v>32</v>
      </c>
      <c r="V1550">
        <v>75614892.015200004</v>
      </c>
      <c r="W1550" t="s">
        <v>200</v>
      </c>
      <c r="X1550" t="s">
        <v>305</v>
      </c>
      <c r="Y1550">
        <v>74094085.815718472</v>
      </c>
      <c r="Z1550" t="s">
        <v>31</v>
      </c>
      <c r="AA1550">
        <v>1.8616705973129425E-3</v>
      </c>
      <c r="AB1550">
        <v>101.05</v>
      </c>
      <c r="AC1550" t="s">
        <v>42</v>
      </c>
      <c r="AE1550" t="s">
        <v>41</v>
      </c>
      <c r="AF1550">
        <v>1.4111791297699364E-3</v>
      </c>
      <c r="AH1550" t="s">
        <v>237</v>
      </c>
      <c r="AJ1550">
        <v>9.055903578643322E-4</v>
      </c>
      <c r="AK1550">
        <v>9.055903578643322E-4</v>
      </c>
      <c r="AL1550">
        <v>0</v>
      </c>
      <c r="AN1550" t="s">
        <v>142</v>
      </c>
      <c r="AQ1550">
        <v>1.2779502131390335E-6</v>
      </c>
    </row>
    <row r="1551" spans="1:43" x14ac:dyDescent="0.2">
      <c r="A1551">
        <v>1549</v>
      </c>
      <c r="B1551">
        <v>101</v>
      </c>
      <c r="C1551">
        <v>17</v>
      </c>
      <c r="D1551">
        <v>81510038.709912702</v>
      </c>
      <c r="E1551" t="s">
        <v>417</v>
      </c>
      <c r="F1551" t="s">
        <v>61</v>
      </c>
      <c r="G1551" t="s">
        <v>818</v>
      </c>
      <c r="H1551">
        <v>6.2605339577955681E-3</v>
      </c>
      <c r="I1551">
        <v>4.5562149680957125E-5</v>
      </c>
      <c r="J1551">
        <v>6.17</v>
      </c>
      <c r="L1551" s="1">
        <v>45505</v>
      </c>
      <c r="M1551" s="1">
        <v>43024</v>
      </c>
      <c r="R1551">
        <v>4.4903272696326317E-2</v>
      </c>
      <c r="T1551" t="s">
        <v>32</v>
      </c>
      <c r="V1551">
        <v>84723084.370399997</v>
      </c>
      <c r="W1551" t="s">
        <v>216</v>
      </c>
      <c r="X1551" t="s">
        <v>419</v>
      </c>
      <c r="Y1551">
        <v>81510038.709912702</v>
      </c>
      <c r="Z1551" t="s">
        <v>31</v>
      </c>
      <c r="AA1551">
        <v>2.085918142345974E-3</v>
      </c>
      <c r="AB1551">
        <v>103.29</v>
      </c>
      <c r="AC1551" t="s">
        <v>42</v>
      </c>
      <c r="AE1551" t="s">
        <v>41</v>
      </c>
      <c r="AF1551">
        <v>1.2111791297699341E-3</v>
      </c>
      <c r="AH1551" t="s">
        <v>237</v>
      </c>
      <c r="AJ1551">
        <v>1.0146732508582769E-3</v>
      </c>
      <c r="AK1551">
        <v>1.0146732508582769E-3</v>
      </c>
      <c r="AL1551">
        <v>0</v>
      </c>
      <c r="AN1551" t="s">
        <v>142</v>
      </c>
      <c r="AQ1551">
        <v>1.2289510649753577E-6</v>
      </c>
    </row>
    <row r="1552" spans="1:43" x14ac:dyDescent="0.2">
      <c r="A1552">
        <v>1550</v>
      </c>
      <c r="B1552">
        <v>101</v>
      </c>
      <c r="C1552">
        <v>17</v>
      </c>
      <c r="D1552">
        <v>74099807.135266289</v>
      </c>
      <c r="E1552" t="s">
        <v>417</v>
      </c>
      <c r="F1552" t="s">
        <v>61</v>
      </c>
      <c r="G1552" t="s">
        <v>819</v>
      </c>
      <c r="H1552">
        <v>6.3070109961542095E-3</v>
      </c>
      <c r="I1552">
        <v>4.2018610483537261E-5</v>
      </c>
      <c r="J1552">
        <v>6.74</v>
      </c>
      <c r="L1552" s="1">
        <v>45778</v>
      </c>
      <c r="M1552" s="1">
        <v>43024</v>
      </c>
      <c r="R1552">
        <v>4.4903272696326317E-2</v>
      </c>
      <c r="T1552" t="s">
        <v>32</v>
      </c>
      <c r="V1552">
        <v>78133852.464200005</v>
      </c>
      <c r="W1552" t="s">
        <v>216</v>
      </c>
      <c r="X1552" t="s">
        <v>419</v>
      </c>
      <c r="Y1552">
        <v>74099807.135266289</v>
      </c>
      <c r="Z1552" t="s">
        <v>31</v>
      </c>
      <c r="AA1552">
        <v>1.9236884681148323E-3</v>
      </c>
      <c r="AB1552">
        <v>104.01</v>
      </c>
      <c r="AC1552" t="s">
        <v>42</v>
      </c>
      <c r="AE1552" t="s">
        <v>41</v>
      </c>
      <c r="AF1552">
        <v>6.1117912976993427E-4</v>
      </c>
      <c r="AH1552" t="s">
        <v>237</v>
      </c>
      <c r="AJ1552">
        <v>9.3575830803474915E-4</v>
      </c>
      <c r="AK1552">
        <v>9.3575830803474915E-4</v>
      </c>
      <c r="AL1552">
        <v>0</v>
      </c>
      <c r="AN1552" t="s">
        <v>142</v>
      </c>
      <c r="AQ1552">
        <v>5.7191594837966412E-7</v>
      </c>
    </row>
    <row r="1553" spans="1:43" x14ac:dyDescent="0.2">
      <c r="A1553">
        <v>1551</v>
      </c>
      <c r="B1553">
        <v>101</v>
      </c>
      <c r="C1553">
        <v>17</v>
      </c>
      <c r="D1553">
        <v>111150984.85764679</v>
      </c>
      <c r="E1553" t="s">
        <v>417</v>
      </c>
      <c r="F1553" t="s">
        <v>61</v>
      </c>
      <c r="G1553" t="s">
        <v>820</v>
      </c>
      <c r="H1553">
        <v>9.9498590410820112E-3</v>
      </c>
      <c r="I1553">
        <v>6.2486885847792077E-5</v>
      </c>
      <c r="J1553">
        <v>7.15</v>
      </c>
      <c r="L1553" s="1">
        <v>45931</v>
      </c>
      <c r="M1553" s="1">
        <v>43024</v>
      </c>
      <c r="R1553">
        <v>4.4903272696326317E-2</v>
      </c>
      <c r="T1553" t="s">
        <v>32</v>
      </c>
      <c r="V1553">
        <v>116194730.4681</v>
      </c>
      <c r="W1553" t="s">
        <v>216</v>
      </c>
      <c r="X1553" t="s">
        <v>419</v>
      </c>
      <c r="Y1553">
        <v>111150984.85764679</v>
      </c>
      <c r="Z1553" t="s">
        <v>31</v>
      </c>
      <c r="AA1553">
        <v>2.8607633696240749E-3</v>
      </c>
      <c r="AB1553">
        <v>104.41</v>
      </c>
      <c r="AC1553" t="s">
        <v>42</v>
      </c>
      <c r="AE1553" t="s">
        <v>41</v>
      </c>
      <c r="AF1553">
        <v>4.1117912976993548E-4</v>
      </c>
      <c r="AH1553" t="s">
        <v>237</v>
      </c>
      <c r="AJ1553">
        <v>1.391588677074407E-3</v>
      </c>
      <c r="AK1553">
        <v>1.391588677074407E-3</v>
      </c>
      <c r="AL1553">
        <v>0</v>
      </c>
      <c r="AN1553" t="s">
        <v>142</v>
      </c>
      <c r="AQ1553">
        <v>5.7219222123715043E-7</v>
      </c>
    </row>
    <row r="1554" spans="1:43" x14ac:dyDescent="0.2">
      <c r="A1554">
        <v>1552</v>
      </c>
      <c r="B1554">
        <v>102</v>
      </c>
      <c r="C1554">
        <v>17</v>
      </c>
      <c r="D1554">
        <v>370687394.22309977</v>
      </c>
      <c r="E1554" t="s">
        <v>420</v>
      </c>
      <c r="F1554" t="s">
        <v>61</v>
      </c>
      <c r="G1554" t="s">
        <v>779</v>
      </c>
      <c r="H1554">
        <v>9.6732698289206179E-2</v>
      </c>
      <c r="I1554">
        <v>4.6347032189823556E-4</v>
      </c>
      <c r="J1554">
        <v>8.15</v>
      </c>
      <c r="L1554" s="1">
        <v>48458</v>
      </c>
      <c r="M1554" s="1">
        <v>43024</v>
      </c>
      <c r="R1554">
        <v>3.9048669067180401E-2</v>
      </c>
      <c r="T1554" t="s">
        <v>32</v>
      </c>
      <c r="V1554">
        <v>991040128.60479999</v>
      </c>
      <c r="W1554" t="s">
        <v>421</v>
      </c>
      <c r="X1554" t="s">
        <v>422</v>
      </c>
      <c r="Y1554">
        <v>370687394.22309977</v>
      </c>
      <c r="Z1554" t="s">
        <v>31</v>
      </c>
      <c r="AA1554">
        <v>2.1218514922058639E-2</v>
      </c>
      <c r="AB1554">
        <v>109.14</v>
      </c>
      <c r="AC1554" t="s">
        <v>34</v>
      </c>
      <c r="AE1554" t="s">
        <v>35</v>
      </c>
      <c r="AF1554">
        <v>3.2111791297699359E-3</v>
      </c>
      <c r="AH1554" t="s">
        <v>237</v>
      </c>
      <c r="AJ1554">
        <v>1.1869042734871924E-2</v>
      </c>
      <c r="AK1554">
        <v>1.1869042734871924E-2</v>
      </c>
      <c r="AL1554">
        <v>0</v>
      </c>
      <c r="AN1554" t="s">
        <v>54</v>
      </c>
      <c r="AQ1554">
        <v>3.8113622320568205E-5</v>
      </c>
    </row>
    <row r="1555" spans="1:43" x14ac:dyDescent="0.2">
      <c r="A1555">
        <v>1553</v>
      </c>
      <c r="B1555">
        <v>102</v>
      </c>
      <c r="C1555">
        <v>17</v>
      </c>
      <c r="D1555">
        <v>129671120.40921111</v>
      </c>
      <c r="E1555" t="s">
        <v>454</v>
      </c>
      <c r="F1555" t="s">
        <v>61</v>
      </c>
      <c r="G1555" t="s">
        <v>791</v>
      </c>
      <c r="H1555">
        <v>1.0214926792048223E-2</v>
      </c>
      <c r="I1555">
        <v>6.7836614940164252E-5</v>
      </c>
      <c r="J1555">
        <v>5.88</v>
      </c>
      <c r="L1555" s="1">
        <v>47421</v>
      </c>
      <c r="M1555" s="1">
        <v>43024</v>
      </c>
      <c r="R1555">
        <v>3.9048669067180401E-2</v>
      </c>
      <c r="T1555" t="s">
        <v>32</v>
      </c>
      <c r="V1555">
        <v>145055259.0273</v>
      </c>
      <c r="W1555" t="s">
        <v>456</v>
      </c>
      <c r="X1555" t="s">
        <v>457</v>
      </c>
      <c r="Y1555">
        <v>129671120.40921111</v>
      </c>
      <c r="Z1555" t="s">
        <v>31</v>
      </c>
      <c r="AA1555">
        <v>3.1056837047828694E-3</v>
      </c>
      <c r="AB1555">
        <v>109.72</v>
      </c>
      <c r="AC1555" t="s">
        <v>34</v>
      </c>
      <c r="AE1555" t="s">
        <v>177</v>
      </c>
      <c r="AF1555">
        <v>2.3111791297699344E-3</v>
      </c>
      <c r="AH1555" t="s">
        <v>237</v>
      </c>
      <c r="AJ1555">
        <v>1.7372324476272489E-3</v>
      </c>
      <c r="AK1555">
        <v>1.7372324476272489E-3</v>
      </c>
      <c r="AL1555">
        <v>0</v>
      </c>
      <c r="AN1555" t="s">
        <v>54</v>
      </c>
      <c r="AQ1555">
        <v>4.0150553765152381E-6</v>
      </c>
    </row>
    <row r="1556" spans="1:43" x14ac:dyDescent="0.2">
      <c r="A1556">
        <v>1554</v>
      </c>
      <c r="B1556">
        <v>102</v>
      </c>
      <c r="C1556">
        <v>17</v>
      </c>
      <c r="D1556">
        <v>106997910.4888079</v>
      </c>
      <c r="E1556" t="s">
        <v>454</v>
      </c>
      <c r="F1556" t="s">
        <v>61</v>
      </c>
      <c r="G1556" t="s">
        <v>792</v>
      </c>
      <c r="H1556">
        <v>1.1665913373250193E-2</v>
      </c>
      <c r="I1556">
        <v>5.5894281064839382E-5</v>
      </c>
      <c r="J1556">
        <v>8.15</v>
      </c>
      <c r="L1556" s="1">
        <v>48533</v>
      </c>
      <c r="M1556" s="1">
        <v>43024</v>
      </c>
      <c r="R1556">
        <v>3.9048669067180401E-2</v>
      </c>
      <c r="T1556" t="s">
        <v>32</v>
      </c>
      <c r="V1556">
        <v>119518926.83849999</v>
      </c>
      <c r="W1556" t="s">
        <v>456</v>
      </c>
      <c r="X1556" t="s">
        <v>457</v>
      </c>
      <c r="Y1556">
        <v>106997910.4888079</v>
      </c>
      <c r="Z1556" t="s">
        <v>31</v>
      </c>
      <c r="AA1556">
        <v>2.558941923130179E-3</v>
      </c>
      <c r="AB1556">
        <v>109.86</v>
      </c>
      <c r="AC1556" t="s">
        <v>34</v>
      </c>
      <c r="AE1556" t="s">
        <v>177</v>
      </c>
      <c r="AF1556">
        <v>4.3111791297699362E-3</v>
      </c>
      <c r="AH1556" t="s">
        <v>237</v>
      </c>
      <c r="AJ1556">
        <v>1.4314004138957291E-3</v>
      </c>
      <c r="AK1556">
        <v>1.4314004138957291E-3</v>
      </c>
      <c r="AL1556">
        <v>0</v>
      </c>
      <c r="AN1556" t="s">
        <v>54</v>
      </c>
      <c r="AQ1556">
        <v>6.1710235907313156E-6</v>
      </c>
    </row>
    <row r="1557" spans="1:43" x14ac:dyDescent="0.2">
      <c r="A1557">
        <v>1555</v>
      </c>
      <c r="B1557">
        <v>102</v>
      </c>
      <c r="C1557">
        <v>17</v>
      </c>
      <c r="D1557">
        <v>139916675.22655165</v>
      </c>
      <c r="E1557" t="s">
        <v>454</v>
      </c>
      <c r="F1557" t="s">
        <v>61</v>
      </c>
      <c r="G1557" t="s">
        <v>793</v>
      </c>
      <c r="H1557">
        <v>6.4192631445898471E-2</v>
      </c>
      <c r="I1557">
        <v>3.086991159953655E-4</v>
      </c>
      <c r="J1557">
        <v>8.1199999999999992</v>
      </c>
      <c r="L1557" s="1">
        <v>46341</v>
      </c>
      <c r="M1557" s="1">
        <v>43024</v>
      </c>
      <c r="R1557">
        <v>3.9048669067180401E-2</v>
      </c>
      <c r="T1557" t="s">
        <v>32</v>
      </c>
      <c r="V1557">
        <v>660092344.99249995</v>
      </c>
      <c r="W1557" t="s">
        <v>456</v>
      </c>
      <c r="X1557" t="s">
        <v>457</v>
      </c>
      <c r="Y1557">
        <v>139916675.22655165</v>
      </c>
      <c r="Z1557" t="s">
        <v>31</v>
      </c>
      <c r="AA1557">
        <v>1.4132807408997789E-2</v>
      </c>
      <c r="AB1557">
        <v>97.089999999999989</v>
      </c>
      <c r="AC1557" t="s">
        <v>34</v>
      </c>
      <c r="AE1557" t="s">
        <v>177</v>
      </c>
      <c r="AF1557">
        <v>4.1111791297699339E-3</v>
      </c>
      <c r="AH1557" t="s">
        <v>237</v>
      </c>
      <c r="AJ1557">
        <v>7.9054964834850347E-3</v>
      </c>
      <c r="AK1557">
        <v>7.9054964834850347E-3</v>
      </c>
      <c r="AL1557">
        <v>0</v>
      </c>
      <c r="AN1557" t="s">
        <v>54</v>
      </c>
      <c r="AQ1557">
        <v>3.2500912153373278E-5</v>
      </c>
    </row>
    <row r="1558" spans="1:43" x14ac:dyDescent="0.2">
      <c r="A1558">
        <v>1556</v>
      </c>
      <c r="B1558">
        <v>102</v>
      </c>
      <c r="C1558">
        <v>17</v>
      </c>
      <c r="D1558">
        <v>238166306.09575248</v>
      </c>
      <c r="E1558" t="s">
        <v>794</v>
      </c>
      <c r="F1558" t="s">
        <v>61</v>
      </c>
      <c r="G1558" t="s">
        <v>795</v>
      </c>
      <c r="H1558">
        <v>6.9996801964583633E-2</v>
      </c>
      <c r="I1558">
        <v>3.6202410008953504E-4</v>
      </c>
      <c r="J1558">
        <v>7.55</v>
      </c>
      <c r="L1558" s="1">
        <v>48563</v>
      </c>
      <c r="M1558" s="1">
        <v>43024</v>
      </c>
      <c r="R1558">
        <v>3.9048669067180401E-2</v>
      </c>
      <c r="T1558" t="s">
        <v>32</v>
      </c>
      <c r="V1558">
        <v>774117335.58539999</v>
      </c>
      <c r="W1558" t="s">
        <v>796</v>
      </c>
      <c r="X1558" t="s">
        <v>797</v>
      </c>
      <c r="Y1558">
        <v>238166306.09575248</v>
      </c>
      <c r="Z1558" t="s">
        <v>31</v>
      </c>
      <c r="AA1558">
        <v>1.657412224030454E-2</v>
      </c>
      <c r="AB1558">
        <v>114.66000000000001</v>
      </c>
      <c r="AC1558" t="s">
        <v>34</v>
      </c>
      <c r="AE1558" t="s">
        <v>38</v>
      </c>
      <c r="AF1558">
        <v>4.2111791297699333E-3</v>
      </c>
      <c r="AH1558" t="s">
        <v>237</v>
      </c>
      <c r="AJ1558">
        <v>9.2710995979580976E-3</v>
      </c>
      <c r="AK1558">
        <v>9.2710995979580976E-3</v>
      </c>
      <c r="AL1558">
        <v>0</v>
      </c>
      <c r="AN1558" t="s">
        <v>54</v>
      </c>
      <c r="AQ1558">
        <v>3.9042261136939563E-5</v>
      </c>
    </row>
    <row r="1559" spans="1:43" x14ac:dyDescent="0.2">
      <c r="A1559">
        <v>1557</v>
      </c>
      <c r="B1559">
        <v>102</v>
      </c>
      <c r="C1559">
        <v>17</v>
      </c>
      <c r="D1559">
        <v>102271566.14210749</v>
      </c>
      <c r="E1559" t="s">
        <v>320</v>
      </c>
      <c r="F1559" t="s">
        <v>61</v>
      </c>
      <c r="G1559" t="s">
        <v>798</v>
      </c>
      <c r="H1559">
        <v>1.5874683125406443E-2</v>
      </c>
      <c r="I1559">
        <v>1.1436997193917883E-4</v>
      </c>
      <c r="J1559">
        <v>5.42</v>
      </c>
      <c r="L1559" s="1">
        <v>47240</v>
      </c>
      <c r="M1559" s="1">
        <v>43024</v>
      </c>
      <c r="R1559">
        <v>3.9048669067180401E-2</v>
      </c>
      <c r="T1559" t="s">
        <v>32</v>
      </c>
      <c r="V1559">
        <v>244557690.8461</v>
      </c>
      <c r="W1559" t="s">
        <v>321</v>
      </c>
      <c r="X1559" t="s">
        <v>799</v>
      </c>
      <c r="Y1559">
        <v>102271566.14210749</v>
      </c>
      <c r="Z1559" t="s">
        <v>31</v>
      </c>
      <c r="AA1559">
        <v>5.2360654858926202E-3</v>
      </c>
      <c r="AB1559">
        <v>103.45</v>
      </c>
      <c r="AC1559" t="s">
        <v>34</v>
      </c>
      <c r="AE1559" t="s">
        <v>40</v>
      </c>
      <c r="AF1559">
        <v>2.4111791297699338E-3</v>
      </c>
      <c r="AH1559" t="s">
        <v>237</v>
      </c>
      <c r="AJ1559">
        <v>2.928908325720746E-3</v>
      </c>
      <c r="AK1559">
        <v>2.928908325720746E-3</v>
      </c>
      <c r="AL1559">
        <v>0</v>
      </c>
      <c r="AN1559" t="s">
        <v>54</v>
      </c>
      <c r="AQ1559">
        <v>7.0621226279872624E-6</v>
      </c>
    </row>
    <row r="1560" spans="1:43" x14ac:dyDescent="0.2">
      <c r="A1560">
        <v>1558</v>
      </c>
      <c r="B1560">
        <v>102</v>
      </c>
      <c r="C1560">
        <v>17</v>
      </c>
      <c r="D1560">
        <v>23000991.400211193</v>
      </c>
      <c r="E1560" t="s">
        <v>320</v>
      </c>
      <c r="F1560" t="s">
        <v>61</v>
      </c>
      <c r="G1560" t="s">
        <v>1081</v>
      </c>
      <c r="H1560">
        <v>3.3596793364235656E-3</v>
      </c>
      <c r="I1560">
        <v>1.1894016915670723E-5</v>
      </c>
      <c r="J1560">
        <v>11.03</v>
      </c>
      <c r="L1560" s="1">
        <v>49044</v>
      </c>
      <c r="M1560" s="1">
        <v>43024</v>
      </c>
      <c r="R1560">
        <v>3.9048669067180401E-2</v>
      </c>
      <c r="T1560" t="s">
        <v>32</v>
      </c>
      <c r="V1560">
        <v>25433015.873500001</v>
      </c>
      <c r="W1560" t="s">
        <v>321</v>
      </c>
      <c r="X1560" t="s">
        <v>529</v>
      </c>
      <c r="Y1560">
        <v>23000991.400211193</v>
      </c>
      <c r="Z1560" t="s">
        <v>31</v>
      </c>
      <c r="AA1560">
        <v>5.4452974329560386E-4</v>
      </c>
      <c r="AB1560">
        <v>108.46</v>
      </c>
      <c r="AC1560" t="s">
        <v>34</v>
      </c>
      <c r="AE1560" t="s">
        <v>40</v>
      </c>
      <c r="AF1560">
        <v>6.7111791297699355E-3</v>
      </c>
      <c r="AH1560" t="s">
        <v>237</v>
      </c>
      <c r="AJ1560">
        <v>3.0459468145272584E-4</v>
      </c>
      <c r="AK1560">
        <v>3.0459468145272584E-4</v>
      </c>
      <c r="AL1560">
        <v>0</v>
      </c>
      <c r="AN1560" t="s">
        <v>54</v>
      </c>
      <c r="AQ1560">
        <v>2.0441894692044552E-6</v>
      </c>
    </row>
    <row r="1561" spans="1:43" x14ac:dyDescent="0.2">
      <c r="A1561">
        <v>1559</v>
      </c>
      <c r="B1561">
        <v>102</v>
      </c>
      <c r="C1561">
        <v>17</v>
      </c>
      <c r="D1561">
        <v>18524175.833947726</v>
      </c>
      <c r="E1561" t="s">
        <v>426</v>
      </c>
      <c r="F1561" t="s">
        <v>61</v>
      </c>
      <c r="G1561" t="s">
        <v>803</v>
      </c>
      <c r="H1561">
        <v>1.3019015686267072E-3</v>
      </c>
      <c r="I1561">
        <v>9.3451329984094381E-6</v>
      </c>
      <c r="J1561">
        <v>5.44</v>
      </c>
      <c r="L1561" s="1">
        <v>45231</v>
      </c>
      <c r="M1561" s="1">
        <v>43024</v>
      </c>
      <c r="R1561">
        <v>3.9048669067180401E-2</v>
      </c>
      <c r="T1561" t="s">
        <v>32</v>
      </c>
      <c r="V1561">
        <v>19982728.9278</v>
      </c>
      <c r="W1561" t="s">
        <v>181</v>
      </c>
      <c r="X1561" t="s">
        <v>428</v>
      </c>
      <c r="Y1561">
        <v>18524175.833947726</v>
      </c>
      <c r="Z1561" t="s">
        <v>31</v>
      </c>
      <c r="AA1561">
        <v>4.2783719821203969E-4</v>
      </c>
      <c r="AB1561">
        <v>106.18</v>
      </c>
      <c r="AC1561" t="s">
        <v>33</v>
      </c>
      <c r="AE1561" t="s">
        <v>41</v>
      </c>
      <c r="AF1561">
        <v>1.1179129769934432E-5</v>
      </c>
      <c r="AH1561" t="s">
        <v>237</v>
      </c>
      <c r="AJ1561">
        <v>2.3932014129167411E-4</v>
      </c>
      <c r="AK1561">
        <v>2.3932014129167411E-4</v>
      </c>
      <c r="AL1561">
        <v>0</v>
      </c>
      <c r="AN1561" t="s">
        <v>148</v>
      </c>
      <c r="AQ1561">
        <v>2.6753909160586686E-9</v>
      </c>
    </row>
    <row r="1562" spans="1:43" x14ac:dyDescent="0.2">
      <c r="A1562">
        <v>1560</v>
      </c>
      <c r="B1562">
        <v>102</v>
      </c>
      <c r="C1562">
        <v>17</v>
      </c>
      <c r="D1562">
        <v>148194026.16220224</v>
      </c>
      <c r="E1562" t="s">
        <v>426</v>
      </c>
      <c r="F1562" t="s">
        <v>61</v>
      </c>
      <c r="G1562" t="s">
        <v>804</v>
      </c>
      <c r="H1562">
        <v>1.3010259622699794E-2</v>
      </c>
      <c r="I1562">
        <v>7.4710782718368182E-5</v>
      </c>
      <c r="J1562">
        <v>6.8</v>
      </c>
      <c r="L1562" s="1">
        <v>45839</v>
      </c>
      <c r="M1562" s="1">
        <v>43024</v>
      </c>
      <c r="R1562">
        <v>3.9048669067180401E-2</v>
      </c>
      <c r="T1562" t="s">
        <v>32</v>
      </c>
      <c r="V1562">
        <v>159754314.81810001</v>
      </c>
      <c r="W1562" t="s">
        <v>181</v>
      </c>
      <c r="X1562" t="s">
        <v>428</v>
      </c>
      <c r="Y1562">
        <v>148194026.16220224</v>
      </c>
      <c r="Z1562" t="s">
        <v>31</v>
      </c>
      <c r="AA1562">
        <v>3.4203956176862833E-3</v>
      </c>
      <c r="AB1562">
        <v>106.72</v>
      </c>
      <c r="AC1562" t="s">
        <v>33</v>
      </c>
      <c r="AE1562" t="s">
        <v>41</v>
      </c>
      <c r="AF1562">
        <v>1.5111791297699358E-3</v>
      </c>
      <c r="AH1562" t="s">
        <v>237</v>
      </c>
      <c r="AJ1562">
        <v>1.9132734739264405E-3</v>
      </c>
      <c r="AK1562">
        <v>1.9132734739264405E-3</v>
      </c>
      <c r="AL1562">
        <v>0</v>
      </c>
      <c r="AN1562" t="s">
        <v>148</v>
      </c>
      <c r="AQ1562">
        <v>2.8912989433400603E-6</v>
      </c>
    </row>
    <row r="1563" spans="1:43" x14ac:dyDescent="0.2">
      <c r="A1563">
        <v>1561</v>
      </c>
      <c r="B1563">
        <v>102</v>
      </c>
      <c r="C1563">
        <v>17</v>
      </c>
      <c r="D1563">
        <v>266751399.10842159</v>
      </c>
      <c r="E1563" t="s">
        <v>462</v>
      </c>
      <c r="F1563" t="s">
        <v>61</v>
      </c>
      <c r="G1563" t="s">
        <v>864</v>
      </c>
      <c r="H1563">
        <v>2.5292338508653991E-2</v>
      </c>
      <c r="I1563">
        <v>1.2859793702598083E-4</v>
      </c>
      <c r="J1563">
        <v>7.68</v>
      </c>
      <c r="L1563" s="1">
        <v>46204</v>
      </c>
      <c r="M1563" s="1">
        <v>43024</v>
      </c>
      <c r="R1563">
        <v>3.9048669067180401E-2</v>
      </c>
      <c r="T1563" t="s">
        <v>32</v>
      </c>
      <c r="V1563">
        <v>274981395.84549999</v>
      </c>
      <c r="W1563" t="s">
        <v>220</v>
      </c>
      <c r="X1563" t="s">
        <v>464</v>
      </c>
      <c r="Y1563">
        <v>266751399.10842159</v>
      </c>
      <c r="Z1563" t="s">
        <v>31</v>
      </c>
      <c r="AA1563">
        <v>5.8874476245986346E-3</v>
      </c>
      <c r="AB1563">
        <v>102.19</v>
      </c>
      <c r="AC1563" t="s">
        <v>33</v>
      </c>
      <c r="AE1563" t="s">
        <v>41</v>
      </c>
      <c r="AF1563">
        <v>3.7111791297699363E-3</v>
      </c>
      <c r="AH1563" t="s">
        <v>237</v>
      </c>
      <c r="AJ1563">
        <v>3.293273243314322E-3</v>
      </c>
      <c r="AK1563">
        <v>3.293273243314322E-3</v>
      </c>
      <c r="AL1563">
        <v>0</v>
      </c>
      <c r="AN1563" t="s">
        <v>148</v>
      </c>
      <c r="AQ1563">
        <v>1.2221926929217861E-5</v>
      </c>
    </row>
    <row r="1564" spans="1:43" x14ac:dyDescent="0.2">
      <c r="A1564">
        <v>1562</v>
      </c>
      <c r="B1564">
        <v>102</v>
      </c>
      <c r="C1564">
        <v>17</v>
      </c>
      <c r="D1564">
        <v>69011422.349784017</v>
      </c>
      <c r="E1564" t="s">
        <v>462</v>
      </c>
      <c r="F1564" t="s">
        <v>61</v>
      </c>
      <c r="G1564" t="s">
        <v>1082</v>
      </c>
      <c r="H1564">
        <v>1.1534924618805759E-2</v>
      </c>
      <c r="I1564">
        <v>3.8464855179728277E-5</v>
      </c>
      <c r="J1564">
        <v>11.71</v>
      </c>
      <c r="L1564" s="1">
        <v>48792</v>
      </c>
      <c r="M1564" s="1">
        <v>43024</v>
      </c>
      <c r="R1564">
        <v>3.9048669067180401E-2</v>
      </c>
      <c r="T1564" t="s">
        <v>32</v>
      </c>
      <c r="V1564">
        <v>82249527.581300005</v>
      </c>
      <c r="W1564" t="s">
        <v>220</v>
      </c>
      <c r="X1564" t="s">
        <v>1083</v>
      </c>
      <c r="Y1564">
        <v>69011422.349784017</v>
      </c>
      <c r="Z1564" t="s">
        <v>31</v>
      </c>
      <c r="AA1564">
        <v>1.7609910819383497E-3</v>
      </c>
      <c r="AB1564">
        <v>118.06</v>
      </c>
      <c r="AC1564" t="s">
        <v>34</v>
      </c>
      <c r="AE1564" t="s">
        <v>41</v>
      </c>
      <c r="AF1564">
        <v>7.9111791297699352E-3</v>
      </c>
      <c r="AH1564" t="s">
        <v>237</v>
      </c>
      <c r="AJ1564">
        <v>9.8504907077760534E-4</v>
      </c>
      <c r="AK1564">
        <v>9.8504907077760534E-4</v>
      </c>
      <c r="AL1564">
        <v>0</v>
      </c>
      <c r="AN1564" t="s">
        <v>54</v>
      </c>
      <c r="AQ1564">
        <v>7.7928996505350595E-6</v>
      </c>
    </row>
    <row r="1565" spans="1:43" x14ac:dyDescent="0.2">
      <c r="A1565">
        <v>1563</v>
      </c>
      <c r="B1565">
        <v>102</v>
      </c>
      <c r="C1565">
        <v>17</v>
      </c>
      <c r="D1565">
        <v>23002999.957388159</v>
      </c>
      <c r="E1565" t="s">
        <v>462</v>
      </c>
      <c r="F1565" t="s">
        <v>61</v>
      </c>
      <c r="G1565" t="s">
        <v>1085</v>
      </c>
      <c r="H1565">
        <v>4.0230185433562599E-3</v>
      </c>
      <c r="I1565">
        <v>1.2074828574223577E-5</v>
      </c>
      <c r="J1565">
        <v>13.01</v>
      </c>
      <c r="L1565" s="1">
        <v>49491</v>
      </c>
      <c r="M1565" s="1">
        <v>43024</v>
      </c>
      <c r="R1565">
        <v>3.9048669067180401E-2</v>
      </c>
      <c r="T1565" t="s">
        <v>32</v>
      </c>
      <c r="V1565">
        <v>25819646.043499999</v>
      </c>
      <c r="W1565" t="s">
        <v>220</v>
      </c>
      <c r="X1565" t="s">
        <v>1083</v>
      </c>
      <c r="Y1565">
        <v>23002999.957388159</v>
      </c>
      <c r="Z1565" t="s">
        <v>31</v>
      </c>
      <c r="AA1565">
        <v>5.5280763012851382E-4</v>
      </c>
      <c r="AB1565">
        <v>110.95</v>
      </c>
      <c r="AC1565" t="s">
        <v>34</v>
      </c>
      <c r="AE1565" t="s">
        <v>41</v>
      </c>
      <c r="AF1565">
        <v>8.4111791297699356E-3</v>
      </c>
      <c r="AH1565" t="s">
        <v>237</v>
      </c>
      <c r="AJ1565">
        <v>3.0922509941247196E-4</v>
      </c>
      <c r="AK1565">
        <v>3.0922509941247196E-4</v>
      </c>
      <c r="AL1565">
        <v>0</v>
      </c>
      <c r="AN1565" t="s">
        <v>54</v>
      </c>
      <c r="AQ1565">
        <v>2.6009477025792176E-6</v>
      </c>
    </row>
    <row r="1566" spans="1:43" x14ac:dyDescent="0.2">
      <c r="A1566">
        <v>1564</v>
      </c>
      <c r="B1566">
        <v>102</v>
      </c>
      <c r="C1566">
        <v>17</v>
      </c>
      <c r="D1566">
        <v>22999780.672694303</v>
      </c>
      <c r="E1566" t="s">
        <v>462</v>
      </c>
      <c r="F1566" t="s">
        <v>61</v>
      </c>
      <c r="G1566" t="s">
        <v>1086</v>
      </c>
      <c r="H1566">
        <v>4.1699634103176007E-3</v>
      </c>
      <c r="I1566">
        <v>1.2043751570395191E-5</v>
      </c>
      <c r="J1566">
        <v>13.52</v>
      </c>
      <c r="L1566" s="1">
        <v>49857</v>
      </c>
      <c r="M1566" s="1">
        <v>43024</v>
      </c>
      <c r="R1566">
        <v>3.9048669067180401E-2</v>
      </c>
      <c r="T1566" t="s">
        <v>32</v>
      </c>
      <c r="V1566">
        <v>25753193.982999999</v>
      </c>
      <c r="W1566" t="s">
        <v>220</v>
      </c>
      <c r="X1566" t="s">
        <v>1083</v>
      </c>
      <c r="Y1566">
        <v>22999780.672694303</v>
      </c>
      <c r="Z1566" t="s">
        <v>31</v>
      </c>
      <c r="AA1566">
        <v>5.5138486832843826E-4</v>
      </c>
      <c r="AB1566">
        <v>110.67</v>
      </c>
      <c r="AC1566" t="s">
        <v>34</v>
      </c>
      <c r="AE1566" t="s">
        <v>41</v>
      </c>
      <c r="AF1566">
        <v>8.9111791297699361E-3</v>
      </c>
      <c r="AH1566" t="s">
        <v>237</v>
      </c>
      <c r="AJ1566">
        <v>3.0842924632526632E-4</v>
      </c>
      <c r="AK1566">
        <v>3.0842924632526632E-4</v>
      </c>
      <c r="AL1566">
        <v>0</v>
      </c>
      <c r="AN1566" t="s">
        <v>54</v>
      </c>
      <c r="AQ1566">
        <v>2.7484682628643839E-6</v>
      </c>
    </row>
    <row r="1567" spans="1:43" x14ac:dyDescent="0.2">
      <c r="A1567">
        <v>1565</v>
      </c>
      <c r="B1567">
        <v>102</v>
      </c>
      <c r="C1567">
        <v>17</v>
      </c>
      <c r="D1567">
        <v>222295833.23046547</v>
      </c>
      <c r="E1567" t="s">
        <v>505</v>
      </c>
      <c r="F1567" t="s">
        <v>61</v>
      </c>
      <c r="G1567" t="s">
        <v>808</v>
      </c>
      <c r="H1567">
        <v>1.6889387100291982E-2</v>
      </c>
      <c r="I1567">
        <v>1.0115154718202566E-4</v>
      </c>
      <c r="J1567">
        <v>6.52</v>
      </c>
      <c r="L1567" s="1">
        <v>45566</v>
      </c>
      <c r="M1567" s="1">
        <v>43024</v>
      </c>
      <c r="R1567">
        <v>3.9048669067180401E-2</v>
      </c>
      <c r="T1567" t="s">
        <v>32</v>
      </c>
      <c r="V1567">
        <v>216292689.28650001</v>
      </c>
      <c r="W1567" t="s">
        <v>206</v>
      </c>
      <c r="X1567" t="s">
        <v>507</v>
      </c>
      <c r="Y1567">
        <v>222295833.23046547</v>
      </c>
      <c r="Z1567" t="s">
        <v>31</v>
      </c>
      <c r="AA1567">
        <v>4.6309019409928719E-3</v>
      </c>
      <c r="AB1567">
        <v>97.22</v>
      </c>
      <c r="AC1567" t="s">
        <v>36</v>
      </c>
      <c r="AE1567" t="s">
        <v>41</v>
      </c>
      <c r="AF1567">
        <v>9.1117912976993592E-4</v>
      </c>
      <c r="AH1567" t="s">
        <v>237</v>
      </c>
      <c r="AJ1567">
        <v>2.5903967945233104E-3</v>
      </c>
      <c r="AK1567">
        <v>2.5903967945233104E-3</v>
      </c>
      <c r="AL1567">
        <v>0</v>
      </c>
      <c r="AN1567" t="s">
        <v>150</v>
      </c>
      <c r="AQ1567">
        <v>2.3603154969925816E-6</v>
      </c>
    </row>
    <row r="1568" spans="1:43" x14ac:dyDescent="0.2">
      <c r="A1568">
        <v>1566</v>
      </c>
      <c r="B1568">
        <v>102</v>
      </c>
      <c r="C1568">
        <v>17</v>
      </c>
      <c r="D1568">
        <v>102842853.11162937</v>
      </c>
      <c r="E1568" t="s">
        <v>505</v>
      </c>
      <c r="F1568" t="s">
        <v>61</v>
      </c>
      <c r="G1568" t="s">
        <v>977</v>
      </c>
      <c r="H1568">
        <v>6.159944298143866E-3</v>
      </c>
      <c r="I1568">
        <v>3.8547696533731512E-5</v>
      </c>
      <c r="J1568">
        <v>6.24</v>
      </c>
      <c r="L1568" s="1">
        <v>47818</v>
      </c>
      <c r="M1568" s="1">
        <v>43024</v>
      </c>
      <c r="R1568">
        <v>3.9048669067180401E-2</v>
      </c>
      <c r="T1568" t="s">
        <v>32</v>
      </c>
      <c r="V1568">
        <v>82426667.523699999</v>
      </c>
      <c r="W1568" t="s">
        <v>206</v>
      </c>
      <c r="X1568" t="s">
        <v>978</v>
      </c>
      <c r="Y1568">
        <v>102842853.11162937</v>
      </c>
      <c r="Z1568" t="s">
        <v>31</v>
      </c>
      <c r="AA1568">
        <v>1.7647837099083173E-3</v>
      </c>
      <c r="AB1568">
        <v>112.03</v>
      </c>
      <c r="AC1568" t="s">
        <v>34</v>
      </c>
      <c r="AE1568" t="s">
        <v>41</v>
      </c>
      <c r="AF1568">
        <v>2.1111791297699356E-3</v>
      </c>
      <c r="AH1568" t="s">
        <v>237</v>
      </c>
      <c r="AJ1568">
        <v>9.8717056059997844E-4</v>
      </c>
      <c r="AK1568">
        <v>9.8717056059997844E-4</v>
      </c>
      <c r="AL1568">
        <v>0</v>
      </c>
      <c r="AN1568" t="s">
        <v>54</v>
      </c>
      <c r="AQ1568">
        <v>2.084093885061962E-6</v>
      </c>
    </row>
    <row r="1569" spans="1:43" x14ac:dyDescent="0.2">
      <c r="A1569">
        <v>1567</v>
      </c>
      <c r="B1569">
        <v>102</v>
      </c>
      <c r="C1569">
        <v>17</v>
      </c>
      <c r="D1569">
        <v>74087633.833075628</v>
      </c>
      <c r="E1569" t="s">
        <v>505</v>
      </c>
      <c r="F1569" t="s">
        <v>61</v>
      </c>
      <c r="G1569" t="s">
        <v>979</v>
      </c>
      <c r="H1569">
        <v>4.4376024575783343E-3</v>
      </c>
      <c r="I1569">
        <v>2.7769626573346607E-5</v>
      </c>
      <c r="J1569">
        <v>6.24</v>
      </c>
      <c r="L1569" s="1">
        <v>47818</v>
      </c>
      <c r="M1569" s="1">
        <v>43024</v>
      </c>
      <c r="R1569">
        <v>3.9048669067180401E-2</v>
      </c>
      <c r="T1569" t="s">
        <v>32</v>
      </c>
      <c r="V1569">
        <v>59379884.730999999</v>
      </c>
      <c r="W1569" t="s">
        <v>206</v>
      </c>
      <c r="X1569" t="s">
        <v>507</v>
      </c>
      <c r="Y1569">
        <v>74087633.833075628</v>
      </c>
      <c r="Z1569" t="s">
        <v>31</v>
      </c>
      <c r="AA1569">
        <v>1.2713440494166717E-3</v>
      </c>
      <c r="AB1569">
        <v>112.03</v>
      </c>
      <c r="AC1569" t="s">
        <v>36</v>
      </c>
      <c r="AE1569" t="s">
        <v>41</v>
      </c>
      <c r="AF1569">
        <v>2.1111791297699356E-3</v>
      </c>
      <c r="AH1569" t="s">
        <v>237</v>
      </c>
      <c r="AJ1569">
        <v>7.1115423999652794E-4</v>
      </c>
      <c r="AK1569">
        <v>7.1115423999652794E-4</v>
      </c>
      <c r="AL1569">
        <v>0</v>
      </c>
      <c r="AN1569" t="s">
        <v>150</v>
      </c>
      <c r="AQ1569">
        <v>1.5013739895280697E-6</v>
      </c>
    </row>
    <row r="1570" spans="1:43" x14ac:dyDescent="0.2">
      <c r="A1570">
        <v>1568</v>
      </c>
      <c r="B1570">
        <v>102</v>
      </c>
      <c r="C1570">
        <v>17</v>
      </c>
      <c r="D1570">
        <v>81509171.34966442</v>
      </c>
      <c r="E1570" t="s">
        <v>466</v>
      </c>
      <c r="F1570" t="s">
        <v>61</v>
      </c>
      <c r="G1570" t="s">
        <v>815</v>
      </c>
      <c r="H1570">
        <v>5.9278403317097883E-3</v>
      </c>
      <c r="I1570">
        <v>3.9636006060962399E-5</v>
      </c>
      <c r="J1570">
        <v>5.84</v>
      </c>
      <c r="L1570" s="1">
        <v>45352</v>
      </c>
      <c r="M1570" s="1">
        <v>43024</v>
      </c>
      <c r="R1570">
        <v>3.9048669067180401E-2</v>
      </c>
      <c r="T1570" t="s">
        <v>32</v>
      </c>
      <c r="V1570">
        <v>84753803.400299996</v>
      </c>
      <c r="W1570" t="s">
        <v>250</v>
      </c>
      <c r="X1570" t="s">
        <v>468</v>
      </c>
      <c r="Y1570">
        <v>81509171.34966442</v>
      </c>
      <c r="Z1570" t="s">
        <v>31</v>
      </c>
      <c r="AA1570">
        <v>1.8146085009516531E-3</v>
      </c>
      <c r="AB1570">
        <v>103.6</v>
      </c>
      <c r="AC1570" t="s">
        <v>33</v>
      </c>
      <c r="AE1570" t="s">
        <v>41</v>
      </c>
      <c r="AF1570">
        <v>4.1117912976993548E-4</v>
      </c>
      <c r="AH1570" t="s">
        <v>237</v>
      </c>
      <c r="AJ1570">
        <v>1.0150411526900322E-3</v>
      </c>
      <c r="AK1570">
        <v>1.0150411526900322E-3</v>
      </c>
      <c r="AL1570">
        <v>0</v>
      </c>
      <c r="AN1570" t="s">
        <v>148</v>
      </c>
      <c r="AQ1570">
        <v>4.1736373784375967E-7</v>
      </c>
    </row>
    <row r="1571" spans="1:43" x14ac:dyDescent="0.2">
      <c r="A1571">
        <v>1569</v>
      </c>
      <c r="B1571">
        <v>102</v>
      </c>
      <c r="C1571">
        <v>17</v>
      </c>
      <c r="D1571">
        <v>111141176.99574891</v>
      </c>
      <c r="E1571" t="s">
        <v>469</v>
      </c>
      <c r="F1571" t="s">
        <v>61</v>
      </c>
      <c r="G1571" t="s">
        <v>1587</v>
      </c>
      <c r="H1571">
        <v>8.4866490749903462E-3</v>
      </c>
      <c r="I1571">
        <v>5.588403899133064E-5</v>
      </c>
      <c r="J1571">
        <v>5.93</v>
      </c>
      <c r="L1571" s="1">
        <v>45444</v>
      </c>
      <c r="M1571" s="1">
        <v>43024</v>
      </c>
      <c r="R1571">
        <v>3.9048669067180401E-2</v>
      </c>
      <c r="T1571" t="s">
        <v>32</v>
      </c>
      <c r="V1571">
        <v>119497026.1787</v>
      </c>
      <c r="W1571" t="s">
        <v>220</v>
      </c>
      <c r="X1571" t="s">
        <v>471</v>
      </c>
      <c r="Y1571">
        <v>111141176.99574891</v>
      </c>
      <c r="Z1571" t="s">
        <v>31</v>
      </c>
      <c r="AA1571">
        <v>2.5584730223628376E-3</v>
      </c>
      <c r="AB1571">
        <v>106.14</v>
      </c>
      <c r="AC1571" t="s">
        <v>33</v>
      </c>
      <c r="AE1571" t="s">
        <v>41</v>
      </c>
      <c r="AF1571">
        <v>1.0111791297699353E-3</v>
      </c>
      <c r="AH1571" t="s">
        <v>237</v>
      </c>
      <c r="AJ1571">
        <v>1.4311381239444092E-3</v>
      </c>
      <c r="AK1571">
        <v>1.4311381239444092E-3</v>
      </c>
      <c r="AL1571">
        <v>0</v>
      </c>
      <c r="AN1571" t="s">
        <v>148</v>
      </c>
      <c r="AQ1571">
        <v>1.4471370027506855E-6</v>
      </c>
    </row>
    <row r="1572" spans="1:43" x14ac:dyDescent="0.2">
      <c r="A1572">
        <v>1570</v>
      </c>
      <c r="B1572">
        <v>102</v>
      </c>
      <c r="C1572">
        <v>17</v>
      </c>
      <c r="D1572">
        <v>148187065.57373023</v>
      </c>
      <c r="E1572" t="s">
        <v>469</v>
      </c>
      <c r="F1572" t="s">
        <v>61</v>
      </c>
      <c r="G1572" t="s">
        <v>992</v>
      </c>
      <c r="H1572">
        <v>1.0039857026576962E-2</v>
      </c>
      <c r="I1572">
        <v>5.6817833987334726E-5</v>
      </c>
      <c r="J1572">
        <v>6.9</v>
      </c>
      <c r="L1572" s="1">
        <v>48670</v>
      </c>
      <c r="M1572" s="1">
        <v>43024</v>
      </c>
      <c r="R1572">
        <v>3.9048669067180401E-2</v>
      </c>
      <c r="T1572" t="s">
        <v>32</v>
      </c>
      <c r="V1572">
        <v>121493763.12</v>
      </c>
      <c r="W1572" t="s">
        <v>220</v>
      </c>
      <c r="X1572" t="s">
        <v>993</v>
      </c>
      <c r="Y1572">
        <v>148187065.57373023</v>
      </c>
      <c r="Z1572" t="s">
        <v>31</v>
      </c>
      <c r="AA1572">
        <v>2.6012238569269697E-3</v>
      </c>
      <c r="AB1572">
        <v>105.64</v>
      </c>
      <c r="AC1572" t="s">
        <v>34</v>
      </c>
      <c r="AE1572" t="s">
        <v>41</v>
      </c>
      <c r="AF1572">
        <v>3.1111791297699365E-3</v>
      </c>
      <c r="AH1572" t="s">
        <v>237</v>
      </c>
      <c r="AJ1572">
        <v>1.4550517429821684E-3</v>
      </c>
      <c r="AK1572">
        <v>1.4550517429821684E-3</v>
      </c>
      <c r="AL1572">
        <v>0</v>
      </c>
      <c r="AN1572" t="s">
        <v>54</v>
      </c>
      <c r="AQ1572">
        <v>4.5269266155014921E-6</v>
      </c>
    </row>
    <row r="1573" spans="1:43" x14ac:dyDescent="0.2">
      <c r="A1573">
        <v>1571</v>
      </c>
      <c r="B1573">
        <v>102</v>
      </c>
      <c r="C1573">
        <v>17</v>
      </c>
      <c r="D1573">
        <v>182702733.82822907</v>
      </c>
      <c r="E1573" t="s">
        <v>414</v>
      </c>
      <c r="F1573" t="s">
        <v>61</v>
      </c>
      <c r="G1573" t="s">
        <v>994</v>
      </c>
      <c r="H1573">
        <v>4.7300013576641882E-2</v>
      </c>
      <c r="I1573">
        <v>2.4825303454669741E-4</v>
      </c>
      <c r="J1573">
        <v>7.44</v>
      </c>
      <c r="L1573" s="1">
        <v>46266</v>
      </c>
      <c r="M1573" s="1">
        <v>43024</v>
      </c>
      <c r="R1573">
        <v>3.9048669067180401E-2</v>
      </c>
      <c r="T1573" t="s">
        <v>32</v>
      </c>
      <c r="V1573">
        <v>530840288.27569997</v>
      </c>
      <c r="W1573" t="s">
        <v>200</v>
      </c>
      <c r="X1573" t="s">
        <v>305</v>
      </c>
      <c r="Y1573">
        <v>182702733.82822907</v>
      </c>
      <c r="Z1573" t="s">
        <v>31</v>
      </c>
      <c r="AA1573">
        <v>1.1365475779335962E-2</v>
      </c>
      <c r="AB1573">
        <v>117.45</v>
      </c>
      <c r="AC1573" t="s">
        <v>33</v>
      </c>
      <c r="AE1573" t="s">
        <v>41</v>
      </c>
      <c r="AF1573">
        <v>2.3111791297699344E-3</v>
      </c>
      <c r="AH1573" t="s">
        <v>237</v>
      </c>
      <c r="AJ1573">
        <v>6.3575287065378867E-3</v>
      </c>
      <c r="AK1573">
        <v>6.3575287065378867E-3</v>
      </c>
      <c r="AL1573">
        <v>0</v>
      </c>
      <c r="AN1573" t="s">
        <v>148</v>
      </c>
      <c r="AQ1573">
        <v>1.469338766346361E-5</v>
      </c>
    </row>
    <row r="1574" spans="1:43" x14ac:dyDescent="0.2">
      <c r="A1574">
        <v>1572</v>
      </c>
      <c r="B1574">
        <v>102</v>
      </c>
      <c r="C1574">
        <v>17</v>
      </c>
      <c r="D1574">
        <v>177841523.34371737</v>
      </c>
      <c r="E1574" t="s">
        <v>430</v>
      </c>
      <c r="F1574" t="s">
        <v>61</v>
      </c>
      <c r="G1574" t="s">
        <v>944</v>
      </c>
      <c r="H1574">
        <v>2.5316183216378896E-2</v>
      </c>
      <c r="I1574">
        <v>1.4732686445014697E-4</v>
      </c>
      <c r="J1574">
        <v>6.71</v>
      </c>
      <c r="L1574" s="1">
        <v>45717</v>
      </c>
      <c r="M1574" s="1">
        <v>43024</v>
      </c>
      <c r="R1574">
        <v>3.9048669067180401E-2</v>
      </c>
      <c r="T1574" t="s">
        <v>32</v>
      </c>
      <c r="V1574">
        <v>315029523.5596</v>
      </c>
      <c r="W1574" t="s">
        <v>248</v>
      </c>
      <c r="X1574" t="s">
        <v>432</v>
      </c>
      <c r="Y1574">
        <v>177841523.34371737</v>
      </c>
      <c r="Z1574" t="s">
        <v>31</v>
      </c>
      <c r="AA1574">
        <v>6.7448920115362725E-3</v>
      </c>
      <c r="AB1574">
        <v>100.91</v>
      </c>
      <c r="AC1574" t="s">
        <v>34</v>
      </c>
      <c r="AE1574" t="s">
        <v>41</v>
      </c>
      <c r="AF1574">
        <v>2.7111791297699354E-3</v>
      </c>
      <c r="AH1574" t="s">
        <v>237</v>
      </c>
      <c r="AJ1574">
        <v>3.772903608998345E-3</v>
      </c>
      <c r="AK1574">
        <v>3.772903608998345E-3</v>
      </c>
      <c r="AL1574">
        <v>0</v>
      </c>
      <c r="AN1574" t="s">
        <v>54</v>
      </c>
      <c r="AQ1574">
        <v>1.0229017523349982E-5</v>
      </c>
    </row>
    <row r="1575" spans="1:43" x14ac:dyDescent="0.2">
      <c r="A1575">
        <v>1573</v>
      </c>
      <c r="B1575">
        <v>102</v>
      </c>
      <c r="C1575">
        <v>17</v>
      </c>
      <c r="D1575">
        <v>37045385.092348866</v>
      </c>
      <c r="E1575" t="s">
        <v>430</v>
      </c>
      <c r="F1575" t="s">
        <v>61</v>
      </c>
      <c r="G1575" t="s">
        <v>1603</v>
      </c>
      <c r="H1575">
        <v>3.1800257015866295E-3</v>
      </c>
      <c r="I1575">
        <v>1.7440417309885459E-5</v>
      </c>
      <c r="J1575">
        <v>7.12</v>
      </c>
      <c r="L1575" s="1">
        <v>45901</v>
      </c>
      <c r="M1575" s="1">
        <v>43024</v>
      </c>
      <c r="R1575">
        <v>3.9048669067180401E-2</v>
      </c>
      <c r="T1575" t="s">
        <v>32</v>
      </c>
      <c r="V1575">
        <v>37292902.257299997</v>
      </c>
      <c r="W1575" t="s">
        <v>248</v>
      </c>
      <c r="X1575" t="s">
        <v>432</v>
      </c>
      <c r="Y1575">
        <v>37045385.092348866</v>
      </c>
      <c r="Z1575" t="s">
        <v>31</v>
      </c>
      <c r="AA1575">
        <v>7.9845404862404249E-4</v>
      </c>
      <c r="AB1575">
        <v>100.33</v>
      </c>
      <c r="AC1575" t="s">
        <v>34</v>
      </c>
      <c r="AE1575" t="s">
        <v>41</v>
      </c>
      <c r="AF1575">
        <v>3.6111791297699335E-3</v>
      </c>
      <c r="AH1575" t="s">
        <v>237</v>
      </c>
      <c r="AJ1575">
        <v>4.4663282325654906E-4</v>
      </c>
      <c r="AK1575">
        <v>4.4663282325654906E-4</v>
      </c>
      <c r="AL1575">
        <v>0</v>
      </c>
      <c r="AN1575" t="s">
        <v>54</v>
      </c>
      <c r="AQ1575">
        <v>1.6128711300142733E-6</v>
      </c>
    </row>
    <row r="1576" spans="1:43" x14ac:dyDescent="0.2">
      <c r="A1576">
        <v>1574</v>
      </c>
      <c r="B1576">
        <v>102</v>
      </c>
      <c r="C1576">
        <v>17</v>
      </c>
      <c r="D1576">
        <v>11501938.798240969</v>
      </c>
      <c r="E1576" t="s">
        <v>326</v>
      </c>
      <c r="F1576" t="s">
        <v>61</v>
      </c>
      <c r="G1576" t="s">
        <v>827</v>
      </c>
      <c r="H1576">
        <v>1.3432408401167879E-3</v>
      </c>
      <c r="I1576">
        <v>6.0289387406025101E-6</v>
      </c>
      <c r="J1576">
        <v>8.6999999999999993</v>
      </c>
      <c r="L1576" s="1">
        <v>46880</v>
      </c>
      <c r="M1576" s="1">
        <v>43024</v>
      </c>
      <c r="R1576">
        <v>3.9048669067180401E-2</v>
      </c>
      <c r="T1576" t="s">
        <v>32</v>
      </c>
      <c r="V1576">
        <v>12891699.7325</v>
      </c>
      <c r="W1576" t="s">
        <v>327</v>
      </c>
      <c r="X1576" t="s">
        <v>435</v>
      </c>
      <c r="Y1576">
        <v>11501938.798240969</v>
      </c>
      <c r="Z1576" t="s">
        <v>31</v>
      </c>
      <c r="AA1576">
        <v>2.7601578911829518E-4</v>
      </c>
      <c r="AB1576">
        <v>110.15</v>
      </c>
      <c r="AC1576" t="s">
        <v>34</v>
      </c>
      <c r="AE1576" t="s">
        <v>35</v>
      </c>
      <c r="AF1576">
        <v>4.8111791297699366E-3</v>
      </c>
      <c r="AH1576" t="s">
        <v>237</v>
      </c>
      <c r="AJ1576">
        <v>1.5439549886399863E-4</v>
      </c>
      <c r="AK1576">
        <v>1.5439549886399863E-4</v>
      </c>
      <c r="AL1576">
        <v>0</v>
      </c>
      <c r="AN1576" t="s">
        <v>54</v>
      </c>
      <c r="AQ1576">
        <v>7.428244018648882E-7</v>
      </c>
    </row>
    <row r="1577" spans="1:43" x14ac:dyDescent="0.2">
      <c r="A1577">
        <v>1575</v>
      </c>
      <c r="B1577">
        <v>102</v>
      </c>
      <c r="C1577">
        <v>17</v>
      </c>
      <c r="D1577">
        <v>241495045.01040959</v>
      </c>
      <c r="E1577" t="s">
        <v>326</v>
      </c>
      <c r="F1577" t="s">
        <v>61</v>
      </c>
      <c r="G1577" t="s">
        <v>828</v>
      </c>
      <c r="H1577">
        <v>7.5002386725229256E-2</v>
      </c>
      <c r="I1577">
        <v>5.0322051176669442E-4</v>
      </c>
      <c r="J1577">
        <v>5.82</v>
      </c>
      <c r="L1577" s="1">
        <v>47406</v>
      </c>
      <c r="M1577" s="1">
        <v>43024</v>
      </c>
      <c r="R1577">
        <v>3.9048669067180401E-2</v>
      </c>
      <c r="T1577" t="s">
        <v>32</v>
      </c>
      <c r="V1577">
        <v>1076038091.6199</v>
      </c>
      <c r="W1577" t="s">
        <v>327</v>
      </c>
      <c r="X1577" t="s">
        <v>435</v>
      </c>
      <c r="Y1577">
        <v>241495045.01040959</v>
      </c>
      <c r="Z1577" t="s">
        <v>31</v>
      </c>
      <c r="AA1577">
        <v>2.303835096554915E-2</v>
      </c>
      <c r="AB1577">
        <v>118.48</v>
      </c>
      <c r="AC1577" t="s">
        <v>34</v>
      </c>
      <c r="AE1577" t="s">
        <v>35</v>
      </c>
      <c r="AF1577">
        <v>2.211179129769935E-3</v>
      </c>
      <c r="AH1577" t="s">
        <v>237</v>
      </c>
      <c r="AJ1577">
        <v>1.2887008028389907E-2</v>
      </c>
      <c r="AK1577">
        <v>1.2887008028389907E-2</v>
      </c>
      <c r="AL1577">
        <v>0</v>
      </c>
      <c r="AN1577" t="s">
        <v>54</v>
      </c>
      <c r="AQ1577">
        <v>2.8495483197553361E-5</v>
      </c>
    </row>
    <row r="1578" spans="1:43" x14ac:dyDescent="0.2">
      <c r="A1578">
        <v>1576</v>
      </c>
      <c r="B1578">
        <v>102</v>
      </c>
      <c r="C1578">
        <v>17</v>
      </c>
      <c r="D1578">
        <v>35000</v>
      </c>
      <c r="E1578" t="s">
        <v>326</v>
      </c>
      <c r="F1578" t="s">
        <v>61</v>
      </c>
      <c r="G1578" t="s">
        <v>829</v>
      </c>
      <c r="H1578">
        <v>0.10643715136652905</v>
      </c>
      <c r="I1578">
        <v>5.1566117868051867E-4</v>
      </c>
      <c r="J1578">
        <v>8.06</v>
      </c>
      <c r="L1578" s="1">
        <v>47631</v>
      </c>
      <c r="M1578" s="1">
        <v>43024</v>
      </c>
      <c r="R1578">
        <v>3.9048669067180401E-2</v>
      </c>
      <c r="T1578" t="s">
        <v>32</v>
      </c>
      <c r="V1578">
        <v>1102640011</v>
      </c>
      <c r="W1578" t="s">
        <v>327</v>
      </c>
      <c r="X1578" t="s">
        <v>435</v>
      </c>
      <c r="Y1578">
        <v>35000</v>
      </c>
      <c r="Z1578" t="s">
        <v>31</v>
      </c>
      <c r="AA1578">
        <v>2.3607907340745277E-2</v>
      </c>
      <c r="AB1578">
        <v>116.08</v>
      </c>
      <c r="AC1578" t="s">
        <v>34</v>
      </c>
      <c r="AE1578" t="s">
        <v>35</v>
      </c>
      <c r="AF1578">
        <v>3.9111791297699351E-3</v>
      </c>
      <c r="AH1578" t="s">
        <v>237</v>
      </c>
      <c r="AJ1578">
        <v>1.3205601906517251E-2</v>
      </c>
      <c r="AK1578">
        <v>1.3205601906517251E-2</v>
      </c>
      <c r="AL1578">
        <v>0</v>
      </c>
      <c r="AN1578" t="s">
        <v>54</v>
      </c>
      <c r="AQ1578">
        <v>5.1649474572820338E-5</v>
      </c>
    </row>
    <row r="1579" spans="1:43" x14ac:dyDescent="0.2">
      <c r="A1579">
        <v>1577</v>
      </c>
      <c r="B1579">
        <v>102</v>
      </c>
      <c r="C1579">
        <v>17</v>
      </c>
      <c r="D1579">
        <v>297220744.13698143</v>
      </c>
      <c r="E1579" t="s">
        <v>841</v>
      </c>
      <c r="F1579" t="s">
        <v>61</v>
      </c>
      <c r="G1579" t="s">
        <v>842</v>
      </c>
      <c r="H1579">
        <v>0.12790079077167346</v>
      </c>
      <c r="I1579">
        <v>7.0343037355968428E-4</v>
      </c>
      <c r="J1579">
        <v>7.1</v>
      </c>
      <c r="L1579" s="1">
        <v>47922</v>
      </c>
      <c r="M1579" s="1">
        <v>43024</v>
      </c>
      <c r="R1579">
        <v>3.9048669067180401E-2</v>
      </c>
      <c r="T1579" t="s">
        <v>32</v>
      </c>
      <c r="V1579">
        <v>1504147504.0341001</v>
      </c>
      <c r="W1579" t="s">
        <v>843</v>
      </c>
      <c r="X1579" t="s">
        <v>844</v>
      </c>
      <c r="Y1579">
        <v>297220744.13698143</v>
      </c>
      <c r="Z1579" t="s">
        <v>31</v>
      </c>
      <c r="AA1579">
        <v>3.2204322850434203E-2</v>
      </c>
      <c r="AB1579">
        <v>114.18</v>
      </c>
      <c r="AC1579" t="s">
        <v>34</v>
      </c>
      <c r="AE1579" t="s">
        <v>41</v>
      </c>
      <c r="AF1579">
        <v>1.7111791297699346E-3</v>
      </c>
      <c r="AH1579" t="s">
        <v>237</v>
      </c>
      <c r="AJ1579">
        <v>1.8014195883334291E-2</v>
      </c>
      <c r="AK1579">
        <v>1.8014195883334291E-2</v>
      </c>
      <c r="AL1579">
        <v>0</v>
      </c>
      <c r="AN1579" t="s">
        <v>54</v>
      </c>
      <c r="AQ1579">
        <v>3.0825516035149111E-5</v>
      </c>
    </row>
    <row r="1580" spans="1:43" x14ac:dyDescent="0.2">
      <c r="A1580">
        <v>1578</v>
      </c>
      <c r="B1580">
        <v>102</v>
      </c>
      <c r="C1580">
        <v>17</v>
      </c>
      <c r="D1580">
        <v>17249458.022781562</v>
      </c>
      <c r="E1580" t="s">
        <v>242</v>
      </c>
      <c r="F1580" t="s">
        <v>61</v>
      </c>
      <c r="G1580" t="s">
        <v>1091</v>
      </c>
      <c r="H1580">
        <v>2.3798959190695374E-3</v>
      </c>
      <c r="I1580">
        <v>9.3118004166412338E-6</v>
      </c>
      <c r="J1580">
        <v>9.98</v>
      </c>
      <c r="L1580" s="1">
        <v>47566</v>
      </c>
      <c r="M1580" s="1">
        <v>43024</v>
      </c>
      <c r="R1580">
        <v>3.9048669067180401E-2</v>
      </c>
      <c r="T1580" t="s">
        <v>32</v>
      </c>
      <c r="V1580">
        <v>19911453.7575</v>
      </c>
      <c r="W1580" t="s">
        <v>243</v>
      </c>
      <c r="X1580" t="s">
        <v>1092</v>
      </c>
      <c r="Y1580">
        <v>17249458.022781562</v>
      </c>
      <c r="Z1580" t="s">
        <v>31</v>
      </c>
      <c r="AA1580">
        <v>4.2631117194838892E-4</v>
      </c>
      <c r="AB1580">
        <v>115.14</v>
      </c>
      <c r="AC1580" t="s">
        <v>33</v>
      </c>
      <c r="AE1580" t="s">
        <v>177</v>
      </c>
      <c r="AF1580">
        <v>4.6111791297699344E-3</v>
      </c>
      <c r="AH1580" t="s">
        <v>237</v>
      </c>
      <c r="AJ1580">
        <v>2.3846652495686745E-4</v>
      </c>
      <c r="AK1580">
        <v>2.3846652495686745E-4</v>
      </c>
      <c r="AL1580">
        <v>0</v>
      </c>
      <c r="AN1580" t="s">
        <v>148</v>
      </c>
      <c r="AQ1580">
        <v>1.0996118630298685E-6</v>
      </c>
    </row>
    <row r="1581" spans="1:43" x14ac:dyDescent="0.2">
      <c r="A1581">
        <v>1579</v>
      </c>
      <c r="B1581">
        <v>102</v>
      </c>
      <c r="C1581">
        <v>17</v>
      </c>
      <c r="D1581">
        <v>3447924.5485511259</v>
      </c>
      <c r="E1581" t="s">
        <v>332</v>
      </c>
      <c r="F1581" t="s">
        <v>61</v>
      </c>
      <c r="G1581" t="s">
        <v>1093</v>
      </c>
      <c r="H1581">
        <v>4.835661236352747E-4</v>
      </c>
      <c r="I1581">
        <v>1.6725078418009819E-6</v>
      </c>
      <c r="J1581">
        <v>11.29</v>
      </c>
      <c r="L1581" s="1">
        <v>50649</v>
      </c>
      <c r="M1581" s="1">
        <v>43024</v>
      </c>
      <c r="R1581">
        <v>3.9048669067180401E-2</v>
      </c>
      <c r="T1581" t="s">
        <v>32</v>
      </c>
      <c r="V1581">
        <v>3576329.0729</v>
      </c>
      <c r="W1581" t="s">
        <v>333</v>
      </c>
      <c r="X1581" t="s">
        <v>437</v>
      </c>
      <c r="Y1581">
        <v>3447924.5485511259</v>
      </c>
      <c r="Z1581" t="s">
        <v>31</v>
      </c>
      <c r="AA1581">
        <v>7.6570453212981298E-5</v>
      </c>
      <c r="AB1581">
        <v>103.31</v>
      </c>
      <c r="AC1581" t="s">
        <v>34</v>
      </c>
      <c r="AE1581" t="s">
        <v>35</v>
      </c>
      <c r="AF1581">
        <v>6.4111791297699339E-3</v>
      </c>
      <c r="AH1581" t="s">
        <v>237</v>
      </c>
      <c r="AJ1581">
        <v>4.2831366132442402E-5</v>
      </c>
      <c r="AK1581">
        <v>4.2831366132442402E-5</v>
      </c>
      <c r="AL1581">
        <v>0</v>
      </c>
      <c r="AN1581" t="s">
        <v>54</v>
      </c>
      <c r="AQ1581">
        <v>2.7459956064784947E-7</v>
      </c>
    </row>
    <row r="1582" spans="1:43" x14ac:dyDescent="0.2">
      <c r="A1582">
        <v>1580</v>
      </c>
      <c r="B1582">
        <v>102</v>
      </c>
      <c r="C1582">
        <v>17</v>
      </c>
      <c r="D1582">
        <v>125468385.5522902</v>
      </c>
      <c r="E1582" t="s">
        <v>831</v>
      </c>
      <c r="F1582" t="s">
        <v>61</v>
      </c>
      <c r="G1582" t="s">
        <v>832</v>
      </c>
      <c r="H1582">
        <v>1.5370614792024222E-2</v>
      </c>
      <c r="I1582">
        <v>6.4886708148417484E-5</v>
      </c>
      <c r="J1582">
        <v>9.25</v>
      </c>
      <c r="L1582" s="1">
        <v>49035</v>
      </c>
      <c r="M1582" s="1">
        <v>43024</v>
      </c>
      <c r="R1582">
        <v>3.9048669067180401E-2</v>
      </c>
      <c r="T1582" t="s">
        <v>32</v>
      </c>
      <c r="V1582">
        <v>138747463.5372</v>
      </c>
      <c r="W1582" t="s">
        <v>833</v>
      </c>
      <c r="X1582" t="s">
        <v>834</v>
      </c>
      <c r="Y1582">
        <v>125468385.5522902</v>
      </c>
      <c r="Z1582" t="s">
        <v>31</v>
      </c>
      <c r="AA1582">
        <v>2.9706316025835304E-3</v>
      </c>
      <c r="AB1582">
        <v>110.41</v>
      </c>
      <c r="AC1582" t="s">
        <v>34</v>
      </c>
      <c r="AE1582" t="s">
        <v>41</v>
      </c>
      <c r="AF1582">
        <v>4.2111791297699333E-3</v>
      </c>
      <c r="AH1582" t="s">
        <v>237</v>
      </c>
      <c r="AJ1582">
        <v>1.6616880856242403E-3</v>
      </c>
      <c r="AK1582">
        <v>1.6616880856242403E-3</v>
      </c>
      <c r="AL1582">
        <v>0</v>
      </c>
      <c r="AN1582" t="s">
        <v>54</v>
      </c>
      <c r="AQ1582">
        <v>6.9976661863681543E-6</v>
      </c>
    </row>
    <row r="1583" spans="1:43" x14ac:dyDescent="0.2">
      <c r="A1583">
        <v>1581</v>
      </c>
      <c r="B1583">
        <v>102</v>
      </c>
      <c r="C1583">
        <v>17</v>
      </c>
      <c r="D1583">
        <v>154361616.18816692</v>
      </c>
      <c r="E1583" t="s">
        <v>251</v>
      </c>
      <c r="F1583" t="s">
        <v>61</v>
      </c>
      <c r="G1583" t="s">
        <v>861</v>
      </c>
      <c r="H1583">
        <v>7.8806902551305263E-2</v>
      </c>
      <c r="I1583">
        <v>4.2859396350075965E-4</v>
      </c>
      <c r="J1583">
        <v>7.18</v>
      </c>
      <c r="L1583" s="1">
        <v>49135</v>
      </c>
      <c r="M1583" s="1">
        <v>43024</v>
      </c>
      <c r="R1583">
        <v>3.9048669067180401E-2</v>
      </c>
      <c r="T1583" t="s">
        <v>32</v>
      </c>
      <c r="V1583">
        <v>916463895.61119998</v>
      </c>
      <c r="W1583" t="s">
        <v>251</v>
      </c>
      <c r="X1583" t="s">
        <v>862</v>
      </c>
      <c r="Y1583">
        <v>154361616.18816692</v>
      </c>
      <c r="Z1583" t="s">
        <v>31</v>
      </c>
      <c r="AA1583">
        <v>1.9621811754414617E-2</v>
      </c>
      <c r="AB1583">
        <v>108.37</v>
      </c>
      <c r="AC1583" t="s">
        <v>34</v>
      </c>
      <c r="AE1583" t="s">
        <v>41</v>
      </c>
      <c r="AF1583">
        <v>3.1111791297699365E-3</v>
      </c>
      <c r="AH1583" t="s">
        <v>237</v>
      </c>
      <c r="AJ1583">
        <v>1.0975891720237503E-2</v>
      </c>
      <c r="AK1583">
        <v>1.0975891720237503E-2</v>
      </c>
      <c r="AL1583">
        <v>0</v>
      </c>
      <c r="AN1583" t="s">
        <v>54</v>
      </c>
      <c r="AQ1583">
        <v>3.4147965250617564E-5</v>
      </c>
    </row>
    <row r="1584" spans="1:43" x14ac:dyDescent="0.2">
      <c r="A1584">
        <v>1582</v>
      </c>
      <c r="B1584">
        <v>102</v>
      </c>
      <c r="C1584">
        <v>17</v>
      </c>
      <c r="D1584">
        <v>238180556.4241873</v>
      </c>
      <c r="E1584" t="s">
        <v>251</v>
      </c>
      <c r="F1584" t="s">
        <v>61</v>
      </c>
      <c r="G1584" t="s">
        <v>863</v>
      </c>
      <c r="H1584">
        <v>7.0076613607028201E-2</v>
      </c>
      <c r="I1584">
        <v>3.1489050564896607E-4</v>
      </c>
      <c r="J1584">
        <v>8.69</v>
      </c>
      <c r="L1584" s="1">
        <v>50895</v>
      </c>
      <c r="M1584" s="1">
        <v>43024</v>
      </c>
      <c r="R1584">
        <v>3.9048669067180401E-2</v>
      </c>
      <c r="T1584" t="s">
        <v>32</v>
      </c>
      <c r="V1584">
        <v>673331414.05180001</v>
      </c>
      <c r="W1584" t="s">
        <v>251</v>
      </c>
      <c r="X1584" t="s">
        <v>862</v>
      </c>
      <c r="Y1584">
        <v>238180556.4241873</v>
      </c>
      <c r="Z1584" t="s">
        <v>31</v>
      </c>
      <c r="AA1584">
        <v>1.4416260496598183E-2</v>
      </c>
      <c r="AB1584">
        <v>108.83</v>
      </c>
      <c r="AC1584" t="s">
        <v>34</v>
      </c>
      <c r="AE1584" t="s">
        <v>41</v>
      </c>
      <c r="AF1584">
        <v>4.1111791297699339E-3</v>
      </c>
      <c r="AH1584" t="s">
        <v>237</v>
      </c>
      <c r="AJ1584">
        <v>8.0640521987374227E-3</v>
      </c>
      <c r="AK1584">
        <v>8.0640521987374227E-3</v>
      </c>
      <c r="AL1584">
        <v>0</v>
      </c>
      <c r="AN1584" t="s">
        <v>54</v>
      </c>
      <c r="AQ1584">
        <v>3.315276310082464E-5</v>
      </c>
    </row>
    <row r="1585" spans="1:43" x14ac:dyDescent="0.2">
      <c r="A1585">
        <v>1583</v>
      </c>
      <c r="B1585">
        <v>102</v>
      </c>
      <c r="C1585">
        <v>17</v>
      </c>
      <c r="D1585">
        <v>23015670.606913514</v>
      </c>
      <c r="E1585" t="s">
        <v>251</v>
      </c>
      <c r="F1585" t="s">
        <v>61</v>
      </c>
      <c r="G1585" t="s">
        <v>1094</v>
      </c>
      <c r="H1585">
        <v>4.7376582025825294E-2</v>
      </c>
      <c r="I1585">
        <v>1.5664627206270779E-4</v>
      </c>
      <c r="J1585">
        <v>11.81</v>
      </c>
      <c r="L1585" s="1">
        <v>51196</v>
      </c>
      <c r="M1585" s="1">
        <v>43024</v>
      </c>
      <c r="R1585">
        <v>3.9048669067180401E-2</v>
      </c>
      <c r="T1585" t="s">
        <v>32</v>
      </c>
      <c r="V1585">
        <v>334957243.80940002</v>
      </c>
      <c r="W1585" t="s">
        <v>251</v>
      </c>
      <c r="X1585" t="s">
        <v>862</v>
      </c>
      <c r="Y1585">
        <v>23015670.606913514</v>
      </c>
      <c r="Z1585" t="s">
        <v>31</v>
      </c>
      <c r="AA1585">
        <v>7.1715514547600993E-3</v>
      </c>
      <c r="AB1585">
        <v>105.46</v>
      </c>
      <c r="AC1585" t="s">
        <v>34</v>
      </c>
      <c r="AE1585" t="s">
        <v>41</v>
      </c>
      <c r="AF1585">
        <v>6.7111791297699355E-3</v>
      </c>
      <c r="AH1585" t="s">
        <v>237</v>
      </c>
      <c r="AJ1585">
        <v>4.0115649471486273E-3</v>
      </c>
      <c r="AK1585">
        <v>4.0115649471486273E-3</v>
      </c>
      <c r="AL1585">
        <v>0</v>
      </c>
      <c r="AN1585" t="s">
        <v>54</v>
      </c>
      <c r="AQ1585">
        <v>2.6922330951020502E-5</v>
      </c>
    </row>
    <row r="1586" spans="1:43" x14ac:dyDescent="0.2">
      <c r="A1586">
        <v>1584</v>
      </c>
      <c r="B1586">
        <v>102</v>
      </c>
      <c r="C1586">
        <v>17</v>
      </c>
      <c r="D1586">
        <v>70396470.657117546</v>
      </c>
      <c r="E1586" t="s">
        <v>335</v>
      </c>
      <c r="F1586" t="s">
        <v>61</v>
      </c>
      <c r="G1586" t="s">
        <v>871</v>
      </c>
      <c r="H1586">
        <v>1.9965796781752424E-2</v>
      </c>
      <c r="I1586">
        <v>1.2125004528666033E-4</v>
      </c>
      <c r="J1586">
        <v>6.43</v>
      </c>
      <c r="L1586" s="1">
        <v>45580</v>
      </c>
      <c r="M1586" s="1">
        <v>43024</v>
      </c>
      <c r="R1586">
        <v>3.9048669067180401E-2</v>
      </c>
      <c r="T1586" t="s">
        <v>32</v>
      </c>
      <c r="V1586">
        <v>259269374.53529999</v>
      </c>
      <c r="W1586" t="s">
        <v>336</v>
      </c>
      <c r="X1586" t="s">
        <v>872</v>
      </c>
      <c r="Y1586">
        <v>70396470.657117546</v>
      </c>
      <c r="Z1586" t="s">
        <v>31</v>
      </c>
      <c r="AA1586">
        <v>5.5510477665065838E-3</v>
      </c>
      <c r="AB1586">
        <v>100.87</v>
      </c>
      <c r="AC1586" t="s">
        <v>34</v>
      </c>
      <c r="AE1586" t="s">
        <v>177</v>
      </c>
      <c r="AF1586">
        <v>2.0111791297699362E-3</v>
      </c>
      <c r="AH1586" t="s">
        <v>237</v>
      </c>
      <c r="AJ1586">
        <v>3.1051005881419015E-3</v>
      </c>
      <c r="AK1586">
        <v>3.1051005881419015E-3</v>
      </c>
      <c r="AL1586">
        <v>0</v>
      </c>
      <c r="AN1586" t="s">
        <v>54</v>
      </c>
      <c r="AQ1586">
        <v>6.2449134987073468E-6</v>
      </c>
    </row>
    <row r="1587" spans="1:43" x14ac:dyDescent="0.2">
      <c r="A1587">
        <v>1585</v>
      </c>
      <c r="B1587">
        <v>102</v>
      </c>
      <c r="C1587">
        <v>17</v>
      </c>
      <c r="D1587">
        <v>74088012.04525353</v>
      </c>
      <c r="E1587" t="s">
        <v>907</v>
      </c>
      <c r="F1587" t="s">
        <v>61</v>
      </c>
      <c r="G1587" t="s">
        <v>908</v>
      </c>
      <c r="H1587">
        <v>6.1386168094159296E-3</v>
      </c>
      <c r="I1587">
        <v>4.0835573478894965E-5</v>
      </c>
      <c r="J1587">
        <v>5.87</v>
      </c>
      <c r="L1587" s="1">
        <v>47299</v>
      </c>
      <c r="M1587" s="1">
        <v>43024</v>
      </c>
      <c r="R1587">
        <v>3.9048669067180401E-2</v>
      </c>
      <c r="T1587" t="s">
        <v>32</v>
      </c>
      <c r="V1587">
        <v>87318842.394099995</v>
      </c>
      <c r="W1587" t="s">
        <v>909</v>
      </c>
      <c r="X1587" t="s">
        <v>910</v>
      </c>
      <c r="Y1587">
        <v>74088012.04525353</v>
      </c>
      <c r="Z1587" t="s">
        <v>31</v>
      </c>
      <c r="AA1587">
        <v>1.8695268807373737E-3</v>
      </c>
      <c r="AB1587">
        <v>116.17</v>
      </c>
      <c r="AC1587" t="s">
        <v>34</v>
      </c>
      <c r="AE1587" t="s">
        <v>175</v>
      </c>
      <c r="AF1587">
        <v>-6.888208702300648E-4</v>
      </c>
      <c r="AH1587" t="s">
        <v>237</v>
      </c>
      <c r="AJ1587">
        <v>1.0457609556074837E-3</v>
      </c>
      <c r="AK1587">
        <v>1.0457609556074837E-3</v>
      </c>
      <c r="AL1587">
        <v>0</v>
      </c>
      <c r="AN1587" t="s">
        <v>54</v>
      </c>
      <c r="AQ1587">
        <v>-7.203419714941711E-7</v>
      </c>
    </row>
    <row r="1588" spans="1:43" x14ac:dyDescent="0.2">
      <c r="A1588">
        <v>1586</v>
      </c>
      <c r="B1588">
        <v>102</v>
      </c>
      <c r="C1588">
        <v>17</v>
      </c>
      <c r="D1588">
        <v>29192431.894452371</v>
      </c>
      <c r="E1588" t="s">
        <v>837</v>
      </c>
      <c r="F1588" t="s">
        <v>61</v>
      </c>
      <c r="G1588" t="s">
        <v>838</v>
      </c>
      <c r="H1588">
        <v>3.0915269760726513E-3</v>
      </c>
      <c r="I1588">
        <v>1.5905140158224231E-5</v>
      </c>
      <c r="J1588">
        <v>7.59</v>
      </c>
      <c r="L1588" s="1">
        <v>47341</v>
      </c>
      <c r="M1588" s="1">
        <v>43024</v>
      </c>
      <c r="R1588">
        <v>3.9048669067180401E-2</v>
      </c>
      <c r="T1588" t="s">
        <v>32</v>
      </c>
      <c r="V1588">
        <v>34010014.024899997</v>
      </c>
      <c r="W1588" t="s">
        <v>839</v>
      </c>
      <c r="X1588" t="s">
        <v>840</v>
      </c>
      <c r="Y1588">
        <v>29192431.894452371</v>
      </c>
      <c r="Z1588" t="s">
        <v>31</v>
      </c>
      <c r="AA1588">
        <v>7.2816626618611485E-4</v>
      </c>
      <c r="AB1588">
        <v>115.55</v>
      </c>
      <c r="AC1588" t="s">
        <v>34</v>
      </c>
      <c r="AE1588" t="s">
        <v>178</v>
      </c>
      <c r="AF1588">
        <v>2.9111791297699342E-3</v>
      </c>
      <c r="AH1588" t="s">
        <v>237</v>
      </c>
      <c r="AJ1588">
        <v>4.0731580712419647E-4</v>
      </c>
      <c r="AK1588">
        <v>4.0731580712419647E-4</v>
      </c>
      <c r="AL1588">
        <v>0</v>
      </c>
      <c r="AN1588" t="s">
        <v>54</v>
      </c>
      <c r="AQ1588">
        <v>1.1857692769253567E-6</v>
      </c>
    </row>
    <row r="1589" spans="1:43" x14ac:dyDescent="0.2">
      <c r="A1589">
        <v>1587</v>
      </c>
      <c r="B1589">
        <v>102</v>
      </c>
      <c r="C1589">
        <v>17</v>
      </c>
      <c r="D1589">
        <v>266102823.27079237</v>
      </c>
      <c r="E1589" t="s">
        <v>879</v>
      </c>
      <c r="F1589" t="s">
        <v>61</v>
      </c>
      <c r="G1589" t="s">
        <v>880</v>
      </c>
      <c r="H1589">
        <v>7.5090967221576849E-2</v>
      </c>
      <c r="I1589">
        <v>4.1298624351687968E-4</v>
      </c>
      <c r="J1589">
        <v>7.1</v>
      </c>
      <c r="L1589" s="1">
        <v>45901</v>
      </c>
      <c r="M1589" s="1">
        <v>43024</v>
      </c>
      <c r="R1589">
        <v>3.9048669067180401E-2</v>
      </c>
      <c r="T1589" t="s">
        <v>32</v>
      </c>
      <c r="V1589">
        <v>883089856.1329</v>
      </c>
      <c r="W1589" t="s">
        <v>879</v>
      </c>
      <c r="X1589" t="s">
        <v>881</v>
      </c>
      <c r="Y1589">
        <v>266102823.27079237</v>
      </c>
      <c r="Z1589" t="s">
        <v>31</v>
      </c>
      <c r="AA1589">
        <v>1.8907261925159347E-2</v>
      </c>
      <c r="AB1589">
        <v>103.21</v>
      </c>
      <c r="AC1589" t="s">
        <v>34</v>
      </c>
      <c r="AE1589" t="s">
        <v>175</v>
      </c>
      <c r="AF1589">
        <v>8.1117912976993653E-4</v>
      </c>
      <c r="AH1589" t="s">
        <v>237</v>
      </c>
      <c r="AJ1589">
        <v>1.0576192566419276E-2</v>
      </c>
      <c r="AK1589">
        <v>1.0576192566419276E-2</v>
      </c>
      <c r="AL1589">
        <v>0</v>
      </c>
      <c r="AN1589" t="s">
        <v>54</v>
      </c>
      <c r="AQ1589">
        <v>8.5791866823072592E-6</v>
      </c>
    </row>
    <row r="1590" spans="1:43" x14ac:dyDescent="0.2">
      <c r="A1590">
        <v>1588</v>
      </c>
      <c r="B1590">
        <v>102</v>
      </c>
      <c r="C1590">
        <v>17</v>
      </c>
      <c r="D1590">
        <v>133372260.91434276</v>
      </c>
      <c r="E1590" t="s">
        <v>883</v>
      </c>
      <c r="F1590" t="s">
        <v>61</v>
      </c>
      <c r="G1590" t="s">
        <v>884</v>
      </c>
      <c r="H1590">
        <v>1.0906771704419586E-2</v>
      </c>
      <c r="I1590">
        <v>7.157897796254917E-5</v>
      </c>
      <c r="J1590">
        <v>5.95</v>
      </c>
      <c r="L1590" s="1">
        <v>47467</v>
      </c>
      <c r="M1590" s="1">
        <v>43024</v>
      </c>
      <c r="R1590">
        <v>3.9048669067180401E-2</v>
      </c>
      <c r="T1590" t="s">
        <v>32</v>
      </c>
      <c r="V1590">
        <v>153057566.3073</v>
      </c>
      <c r="W1590" t="s">
        <v>882</v>
      </c>
      <c r="X1590" t="s">
        <v>885</v>
      </c>
      <c r="Y1590">
        <v>133372260.91434276</v>
      </c>
      <c r="Z1590" t="s">
        <v>31</v>
      </c>
      <c r="AA1590">
        <v>3.2770158956101181E-3</v>
      </c>
      <c r="AB1590">
        <v>112.97</v>
      </c>
      <c r="AC1590" t="s">
        <v>33</v>
      </c>
      <c r="AE1590" t="s">
        <v>175</v>
      </c>
      <c r="AF1590">
        <v>2.211179129769935E-3</v>
      </c>
      <c r="AH1590" t="s">
        <v>237</v>
      </c>
      <c r="AJ1590">
        <v>1.8330708746923674E-3</v>
      </c>
      <c r="AK1590">
        <v>1.8330708746923674E-3</v>
      </c>
      <c r="AL1590">
        <v>0</v>
      </c>
      <c r="AN1590" t="s">
        <v>148</v>
      </c>
      <c r="AQ1590">
        <v>4.0532480615088823E-6</v>
      </c>
    </row>
    <row r="1591" spans="1:43" x14ac:dyDescent="0.2">
      <c r="A1591">
        <v>1589</v>
      </c>
      <c r="B1591">
        <v>102</v>
      </c>
      <c r="C1591">
        <v>17</v>
      </c>
      <c r="D1591">
        <v>40253640.230915368</v>
      </c>
      <c r="E1591" t="s">
        <v>348</v>
      </c>
      <c r="F1591" t="s">
        <v>61</v>
      </c>
      <c r="G1591" t="s">
        <v>1053</v>
      </c>
      <c r="H1591">
        <v>6.9400328167876753E-3</v>
      </c>
      <c r="I1591">
        <v>2.0330010861073803E-5</v>
      </c>
      <c r="J1591">
        <v>13.33</v>
      </c>
      <c r="L1591" s="1">
        <v>49459</v>
      </c>
      <c r="M1591" s="1">
        <v>43024</v>
      </c>
      <c r="R1591">
        <v>3.9048669067180401E-2</v>
      </c>
      <c r="T1591" t="s">
        <v>32</v>
      </c>
      <c r="V1591">
        <v>43471729.744800001</v>
      </c>
      <c r="W1591" t="s">
        <v>348</v>
      </c>
      <c r="X1591" t="s">
        <v>647</v>
      </c>
      <c r="Y1591">
        <v>40253640.230915368</v>
      </c>
      <c r="Z1591" t="s">
        <v>31</v>
      </c>
      <c r="AA1591">
        <v>9.3074490089146511E-4</v>
      </c>
      <c r="AB1591">
        <v>106.59</v>
      </c>
      <c r="AC1591" t="s">
        <v>34</v>
      </c>
      <c r="AE1591" t="s">
        <v>58</v>
      </c>
      <c r="AF1591">
        <v>6.4111791297699339E-3</v>
      </c>
      <c r="AH1591" t="s">
        <v>237</v>
      </c>
      <c r="AJ1591">
        <v>5.2063261941392915E-4</v>
      </c>
      <c r="AK1591">
        <v>5.2063261941392915E-4</v>
      </c>
      <c r="AL1591">
        <v>0</v>
      </c>
      <c r="AN1591" t="s">
        <v>54</v>
      </c>
      <c r="AQ1591">
        <v>3.3378689838640355E-6</v>
      </c>
    </row>
    <row r="1592" spans="1:43" x14ac:dyDescent="0.2">
      <c r="A1592">
        <v>1590</v>
      </c>
      <c r="B1592">
        <v>102</v>
      </c>
      <c r="C1592">
        <v>17</v>
      </c>
      <c r="D1592">
        <v>7000</v>
      </c>
      <c r="E1592" t="s">
        <v>894</v>
      </c>
      <c r="F1592" t="s">
        <v>61</v>
      </c>
      <c r="G1592" t="s">
        <v>898</v>
      </c>
      <c r="H1592">
        <v>1.5582571790878245E-2</v>
      </c>
      <c r="I1592">
        <v>1.0057498993017938E-4</v>
      </c>
      <c r="J1592">
        <v>6.05</v>
      </c>
      <c r="L1592" s="1">
        <v>47510</v>
      </c>
      <c r="M1592" s="1">
        <v>43024</v>
      </c>
      <c r="R1592">
        <v>3.9048669067180401E-2</v>
      </c>
      <c r="T1592" t="s">
        <v>32</v>
      </c>
      <c r="V1592">
        <v>215059835</v>
      </c>
      <c r="W1592" t="s">
        <v>894</v>
      </c>
      <c r="X1592" t="s">
        <v>896</v>
      </c>
      <c r="Y1592">
        <v>7000</v>
      </c>
      <c r="Z1592" t="s">
        <v>31</v>
      </c>
      <c r="AA1592">
        <v>4.6045061005826034E-3</v>
      </c>
      <c r="AB1592">
        <v>114.02</v>
      </c>
      <c r="AC1592" t="s">
        <v>33</v>
      </c>
      <c r="AE1592" t="s">
        <v>178</v>
      </c>
      <c r="AF1592">
        <v>2.4111791297699338E-3</v>
      </c>
      <c r="AH1592" t="s">
        <v>237</v>
      </c>
      <c r="AJ1592">
        <v>2.5756317009716107E-3</v>
      </c>
      <c r="AK1592">
        <v>2.5756317009716107E-3</v>
      </c>
      <c r="AL1592">
        <v>0</v>
      </c>
      <c r="AN1592" t="s">
        <v>148</v>
      </c>
      <c r="AQ1592">
        <v>6.2103094033565831E-6</v>
      </c>
    </row>
    <row r="1593" spans="1:43" x14ac:dyDescent="0.2">
      <c r="A1593">
        <v>1591</v>
      </c>
      <c r="B1593">
        <v>102</v>
      </c>
      <c r="C1593">
        <v>17</v>
      </c>
      <c r="D1593">
        <v>20000</v>
      </c>
      <c r="E1593" t="s">
        <v>894</v>
      </c>
      <c r="F1593" t="s">
        <v>61</v>
      </c>
      <c r="G1593" t="s">
        <v>1168</v>
      </c>
      <c r="H1593">
        <v>8.7360090717155156E-2</v>
      </c>
      <c r="I1593">
        <v>2.751044574268589E-4</v>
      </c>
      <c r="J1593">
        <v>12.4</v>
      </c>
      <c r="L1593" s="1">
        <v>48959</v>
      </c>
      <c r="M1593" s="1">
        <v>43024</v>
      </c>
      <c r="R1593">
        <v>3.9048669067180401E-2</v>
      </c>
      <c r="T1593" t="s">
        <v>32</v>
      </c>
      <c r="V1593">
        <v>588256775</v>
      </c>
      <c r="W1593" t="s">
        <v>894</v>
      </c>
      <c r="X1593" t="s">
        <v>896</v>
      </c>
      <c r="Y1593">
        <v>20000</v>
      </c>
      <c r="Z1593" t="s">
        <v>31</v>
      </c>
      <c r="AA1593">
        <v>1.2594782792410065E-2</v>
      </c>
      <c r="AB1593">
        <v>109.28</v>
      </c>
      <c r="AC1593" t="s">
        <v>33</v>
      </c>
      <c r="AE1593" t="s">
        <v>178</v>
      </c>
      <c r="AF1593">
        <v>6.9111791297699343E-3</v>
      </c>
      <c r="AH1593" t="s">
        <v>237</v>
      </c>
      <c r="AJ1593">
        <v>7.0451686062221897E-3</v>
      </c>
      <c r="AK1593">
        <v>7.0451686062221897E-3</v>
      </c>
      <c r="AL1593">
        <v>0</v>
      </c>
      <c r="AN1593" t="s">
        <v>148</v>
      </c>
      <c r="AQ1593">
        <v>4.8690422237033135E-5</v>
      </c>
    </row>
    <row r="1594" spans="1:43" x14ac:dyDescent="0.2">
      <c r="A1594">
        <v>1592</v>
      </c>
      <c r="B1594">
        <v>102</v>
      </c>
      <c r="C1594">
        <v>17</v>
      </c>
      <c r="D1594">
        <v>7000</v>
      </c>
      <c r="E1594" t="s">
        <v>1169</v>
      </c>
      <c r="F1594" t="s">
        <v>61</v>
      </c>
      <c r="G1594" t="s">
        <v>1091</v>
      </c>
      <c r="H1594">
        <v>2.5748519429541018E-2</v>
      </c>
      <c r="I1594">
        <v>1.0074603348436993E-4</v>
      </c>
      <c r="J1594">
        <v>9.98</v>
      </c>
      <c r="L1594" s="1">
        <v>47566</v>
      </c>
      <c r="M1594" s="1">
        <v>43024</v>
      </c>
      <c r="R1594">
        <v>3.9048669067180401E-2</v>
      </c>
      <c r="T1594" t="s">
        <v>32</v>
      </c>
      <c r="V1594">
        <v>215425578</v>
      </c>
      <c r="W1594" t="s">
        <v>243</v>
      </c>
      <c r="X1594" t="s">
        <v>1092</v>
      </c>
      <c r="Y1594">
        <v>7000</v>
      </c>
      <c r="Z1594" t="s">
        <v>31</v>
      </c>
      <c r="AA1594">
        <v>4.6123367858183903E-3</v>
      </c>
      <c r="AB1594">
        <v>115.14</v>
      </c>
      <c r="AC1594" t="s">
        <v>33</v>
      </c>
      <c r="AE1594" t="s">
        <v>177</v>
      </c>
      <c r="AF1594">
        <v>4.6111791297699344E-3</v>
      </c>
      <c r="AH1594" t="s">
        <v>237</v>
      </c>
      <c r="AJ1594">
        <v>2.5800119668878776E-3</v>
      </c>
      <c r="AK1594">
        <v>2.5800119668878776E-3</v>
      </c>
      <c r="AL1594">
        <v>0</v>
      </c>
      <c r="AN1594" t="s">
        <v>148</v>
      </c>
      <c r="AQ1594">
        <v>1.189689733627006E-5</v>
      </c>
    </row>
    <row r="1595" spans="1:43" x14ac:dyDescent="0.2">
      <c r="A1595">
        <v>1593</v>
      </c>
      <c r="B1595">
        <v>102</v>
      </c>
      <c r="C1595">
        <v>17</v>
      </c>
      <c r="D1595">
        <v>22220501.299574591</v>
      </c>
      <c r="E1595" t="s">
        <v>875</v>
      </c>
      <c r="F1595" t="s">
        <v>61</v>
      </c>
      <c r="G1595" t="s">
        <v>876</v>
      </c>
      <c r="H1595">
        <v>2.1767831606274149E-3</v>
      </c>
      <c r="I1595">
        <v>1.1564691873517133E-5</v>
      </c>
      <c r="J1595">
        <v>7.35</v>
      </c>
      <c r="L1595" s="1">
        <v>48075</v>
      </c>
      <c r="M1595" s="1">
        <v>43024</v>
      </c>
      <c r="R1595">
        <v>3.9048669067180401E-2</v>
      </c>
      <c r="T1595" t="s">
        <v>32</v>
      </c>
      <c r="V1595">
        <v>24728819.042100001</v>
      </c>
      <c r="W1595" t="s">
        <v>877</v>
      </c>
      <c r="X1595" t="s">
        <v>878</v>
      </c>
      <c r="Y1595">
        <v>22220501.299574591</v>
      </c>
      <c r="Z1595" t="s">
        <v>31</v>
      </c>
      <c r="AA1595">
        <v>5.2945264344480083E-4</v>
      </c>
      <c r="AB1595">
        <v>110.55</v>
      </c>
      <c r="AC1595" t="s">
        <v>33</v>
      </c>
      <c r="AE1595" t="s">
        <v>44</v>
      </c>
      <c r="AF1595">
        <v>2.1111791297699356E-3</v>
      </c>
      <c r="AH1595" t="s">
        <v>237</v>
      </c>
      <c r="AJ1595">
        <v>2.9616097423502247E-4</v>
      </c>
      <c r="AK1595">
        <v>2.9616097423502247E-4</v>
      </c>
      <c r="AL1595">
        <v>0</v>
      </c>
      <c r="AN1595" t="s">
        <v>148</v>
      </c>
      <c r="AQ1595">
        <v>6.2524886785731104E-7</v>
      </c>
    </row>
    <row r="1596" spans="1:43" x14ac:dyDescent="0.2">
      <c r="A1596">
        <v>1594</v>
      </c>
      <c r="B1596">
        <v>102</v>
      </c>
      <c r="C1596">
        <v>17</v>
      </c>
      <c r="D1596">
        <v>111142124.23216261</v>
      </c>
      <c r="E1596" t="s">
        <v>924</v>
      </c>
      <c r="F1596" t="s">
        <v>61</v>
      </c>
      <c r="G1596" t="s">
        <v>925</v>
      </c>
      <c r="H1596">
        <v>1.2254420026267898E-2</v>
      </c>
      <c r="I1596">
        <v>5.616417749013654E-5</v>
      </c>
      <c r="J1596">
        <v>8.52</v>
      </c>
      <c r="L1596" s="1">
        <v>48837</v>
      </c>
      <c r="M1596" s="1">
        <v>43024</v>
      </c>
      <c r="R1596">
        <v>3.9048669067180401E-2</v>
      </c>
      <c r="T1596" t="s">
        <v>32</v>
      </c>
      <c r="V1596">
        <v>120096047.26109999</v>
      </c>
      <c r="W1596" t="s">
        <v>926</v>
      </c>
      <c r="X1596" t="s">
        <v>927</v>
      </c>
      <c r="Y1596">
        <v>111142124.23216261</v>
      </c>
      <c r="Z1596" t="s">
        <v>31</v>
      </c>
      <c r="AA1596">
        <v>2.5712982727322913E-3</v>
      </c>
      <c r="AB1596">
        <v>106.5</v>
      </c>
      <c r="AC1596" t="s">
        <v>36</v>
      </c>
      <c r="AE1596" t="s">
        <v>41</v>
      </c>
      <c r="AF1596">
        <v>3.7111791297699363E-3</v>
      </c>
      <c r="AH1596" t="s">
        <v>237</v>
      </c>
      <c r="AJ1596">
        <v>1.4383122096558567E-3</v>
      </c>
      <c r="AK1596">
        <v>1.4383122096558567E-3</v>
      </c>
      <c r="AL1596">
        <v>0</v>
      </c>
      <c r="AN1596" t="s">
        <v>150</v>
      </c>
      <c r="AQ1596">
        <v>5.3378342545680964E-6</v>
      </c>
    </row>
    <row r="1597" spans="1:43" x14ac:dyDescent="0.2">
      <c r="A1597">
        <v>1595</v>
      </c>
      <c r="B1597">
        <v>102</v>
      </c>
      <c r="C1597">
        <v>17</v>
      </c>
      <c r="D1597">
        <v>500</v>
      </c>
      <c r="E1597" t="s">
        <v>492</v>
      </c>
      <c r="F1597" t="s">
        <v>61</v>
      </c>
      <c r="G1597" t="s">
        <v>1170</v>
      </c>
      <c r="H1597">
        <v>1.8302373731213649E-3</v>
      </c>
      <c r="I1597">
        <v>6.9252261140893169E-6</v>
      </c>
      <c r="J1597">
        <v>10.32</v>
      </c>
      <c r="L1597" s="1">
        <v>48472</v>
      </c>
      <c r="M1597" s="1">
        <v>43024</v>
      </c>
      <c r="R1597">
        <v>3.9048669067180401E-2</v>
      </c>
      <c r="T1597" t="s">
        <v>32</v>
      </c>
      <c r="V1597">
        <v>14808234</v>
      </c>
      <c r="W1597" t="s">
        <v>494</v>
      </c>
      <c r="X1597" t="s">
        <v>495</v>
      </c>
      <c r="Y1597">
        <v>500</v>
      </c>
      <c r="Z1597" t="s">
        <v>31</v>
      </c>
      <c r="AA1597">
        <v>3.1704945645408272E-4</v>
      </c>
      <c r="AB1597">
        <v>110.74</v>
      </c>
      <c r="AC1597" t="s">
        <v>36</v>
      </c>
      <c r="AE1597" t="s">
        <v>57</v>
      </c>
      <c r="AF1597">
        <v>3.6111791297699335E-3</v>
      </c>
      <c r="AH1597" t="s">
        <v>237</v>
      </c>
      <c r="AJ1597">
        <v>1.7734858266679892E-4</v>
      </c>
      <c r="AK1597">
        <v>1.7734858266679892E-4</v>
      </c>
      <c r="AL1597">
        <v>0</v>
      </c>
      <c r="AN1597" t="s">
        <v>150</v>
      </c>
      <c r="AQ1597">
        <v>6.4043750042062208E-7</v>
      </c>
    </row>
    <row r="1598" spans="1:43" x14ac:dyDescent="0.2">
      <c r="A1598">
        <v>1596</v>
      </c>
      <c r="B1598">
        <v>102</v>
      </c>
      <c r="C1598">
        <v>17</v>
      </c>
      <c r="D1598">
        <v>23004156.312190928</v>
      </c>
      <c r="E1598" t="s">
        <v>513</v>
      </c>
      <c r="F1598" t="s">
        <v>61</v>
      </c>
      <c r="G1598" t="s">
        <v>928</v>
      </c>
      <c r="H1598">
        <v>2.5120596236966695E-3</v>
      </c>
      <c r="I1598">
        <v>1.4216316655472027E-5</v>
      </c>
      <c r="J1598">
        <v>6.9</v>
      </c>
      <c r="L1598" s="1">
        <v>46174</v>
      </c>
      <c r="M1598" s="1">
        <v>43024</v>
      </c>
      <c r="R1598">
        <v>3.9048669067180401E-2</v>
      </c>
      <c r="T1598" t="s">
        <v>32</v>
      </c>
      <c r="V1598">
        <v>30398797.120000001</v>
      </c>
      <c r="W1598" t="s">
        <v>515</v>
      </c>
      <c r="X1598" t="s">
        <v>516</v>
      </c>
      <c r="Y1598">
        <v>23004156.312190928</v>
      </c>
      <c r="Z1598" t="s">
        <v>31</v>
      </c>
      <c r="AA1598">
        <v>6.5084885231783457E-4</v>
      </c>
      <c r="AB1598">
        <v>129.05000000000001</v>
      </c>
      <c r="AC1598" t="s">
        <v>34</v>
      </c>
      <c r="AE1598" t="s">
        <v>175</v>
      </c>
      <c r="AF1598">
        <v>1.9111791297699333E-3</v>
      </c>
      <c r="AH1598" t="s">
        <v>237</v>
      </c>
      <c r="AJ1598">
        <v>3.6406661212995211E-4</v>
      </c>
      <c r="AK1598">
        <v>3.6406661212995211E-4</v>
      </c>
      <c r="AL1598">
        <v>0</v>
      </c>
      <c r="AN1598" t="s">
        <v>54</v>
      </c>
      <c r="AQ1598">
        <v>6.9579651094880969E-7</v>
      </c>
    </row>
    <row r="1599" spans="1:43" x14ac:dyDescent="0.2">
      <c r="A1599">
        <v>1597</v>
      </c>
      <c r="B1599">
        <v>102</v>
      </c>
      <c r="C1599">
        <v>17</v>
      </c>
      <c r="D1599">
        <v>151915380.99096537</v>
      </c>
      <c r="E1599" t="s">
        <v>496</v>
      </c>
      <c r="F1599" t="s">
        <v>61</v>
      </c>
      <c r="G1599" t="s">
        <v>969</v>
      </c>
      <c r="H1599">
        <v>4.8306676369243899E-2</v>
      </c>
      <c r="I1599">
        <v>3.4611218702348419E-4</v>
      </c>
      <c r="J1599">
        <v>5.45</v>
      </c>
      <c r="L1599" s="1">
        <v>45203</v>
      </c>
      <c r="M1599" s="1">
        <v>43024</v>
      </c>
      <c r="R1599">
        <v>3.9048669067180401E-2</v>
      </c>
      <c r="T1599" t="s">
        <v>32</v>
      </c>
      <c r="V1599">
        <v>740092839.02919996</v>
      </c>
      <c r="W1599" t="s">
        <v>498</v>
      </c>
      <c r="X1599" t="s">
        <v>499</v>
      </c>
      <c r="Y1599">
        <v>151915380.99096537</v>
      </c>
      <c r="Z1599" t="s">
        <v>31</v>
      </c>
      <c r="AA1599">
        <v>1.5845645898070412E-2</v>
      </c>
      <c r="AB1599">
        <v>107.89</v>
      </c>
      <c r="AC1599" t="s">
        <v>33</v>
      </c>
      <c r="AE1599" t="s">
        <v>43</v>
      </c>
      <c r="AF1599">
        <v>-1.9888208702300639E-3</v>
      </c>
      <c r="AH1599" t="s">
        <v>237</v>
      </c>
      <c r="AJ1599">
        <v>8.8636103429805321E-3</v>
      </c>
      <c r="AK1599">
        <v>8.8636103429805321E-3</v>
      </c>
      <c r="AL1599">
        <v>0</v>
      </c>
      <c r="AN1599" t="s">
        <v>148</v>
      </c>
      <c r="AQ1599">
        <v>-1.7628133235706737E-5</v>
      </c>
    </row>
    <row r="1600" spans="1:43" x14ac:dyDescent="0.2">
      <c r="A1600">
        <v>1598</v>
      </c>
      <c r="B1600">
        <v>102</v>
      </c>
      <c r="C1600">
        <v>17</v>
      </c>
      <c r="D1600">
        <v>308561481.48742515</v>
      </c>
      <c r="E1600" t="s">
        <v>929</v>
      </c>
      <c r="F1600" t="s">
        <v>61</v>
      </c>
      <c r="G1600" t="s">
        <v>930</v>
      </c>
      <c r="H1600">
        <v>3.5455775578314148E-2</v>
      </c>
      <c r="I1600">
        <v>1.648215294140245E-4</v>
      </c>
      <c r="J1600">
        <v>8.4</v>
      </c>
      <c r="L1600" s="1">
        <v>46736</v>
      </c>
      <c r="M1600" s="1">
        <v>43024</v>
      </c>
      <c r="R1600">
        <v>3.9048669067180401E-2</v>
      </c>
      <c r="T1600" t="s">
        <v>32</v>
      </c>
      <c r="V1600">
        <v>352438423.75559998</v>
      </c>
      <c r="W1600" t="s">
        <v>931</v>
      </c>
      <c r="X1600" t="s">
        <v>932</v>
      </c>
      <c r="Y1600">
        <v>308561481.48742515</v>
      </c>
      <c r="Z1600" t="s">
        <v>31</v>
      </c>
      <c r="AA1600">
        <v>7.5458296164989461E-3</v>
      </c>
      <c r="AB1600">
        <v>112.62</v>
      </c>
      <c r="AC1600" t="s">
        <v>34</v>
      </c>
      <c r="AE1600" t="s">
        <v>178</v>
      </c>
      <c r="AF1600">
        <v>4.1111791297699339E-3</v>
      </c>
      <c r="AH1600" t="s">
        <v>237</v>
      </c>
      <c r="AJ1600">
        <v>4.2209256640850174E-3</v>
      </c>
      <c r="AK1600">
        <v>4.2209256640850174E-3</v>
      </c>
      <c r="AL1600">
        <v>0</v>
      </c>
      <c r="AN1600" t="s">
        <v>54</v>
      </c>
      <c r="AQ1600">
        <v>1.7352981498496622E-5</v>
      </c>
    </row>
    <row r="1601" spans="1:43" x14ac:dyDescent="0.2">
      <c r="A1601">
        <v>1599</v>
      </c>
      <c r="B1601">
        <v>102</v>
      </c>
      <c r="C1601">
        <v>17</v>
      </c>
      <c r="D1601">
        <v>40257793.336498387</v>
      </c>
      <c r="E1601" t="s">
        <v>929</v>
      </c>
      <c r="F1601" t="s">
        <v>61</v>
      </c>
      <c r="G1601" t="s">
        <v>1095</v>
      </c>
      <c r="H1601">
        <v>6.1824414522558433E-3</v>
      </c>
      <c r="I1601">
        <v>2.2861374081094379E-5</v>
      </c>
      <c r="J1601">
        <v>10.56</v>
      </c>
      <c r="L1601" s="1">
        <v>48061</v>
      </c>
      <c r="M1601" s="1">
        <v>43024</v>
      </c>
      <c r="R1601">
        <v>3.9048669067180401E-2</v>
      </c>
      <c r="T1601" t="s">
        <v>32</v>
      </c>
      <c r="V1601">
        <v>48884552.125399999</v>
      </c>
      <c r="W1601" t="s">
        <v>931</v>
      </c>
      <c r="X1601" t="s">
        <v>1096</v>
      </c>
      <c r="Y1601">
        <v>40257793.336498387</v>
      </c>
      <c r="Z1601" t="s">
        <v>31</v>
      </c>
      <c r="AA1601">
        <v>1.0466353165650506E-3</v>
      </c>
      <c r="AB1601">
        <v>120.25</v>
      </c>
      <c r="AC1601" t="s">
        <v>34</v>
      </c>
      <c r="AE1601" t="s">
        <v>178</v>
      </c>
      <c r="AF1601">
        <v>5.9111791297699334E-3</v>
      </c>
      <c r="AH1601" t="s">
        <v>237</v>
      </c>
      <c r="AJ1601">
        <v>5.8545847085756091E-4</v>
      </c>
      <c r="AK1601">
        <v>5.8545847085756091E-4</v>
      </c>
      <c r="AL1601">
        <v>0</v>
      </c>
      <c r="AN1601" t="s">
        <v>54</v>
      </c>
      <c r="AQ1601">
        <v>3.4607498942802329E-6</v>
      </c>
    </row>
    <row r="1602" spans="1:43" x14ac:dyDescent="0.2">
      <c r="A1602">
        <v>1600</v>
      </c>
      <c r="B1602">
        <v>102</v>
      </c>
      <c r="C1602">
        <v>17</v>
      </c>
      <c r="D1602">
        <v>111138021.7074147</v>
      </c>
      <c r="E1602" t="s">
        <v>500</v>
      </c>
      <c r="F1602" t="s">
        <v>61</v>
      </c>
      <c r="G1602" t="s">
        <v>936</v>
      </c>
      <c r="H1602">
        <v>9.4431570463141424E-3</v>
      </c>
      <c r="I1602">
        <v>5.918823666949176E-5</v>
      </c>
      <c r="J1602">
        <v>6.23</v>
      </c>
      <c r="L1602" s="1">
        <v>47605</v>
      </c>
      <c r="M1602" s="1">
        <v>43024</v>
      </c>
      <c r="R1602">
        <v>3.9048669067180401E-2</v>
      </c>
      <c r="T1602" t="s">
        <v>32</v>
      </c>
      <c r="V1602">
        <v>126562403.04790001</v>
      </c>
      <c r="W1602" t="s">
        <v>502</v>
      </c>
      <c r="X1602" t="s">
        <v>503</v>
      </c>
      <c r="Y1602">
        <v>111138021.7074147</v>
      </c>
      <c r="Z1602" t="s">
        <v>31</v>
      </c>
      <c r="AA1602">
        <v>2.7097452062048214E-3</v>
      </c>
      <c r="AB1602">
        <v>111.6</v>
      </c>
      <c r="AC1602" t="s">
        <v>33</v>
      </c>
      <c r="AE1602" t="s">
        <v>35</v>
      </c>
      <c r="AF1602">
        <v>2.8111791297699348E-3</v>
      </c>
      <c r="AH1602" t="s">
        <v>237</v>
      </c>
      <c r="AJ1602">
        <v>1.5157555451547578E-3</v>
      </c>
      <c r="AK1602">
        <v>1.5157555451547578E-3</v>
      </c>
      <c r="AL1602">
        <v>0</v>
      </c>
      <c r="AN1602" t="s">
        <v>148</v>
      </c>
      <c r="AQ1602">
        <v>4.2610603543721055E-6</v>
      </c>
    </row>
    <row r="1603" spans="1:43" x14ac:dyDescent="0.2">
      <c r="A1603">
        <v>1601</v>
      </c>
      <c r="B1603">
        <v>102</v>
      </c>
      <c r="C1603">
        <v>17</v>
      </c>
      <c r="D1603">
        <v>11499399.345202461</v>
      </c>
      <c r="E1603" t="s">
        <v>359</v>
      </c>
      <c r="F1603" t="s">
        <v>61</v>
      </c>
      <c r="G1603" t="s">
        <v>1097</v>
      </c>
      <c r="H1603">
        <v>1.6202628296196147E-3</v>
      </c>
      <c r="I1603">
        <v>6.3142821392883871E-6</v>
      </c>
      <c r="J1603">
        <v>10.02</v>
      </c>
      <c r="L1603" s="1">
        <v>48549</v>
      </c>
      <c r="M1603" s="1">
        <v>43024</v>
      </c>
      <c r="R1603">
        <v>3.9048669067180401E-2</v>
      </c>
      <c r="T1603" t="s">
        <v>32</v>
      </c>
      <c r="V1603">
        <v>13501850.469599999</v>
      </c>
      <c r="W1603" t="s">
        <v>360</v>
      </c>
      <c r="X1603" t="s">
        <v>445</v>
      </c>
      <c r="Y1603">
        <v>11499399.345202461</v>
      </c>
      <c r="Z1603" t="s">
        <v>31</v>
      </c>
      <c r="AA1603">
        <v>2.8907932927795319E-4</v>
      </c>
      <c r="AB1603">
        <v>113.46</v>
      </c>
      <c r="AC1603" t="s">
        <v>33</v>
      </c>
      <c r="AE1603" t="s">
        <v>38</v>
      </c>
      <c r="AF1603">
        <v>3.2111791297699359E-3</v>
      </c>
      <c r="AH1603" t="s">
        <v>237</v>
      </c>
      <c r="AJ1603">
        <v>1.6170287720754638E-4</v>
      </c>
      <c r="AK1603">
        <v>1.6170287720754638E-4</v>
      </c>
      <c r="AL1603">
        <v>0</v>
      </c>
      <c r="AN1603" t="s">
        <v>148</v>
      </c>
      <c r="AQ1603">
        <v>5.192569045126236E-7</v>
      </c>
    </row>
    <row r="1604" spans="1:43" x14ac:dyDescent="0.2">
      <c r="A1604">
        <v>1602</v>
      </c>
      <c r="B1604">
        <v>102</v>
      </c>
      <c r="C1604">
        <v>17</v>
      </c>
      <c r="D1604">
        <v>74092894.393616885</v>
      </c>
      <c r="E1604" t="s">
        <v>359</v>
      </c>
      <c r="F1604" t="s">
        <v>61</v>
      </c>
      <c r="G1604" t="s">
        <v>937</v>
      </c>
      <c r="H1604">
        <v>8.0258520312313907E-3</v>
      </c>
      <c r="I1604">
        <v>3.8501085988908135E-5</v>
      </c>
      <c r="J1604">
        <v>8.14</v>
      </c>
      <c r="L1604" s="1">
        <v>48366</v>
      </c>
      <c r="M1604" s="1">
        <v>43024</v>
      </c>
      <c r="R1604">
        <v>3.9048669067180401E-2</v>
      </c>
      <c r="T1604" t="s">
        <v>32</v>
      </c>
      <c r="V1604">
        <v>82327000.040900007</v>
      </c>
      <c r="W1604" t="s">
        <v>360</v>
      </c>
      <c r="X1604" t="s">
        <v>445</v>
      </c>
      <c r="Y1604">
        <v>74092894.393616885</v>
      </c>
      <c r="Z1604" t="s">
        <v>31</v>
      </c>
      <c r="AA1604">
        <v>1.7626497943281148E-3</v>
      </c>
      <c r="AB1604">
        <v>109.54</v>
      </c>
      <c r="AC1604" t="s">
        <v>33</v>
      </c>
      <c r="AE1604" t="s">
        <v>38</v>
      </c>
      <c r="AF1604">
        <v>3.2111791297699359E-3</v>
      </c>
      <c r="AH1604" t="s">
        <v>237</v>
      </c>
      <c r="AJ1604">
        <v>9.8597690801368438E-4</v>
      </c>
      <c r="AK1604">
        <v>9.8597690801368438E-4</v>
      </c>
      <c r="AL1604">
        <v>0</v>
      </c>
      <c r="AN1604" t="s">
        <v>148</v>
      </c>
      <c r="AQ1604">
        <v>3.1661484694486353E-6</v>
      </c>
    </row>
    <row r="1605" spans="1:43" x14ac:dyDescent="0.2">
      <c r="A1605">
        <v>1603</v>
      </c>
      <c r="B1605">
        <v>102</v>
      </c>
      <c r="C1605">
        <v>17</v>
      </c>
      <c r="D1605">
        <v>74096504.72519803</v>
      </c>
      <c r="E1605" t="s">
        <v>938</v>
      </c>
      <c r="F1605" t="s">
        <v>61</v>
      </c>
      <c r="G1605" t="s">
        <v>939</v>
      </c>
      <c r="H1605">
        <v>3.3840879921228965E-2</v>
      </c>
      <c r="I1605">
        <v>1.6334256130856118E-4</v>
      </c>
      <c r="J1605">
        <v>8.09</v>
      </c>
      <c r="L1605" s="1">
        <v>46371</v>
      </c>
      <c r="M1605" s="1">
        <v>43024</v>
      </c>
      <c r="R1605">
        <v>3.9048669067180401E-2</v>
      </c>
      <c r="T1605" t="s">
        <v>32</v>
      </c>
      <c r="V1605">
        <v>349275941.34369999</v>
      </c>
      <c r="W1605" t="s">
        <v>366</v>
      </c>
      <c r="X1605" t="s">
        <v>940</v>
      </c>
      <c r="Y1605">
        <v>74096504.72519803</v>
      </c>
      <c r="Z1605" t="s">
        <v>31</v>
      </c>
      <c r="AA1605">
        <v>7.4781197646868747E-3</v>
      </c>
      <c r="AB1605">
        <v>101.57</v>
      </c>
      <c r="AC1605" t="s">
        <v>34</v>
      </c>
      <c r="AE1605" t="s">
        <v>44</v>
      </c>
      <c r="AF1605">
        <v>2.4111791297699338E-3</v>
      </c>
      <c r="AH1605" t="s">
        <v>237</v>
      </c>
      <c r="AJ1605">
        <v>4.1830506701148289E-3</v>
      </c>
      <c r="AK1605">
        <v>4.1830506701148289E-3</v>
      </c>
      <c r="AL1605">
        <v>0</v>
      </c>
      <c r="AN1605" t="s">
        <v>54</v>
      </c>
      <c r="AQ1605">
        <v>1.0086084474551011E-5</v>
      </c>
    </row>
    <row r="1606" spans="1:43" x14ac:dyDescent="0.2">
      <c r="A1606">
        <v>1604</v>
      </c>
      <c r="B1606">
        <v>102</v>
      </c>
      <c r="C1606">
        <v>17</v>
      </c>
      <c r="D1606">
        <v>224791477.14964932</v>
      </c>
      <c r="E1606" t="s">
        <v>367</v>
      </c>
      <c r="F1606" t="s">
        <v>61</v>
      </c>
      <c r="G1606" t="s">
        <v>956</v>
      </c>
      <c r="H1606">
        <v>0.11856253023512837</v>
      </c>
      <c r="I1606">
        <v>6.9203423122856473E-4</v>
      </c>
      <c r="J1606">
        <v>6.69</v>
      </c>
      <c r="L1606" s="1">
        <v>47818</v>
      </c>
      <c r="M1606" s="1">
        <v>43024</v>
      </c>
      <c r="R1606">
        <v>3.9048669067180401E-2</v>
      </c>
      <c r="T1606" t="s">
        <v>32</v>
      </c>
      <c r="V1606">
        <v>1479779095.0383</v>
      </c>
      <c r="W1606" t="s">
        <v>368</v>
      </c>
      <c r="X1606" t="s">
        <v>957</v>
      </c>
      <c r="Y1606">
        <v>224791477.14964932</v>
      </c>
      <c r="Z1606" t="s">
        <v>31</v>
      </c>
      <c r="AA1606">
        <v>3.1682586711825833E-2</v>
      </c>
      <c r="AB1606">
        <v>112.73</v>
      </c>
      <c r="AC1606" t="s">
        <v>34</v>
      </c>
      <c r="AE1606" t="s">
        <v>179</v>
      </c>
      <c r="AF1606">
        <v>2.5111791297699367E-3</v>
      </c>
      <c r="AH1606" t="s">
        <v>237</v>
      </c>
      <c r="AJ1606">
        <v>1.7722351305699307E-2</v>
      </c>
      <c r="AK1606">
        <v>1.7722351305699307E-2</v>
      </c>
      <c r="AL1606">
        <v>0</v>
      </c>
      <c r="AN1606" t="s">
        <v>54</v>
      </c>
      <c r="AQ1606">
        <v>4.4503998729323083E-5</v>
      </c>
    </row>
    <row r="1607" spans="1:43" x14ac:dyDescent="0.2">
      <c r="A1607">
        <v>1605</v>
      </c>
      <c r="B1607">
        <v>104</v>
      </c>
      <c r="C1607">
        <v>17</v>
      </c>
      <c r="D1607">
        <v>506673433.08117515</v>
      </c>
      <c r="E1607" t="s">
        <v>505</v>
      </c>
      <c r="F1607" t="s">
        <v>61</v>
      </c>
      <c r="G1607" t="s">
        <v>517</v>
      </c>
      <c r="H1607">
        <v>3.2292016583651824E-3</v>
      </c>
      <c r="I1607">
        <v>2.3326051072124804E-5</v>
      </c>
      <c r="J1607">
        <v>0.52</v>
      </c>
      <c r="L1607" s="1">
        <v>43221</v>
      </c>
      <c r="M1607" s="1">
        <v>43024</v>
      </c>
      <c r="R1607">
        <v>3.7562059731028417E-3</v>
      </c>
      <c r="T1607" t="s">
        <v>39</v>
      </c>
      <c r="V1607">
        <v>518522217.56209999</v>
      </c>
      <c r="W1607" t="s">
        <v>206</v>
      </c>
      <c r="X1607" t="s">
        <v>507</v>
      </c>
      <c r="Y1607">
        <v>506673433.08117515</v>
      </c>
      <c r="Z1607" t="s">
        <v>31</v>
      </c>
      <c r="AA1607">
        <v>1.0679090749962999E-3</v>
      </c>
      <c r="AB1607">
        <v>100.04</v>
      </c>
      <c r="AC1607" t="s">
        <v>36</v>
      </c>
      <c r="AE1607" t="s">
        <v>41</v>
      </c>
      <c r="AF1607">
        <v>4.99E-2</v>
      </c>
      <c r="AH1607" t="s">
        <v>237</v>
      </c>
      <c r="AJ1607">
        <v>6.2100031891638117E-3</v>
      </c>
      <c r="AK1607">
        <v>6.2100031891638117E-3</v>
      </c>
      <c r="AL1607">
        <v>0</v>
      </c>
      <c r="AN1607" t="s">
        <v>150</v>
      </c>
      <c r="AQ1607">
        <v>3.0987915913927418E-4</v>
      </c>
    </row>
    <row r="1608" spans="1:43" x14ac:dyDescent="0.2">
      <c r="A1608">
        <v>1606</v>
      </c>
      <c r="B1608">
        <v>104</v>
      </c>
      <c r="C1608">
        <v>17</v>
      </c>
      <c r="D1608">
        <v>2028531.7045393328</v>
      </c>
      <c r="E1608" t="s">
        <v>469</v>
      </c>
      <c r="F1608" t="s">
        <v>61</v>
      </c>
      <c r="G1608" t="s">
        <v>518</v>
      </c>
      <c r="H1608">
        <v>1.5495799424028768E-5</v>
      </c>
      <c r="I1608">
        <v>9.5418712056623666E-8</v>
      </c>
      <c r="J1608">
        <v>0.61</v>
      </c>
      <c r="L1608" s="1">
        <v>43252</v>
      </c>
      <c r="M1608" s="1">
        <v>43024</v>
      </c>
      <c r="R1608">
        <v>3.7562059731028417E-3</v>
      </c>
      <c r="T1608" t="s">
        <v>39</v>
      </c>
      <c r="V1608">
        <v>2121092.9367999998</v>
      </c>
      <c r="W1608" t="s">
        <v>220</v>
      </c>
      <c r="X1608" t="s">
        <v>471</v>
      </c>
      <c r="Y1608">
        <v>2028531.7045393328</v>
      </c>
      <c r="Z1608" t="s">
        <v>31</v>
      </c>
      <c r="AA1608">
        <v>4.3684423143314833E-6</v>
      </c>
      <c r="AB1608">
        <v>102.04</v>
      </c>
      <c r="AC1608" t="s">
        <v>33</v>
      </c>
      <c r="AE1608" t="s">
        <v>41</v>
      </c>
      <c r="AF1608">
        <v>3.2099999999999997E-2</v>
      </c>
      <c r="AH1608" t="s">
        <v>237</v>
      </c>
      <c r="AJ1608">
        <v>2.5402949875456999E-5</v>
      </c>
      <c r="AK1608">
        <v>2.5402949875456999E-5</v>
      </c>
      <c r="AL1608">
        <v>0</v>
      </c>
      <c r="AN1608" t="s">
        <v>148</v>
      </c>
      <c r="AQ1608">
        <v>8.1543469100216958E-7</v>
      </c>
    </row>
    <row r="1609" spans="1:43" x14ac:dyDescent="0.2">
      <c r="A1609">
        <v>1607</v>
      </c>
      <c r="B1609">
        <v>104</v>
      </c>
      <c r="C1609">
        <v>17</v>
      </c>
      <c r="D1609">
        <v>15069611.197070353</v>
      </c>
      <c r="E1609" t="s">
        <v>519</v>
      </c>
      <c r="F1609" t="s">
        <v>61</v>
      </c>
      <c r="G1609" t="s">
        <v>520</v>
      </c>
      <c r="H1609">
        <v>2.2519811120097255E-5</v>
      </c>
      <c r="I1609">
        <v>1.7263071233154513E-7</v>
      </c>
      <c r="J1609">
        <v>0.49</v>
      </c>
      <c r="L1609" s="1">
        <v>43296</v>
      </c>
      <c r="M1609" s="1">
        <v>43024</v>
      </c>
      <c r="R1609">
        <v>3.7562059731028417E-3</v>
      </c>
      <c r="T1609" t="s">
        <v>39</v>
      </c>
      <c r="V1609">
        <v>3837463.0794000002</v>
      </c>
      <c r="W1609" t="s">
        <v>519</v>
      </c>
      <c r="X1609" t="s">
        <v>521</v>
      </c>
      <c r="Y1609">
        <v>15069611.197070353</v>
      </c>
      <c r="Z1609" t="s">
        <v>31</v>
      </c>
      <c r="AA1609">
        <v>7.9033482243481863E-6</v>
      </c>
      <c r="AB1609">
        <v>100.63</v>
      </c>
      <c r="AC1609" t="s">
        <v>33</v>
      </c>
      <c r="AE1609" t="s">
        <v>41</v>
      </c>
      <c r="AF1609">
        <v>3.49E-2</v>
      </c>
      <c r="AH1609" t="s">
        <v>237</v>
      </c>
      <c r="AJ1609">
        <v>4.5958798204280114E-5</v>
      </c>
      <c r="AK1609">
        <v>4.5958798204280114E-5</v>
      </c>
      <c r="AL1609">
        <v>0</v>
      </c>
      <c r="AN1609" t="s">
        <v>148</v>
      </c>
      <c r="AQ1609">
        <v>1.6039620573293761E-6</v>
      </c>
    </row>
    <row r="1610" spans="1:43" x14ac:dyDescent="0.2">
      <c r="A1610">
        <v>1608</v>
      </c>
      <c r="B1610">
        <v>104</v>
      </c>
      <c r="C1610">
        <v>17</v>
      </c>
      <c r="D1610">
        <v>52493129.021389812</v>
      </c>
      <c r="E1610" t="s">
        <v>440</v>
      </c>
      <c r="F1610" t="s">
        <v>61</v>
      </c>
      <c r="G1610" t="s">
        <v>522</v>
      </c>
      <c r="H1610">
        <v>1.6530862952348745E-4</v>
      </c>
      <c r="I1610">
        <v>9.5528194095625902E-7</v>
      </c>
      <c r="J1610">
        <v>0.65</v>
      </c>
      <c r="L1610" s="1">
        <v>43358</v>
      </c>
      <c r="M1610" s="1">
        <v>43024</v>
      </c>
      <c r="R1610">
        <v>3.7562059731028417E-3</v>
      </c>
      <c r="T1610" t="s">
        <v>39</v>
      </c>
      <c r="V1610">
        <v>21235266.4791</v>
      </c>
      <c r="W1610" t="s">
        <v>442</v>
      </c>
      <c r="X1610" t="s">
        <v>443</v>
      </c>
      <c r="Y1610">
        <v>52493129.021389812</v>
      </c>
      <c r="Z1610" t="s">
        <v>31</v>
      </c>
      <c r="AA1610">
        <v>4.3734546013507511E-5</v>
      </c>
      <c r="AB1610">
        <v>100.7</v>
      </c>
      <c r="AC1610" t="s">
        <v>34</v>
      </c>
      <c r="AE1610" t="s">
        <v>41</v>
      </c>
      <c r="AF1610">
        <v>4.1000000000000002E-2</v>
      </c>
      <c r="AH1610" t="s">
        <v>237</v>
      </c>
      <c r="AJ1610">
        <v>2.54320968497673E-4</v>
      </c>
      <c r="AK1610">
        <v>2.54320968497673E-4</v>
      </c>
      <c r="AL1610">
        <v>0</v>
      </c>
      <c r="AN1610" t="s">
        <v>54</v>
      </c>
      <c r="AQ1610">
        <v>1.0427159708404593E-5</v>
      </c>
    </row>
    <row r="1611" spans="1:43" x14ac:dyDescent="0.2">
      <c r="A1611">
        <v>1609</v>
      </c>
      <c r="B1611">
        <v>106</v>
      </c>
      <c r="C1611">
        <v>17</v>
      </c>
      <c r="D1611">
        <v>27782862.471866224</v>
      </c>
      <c r="E1611" t="s">
        <v>414</v>
      </c>
      <c r="F1611" t="s">
        <v>61</v>
      </c>
      <c r="G1611" t="s">
        <v>962</v>
      </c>
      <c r="H1611">
        <v>7.6909877843497497E-4</v>
      </c>
      <c r="I1611">
        <v>6.4729413068251058E-7</v>
      </c>
      <c r="J1611">
        <v>2.2599999999999998</v>
      </c>
      <c r="L1611" s="1">
        <v>43891</v>
      </c>
      <c r="M1611" s="1">
        <v>43024</v>
      </c>
      <c r="R1611">
        <v>1.9020765295184466E-3</v>
      </c>
      <c r="T1611" t="s">
        <v>39</v>
      </c>
      <c r="V1611">
        <v>28415102.6261</v>
      </c>
      <c r="W1611" t="s">
        <v>200</v>
      </c>
      <c r="X1611" t="s">
        <v>305</v>
      </c>
      <c r="Y1611">
        <v>27782862.471866224</v>
      </c>
      <c r="Z1611" t="s">
        <v>31</v>
      </c>
      <c r="AA1611">
        <v>2.9634303475128543E-5</v>
      </c>
      <c r="AB1611">
        <v>101.68</v>
      </c>
      <c r="AC1611" t="s">
        <v>42</v>
      </c>
      <c r="AE1611" t="s">
        <v>41</v>
      </c>
      <c r="AF1611">
        <v>4.0899999999999999E-2</v>
      </c>
      <c r="AH1611" t="s">
        <v>237</v>
      </c>
      <c r="AJ1611">
        <v>3.4030919399777657E-4</v>
      </c>
      <c r="AK1611">
        <v>3.4030919399777657E-4</v>
      </c>
      <c r="AL1611">
        <v>0</v>
      </c>
      <c r="AN1611" t="s">
        <v>142</v>
      </c>
      <c r="AQ1611">
        <v>1.3918646034509061E-5</v>
      </c>
    </row>
    <row r="1612" spans="1:43" x14ac:dyDescent="0.2">
      <c r="A1612">
        <v>1610</v>
      </c>
      <c r="B1612">
        <v>106</v>
      </c>
      <c r="C1612">
        <v>17</v>
      </c>
      <c r="D1612">
        <v>18694229.008178607</v>
      </c>
      <c r="E1612" t="s">
        <v>414</v>
      </c>
      <c r="F1612" t="s">
        <v>61</v>
      </c>
      <c r="G1612" t="s">
        <v>523</v>
      </c>
      <c r="H1612">
        <v>3.6225821109399809E-4</v>
      </c>
      <c r="I1612">
        <v>4.4743041619950178E-7</v>
      </c>
      <c r="J1612">
        <v>1.54</v>
      </c>
      <c r="L1612" s="1">
        <v>43617</v>
      </c>
      <c r="M1612" s="1">
        <v>43024</v>
      </c>
      <c r="R1612">
        <v>1.9020765295184466E-3</v>
      </c>
      <c r="T1612" t="s">
        <v>39</v>
      </c>
      <c r="V1612">
        <v>19641428.203499999</v>
      </c>
      <c r="W1612" t="s">
        <v>200</v>
      </c>
      <c r="X1612" t="s">
        <v>305</v>
      </c>
      <c r="Y1612">
        <v>18694229.008178607</v>
      </c>
      <c r="Z1612" t="s">
        <v>31</v>
      </c>
      <c r="AA1612">
        <v>2.0484178844134485E-5</v>
      </c>
      <c r="AB1612">
        <v>102.94</v>
      </c>
      <c r="AC1612" t="s">
        <v>42</v>
      </c>
      <c r="AE1612" t="s">
        <v>41</v>
      </c>
      <c r="AF1612">
        <v>3.61E-2</v>
      </c>
      <c r="AH1612" t="s">
        <v>237</v>
      </c>
      <c r="AJ1612">
        <v>2.3523260460649227E-4</v>
      </c>
      <c r="AK1612">
        <v>2.3523260460649227E-4</v>
      </c>
      <c r="AL1612">
        <v>0</v>
      </c>
      <c r="AN1612" t="s">
        <v>142</v>
      </c>
      <c r="AQ1612">
        <v>8.4918970262943719E-6</v>
      </c>
    </row>
    <row r="1613" spans="1:43" x14ac:dyDescent="0.2">
      <c r="A1613">
        <v>1611</v>
      </c>
      <c r="B1613">
        <v>106</v>
      </c>
      <c r="C1613">
        <v>17</v>
      </c>
      <c r="D1613">
        <v>262770951.27304131</v>
      </c>
      <c r="E1613" t="s">
        <v>303</v>
      </c>
      <c r="F1613" t="s">
        <v>61</v>
      </c>
      <c r="G1613" t="s">
        <v>304</v>
      </c>
      <c r="H1613">
        <v>8.6461907193720253E-3</v>
      </c>
      <c r="I1613">
        <v>6.0685300505748126E-6</v>
      </c>
      <c r="J1613">
        <v>2.71</v>
      </c>
      <c r="L1613" s="1">
        <v>44096</v>
      </c>
      <c r="M1613" s="1">
        <v>43024</v>
      </c>
      <c r="R1613">
        <v>1.9020765295184466E-3</v>
      </c>
      <c r="T1613" t="s">
        <v>39</v>
      </c>
      <c r="V1613">
        <v>266398065.42789999</v>
      </c>
      <c r="W1613" t="s">
        <v>200</v>
      </c>
      <c r="X1613" t="s">
        <v>305</v>
      </c>
      <c r="Y1613">
        <v>262770951.27304131</v>
      </c>
      <c r="Z1613" t="s">
        <v>31</v>
      </c>
      <c r="AA1613">
        <v>2.7782835135095439E-4</v>
      </c>
      <c r="AB1613">
        <v>100.947</v>
      </c>
      <c r="AC1613" t="s">
        <v>42</v>
      </c>
      <c r="AE1613" t="s">
        <v>41</v>
      </c>
      <c r="AF1613">
        <v>0</v>
      </c>
      <c r="AH1613" t="s">
        <v>237</v>
      </c>
      <c r="AJ1613">
        <v>3.1904762802110794E-3</v>
      </c>
      <c r="AK1613">
        <v>3.1904762802110794E-3</v>
      </c>
      <c r="AL1613">
        <v>0</v>
      </c>
      <c r="AN1613" t="s">
        <v>142</v>
      </c>
      <c r="AQ1613">
        <v>0</v>
      </c>
    </row>
    <row r="1614" spans="1:43" x14ac:dyDescent="0.2">
      <c r="A1614">
        <v>1612</v>
      </c>
      <c r="B1614">
        <v>107</v>
      </c>
      <c r="C1614">
        <v>17</v>
      </c>
      <c r="D1614">
        <v>572868506.62844825</v>
      </c>
      <c r="E1614" t="s">
        <v>320</v>
      </c>
      <c r="F1614" t="s">
        <v>61</v>
      </c>
      <c r="G1614" t="s">
        <v>528</v>
      </c>
      <c r="H1614">
        <v>7.8017617565491601E-3</v>
      </c>
      <c r="I1614">
        <v>1.1306378060150668E-5</v>
      </c>
      <c r="J1614">
        <v>1.42</v>
      </c>
      <c r="L1614" s="1">
        <v>43931</v>
      </c>
      <c r="M1614" s="1">
        <v>43024</v>
      </c>
      <c r="R1614">
        <v>2.0578758165662506E-3</v>
      </c>
      <c r="T1614" t="s">
        <v>39</v>
      </c>
      <c r="V1614">
        <v>458754023.42629999</v>
      </c>
      <c r="W1614" t="s">
        <v>321</v>
      </c>
      <c r="X1614" t="s">
        <v>529</v>
      </c>
      <c r="Y1614">
        <v>572868506.62844825</v>
      </c>
      <c r="Z1614" t="s">
        <v>31</v>
      </c>
      <c r="AA1614">
        <v>5.1762656689896818E-4</v>
      </c>
      <c r="AB1614">
        <v>103.34</v>
      </c>
      <c r="AC1614" t="s">
        <v>34</v>
      </c>
      <c r="AE1614" t="s">
        <v>40</v>
      </c>
      <c r="AF1614">
        <v>4.0399999999999998E-2</v>
      </c>
      <c r="AH1614" t="s">
        <v>237</v>
      </c>
      <c r="AJ1614">
        <v>5.4941984201050424E-3</v>
      </c>
      <c r="AK1614">
        <v>5.4941984201050424E-3</v>
      </c>
      <c r="AL1614">
        <v>0</v>
      </c>
      <c r="AN1614" t="s">
        <v>54</v>
      </c>
      <c r="AQ1614">
        <v>2.219656161722437E-4</v>
      </c>
    </row>
    <row r="1615" spans="1:43" x14ac:dyDescent="0.2">
      <c r="A1615">
        <v>1613</v>
      </c>
      <c r="B1615">
        <v>107</v>
      </c>
      <c r="C1615">
        <v>17</v>
      </c>
      <c r="D1615">
        <v>1449102.8477547069</v>
      </c>
      <c r="E1615" t="s">
        <v>426</v>
      </c>
      <c r="F1615" t="s">
        <v>61</v>
      </c>
      <c r="G1615" t="s">
        <v>530</v>
      </c>
      <c r="H1615">
        <v>3.7931525153887255E-5</v>
      </c>
      <c r="I1615">
        <v>3.7709356666501935E-8</v>
      </c>
      <c r="J1615">
        <v>2.0699999999999998</v>
      </c>
      <c r="L1615" s="1">
        <v>43831</v>
      </c>
      <c r="M1615" s="1">
        <v>43024</v>
      </c>
      <c r="R1615">
        <v>2.0578758165662506E-3</v>
      </c>
      <c r="T1615" t="s">
        <v>39</v>
      </c>
      <c r="V1615">
        <v>1530049.5878999999</v>
      </c>
      <c r="W1615" t="s">
        <v>181</v>
      </c>
      <c r="X1615" t="s">
        <v>428</v>
      </c>
      <c r="Y1615">
        <v>1449102.8477547069</v>
      </c>
      <c r="Z1615" t="s">
        <v>31</v>
      </c>
      <c r="AA1615">
        <v>1.7264029848821456E-6</v>
      </c>
      <c r="AB1615">
        <v>103.79</v>
      </c>
      <c r="AC1615" t="s">
        <v>33</v>
      </c>
      <c r="AE1615" t="s">
        <v>41</v>
      </c>
      <c r="AF1615">
        <v>4.1000000000000002E-2</v>
      </c>
      <c r="AH1615" t="s">
        <v>237</v>
      </c>
      <c r="AJ1615">
        <v>1.8324408286902055E-5</v>
      </c>
      <c r="AK1615">
        <v>1.8324408286902055E-5</v>
      </c>
      <c r="AL1615">
        <v>0</v>
      </c>
      <c r="AN1615" t="s">
        <v>148</v>
      </c>
      <c r="AQ1615">
        <v>7.5130073976298435E-7</v>
      </c>
    </row>
    <row r="1616" spans="1:43" x14ac:dyDescent="0.2">
      <c r="A1616">
        <v>1614</v>
      </c>
      <c r="B1616">
        <v>107</v>
      </c>
      <c r="C1616">
        <v>17</v>
      </c>
      <c r="D1616">
        <v>37861438.663936488</v>
      </c>
      <c r="E1616" t="s">
        <v>459</v>
      </c>
      <c r="F1616" t="s">
        <v>61</v>
      </c>
      <c r="G1616" t="s">
        <v>856</v>
      </c>
      <c r="H1616">
        <v>1.1270008342964721E-3</v>
      </c>
      <c r="I1616">
        <v>9.9112297527722154E-7</v>
      </c>
      <c r="J1616">
        <v>2.34</v>
      </c>
      <c r="L1616" s="1">
        <v>43952</v>
      </c>
      <c r="M1616" s="1">
        <v>43024</v>
      </c>
      <c r="R1616">
        <v>2.0578758165662506E-3</v>
      </c>
      <c r="T1616" t="s">
        <v>39</v>
      </c>
      <c r="V1616">
        <v>40214616.051200002</v>
      </c>
      <c r="W1616" t="s">
        <v>249</v>
      </c>
      <c r="X1616" t="s">
        <v>461</v>
      </c>
      <c r="Y1616">
        <v>37861438.663936488</v>
      </c>
      <c r="Z1616" t="s">
        <v>31</v>
      </c>
      <c r="AA1616">
        <v>4.5375413800783744E-5</v>
      </c>
      <c r="AB1616">
        <v>103.45</v>
      </c>
      <c r="AC1616" t="s">
        <v>34</v>
      </c>
      <c r="AE1616" t="s">
        <v>41</v>
      </c>
      <c r="AF1616">
        <v>4.3700000000000003E-2</v>
      </c>
      <c r="AH1616" t="s">
        <v>237</v>
      </c>
      <c r="AJ1616">
        <v>4.8162428816088556E-4</v>
      </c>
      <c r="AK1616">
        <v>4.8162428816088556E-4</v>
      </c>
      <c r="AL1616">
        <v>0</v>
      </c>
      <c r="AN1616" t="s">
        <v>54</v>
      </c>
      <c r="AQ1616">
        <v>2.10469813926307E-5</v>
      </c>
    </row>
    <row r="1617" spans="1:43" x14ac:dyDescent="0.2">
      <c r="A1617">
        <v>1615</v>
      </c>
      <c r="B1617">
        <v>107</v>
      </c>
      <c r="C1617">
        <v>17</v>
      </c>
      <c r="D1617">
        <v>291684257.40034646</v>
      </c>
      <c r="E1617" t="s">
        <v>462</v>
      </c>
      <c r="F1617" t="s">
        <v>61</v>
      </c>
      <c r="G1617" t="s">
        <v>865</v>
      </c>
      <c r="H1617">
        <v>9.7276859382843476E-3</v>
      </c>
      <c r="I1617">
        <v>7.4142109790914569E-6</v>
      </c>
      <c r="J1617">
        <v>2.7</v>
      </c>
      <c r="L1617" s="1">
        <v>44075</v>
      </c>
      <c r="M1617" s="1">
        <v>43024</v>
      </c>
      <c r="R1617">
        <v>2.0578758165662506E-3</v>
      </c>
      <c r="T1617" t="s">
        <v>39</v>
      </c>
      <c r="V1617">
        <v>300830124.29750001</v>
      </c>
      <c r="W1617" t="s">
        <v>220</v>
      </c>
      <c r="X1617" t="s">
        <v>464</v>
      </c>
      <c r="Y1617">
        <v>291684257.40034646</v>
      </c>
      <c r="Z1617" t="s">
        <v>31</v>
      </c>
      <c r="AA1617">
        <v>3.3943607359973653E-4</v>
      </c>
      <c r="AB1617">
        <v>102.51</v>
      </c>
      <c r="AC1617" t="s">
        <v>33</v>
      </c>
      <c r="AE1617" t="s">
        <v>41</v>
      </c>
      <c r="AF1617">
        <v>4.1000000000000002E-2</v>
      </c>
      <c r="AH1617" t="s">
        <v>237</v>
      </c>
      <c r="AJ1617">
        <v>3.6028466438090172E-3</v>
      </c>
      <c r="AK1617">
        <v>3.6028466438090172E-3</v>
      </c>
      <c r="AL1617">
        <v>0</v>
      </c>
      <c r="AN1617" t="s">
        <v>148</v>
      </c>
      <c r="AQ1617">
        <v>1.4771671239616972E-4</v>
      </c>
    </row>
    <row r="1618" spans="1:43" x14ac:dyDescent="0.2">
      <c r="A1618">
        <v>1616</v>
      </c>
      <c r="B1618">
        <v>107</v>
      </c>
      <c r="C1618">
        <v>17</v>
      </c>
      <c r="D1618">
        <v>2776573.6818376323</v>
      </c>
      <c r="E1618" t="s">
        <v>300</v>
      </c>
      <c r="F1618" t="s">
        <v>61</v>
      </c>
      <c r="G1618" t="s">
        <v>900</v>
      </c>
      <c r="H1618">
        <v>8.7612142116167549E-5</v>
      </c>
      <c r="I1618">
        <v>7.1545598610486789E-8</v>
      </c>
      <c r="J1618">
        <v>2.52</v>
      </c>
      <c r="L1618" s="1">
        <v>44012</v>
      </c>
      <c r="M1618" s="1">
        <v>43024</v>
      </c>
      <c r="R1618">
        <v>2.0578758165662506E-3</v>
      </c>
      <c r="T1618" t="s">
        <v>39</v>
      </c>
      <c r="V1618">
        <v>2902948.3223000001</v>
      </c>
      <c r="W1618" t="s">
        <v>213</v>
      </c>
      <c r="X1618" t="s">
        <v>302</v>
      </c>
      <c r="Y1618">
        <v>2776573.6818376323</v>
      </c>
      <c r="Z1618" t="s">
        <v>31</v>
      </c>
      <c r="AA1618">
        <v>3.2754877281172711E-6</v>
      </c>
      <c r="AB1618">
        <v>102.91</v>
      </c>
      <c r="AC1618" t="s">
        <v>33</v>
      </c>
      <c r="AE1618" t="s">
        <v>41</v>
      </c>
      <c r="AF1618">
        <v>4.2999999999999997E-2</v>
      </c>
      <c r="AH1618" t="s">
        <v>237</v>
      </c>
      <c r="AJ1618">
        <v>3.4766723061971251E-5</v>
      </c>
      <c r="AK1618">
        <v>3.4766723061971251E-5</v>
      </c>
      <c r="AL1618">
        <v>0</v>
      </c>
      <c r="AN1618" t="s">
        <v>148</v>
      </c>
      <c r="AQ1618">
        <v>1.4949690916647636E-6</v>
      </c>
    </row>
    <row r="1619" spans="1:43" x14ac:dyDescent="0.2">
      <c r="A1619">
        <v>1617</v>
      </c>
      <c r="B1619">
        <v>107</v>
      </c>
      <c r="C1619">
        <v>17</v>
      </c>
      <c r="D1619">
        <v>62582934.192173846</v>
      </c>
      <c r="E1619" t="s">
        <v>466</v>
      </c>
      <c r="F1619" t="s">
        <v>61</v>
      </c>
      <c r="G1619" t="s">
        <v>533</v>
      </c>
      <c r="H1619">
        <v>2.3309510401289721E-3</v>
      </c>
      <c r="I1619">
        <v>1.6260365339258846E-6</v>
      </c>
      <c r="J1619">
        <v>2.95</v>
      </c>
      <c r="L1619" s="1">
        <v>44197</v>
      </c>
      <c r="M1619" s="1">
        <v>43024</v>
      </c>
      <c r="R1619">
        <v>2.0578758165662506E-3</v>
      </c>
      <c r="T1619" t="s">
        <v>39</v>
      </c>
      <c r="V1619">
        <v>65976106.424900003</v>
      </c>
      <c r="W1619" t="s">
        <v>250</v>
      </c>
      <c r="X1619" t="s">
        <v>468</v>
      </c>
      <c r="Y1619">
        <v>62582934.192173846</v>
      </c>
      <c r="Z1619" t="s">
        <v>31</v>
      </c>
      <c r="AA1619">
        <v>7.4442912153703186E-5</v>
      </c>
      <c r="AB1619">
        <v>103.76</v>
      </c>
      <c r="AC1619" t="s">
        <v>33</v>
      </c>
      <c r="AE1619" t="s">
        <v>41</v>
      </c>
      <c r="AF1619">
        <v>4.2500000000000003E-2</v>
      </c>
      <c r="AH1619" t="s">
        <v>237</v>
      </c>
      <c r="AJ1619">
        <v>7.9015289495897359E-4</v>
      </c>
      <c r="AK1619">
        <v>7.9015289495897359E-4</v>
      </c>
      <c r="AL1619">
        <v>0</v>
      </c>
      <c r="AN1619" t="s">
        <v>148</v>
      </c>
      <c r="AQ1619">
        <v>3.3581498035756383E-5</v>
      </c>
    </row>
    <row r="1620" spans="1:43" x14ac:dyDescent="0.2">
      <c r="A1620">
        <v>1618</v>
      </c>
      <c r="B1620">
        <v>107</v>
      </c>
      <c r="C1620">
        <v>17</v>
      </c>
      <c r="D1620">
        <v>27781702.832587048</v>
      </c>
      <c r="E1620" t="s">
        <v>430</v>
      </c>
      <c r="F1620" t="s">
        <v>61</v>
      </c>
      <c r="G1620" t="s">
        <v>945</v>
      </c>
      <c r="H1620">
        <v>8.7426719594170012E-4</v>
      </c>
      <c r="I1620">
        <v>7.1394179354984608E-7</v>
      </c>
      <c r="J1620">
        <v>2.52</v>
      </c>
      <c r="L1620" s="1">
        <v>44013</v>
      </c>
      <c r="M1620" s="1">
        <v>43024</v>
      </c>
      <c r="R1620">
        <v>2.0578758165662506E-3</v>
      </c>
      <c r="T1620" t="s">
        <v>39</v>
      </c>
      <c r="V1620">
        <v>28968045.163600001</v>
      </c>
      <c r="W1620" t="s">
        <v>248</v>
      </c>
      <c r="X1620" t="s">
        <v>432</v>
      </c>
      <c r="Y1620">
        <v>27781702.832587048</v>
      </c>
      <c r="Z1620" t="s">
        <v>31</v>
      </c>
      <c r="AA1620">
        <v>3.2685554789946062E-5</v>
      </c>
      <c r="AB1620">
        <v>102.69</v>
      </c>
      <c r="AC1620" t="s">
        <v>34</v>
      </c>
      <c r="AE1620" t="s">
        <v>41</v>
      </c>
      <c r="AF1620">
        <v>4.2099999999999999E-2</v>
      </c>
      <c r="AH1620" t="s">
        <v>237</v>
      </c>
      <c r="AJ1620">
        <v>3.4693142696099209E-4</v>
      </c>
      <c r="AK1620">
        <v>3.4693142696099209E-4</v>
      </c>
      <c r="AL1620">
        <v>0</v>
      </c>
      <c r="AN1620" t="s">
        <v>54</v>
      </c>
      <c r="AQ1620">
        <v>1.4605813075057767E-5</v>
      </c>
    </row>
    <row r="1621" spans="1:43" x14ac:dyDescent="0.2">
      <c r="A1621">
        <v>1619</v>
      </c>
      <c r="B1621">
        <v>107</v>
      </c>
      <c r="C1621">
        <v>17</v>
      </c>
      <c r="D1621">
        <v>726611500.83574164</v>
      </c>
      <c r="E1621" t="s">
        <v>809</v>
      </c>
      <c r="F1621" t="s">
        <v>61</v>
      </c>
      <c r="G1621" t="s">
        <v>810</v>
      </c>
      <c r="H1621">
        <v>6.2338485360418526E-3</v>
      </c>
      <c r="I1621">
        <v>1.1878227913386532E-5</v>
      </c>
      <c r="J1621">
        <v>1.08</v>
      </c>
      <c r="L1621" s="1">
        <v>44013</v>
      </c>
      <c r="M1621" s="1">
        <v>43024</v>
      </c>
      <c r="R1621">
        <v>2.0578758165662506E-3</v>
      </c>
      <c r="T1621" t="s">
        <v>39</v>
      </c>
      <c r="V1621">
        <v>481956716.59399998</v>
      </c>
      <c r="W1621" t="s">
        <v>811</v>
      </c>
      <c r="X1621" t="s">
        <v>507</v>
      </c>
      <c r="Y1621">
        <v>726611500.83574164</v>
      </c>
      <c r="Z1621" t="s">
        <v>31</v>
      </c>
      <c r="AA1621">
        <v>5.4380689403267935E-4</v>
      </c>
      <c r="AB1621">
        <v>100.21999999999998</v>
      </c>
      <c r="AC1621" t="s">
        <v>33</v>
      </c>
      <c r="AE1621" t="s">
        <v>41</v>
      </c>
      <c r="AF1621">
        <v>6.7799999999999999E-2</v>
      </c>
      <c r="AH1621" t="s">
        <v>237</v>
      </c>
      <c r="AJ1621">
        <v>5.7720819778165301E-3</v>
      </c>
      <c r="AK1621">
        <v>5.7720819778165301E-3</v>
      </c>
      <c r="AL1621">
        <v>0</v>
      </c>
      <c r="AN1621" t="s">
        <v>148</v>
      </c>
      <c r="AQ1621">
        <v>3.9134715809596075E-4</v>
      </c>
    </row>
    <row r="1622" spans="1:43" x14ac:dyDescent="0.2">
      <c r="A1622">
        <v>1620</v>
      </c>
      <c r="B1622">
        <v>107</v>
      </c>
      <c r="C1622">
        <v>17</v>
      </c>
      <c r="D1622">
        <v>1027626708.1050218</v>
      </c>
      <c r="E1622" t="s">
        <v>809</v>
      </c>
      <c r="F1622" t="s">
        <v>61</v>
      </c>
      <c r="G1622" t="s">
        <v>812</v>
      </c>
      <c r="H1622">
        <v>1.7926207938435759E-2</v>
      </c>
      <c r="I1622">
        <v>2.544131710292751E-5</v>
      </c>
      <c r="J1622">
        <v>1.45</v>
      </c>
      <c r="L1622" s="1">
        <v>43922</v>
      </c>
      <c r="M1622" s="1">
        <v>43024</v>
      </c>
      <c r="R1622">
        <v>2.0578758165662506E-3</v>
      </c>
      <c r="T1622" t="s">
        <v>39</v>
      </c>
      <c r="V1622">
        <v>1032276341.7374001</v>
      </c>
      <c r="W1622" t="s">
        <v>811</v>
      </c>
      <c r="X1622" t="s">
        <v>507</v>
      </c>
      <c r="Y1622">
        <v>1027626708.1050218</v>
      </c>
      <c r="Z1622" t="s">
        <v>31</v>
      </c>
      <c r="AA1622">
        <v>1.1647498039881465E-3</v>
      </c>
      <c r="AB1622">
        <v>100.21999999999998</v>
      </c>
      <c r="AC1622" t="s">
        <v>33</v>
      </c>
      <c r="AE1622" t="s">
        <v>41</v>
      </c>
      <c r="AF1622">
        <v>5.6399999999999999E-2</v>
      </c>
      <c r="AH1622" t="s">
        <v>237</v>
      </c>
      <c r="AJ1622">
        <v>1.236290202650742E-2</v>
      </c>
      <c r="AK1622">
        <v>1.236290202650742E-2</v>
      </c>
      <c r="AL1622">
        <v>0</v>
      </c>
      <c r="AN1622" t="s">
        <v>148</v>
      </c>
      <c r="AQ1622">
        <v>6.9726767429501848E-4</v>
      </c>
    </row>
    <row r="1623" spans="1:43" x14ac:dyDescent="0.2">
      <c r="A1623">
        <v>1621</v>
      </c>
      <c r="B1623">
        <v>107</v>
      </c>
      <c r="C1623">
        <v>17</v>
      </c>
      <c r="D1623">
        <v>340000000</v>
      </c>
      <c r="E1623" t="s">
        <v>488</v>
      </c>
      <c r="F1623" t="s">
        <v>61</v>
      </c>
      <c r="G1623" t="s">
        <v>903</v>
      </c>
      <c r="H1623">
        <v>5.1147039238547106E-3</v>
      </c>
      <c r="I1623">
        <v>8.7711879281642645E-6</v>
      </c>
      <c r="J1623">
        <v>1.2</v>
      </c>
      <c r="L1623" s="1">
        <v>43481</v>
      </c>
      <c r="M1623" s="1">
        <v>43024</v>
      </c>
      <c r="R1623">
        <v>2.0578758165662506E-3</v>
      </c>
      <c r="T1623" t="s">
        <v>39</v>
      </c>
      <c r="V1623">
        <v>355889192</v>
      </c>
      <c r="W1623" t="s">
        <v>490</v>
      </c>
      <c r="X1623" t="s">
        <v>491</v>
      </c>
      <c r="Y1623">
        <v>340000000</v>
      </c>
      <c r="Z1623" t="s">
        <v>31</v>
      </c>
      <c r="AA1623">
        <v>4.0156094823003288E-4</v>
      </c>
      <c r="AB1623">
        <v>103.05</v>
      </c>
      <c r="AC1623" t="s">
        <v>33</v>
      </c>
      <c r="AE1623" t="s">
        <v>41</v>
      </c>
      <c r="AF1623">
        <v>3.7600000000000001E-2</v>
      </c>
      <c r="AH1623" t="s">
        <v>237</v>
      </c>
      <c r="AJ1623">
        <v>4.2622532698789253E-3</v>
      </c>
      <c r="AK1623">
        <v>4.2622532698789253E-3</v>
      </c>
      <c r="AL1623">
        <v>0</v>
      </c>
      <c r="AN1623" t="s">
        <v>148</v>
      </c>
      <c r="AQ1623">
        <v>1.6026072294744761E-4</v>
      </c>
    </row>
    <row r="1624" spans="1:43" x14ac:dyDescent="0.2">
      <c r="A1624">
        <v>1622</v>
      </c>
      <c r="B1624">
        <v>107</v>
      </c>
      <c r="C1624">
        <v>17</v>
      </c>
      <c r="D1624">
        <v>435882798.19085646</v>
      </c>
      <c r="E1624" t="s">
        <v>488</v>
      </c>
      <c r="F1624" t="s">
        <v>61</v>
      </c>
      <c r="G1624" t="s">
        <v>904</v>
      </c>
      <c r="H1624">
        <v>8.7323042345021536E-3</v>
      </c>
      <c r="I1624">
        <v>1.1092591177210522E-5</v>
      </c>
      <c r="J1624">
        <v>1.62</v>
      </c>
      <c r="L1624" s="1">
        <v>43641</v>
      </c>
      <c r="M1624" s="1">
        <v>43024</v>
      </c>
      <c r="R1624">
        <v>2.0578758165662506E-3</v>
      </c>
      <c r="T1624" t="s">
        <v>39</v>
      </c>
      <c r="V1624">
        <v>450079663.50459999</v>
      </c>
      <c r="W1624" t="s">
        <v>490</v>
      </c>
      <c r="X1624" t="s">
        <v>491</v>
      </c>
      <c r="Y1624">
        <v>435882798.19085646</v>
      </c>
      <c r="Z1624" t="s">
        <v>31</v>
      </c>
      <c r="AA1624">
        <v>5.0783901427374988E-4</v>
      </c>
      <c r="AB1624">
        <v>101.7</v>
      </c>
      <c r="AC1624" t="s">
        <v>33</v>
      </c>
      <c r="AE1624" t="s">
        <v>41</v>
      </c>
      <c r="AF1624">
        <v>3.9100000000000003E-2</v>
      </c>
      <c r="AH1624" t="s">
        <v>237</v>
      </c>
      <c r="AJ1624">
        <v>5.3903112558655267E-3</v>
      </c>
      <c r="AK1624">
        <v>5.3903112558655267E-3</v>
      </c>
      <c r="AL1624">
        <v>0</v>
      </c>
      <c r="AN1624" t="s">
        <v>148</v>
      </c>
      <c r="AQ1624">
        <v>2.1076117010434211E-4</v>
      </c>
    </row>
    <row r="1625" spans="1:43" x14ac:dyDescent="0.2">
      <c r="A1625">
        <v>1623</v>
      </c>
      <c r="B1625">
        <v>107</v>
      </c>
      <c r="C1625">
        <v>17</v>
      </c>
      <c r="D1625">
        <v>538208901.89803934</v>
      </c>
      <c r="E1625" t="s">
        <v>488</v>
      </c>
      <c r="F1625" t="s">
        <v>61</v>
      </c>
      <c r="G1625" t="s">
        <v>531</v>
      </c>
      <c r="H1625">
        <v>1.543432335327107E-2</v>
      </c>
      <c r="I1625">
        <v>1.3631725653974357E-5</v>
      </c>
      <c r="J1625">
        <v>2.33</v>
      </c>
      <c r="L1625" s="1">
        <v>43922</v>
      </c>
      <c r="M1625" s="1">
        <v>43024</v>
      </c>
      <c r="R1625">
        <v>2.0578758165662506E-3</v>
      </c>
      <c r="T1625" t="s">
        <v>39</v>
      </c>
      <c r="V1625">
        <v>553104535.9296</v>
      </c>
      <c r="W1625" t="s">
        <v>490</v>
      </c>
      <c r="X1625" t="s">
        <v>491</v>
      </c>
      <c r="Y1625">
        <v>538208901.89803934</v>
      </c>
      <c r="Z1625" t="s">
        <v>31</v>
      </c>
      <c r="AA1625">
        <v>6.2408521222589552E-4</v>
      </c>
      <c r="AB1625">
        <v>102.54</v>
      </c>
      <c r="AC1625" t="s">
        <v>33</v>
      </c>
      <c r="AE1625" t="s">
        <v>41</v>
      </c>
      <c r="AF1625">
        <v>4.1700000000000001E-2</v>
      </c>
      <c r="AH1625" t="s">
        <v>237</v>
      </c>
      <c r="AJ1625">
        <v>6.6241731129918751E-3</v>
      </c>
      <c r="AK1625">
        <v>6.6241731129918751E-3</v>
      </c>
      <c r="AL1625">
        <v>0</v>
      </c>
      <c r="AN1625" t="s">
        <v>148</v>
      </c>
      <c r="AQ1625">
        <v>2.7622801881176118E-4</v>
      </c>
    </row>
    <row r="1626" spans="1:43" x14ac:dyDescent="0.2">
      <c r="A1626">
        <v>1624</v>
      </c>
      <c r="B1626">
        <v>107</v>
      </c>
      <c r="C1626">
        <v>17</v>
      </c>
      <c r="D1626">
        <v>630892095.020872</v>
      </c>
      <c r="E1626" t="s">
        <v>440</v>
      </c>
      <c r="F1626" t="s">
        <v>61</v>
      </c>
      <c r="G1626" t="s">
        <v>532</v>
      </c>
      <c r="H1626">
        <v>9.5858901976995665E-3</v>
      </c>
      <c r="I1626">
        <v>1.5908525498472107E-5</v>
      </c>
      <c r="J1626">
        <v>1.24</v>
      </c>
      <c r="L1626" s="1">
        <v>43862</v>
      </c>
      <c r="M1626" s="1">
        <v>43024</v>
      </c>
      <c r="R1626">
        <v>2.0578758165662506E-3</v>
      </c>
      <c r="T1626" t="s">
        <v>39</v>
      </c>
      <c r="V1626">
        <v>645485233.23539996</v>
      </c>
      <c r="W1626" t="s">
        <v>442</v>
      </c>
      <c r="X1626" t="s">
        <v>443</v>
      </c>
      <c r="Y1626">
        <v>630892095.020872</v>
      </c>
      <c r="Z1626" t="s">
        <v>31</v>
      </c>
      <c r="AA1626">
        <v>7.2832125322449008E-4</v>
      </c>
      <c r="AB1626">
        <v>101.18</v>
      </c>
      <c r="AC1626" t="s">
        <v>34</v>
      </c>
      <c r="AE1626" t="s">
        <v>41</v>
      </c>
      <c r="AF1626">
        <v>4.4999999999999998E-2</v>
      </c>
      <c r="AH1626" t="s">
        <v>237</v>
      </c>
      <c r="AJ1626">
        <v>7.7305566110480372E-3</v>
      </c>
      <c r="AK1626">
        <v>7.7305566110480372E-3</v>
      </c>
      <c r="AL1626">
        <v>0</v>
      </c>
      <c r="AN1626" t="s">
        <v>54</v>
      </c>
      <c r="AQ1626">
        <v>3.4787504749716168E-4</v>
      </c>
    </row>
    <row r="1627" spans="1:43" x14ac:dyDescent="0.2">
      <c r="A1627">
        <v>1625</v>
      </c>
      <c r="B1627">
        <v>107</v>
      </c>
      <c r="C1627">
        <v>17</v>
      </c>
      <c r="D1627">
        <v>115737523.7908987</v>
      </c>
      <c r="E1627" t="s">
        <v>440</v>
      </c>
      <c r="F1627" t="s">
        <v>61</v>
      </c>
      <c r="G1627" t="s">
        <v>822</v>
      </c>
      <c r="H1627">
        <v>2.3073952558173225E-3</v>
      </c>
      <c r="I1627">
        <v>2.9130876663841507E-6</v>
      </c>
      <c r="J1627">
        <v>1.63</v>
      </c>
      <c r="L1627" s="1">
        <v>44014</v>
      </c>
      <c r="M1627" s="1">
        <v>43024</v>
      </c>
      <c r="R1627">
        <v>2.0578758165662506E-3</v>
      </c>
      <c r="T1627" t="s">
        <v>39</v>
      </c>
      <c r="V1627">
        <v>118197948.1349</v>
      </c>
      <c r="W1627" t="s">
        <v>442</v>
      </c>
      <c r="X1627" t="s">
        <v>443</v>
      </c>
      <c r="Y1627">
        <v>115737523.7908987</v>
      </c>
      <c r="Z1627" t="s">
        <v>31</v>
      </c>
      <c r="AA1627">
        <v>1.3336645562390302E-4</v>
      </c>
      <c r="AB1627">
        <v>100.66</v>
      </c>
      <c r="AC1627" t="s">
        <v>34</v>
      </c>
      <c r="AE1627" t="s">
        <v>41</v>
      </c>
      <c r="AF1627">
        <v>4.6699999999999998E-2</v>
      </c>
      <c r="AH1627" t="s">
        <v>237</v>
      </c>
      <c r="AJ1627">
        <v>1.4155799115443696E-3</v>
      </c>
      <c r="AK1627">
        <v>1.4155799115443696E-3</v>
      </c>
      <c r="AL1627">
        <v>0</v>
      </c>
      <c r="AN1627" t="s">
        <v>54</v>
      </c>
      <c r="AQ1627">
        <v>6.6107581869122054E-5</v>
      </c>
    </row>
    <row r="1628" spans="1:43" x14ac:dyDescent="0.2">
      <c r="A1628">
        <v>1626</v>
      </c>
      <c r="B1628">
        <v>107</v>
      </c>
      <c r="C1628">
        <v>17</v>
      </c>
      <c r="D1628">
        <v>2765597.6492894199</v>
      </c>
      <c r="E1628" t="s">
        <v>952</v>
      </c>
      <c r="F1628" t="s">
        <v>61</v>
      </c>
      <c r="G1628" t="s">
        <v>953</v>
      </c>
      <c r="H1628">
        <v>7.5548641067240541E-5</v>
      </c>
      <c r="I1628">
        <v>7.0031406048071254E-8</v>
      </c>
      <c r="J1628">
        <v>2.2200000000000002</v>
      </c>
      <c r="L1628" s="1">
        <v>44531</v>
      </c>
      <c r="M1628" s="1">
        <v>43024</v>
      </c>
      <c r="R1628">
        <v>2.0578758165662506E-3</v>
      </c>
      <c r="T1628" t="s">
        <v>39</v>
      </c>
      <c r="V1628">
        <v>2841510.2626</v>
      </c>
      <c r="W1628" t="s">
        <v>954</v>
      </c>
      <c r="X1628" t="s">
        <v>955</v>
      </c>
      <c r="Y1628">
        <v>2765597.6492894199</v>
      </c>
      <c r="Z1628" t="s">
        <v>31</v>
      </c>
      <c r="AA1628">
        <v>3.2061652365521287E-6</v>
      </c>
      <c r="AB1628">
        <v>100.99</v>
      </c>
      <c r="AC1628" t="s">
        <v>33</v>
      </c>
      <c r="AE1628" t="s">
        <v>175</v>
      </c>
      <c r="AF1628">
        <v>4.2299999999999997E-2</v>
      </c>
      <c r="AH1628" t="s">
        <v>237</v>
      </c>
      <c r="AJ1628">
        <v>3.4030919399657898E-5</v>
      </c>
      <c r="AK1628">
        <v>3.4030919399657898E-5</v>
      </c>
      <c r="AL1628">
        <v>0</v>
      </c>
      <c r="AN1628" t="s">
        <v>148</v>
      </c>
      <c r="AQ1628">
        <v>1.439507890605529E-6</v>
      </c>
    </row>
    <row r="1629" spans="1:43" x14ac:dyDescent="0.2">
      <c r="A1629">
        <v>1627</v>
      </c>
      <c r="B1629">
        <v>107</v>
      </c>
      <c r="C1629">
        <v>17</v>
      </c>
      <c r="D1629">
        <v>25001892.770594489</v>
      </c>
      <c r="E1629" t="s">
        <v>367</v>
      </c>
      <c r="F1629" t="s">
        <v>61</v>
      </c>
      <c r="G1629" t="s">
        <v>958</v>
      </c>
      <c r="H1629">
        <v>6.0253490330903819E-4</v>
      </c>
      <c r="I1629">
        <v>6.4580312820664273E-7</v>
      </c>
      <c r="J1629">
        <v>1.92</v>
      </c>
      <c r="L1629" s="1">
        <v>43770</v>
      </c>
      <c r="M1629" s="1">
        <v>43024</v>
      </c>
      <c r="R1629">
        <v>2.0578758165662506E-3</v>
      </c>
      <c r="T1629" t="s">
        <v>39</v>
      </c>
      <c r="V1629">
        <v>26203332.475699998</v>
      </c>
      <c r="W1629" t="s">
        <v>368</v>
      </c>
      <c r="X1629" t="s">
        <v>957</v>
      </c>
      <c r="Y1629">
        <v>25001892.770594489</v>
      </c>
      <c r="Z1629" t="s">
        <v>31</v>
      </c>
      <c r="AA1629">
        <v>2.9566042667934992E-5</v>
      </c>
      <c r="AB1629">
        <v>102.29</v>
      </c>
      <c r="AC1629" t="s">
        <v>34</v>
      </c>
      <c r="AE1629" t="s">
        <v>179</v>
      </c>
      <c r="AF1629">
        <v>4.1500000000000002E-2</v>
      </c>
      <c r="AH1629" t="s">
        <v>237</v>
      </c>
      <c r="AJ1629">
        <v>3.1382026214012409E-4</v>
      </c>
      <c r="AK1629">
        <v>3.1382026214012409E-4</v>
      </c>
      <c r="AL1629">
        <v>0</v>
      </c>
      <c r="AN1629" t="s">
        <v>54</v>
      </c>
      <c r="AQ1629">
        <v>1.3023540878815151E-5</v>
      </c>
    </row>
    <row r="1630" spans="1:43" x14ac:dyDescent="0.2">
      <c r="A1630">
        <v>1628</v>
      </c>
      <c r="B1630">
        <v>107</v>
      </c>
      <c r="C1630">
        <v>17</v>
      </c>
      <c r="D1630">
        <v>155574457.72987491</v>
      </c>
      <c r="E1630" t="s">
        <v>867</v>
      </c>
      <c r="F1630" t="s">
        <v>61</v>
      </c>
      <c r="G1630" t="s">
        <v>868</v>
      </c>
      <c r="H1630">
        <v>2.6300347514179256E-3</v>
      </c>
      <c r="I1630">
        <v>3.9505729282275757E-6</v>
      </c>
      <c r="J1630">
        <v>1.37</v>
      </c>
      <c r="L1630" s="1">
        <v>43538</v>
      </c>
      <c r="M1630" s="1">
        <v>43024</v>
      </c>
      <c r="R1630">
        <v>2.0578758165662506E-3</v>
      </c>
      <c r="T1630" t="s">
        <v>39</v>
      </c>
      <c r="V1630">
        <v>160293704.67019999</v>
      </c>
      <c r="W1630" t="s">
        <v>869</v>
      </c>
      <c r="X1630" t="s">
        <v>870</v>
      </c>
      <c r="Y1630">
        <v>155574457.72987491</v>
      </c>
      <c r="Z1630" t="s">
        <v>31</v>
      </c>
      <c r="AA1630">
        <v>1.8086441929000856E-4</v>
      </c>
      <c r="AB1630">
        <v>102.53</v>
      </c>
      <c r="AC1630" t="s">
        <v>33</v>
      </c>
      <c r="AE1630" t="s">
        <v>43</v>
      </c>
      <c r="AF1630">
        <v>3.85E-2</v>
      </c>
      <c r="AH1630" t="s">
        <v>237</v>
      </c>
      <c r="AJ1630">
        <v>1.919733395195566E-3</v>
      </c>
      <c r="AK1630">
        <v>1.919733395195566E-3</v>
      </c>
      <c r="AL1630">
        <v>0</v>
      </c>
      <c r="AN1630" t="s">
        <v>148</v>
      </c>
      <c r="AQ1630">
        <v>7.390973571502929E-5</v>
      </c>
    </row>
    <row r="1631" spans="1:43" x14ac:dyDescent="0.2">
      <c r="A1631">
        <v>1629</v>
      </c>
      <c r="B1631">
        <v>109</v>
      </c>
      <c r="C1631">
        <v>17</v>
      </c>
      <c r="D1631">
        <v>55587350.639776587</v>
      </c>
      <c r="E1631" t="s">
        <v>414</v>
      </c>
      <c r="F1631" t="s">
        <v>61</v>
      </c>
      <c r="G1631" t="s">
        <v>964</v>
      </c>
      <c r="H1631">
        <v>2.1647785238742036E-3</v>
      </c>
      <c r="I1631">
        <v>2.5708129197046357E-6</v>
      </c>
      <c r="J1631">
        <v>3.11</v>
      </c>
      <c r="L1631" s="1">
        <v>44256</v>
      </c>
      <c r="M1631" s="1">
        <v>43024</v>
      </c>
      <c r="R1631">
        <v>3.6933238629754737E-3</v>
      </c>
      <c r="T1631" t="s">
        <v>39</v>
      </c>
      <c r="V1631">
        <v>58120404.506499998</v>
      </c>
      <c r="W1631" t="s">
        <v>200</v>
      </c>
      <c r="X1631" t="s">
        <v>305</v>
      </c>
      <c r="Y1631">
        <v>55587350.639776587</v>
      </c>
      <c r="Z1631" t="s">
        <v>31</v>
      </c>
      <c r="AA1631">
        <v>1.1769649472949699E-4</v>
      </c>
      <c r="AB1631">
        <v>103.86</v>
      </c>
      <c r="AC1631" t="s">
        <v>42</v>
      </c>
      <c r="AE1631" t="s">
        <v>41</v>
      </c>
      <c r="AF1631">
        <v>4.2999999999999997E-2</v>
      </c>
      <c r="AH1631" t="s">
        <v>237</v>
      </c>
      <c r="AJ1631">
        <v>6.9607026491131947E-4</v>
      </c>
      <c r="AK1631">
        <v>6.9607026491131947E-4</v>
      </c>
      <c r="AL1631">
        <v>0</v>
      </c>
      <c r="AN1631" t="s">
        <v>142</v>
      </c>
      <c r="AQ1631">
        <v>2.9931021391186733E-5</v>
      </c>
    </row>
    <row r="1632" spans="1:43" x14ac:dyDescent="0.2">
      <c r="A1632">
        <v>1630</v>
      </c>
      <c r="B1632">
        <v>110</v>
      </c>
      <c r="C1632">
        <v>17</v>
      </c>
      <c r="D1632">
        <v>126772567.28110683</v>
      </c>
      <c r="E1632" t="s">
        <v>848</v>
      </c>
      <c r="F1632" t="s">
        <v>61</v>
      </c>
      <c r="G1632" t="s">
        <v>849</v>
      </c>
      <c r="H1632">
        <v>4.9096122871071088E-3</v>
      </c>
      <c r="I1632">
        <v>3.630706040075414E-6</v>
      </c>
      <c r="J1632">
        <v>3.16</v>
      </c>
      <c r="L1632" s="1">
        <v>44621</v>
      </c>
      <c r="M1632" s="1">
        <v>43024</v>
      </c>
      <c r="R1632">
        <v>2.3368507360076213E-3</v>
      </c>
      <c r="T1632" t="s">
        <v>39</v>
      </c>
      <c r="V1632">
        <v>129728579.0124</v>
      </c>
      <c r="W1632" t="s">
        <v>850</v>
      </c>
      <c r="X1632" t="s">
        <v>851</v>
      </c>
      <c r="Y1632">
        <v>126772567.28110683</v>
      </c>
      <c r="Z1632" t="s">
        <v>31</v>
      </c>
      <c r="AA1632">
        <v>1.6622033094465091E-4</v>
      </c>
      <c r="AB1632">
        <v>101.59</v>
      </c>
      <c r="AC1632" t="s">
        <v>33</v>
      </c>
      <c r="AE1632" t="s">
        <v>41</v>
      </c>
      <c r="AF1632">
        <v>5.4699999999999999E-2</v>
      </c>
      <c r="AH1632" t="s">
        <v>237</v>
      </c>
      <c r="AJ1632">
        <v>1.5536747744009838E-3</v>
      </c>
      <c r="AK1632">
        <v>1.5536747744009838E-3</v>
      </c>
      <c r="AL1632">
        <v>0</v>
      </c>
      <c r="AN1632" t="s">
        <v>148</v>
      </c>
      <c r="AQ1632">
        <v>8.4986010159733815E-5</v>
      </c>
    </row>
    <row r="1633" spans="1:43" x14ac:dyDescent="0.2">
      <c r="A1633">
        <v>1631</v>
      </c>
      <c r="B1633">
        <v>110</v>
      </c>
      <c r="C1633">
        <v>17</v>
      </c>
      <c r="D1633">
        <v>83379689.639401332</v>
      </c>
      <c r="E1633" t="s">
        <v>462</v>
      </c>
      <c r="F1633" t="s">
        <v>61</v>
      </c>
      <c r="G1633" t="s">
        <v>866</v>
      </c>
      <c r="H1633">
        <v>3.6425776370890592E-3</v>
      </c>
      <c r="I1633">
        <v>2.3977916147032309E-6</v>
      </c>
      <c r="J1633">
        <v>3.55</v>
      </c>
      <c r="L1633" s="1">
        <v>44440</v>
      </c>
      <c r="M1633" s="1">
        <v>43024</v>
      </c>
      <c r="R1633">
        <v>2.3368507360076213E-3</v>
      </c>
      <c r="T1633" t="s">
        <v>39</v>
      </c>
      <c r="V1633">
        <v>85675374.296299994</v>
      </c>
      <c r="W1633" t="s">
        <v>220</v>
      </c>
      <c r="X1633" t="s">
        <v>464</v>
      </c>
      <c r="Y1633">
        <v>83379689.639401332</v>
      </c>
      <c r="Z1633" t="s">
        <v>31</v>
      </c>
      <c r="AA1633">
        <v>1.0977526446178533E-4</v>
      </c>
      <c r="AB1633">
        <v>102.12</v>
      </c>
      <c r="AC1633" t="s">
        <v>33</v>
      </c>
      <c r="AE1633" t="s">
        <v>41</v>
      </c>
      <c r="AF1633">
        <v>4.4400000000000002E-2</v>
      </c>
      <c r="AH1633" t="s">
        <v>237</v>
      </c>
      <c r="AJ1633">
        <v>1.0260782076307209E-3</v>
      </c>
      <c r="AK1633">
        <v>1.0260782076307209E-3</v>
      </c>
      <c r="AL1633">
        <v>0</v>
      </c>
      <c r="AN1633" t="s">
        <v>148</v>
      </c>
      <c r="AQ1633">
        <v>4.5557872418804012E-5</v>
      </c>
    </row>
    <row r="1634" spans="1:43" x14ac:dyDescent="0.2">
      <c r="A1634">
        <v>1632</v>
      </c>
      <c r="B1634">
        <v>110</v>
      </c>
      <c r="C1634">
        <v>17</v>
      </c>
      <c r="D1634">
        <v>202318202.25738105</v>
      </c>
      <c r="E1634" t="s">
        <v>326</v>
      </c>
      <c r="F1634" t="s">
        <v>61</v>
      </c>
      <c r="G1634" t="s">
        <v>534</v>
      </c>
      <c r="H1634">
        <v>9.5855532943470382E-3</v>
      </c>
      <c r="I1634">
        <v>5.788115573885053E-6</v>
      </c>
      <c r="J1634">
        <v>3.87</v>
      </c>
      <c r="L1634" s="1">
        <v>44872</v>
      </c>
      <c r="M1634" s="1">
        <v>43024</v>
      </c>
      <c r="R1634">
        <v>2.3368507360076213E-3</v>
      </c>
      <c r="T1634" t="s">
        <v>39</v>
      </c>
      <c r="V1634">
        <v>206814872.9948</v>
      </c>
      <c r="W1634" t="s">
        <v>327</v>
      </c>
      <c r="X1634" t="s">
        <v>435</v>
      </c>
      <c r="Y1634">
        <v>202318202.25738105</v>
      </c>
      <c r="Z1634" t="s">
        <v>31</v>
      </c>
      <c r="AA1634">
        <v>2.6499046621165662E-4</v>
      </c>
      <c r="AB1634">
        <v>100.16</v>
      </c>
      <c r="AC1634" t="s">
        <v>34</v>
      </c>
      <c r="AE1634" t="s">
        <v>35</v>
      </c>
      <c r="AF1634">
        <v>4.65E-2</v>
      </c>
      <c r="AH1634" t="s">
        <v>237</v>
      </c>
      <c r="AJ1634">
        <v>2.4768871561620253E-3</v>
      </c>
      <c r="AK1634">
        <v>2.4768871561620253E-3</v>
      </c>
      <c r="AL1634">
        <v>0</v>
      </c>
      <c r="AN1634" t="s">
        <v>54</v>
      </c>
      <c r="AQ1634">
        <v>1.1517525276153418E-4</v>
      </c>
    </row>
    <row r="1635" spans="1:43" x14ac:dyDescent="0.2">
      <c r="A1635">
        <v>1633</v>
      </c>
      <c r="B1635">
        <v>110</v>
      </c>
      <c r="C1635">
        <v>17</v>
      </c>
      <c r="D1635">
        <v>138956116.41013965</v>
      </c>
      <c r="E1635" t="s">
        <v>335</v>
      </c>
      <c r="F1635" t="s">
        <v>61</v>
      </c>
      <c r="G1635" t="s">
        <v>873</v>
      </c>
      <c r="H1635">
        <v>7.1246323471233306E-3</v>
      </c>
      <c r="I1635">
        <v>3.94530861235992E-6</v>
      </c>
      <c r="J1635">
        <v>4.22</v>
      </c>
      <c r="L1635" s="1">
        <v>45184</v>
      </c>
      <c r="M1635" s="1">
        <v>43024</v>
      </c>
      <c r="R1635">
        <v>2.3368507360076213E-3</v>
      </c>
      <c r="T1635" t="s">
        <v>39</v>
      </c>
      <c r="V1635">
        <v>140969628.05509999</v>
      </c>
      <c r="W1635" t="s">
        <v>336</v>
      </c>
      <c r="X1635" t="s">
        <v>874</v>
      </c>
      <c r="Y1635">
        <v>138956116.41013965</v>
      </c>
      <c r="Z1635" t="s">
        <v>31</v>
      </c>
      <c r="AA1635">
        <v>1.8062340932774217E-4</v>
      </c>
      <c r="AB1635">
        <v>101.05</v>
      </c>
      <c r="AC1635" t="s">
        <v>34</v>
      </c>
      <c r="AE1635" t="s">
        <v>177</v>
      </c>
      <c r="AF1635">
        <v>4.4900000000000002E-2</v>
      </c>
      <c r="AH1635" t="s">
        <v>237</v>
      </c>
      <c r="AJ1635">
        <v>1.6883015040576614E-3</v>
      </c>
      <c r="AK1635">
        <v>1.6883015040576614E-3</v>
      </c>
      <c r="AL1635">
        <v>0</v>
      </c>
      <c r="AN1635" t="s">
        <v>54</v>
      </c>
      <c r="AQ1635">
        <v>7.5804737532189002E-5</v>
      </c>
    </row>
    <row r="1636" spans="1:43" x14ac:dyDescent="0.2">
      <c r="A1636">
        <v>1634</v>
      </c>
      <c r="B1636">
        <v>110</v>
      </c>
      <c r="C1636">
        <v>17</v>
      </c>
      <c r="D1636">
        <v>59344572.430842713</v>
      </c>
      <c r="E1636" t="s">
        <v>349</v>
      </c>
      <c r="F1636" t="s">
        <v>61</v>
      </c>
      <c r="G1636" t="s">
        <v>535</v>
      </c>
      <c r="H1636">
        <v>2.509146523453281E-3</v>
      </c>
      <c r="I1636">
        <v>1.6946534393302787E-6</v>
      </c>
      <c r="J1636">
        <v>3.46</v>
      </c>
      <c r="L1636" s="1">
        <v>44666</v>
      </c>
      <c r="M1636" s="1">
        <v>43024</v>
      </c>
      <c r="R1636">
        <v>2.3368507360076213E-3</v>
      </c>
      <c r="T1636" t="s">
        <v>39</v>
      </c>
      <c r="V1636">
        <v>60551578.722199999</v>
      </c>
      <c r="W1636" t="s">
        <v>350</v>
      </c>
      <c r="X1636" t="s">
        <v>536</v>
      </c>
      <c r="Y1636">
        <v>59344572.430842713</v>
      </c>
      <c r="Z1636" t="s">
        <v>31</v>
      </c>
      <c r="AA1636">
        <v>7.7584318976184287E-5</v>
      </c>
      <c r="AB1636">
        <v>102.02</v>
      </c>
      <c r="AC1636" t="s">
        <v>33</v>
      </c>
      <c r="AE1636" t="s">
        <v>35</v>
      </c>
      <c r="AF1636">
        <v>4.4900000000000002E-2</v>
      </c>
      <c r="AH1636" t="s">
        <v>237</v>
      </c>
      <c r="AJ1636">
        <v>7.2518685648938761E-4</v>
      </c>
      <c r="AK1636">
        <v>7.2518685648938761E-4</v>
      </c>
      <c r="AL1636">
        <v>0</v>
      </c>
      <c r="AN1636" t="s">
        <v>148</v>
      </c>
      <c r="AQ1636">
        <v>3.2560889856373503E-5</v>
      </c>
    </row>
    <row r="1637" spans="1:43" x14ac:dyDescent="0.2">
      <c r="A1637">
        <v>1635</v>
      </c>
      <c r="B1637">
        <v>110</v>
      </c>
      <c r="C1637">
        <v>17</v>
      </c>
      <c r="D1637">
        <v>1138964916.1813924</v>
      </c>
      <c r="E1637" t="s">
        <v>349</v>
      </c>
      <c r="F1637" t="s">
        <v>61</v>
      </c>
      <c r="G1637" t="s">
        <v>901</v>
      </c>
      <c r="H1637">
        <v>5.2648842940652293E-2</v>
      </c>
      <c r="I1637">
        <v>3.3252023615084585E-5</v>
      </c>
      <c r="J1637">
        <v>3.7</v>
      </c>
      <c r="L1637" s="1">
        <v>44525</v>
      </c>
      <c r="M1637" s="1">
        <v>43024</v>
      </c>
      <c r="R1637">
        <v>2.3368507360076213E-3</v>
      </c>
      <c r="T1637" t="s">
        <v>39</v>
      </c>
      <c r="V1637">
        <v>1188126420.9377</v>
      </c>
      <c r="W1637" t="s">
        <v>350</v>
      </c>
      <c r="X1637" t="s">
        <v>536</v>
      </c>
      <c r="Y1637">
        <v>1138964916.1813924</v>
      </c>
      <c r="Z1637" t="s">
        <v>31</v>
      </c>
      <c r="AA1637">
        <v>1.5223381647730151E-3</v>
      </c>
      <c r="AB1637">
        <v>102.29</v>
      </c>
      <c r="AC1637" t="s">
        <v>33</v>
      </c>
      <c r="AE1637" t="s">
        <v>35</v>
      </c>
      <c r="AF1637">
        <v>4.4499999999999998E-2</v>
      </c>
      <c r="AH1637" t="s">
        <v>237</v>
      </c>
      <c r="AJ1637">
        <v>1.4229417010987106E-2</v>
      </c>
      <c r="AK1637">
        <v>1.4229417010987106E-2</v>
      </c>
      <c r="AL1637">
        <v>0</v>
      </c>
      <c r="AN1637" t="s">
        <v>148</v>
      </c>
      <c r="AQ1637">
        <v>6.3320905698892619E-4</v>
      </c>
    </row>
    <row r="1638" spans="1:43" x14ac:dyDescent="0.2">
      <c r="A1638">
        <v>1636</v>
      </c>
      <c r="B1638">
        <v>110</v>
      </c>
      <c r="C1638">
        <v>17</v>
      </c>
      <c r="D1638">
        <v>683587956.7778511</v>
      </c>
      <c r="E1638" t="s">
        <v>488</v>
      </c>
      <c r="F1638" t="s">
        <v>61</v>
      </c>
      <c r="G1638" t="s">
        <v>537</v>
      </c>
      <c r="H1638">
        <v>3.0578851839656994E-2</v>
      </c>
      <c r="I1638">
        <v>1.9470902568874784E-5</v>
      </c>
      <c r="J1638">
        <v>3.67</v>
      </c>
      <c r="L1638" s="1">
        <v>44484</v>
      </c>
      <c r="M1638" s="1">
        <v>43024</v>
      </c>
      <c r="R1638">
        <v>2.3368507360076213E-3</v>
      </c>
      <c r="T1638" t="s">
        <v>39</v>
      </c>
      <c r="V1638">
        <v>695713862.3915</v>
      </c>
      <c r="W1638" t="s">
        <v>490</v>
      </c>
      <c r="X1638" t="s">
        <v>491</v>
      </c>
      <c r="Y1638">
        <v>683587956.7778511</v>
      </c>
      <c r="Z1638" t="s">
        <v>31</v>
      </c>
      <c r="AA1638">
        <v>8.9141335956854147E-4</v>
      </c>
      <c r="AB1638">
        <v>101.75</v>
      </c>
      <c r="AC1638" t="s">
        <v>33</v>
      </c>
      <c r="AE1638" t="s">
        <v>41</v>
      </c>
      <c r="AF1638">
        <v>4.5999999999999999E-2</v>
      </c>
      <c r="AH1638" t="s">
        <v>237</v>
      </c>
      <c r="AJ1638">
        <v>8.3321122178901894E-3</v>
      </c>
      <c r="AK1638">
        <v>8.3321122178901894E-3</v>
      </c>
      <c r="AL1638">
        <v>0</v>
      </c>
      <c r="AN1638" t="s">
        <v>148</v>
      </c>
      <c r="AQ1638">
        <v>3.8327716202294872E-4</v>
      </c>
    </row>
    <row r="1639" spans="1:43" x14ac:dyDescent="0.2">
      <c r="A1639">
        <v>1637</v>
      </c>
      <c r="B1639">
        <v>110</v>
      </c>
      <c r="C1639">
        <v>17</v>
      </c>
      <c r="D1639">
        <v>166757412.45289853</v>
      </c>
      <c r="E1639" t="s">
        <v>496</v>
      </c>
      <c r="F1639" t="s">
        <v>61</v>
      </c>
      <c r="G1639" t="s">
        <v>970</v>
      </c>
      <c r="H1639">
        <v>7.324851881777829E-3</v>
      </c>
      <c r="I1639">
        <v>4.7547459752998141E-6</v>
      </c>
      <c r="J1639">
        <v>3.6</v>
      </c>
      <c r="L1639" s="1">
        <v>44452</v>
      </c>
      <c r="M1639" s="1">
        <v>43024</v>
      </c>
      <c r="R1639">
        <v>2.3368507360076213E-3</v>
      </c>
      <c r="T1639" t="s">
        <v>39</v>
      </c>
      <c r="V1639">
        <v>169891594.67390001</v>
      </c>
      <c r="W1639" t="s">
        <v>498</v>
      </c>
      <c r="X1639" t="s">
        <v>499</v>
      </c>
      <c r="Y1639">
        <v>166757412.45289853</v>
      </c>
      <c r="Z1639" t="s">
        <v>31</v>
      </c>
      <c r="AA1639">
        <v>2.1768092510063576E-4</v>
      </c>
      <c r="AB1639">
        <v>101.44</v>
      </c>
      <c r="AC1639" t="s">
        <v>33</v>
      </c>
      <c r="AE1639" t="s">
        <v>43</v>
      </c>
      <c r="AF1639">
        <v>4.48E-2</v>
      </c>
      <c r="AH1639" t="s">
        <v>237</v>
      </c>
      <c r="AJ1639">
        <v>2.0346810782716192E-3</v>
      </c>
      <c r="AK1639">
        <v>2.0346810782716192E-3</v>
      </c>
      <c r="AL1639">
        <v>0</v>
      </c>
      <c r="AN1639" t="s">
        <v>148</v>
      </c>
      <c r="AQ1639">
        <v>9.1153712306568546E-5</v>
      </c>
    </row>
    <row r="1640" spans="1:43" x14ac:dyDescent="0.2">
      <c r="A1640">
        <v>1638</v>
      </c>
      <c r="B1640">
        <v>112</v>
      </c>
      <c r="C1640">
        <v>17</v>
      </c>
      <c r="D1640">
        <v>1254761718.1826181</v>
      </c>
      <c r="E1640" t="s">
        <v>326</v>
      </c>
      <c r="F1640" t="s">
        <v>61</v>
      </c>
      <c r="G1640" t="s">
        <v>830</v>
      </c>
      <c r="H1640">
        <v>0.13933709526438634</v>
      </c>
      <c r="I1640">
        <v>4.0858354558027605E-5</v>
      </c>
      <c r="J1640">
        <v>8.8800000000000008</v>
      </c>
      <c r="L1640" s="1">
        <v>48000</v>
      </c>
      <c r="M1640" s="1">
        <v>43024</v>
      </c>
      <c r="R1640">
        <v>2.6039166941642148E-3</v>
      </c>
      <c r="T1640" t="s">
        <v>39</v>
      </c>
      <c r="V1640">
        <v>1310175075.8238001</v>
      </c>
      <c r="W1640" t="s">
        <v>327</v>
      </c>
      <c r="X1640" t="s">
        <v>435</v>
      </c>
      <c r="Y1640">
        <v>1254761718.1826181</v>
      </c>
      <c r="Z1640" t="s">
        <v>31</v>
      </c>
      <c r="AA1640">
        <v>1.8705698400050498E-3</v>
      </c>
      <c r="AB1640">
        <v>101.8</v>
      </c>
      <c r="AC1640" t="s">
        <v>34</v>
      </c>
      <c r="AE1640" t="s">
        <v>35</v>
      </c>
      <c r="AF1640">
        <v>6.7799999999999999E-2</v>
      </c>
      <c r="AH1640" t="s">
        <v>237</v>
      </c>
      <c r="AJ1640">
        <v>1.5691114331575037E-2</v>
      </c>
      <c r="AK1640">
        <v>1.5691114331575037E-2</v>
      </c>
      <c r="AL1640">
        <v>0</v>
      </c>
      <c r="AN1640" t="s">
        <v>54</v>
      </c>
      <c r="AQ1640">
        <v>1.0638575516807875E-3</v>
      </c>
    </row>
    <row r="1641" spans="1:43" x14ac:dyDescent="0.2">
      <c r="A1641">
        <v>1639</v>
      </c>
      <c r="B1641">
        <v>112</v>
      </c>
      <c r="C1641">
        <v>17</v>
      </c>
      <c r="D1641">
        <v>103281991.03421254</v>
      </c>
      <c r="E1641" t="s">
        <v>242</v>
      </c>
      <c r="F1641" t="s">
        <v>61</v>
      </c>
      <c r="G1641" t="s">
        <v>613</v>
      </c>
      <c r="H1641">
        <v>9.946031022530024E-3</v>
      </c>
      <c r="I1641">
        <v>3.2949918855268582E-6</v>
      </c>
      <c r="J1641">
        <v>7.86</v>
      </c>
      <c r="L1641" s="1">
        <v>46481</v>
      </c>
      <c r="M1641" s="1">
        <v>43024</v>
      </c>
      <c r="R1641">
        <v>2.6039166941642148E-3</v>
      </c>
      <c r="T1641" t="s">
        <v>39</v>
      </c>
      <c r="V1641">
        <v>105658103.22409999</v>
      </c>
      <c r="W1641" t="s">
        <v>243</v>
      </c>
      <c r="X1641" t="s">
        <v>244</v>
      </c>
      <c r="Y1641">
        <v>103281991.03421254</v>
      </c>
      <c r="Z1641" t="s">
        <v>31</v>
      </c>
      <c r="AA1641">
        <v>1.5085072589926269E-4</v>
      </c>
      <c r="AB1641">
        <v>102.11020000000001</v>
      </c>
      <c r="AC1641" t="s">
        <v>33</v>
      </c>
      <c r="AE1641" t="s">
        <v>177</v>
      </c>
      <c r="AF1641">
        <v>0</v>
      </c>
      <c r="AH1641" t="s">
        <v>237</v>
      </c>
      <c r="AJ1641">
        <v>1.2653983489223949E-3</v>
      </c>
      <c r="AK1641">
        <v>1.2653983489223949E-3</v>
      </c>
      <c r="AL1641">
        <v>0</v>
      </c>
      <c r="AN1641" t="s">
        <v>148</v>
      </c>
      <c r="AQ1641">
        <v>0</v>
      </c>
    </row>
    <row r="1642" spans="1:43" x14ac:dyDescent="0.2">
      <c r="A1642">
        <v>1640</v>
      </c>
      <c r="B1642">
        <v>112</v>
      </c>
      <c r="C1642">
        <v>17</v>
      </c>
      <c r="D1642">
        <v>137723485.61381608</v>
      </c>
      <c r="E1642" t="s">
        <v>682</v>
      </c>
      <c r="F1642" t="s">
        <v>61</v>
      </c>
      <c r="G1642" t="s">
        <v>683</v>
      </c>
      <c r="H1642">
        <v>1.597699975609632E-2</v>
      </c>
      <c r="I1642">
        <v>4.5269615220410015E-6</v>
      </c>
      <c r="J1642">
        <v>9.19</v>
      </c>
      <c r="L1642" s="1">
        <v>47330</v>
      </c>
      <c r="M1642" s="1">
        <v>43024</v>
      </c>
      <c r="R1642">
        <v>2.6039166941642148E-3</v>
      </c>
      <c r="T1642" t="s">
        <v>39</v>
      </c>
      <c r="V1642">
        <v>145162775.6318</v>
      </c>
      <c r="W1642" t="s">
        <v>684</v>
      </c>
      <c r="X1642" t="s">
        <v>685</v>
      </c>
      <c r="Y1642">
        <v>137723485.61381608</v>
      </c>
      <c r="Z1642" t="s">
        <v>31</v>
      </c>
      <c r="AA1642">
        <v>2.0725253822854965E-4</v>
      </c>
      <c r="AB1642">
        <v>104.37739999999999</v>
      </c>
      <c r="AC1642" t="s">
        <v>34</v>
      </c>
      <c r="AE1642" t="s">
        <v>175</v>
      </c>
      <c r="AF1642">
        <v>0</v>
      </c>
      <c r="AH1642" t="s">
        <v>237</v>
      </c>
      <c r="AJ1642">
        <v>1.7385201040365965E-3</v>
      </c>
      <c r="AK1642">
        <v>1.7385201040365965E-3</v>
      </c>
      <c r="AL1642">
        <v>0</v>
      </c>
      <c r="AN1642" t="s">
        <v>54</v>
      </c>
      <c r="AQ1642">
        <v>0</v>
      </c>
    </row>
    <row r="1643" spans="1:43" x14ac:dyDescent="0.2">
      <c r="A1643">
        <v>1641</v>
      </c>
      <c r="B1643">
        <v>123</v>
      </c>
      <c r="C1643">
        <v>17</v>
      </c>
      <c r="D1643">
        <v>64137078.241529897</v>
      </c>
      <c r="E1643" t="s">
        <v>356</v>
      </c>
      <c r="F1643" t="s">
        <v>61</v>
      </c>
      <c r="G1643" t="s">
        <v>1105</v>
      </c>
      <c r="H1643">
        <v>1.1839457802525731E-3</v>
      </c>
      <c r="I1643">
        <v>5.5855909643925195E-6</v>
      </c>
      <c r="J1643">
        <v>1.42</v>
      </c>
      <c r="L1643" s="1">
        <v>43590</v>
      </c>
      <c r="M1643" s="1">
        <v>43024</v>
      </c>
      <c r="R1643">
        <v>6.6992418924330544E-3</v>
      </c>
      <c r="T1643" t="s">
        <v>39</v>
      </c>
      <c r="V1643">
        <v>69617594.994299993</v>
      </c>
      <c r="W1643" t="s">
        <v>357</v>
      </c>
      <c r="X1643" t="s">
        <v>1106</v>
      </c>
      <c r="Y1643">
        <v>64137078.241529897</v>
      </c>
      <c r="Z1643" t="s">
        <v>31</v>
      </c>
      <c r="AA1643">
        <v>2.5571852096389815E-4</v>
      </c>
      <c r="AB1643">
        <v>104.2491</v>
      </c>
      <c r="AC1643" t="s">
        <v>146</v>
      </c>
      <c r="AE1643" t="s">
        <v>177</v>
      </c>
      <c r="AF1643">
        <v>0</v>
      </c>
      <c r="AH1643" t="s">
        <v>237</v>
      </c>
      <c r="AJ1643">
        <v>8.337646339806853E-4</v>
      </c>
      <c r="AK1643">
        <v>8.337646339806853E-4</v>
      </c>
      <c r="AL1643">
        <v>0</v>
      </c>
      <c r="AN1643" t="s">
        <v>154</v>
      </c>
      <c r="AQ1643">
        <v>0</v>
      </c>
    </row>
    <row r="1644" spans="1:43" x14ac:dyDescent="0.2">
      <c r="A1644">
        <v>1642</v>
      </c>
      <c r="B1644">
        <v>123</v>
      </c>
      <c r="C1644">
        <v>17</v>
      </c>
      <c r="D1644">
        <v>79363937.822987035</v>
      </c>
      <c r="E1644" t="s">
        <v>361</v>
      </c>
      <c r="F1644" t="s">
        <v>61</v>
      </c>
      <c r="G1644" t="s">
        <v>1107</v>
      </c>
      <c r="H1644">
        <v>1.4903615182682993E-3</v>
      </c>
      <c r="I1644">
        <v>6.7008673275524309E-6</v>
      </c>
      <c r="J1644">
        <v>1.49</v>
      </c>
      <c r="L1644" s="1">
        <v>43595</v>
      </c>
      <c r="M1644" s="1">
        <v>43024</v>
      </c>
      <c r="R1644">
        <v>6.6992418924330544E-3</v>
      </c>
      <c r="T1644" t="s">
        <v>32</v>
      </c>
      <c r="V1644">
        <v>83518157.826800004</v>
      </c>
      <c r="W1644" t="s">
        <v>362</v>
      </c>
      <c r="X1644" t="s">
        <v>1108</v>
      </c>
      <c r="Y1644">
        <v>79363937.822987035</v>
      </c>
      <c r="Z1644" t="s">
        <v>31</v>
      </c>
      <c r="AA1644">
        <v>3.0677790283975407E-4</v>
      </c>
      <c r="AB1644">
        <v>102.81</v>
      </c>
      <c r="AC1644" t="s">
        <v>54</v>
      </c>
      <c r="AE1644" t="s">
        <v>44</v>
      </c>
      <c r="AF1644">
        <v>1.1911179129769932E-2</v>
      </c>
      <c r="AH1644" t="s">
        <v>237</v>
      </c>
      <c r="AJ1644">
        <v>1.000242629710268E-3</v>
      </c>
      <c r="AK1644">
        <v>1.000242629710268E-3</v>
      </c>
      <c r="AL1644">
        <v>0</v>
      </c>
      <c r="AN1644" t="s">
        <v>154</v>
      </c>
      <c r="AQ1644">
        <v>1.1914069135711138E-5</v>
      </c>
    </row>
    <row r="1645" spans="1:43" x14ac:dyDescent="0.2">
      <c r="A1645">
        <v>1643</v>
      </c>
      <c r="B1645">
        <v>123</v>
      </c>
      <c r="C1645">
        <v>17</v>
      </c>
      <c r="D1645">
        <v>46008399.278897919</v>
      </c>
      <c r="E1645" t="s">
        <v>393</v>
      </c>
      <c r="F1645" t="s">
        <v>61</v>
      </c>
      <c r="G1645" t="s">
        <v>1735</v>
      </c>
      <c r="H1645">
        <v>1.0477622940288096E-3</v>
      </c>
      <c r="I1645">
        <v>3.6943226597208217E-6</v>
      </c>
      <c r="J1645">
        <v>1.9</v>
      </c>
      <c r="L1645" s="1">
        <v>43733</v>
      </c>
      <c r="M1645" s="1">
        <v>43024</v>
      </c>
      <c r="R1645">
        <v>6.6992418924330544E-3</v>
      </c>
      <c r="T1645" t="s">
        <v>32</v>
      </c>
      <c r="V1645">
        <v>46045236.814199999</v>
      </c>
      <c r="W1645" t="s">
        <v>394</v>
      </c>
      <c r="X1645" t="s">
        <v>1136</v>
      </c>
      <c r="Y1645">
        <v>46008399.278897919</v>
      </c>
      <c r="Z1645" t="s">
        <v>31</v>
      </c>
      <c r="AA1645">
        <v>1.6913281558381493E-4</v>
      </c>
      <c r="AB1645">
        <v>99.91</v>
      </c>
      <c r="AC1645" t="s">
        <v>154</v>
      </c>
      <c r="AE1645" t="s">
        <v>35</v>
      </c>
      <c r="AF1645">
        <v>6.9111791297699343E-3</v>
      </c>
      <c r="AH1645" t="s">
        <v>237</v>
      </c>
      <c r="AJ1645">
        <v>5.5145383896253143E-4</v>
      </c>
      <c r="AK1645">
        <v>5.5145383896253143E-4</v>
      </c>
      <c r="AL1645">
        <v>0</v>
      </c>
      <c r="AN1645" t="s">
        <v>603</v>
      </c>
      <c r="AQ1645">
        <v>3.8111962628693576E-6</v>
      </c>
    </row>
    <row r="1646" spans="1:43" x14ac:dyDescent="0.2">
      <c r="A1646">
        <v>1644</v>
      </c>
      <c r="B1646">
        <v>124</v>
      </c>
      <c r="C1646">
        <v>17</v>
      </c>
      <c r="D1646">
        <v>13359735.124890603</v>
      </c>
      <c r="E1646" t="s">
        <v>1112</v>
      </c>
      <c r="F1646" t="s">
        <v>61</v>
      </c>
      <c r="G1646" t="s">
        <v>1113</v>
      </c>
      <c r="H1646">
        <v>4.1986314855136037E-4</v>
      </c>
      <c r="I1646">
        <v>1.3787000191450487E-6</v>
      </c>
      <c r="J1646">
        <v>2.4</v>
      </c>
      <c r="L1646" s="1">
        <v>43991</v>
      </c>
      <c r="M1646" s="1">
        <v>43024</v>
      </c>
      <c r="R1646">
        <v>7.8808536956973575E-3</v>
      </c>
      <c r="T1646" t="s">
        <v>39</v>
      </c>
      <c r="V1646">
        <v>14607371.1121</v>
      </c>
      <c r="W1646" t="s">
        <v>355</v>
      </c>
      <c r="X1646" t="s">
        <v>1006</v>
      </c>
      <c r="Y1646">
        <v>13359735.124890603</v>
      </c>
      <c r="Z1646" t="s">
        <v>31</v>
      </c>
      <c r="AA1646">
        <v>6.3119396317451923E-5</v>
      </c>
      <c r="AB1646">
        <v>106.73350000000001</v>
      </c>
      <c r="AC1646" t="s">
        <v>144</v>
      </c>
      <c r="AE1646" t="s">
        <v>57</v>
      </c>
      <c r="AF1646">
        <v>0</v>
      </c>
      <c r="AH1646" t="s">
        <v>237</v>
      </c>
      <c r="AJ1646">
        <v>1.7494297856306682E-4</v>
      </c>
      <c r="AK1646">
        <v>1.7494297856306682E-4</v>
      </c>
      <c r="AL1646">
        <v>0</v>
      </c>
      <c r="AN1646" t="s">
        <v>163</v>
      </c>
      <c r="AQ1646">
        <v>0</v>
      </c>
    </row>
    <row r="1647" spans="1:43" x14ac:dyDescent="0.2">
      <c r="A1647">
        <v>1645</v>
      </c>
      <c r="B1647">
        <v>125</v>
      </c>
      <c r="C1647">
        <v>17</v>
      </c>
      <c r="D1647">
        <v>5748569.2421981432</v>
      </c>
      <c r="E1647" t="s">
        <v>1121</v>
      </c>
      <c r="F1647" t="s">
        <v>61</v>
      </c>
      <c r="G1647" t="s">
        <v>1122</v>
      </c>
      <c r="H1647">
        <v>2.116506169441162E-4</v>
      </c>
      <c r="I1647">
        <v>8.6523488699236476E-7</v>
      </c>
      <c r="J1647">
        <v>3.06</v>
      </c>
      <c r="L1647" s="1">
        <v>45463</v>
      </c>
      <c r="M1647" s="1">
        <v>43024</v>
      </c>
      <c r="R1647">
        <v>1.2509383588972519E-2</v>
      </c>
      <c r="T1647" t="s">
        <v>32</v>
      </c>
      <c r="V1647">
        <v>5775288.1650999999</v>
      </c>
      <c r="W1647" t="s">
        <v>1123</v>
      </c>
      <c r="X1647" t="s">
        <v>1124</v>
      </c>
      <c r="Y1647">
        <v>5748569.2421981432</v>
      </c>
      <c r="Z1647" t="s">
        <v>31</v>
      </c>
      <c r="AA1647">
        <v>3.9612027983885248E-5</v>
      </c>
      <c r="AB1647">
        <v>98.97</v>
      </c>
      <c r="AC1647" t="s">
        <v>146</v>
      </c>
      <c r="AE1647" t="s">
        <v>165</v>
      </c>
      <c r="AF1647">
        <v>2.7411179129769932E-2</v>
      </c>
      <c r="AH1647" t="s">
        <v>237</v>
      </c>
      <c r="AJ1647">
        <v>6.9166868282390914E-5</v>
      </c>
      <c r="AK1647">
        <v>6.9166868282390914E-5</v>
      </c>
      <c r="AL1647">
        <v>0</v>
      </c>
      <c r="AN1647" t="s">
        <v>154</v>
      </c>
      <c r="AQ1647">
        <v>1.8959454163338196E-6</v>
      </c>
    </row>
    <row r="1648" spans="1:43" x14ac:dyDescent="0.2">
      <c r="A1648">
        <v>1646</v>
      </c>
      <c r="B1648">
        <v>125</v>
      </c>
      <c r="C1648">
        <v>17</v>
      </c>
      <c r="D1648">
        <v>53445495.001623012</v>
      </c>
      <c r="E1648" t="s">
        <v>1121</v>
      </c>
      <c r="F1648" t="s">
        <v>61</v>
      </c>
      <c r="G1648" t="s">
        <v>1125</v>
      </c>
      <c r="H1648">
        <v>2.6169588485802876E-3</v>
      </c>
      <c r="I1648">
        <v>8.9935555146831515E-6</v>
      </c>
      <c r="J1648">
        <v>3.64</v>
      </c>
      <c r="L1648" s="1">
        <v>44697</v>
      </c>
      <c r="M1648" s="1">
        <v>43024</v>
      </c>
      <c r="R1648">
        <v>1.2509383588972519E-2</v>
      </c>
      <c r="T1648" t="s">
        <v>39</v>
      </c>
      <c r="V1648">
        <v>60030374.996399999</v>
      </c>
      <c r="W1648" t="s">
        <v>1123</v>
      </c>
      <c r="X1648" t="s">
        <v>1124</v>
      </c>
      <c r="Y1648">
        <v>53445495.001623012</v>
      </c>
      <c r="Z1648" t="s">
        <v>31</v>
      </c>
      <c r="AA1648">
        <v>4.117413410832546E-4</v>
      </c>
      <c r="AB1648">
        <v>107.8968</v>
      </c>
      <c r="AC1648" t="s">
        <v>146</v>
      </c>
      <c r="AE1648" t="s">
        <v>165</v>
      </c>
      <c r="AF1648">
        <v>0</v>
      </c>
      <c r="AH1648" t="s">
        <v>237</v>
      </c>
      <c r="AJ1648">
        <v>7.1894473862095813E-4</v>
      </c>
      <c r="AK1648">
        <v>7.1894473862095813E-4</v>
      </c>
      <c r="AL1648">
        <v>0</v>
      </c>
      <c r="AN1648" t="s">
        <v>154</v>
      </c>
      <c r="AQ1648">
        <v>0</v>
      </c>
    </row>
    <row r="1649" spans="1:43" x14ac:dyDescent="0.2">
      <c r="A1649">
        <v>1647</v>
      </c>
      <c r="B1649">
        <v>125</v>
      </c>
      <c r="C1649">
        <v>17</v>
      </c>
      <c r="D1649">
        <v>166785042.9690347</v>
      </c>
      <c r="E1649" t="s">
        <v>354</v>
      </c>
      <c r="F1649" t="s">
        <v>61</v>
      </c>
      <c r="G1649" t="s">
        <v>1126</v>
      </c>
      <c r="H1649">
        <v>8.9291156719760491E-3</v>
      </c>
      <c r="I1649">
        <v>2.7177064002689657E-5</v>
      </c>
      <c r="J1649">
        <v>4.1100000000000003</v>
      </c>
      <c r="L1649" s="1">
        <v>44713</v>
      </c>
      <c r="M1649" s="1">
        <v>43024</v>
      </c>
      <c r="R1649">
        <v>1.2509383588972519E-2</v>
      </c>
      <c r="T1649" t="s">
        <v>32</v>
      </c>
      <c r="V1649">
        <v>181402042.90939999</v>
      </c>
      <c r="W1649" t="s">
        <v>355</v>
      </c>
      <c r="X1649" t="s">
        <v>1006</v>
      </c>
      <c r="Y1649">
        <v>166785042.9690347</v>
      </c>
      <c r="Z1649" t="s">
        <v>31</v>
      </c>
      <c r="AA1649">
        <v>1.2442154563791683E-3</v>
      </c>
      <c r="AB1649">
        <v>106.67</v>
      </c>
      <c r="AC1649" t="s">
        <v>146</v>
      </c>
      <c r="AE1649" t="s">
        <v>57</v>
      </c>
      <c r="AF1649">
        <v>1.3111179129769938E-2</v>
      </c>
      <c r="AH1649" t="s">
        <v>237</v>
      </c>
      <c r="AJ1649">
        <v>2.1725342267581624E-3</v>
      </c>
      <c r="AK1649">
        <v>2.1725342267581624E-3</v>
      </c>
      <c r="AL1649">
        <v>0</v>
      </c>
      <c r="AN1649" t="s">
        <v>154</v>
      </c>
      <c r="AQ1649">
        <v>2.8484485412582492E-5</v>
      </c>
    </row>
    <row r="1650" spans="1:43" x14ac:dyDescent="0.2">
      <c r="A1650">
        <v>1648</v>
      </c>
      <c r="B1650">
        <v>125</v>
      </c>
      <c r="C1650">
        <v>17</v>
      </c>
      <c r="D1650">
        <v>1141065.1247920727</v>
      </c>
      <c r="E1650" t="s">
        <v>356</v>
      </c>
      <c r="F1650" t="s">
        <v>61</v>
      </c>
      <c r="G1650" t="s">
        <v>1646</v>
      </c>
      <c r="H1650">
        <v>2.5706054708094918E-5</v>
      </c>
      <c r="I1650">
        <v>7.6929880120256539E-8</v>
      </c>
      <c r="J1650">
        <v>4.18</v>
      </c>
      <c r="L1650" s="1">
        <v>46310</v>
      </c>
      <c r="M1650" s="1">
        <v>43024</v>
      </c>
      <c r="R1650">
        <v>1.2509383588972519E-2</v>
      </c>
      <c r="T1650" t="s">
        <v>32</v>
      </c>
      <c r="V1650">
        <v>513493.19459999999</v>
      </c>
      <c r="W1650" t="s">
        <v>357</v>
      </c>
      <c r="X1650" t="s">
        <v>1106</v>
      </c>
      <c r="Y1650">
        <v>1141065.1247920727</v>
      </c>
      <c r="Z1650" t="s">
        <v>31</v>
      </c>
      <c r="AA1650">
        <v>3.5219899358351126E-6</v>
      </c>
      <c r="AB1650">
        <v>99.99</v>
      </c>
      <c r="AC1650" t="s">
        <v>54</v>
      </c>
      <c r="AE1650" t="s">
        <v>177</v>
      </c>
      <c r="AF1650">
        <v>2.3911179129769936E-2</v>
      </c>
      <c r="AH1650" t="s">
        <v>237</v>
      </c>
      <c r="AJ1650">
        <v>6.1497738536112248E-6</v>
      </c>
      <c r="AK1650">
        <v>6.1497738536112248E-6</v>
      </c>
      <c r="AL1650">
        <v>0</v>
      </c>
      <c r="AN1650" t="s">
        <v>154</v>
      </c>
      <c r="AQ1650">
        <v>1.4704834422127355E-7</v>
      </c>
    </row>
    <row r="1651" spans="1:43" x14ac:dyDescent="0.2">
      <c r="A1651">
        <v>1649</v>
      </c>
      <c r="B1651">
        <v>125</v>
      </c>
      <c r="C1651">
        <v>17</v>
      </c>
      <c r="D1651">
        <v>49458388.089137405</v>
      </c>
      <c r="E1651" t="s">
        <v>1127</v>
      </c>
      <c r="F1651" t="s">
        <v>61</v>
      </c>
      <c r="G1651" t="s">
        <v>1128</v>
      </c>
      <c r="H1651">
        <v>1.7940120285575502E-3</v>
      </c>
      <c r="I1651">
        <v>6.0005306493200845E-6</v>
      </c>
      <c r="J1651">
        <v>3.74</v>
      </c>
      <c r="L1651" s="1">
        <v>45627</v>
      </c>
      <c r="M1651" s="1">
        <v>43024</v>
      </c>
      <c r="R1651">
        <v>1.2509383588972519E-2</v>
      </c>
      <c r="T1651" t="s">
        <v>32</v>
      </c>
      <c r="V1651">
        <v>40052469.178400002</v>
      </c>
      <c r="W1651" t="s">
        <v>1129</v>
      </c>
      <c r="X1651" t="s">
        <v>1130</v>
      </c>
      <c r="Y1651">
        <v>49458388.089137405</v>
      </c>
      <c r="Z1651" t="s">
        <v>31</v>
      </c>
      <c r="AA1651">
        <v>2.7471521499239528E-4</v>
      </c>
      <c r="AB1651">
        <v>100.37</v>
      </c>
      <c r="AC1651" t="s">
        <v>148</v>
      </c>
      <c r="AE1651" t="s">
        <v>551</v>
      </c>
      <c r="AF1651">
        <v>4.0311179129769933E-2</v>
      </c>
      <c r="AH1651" t="s">
        <v>237</v>
      </c>
      <c r="AJ1651">
        <v>4.7968236057688507E-4</v>
      </c>
      <c r="AK1651">
        <v>4.7968236057688507E-4</v>
      </c>
      <c r="AL1651">
        <v>0</v>
      </c>
      <c r="AN1651" t="s">
        <v>144</v>
      </c>
      <c r="AQ1651">
        <v>1.9336561562605705E-5</v>
      </c>
    </row>
    <row r="1652" spans="1:43" x14ac:dyDescent="0.2">
      <c r="A1652">
        <v>1650</v>
      </c>
      <c r="B1652">
        <v>125</v>
      </c>
      <c r="C1652">
        <v>17</v>
      </c>
      <c r="D1652">
        <v>100070318.88666961</v>
      </c>
      <c r="E1652" t="s">
        <v>1131</v>
      </c>
      <c r="F1652" t="s">
        <v>61</v>
      </c>
      <c r="G1652" t="s">
        <v>1132</v>
      </c>
      <c r="H1652">
        <v>4.5514780161322391E-3</v>
      </c>
      <c r="I1652">
        <v>1.5305425914132748E-5</v>
      </c>
      <c r="J1652">
        <v>3.72</v>
      </c>
      <c r="L1652" s="1">
        <v>45704</v>
      </c>
      <c r="M1652" s="1">
        <v>43024</v>
      </c>
      <c r="R1652">
        <v>1.2509383588972519E-2</v>
      </c>
      <c r="T1652" t="s">
        <v>32</v>
      </c>
      <c r="V1652">
        <v>102160981.3388</v>
      </c>
      <c r="W1652" t="s">
        <v>1133</v>
      </c>
      <c r="X1652" t="s">
        <v>1134</v>
      </c>
      <c r="Y1652">
        <v>100070318.88666961</v>
      </c>
      <c r="Z1652" t="s">
        <v>31</v>
      </c>
      <c r="AA1652">
        <v>7.007102565216595E-4</v>
      </c>
      <c r="AB1652">
        <v>101.38</v>
      </c>
      <c r="AC1652" t="s">
        <v>148</v>
      </c>
      <c r="AE1652" t="s">
        <v>57</v>
      </c>
      <c r="AF1652">
        <v>1.4511179129769937E-2</v>
      </c>
      <c r="AH1652" t="s">
        <v>237</v>
      </c>
      <c r="AJ1652">
        <v>1.2235155957344727E-3</v>
      </c>
      <c r="AK1652">
        <v>1.2235155957344727E-3</v>
      </c>
      <c r="AL1652">
        <v>0</v>
      </c>
      <c r="AN1652" t="s">
        <v>144</v>
      </c>
      <c r="AQ1652">
        <v>1.775465397777011E-5</v>
      </c>
    </row>
    <row r="1653" spans="1:43" x14ac:dyDescent="0.2">
      <c r="A1653">
        <v>1651</v>
      </c>
      <c r="B1653">
        <v>125</v>
      </c>
      <c r="C1653">
        <v>17</v>
      </c>
      <c r="D1653">
        <v>79362845.831349015</v>
      </c>
      <c r="E1653" t="s">
        <v>393</v>
      </c>
      <c r="F1653" t="s">
        <v>61</v>
      </c>
      <c r="G1653" t="s">
        <v>1135</v>
      </c>
      <c r="H1653">
        <v>3.1394754692984661E-3</v>
      </c>
      <c r="I1653">
        <v>1.2196553699883237E-5</v>
      </c>
      <c r="J1653">
        <v>3.22</v>
      </c>
      <c r="L1653" s="1">
        <v>44280</v>
      </c>
      <c r="M1653" s="1">
        <v>43024</v>
      </c>
      <c r="R1653">
        <v>1.2509383588972519E-2</v>
      </c>
      <c r="T1653" t="s">
        <v>32</v>
      </c>
      <c r="V1653">
        <v>81409815.180700004</v>
      </c>
      <c r="W1653" t="s">
        <v>394</v>
      </c>
      <c r="X1653" t="s">
        <v>1136</v>
      </c>
      <c r="Y1653">
        <v>79362845.831349015</v>
      </c>
      <c r="Z1653" t="s">
        <v>31</v>
      </c>
      <c r="AA1653">
        <v>5.5838042793921383E-4</v>
      </c>
      <c r="AB1653">
        <v>102.32</v>
      </c>
      <c r="AC1653" t="s">
        <v>154</v>
      </c>
      <c r="AE1653" t="s">
        <v>35</v>
      </c>
      <c r="AF1653">
        <v>1.4011179129769936E-2</v>
      </c>
      <c r="AH1653" t="s">
        <v>237</v>
      </c>
      <c r="AJ1653">
        <v>9.7499238176970986E-4</v>
      </c>
      <c r="AK1653">
        <v>9.7499238176970986E-4</v>
      </c>
      <c r="AL1653">
        <v>0</v>
      </c>
      <c r="AN1653" t="s">
        <v>603</v>
      </c>
      <c r="AQ1653">
        <v>1.3660792911136441E-5</v>
      </c>
    </row>
    <row r="1654" spans="1:43" x14ac:dyDescent="0.2">
      <c r="A1654">
        <v>1652</v>
      </c>
      <c r="B1654">
        <v>125</v>
      </c>
      <c r="C1654">
        <v>17</v>
      </c>
      <c r="D1654">
        <v>83391057.993636802</v>
      </c>
      <c r="E1654" t="s">
        <v>393</v>
      </c>
      <c r="F1654" t="s">
        <v>61</v>
      </c>
      <c r="G1654" t="s">
        <v>1137</v>
      </c>
      <c r="H1654">
        <v>3.2988255153809259E-3</v>
      </c>
      <c r="I1654">
        <v>1.2815612970493777E-5</v>
      </c>
      <c r="J1654">
        <v>3.22</v>
      </c>
      <c r="L1654" s="1">
        <v>44280</v>
      </c>
      <c r="M1654" s="1">
        <v>43024</v>
      </c>
      <c r="R1654">
        <v>1.2509383588972519E-2</v>
      </c>
      <c r="T1654" t="s">
        <v>32</v>
      </c>
      <c r="V1654">
        <v>85541925.123099998</v>
      </c>
      <c r="W1654" t="s">
        <v>394</v>
      </c>
      <c r="X1654" t="s">
        <v>1136</v>
      </c>
      <c r="Y1654">
        <v>83391057.993636802</v>
      </c>
      <c r="Z1654" t="s">
        <v>31</v>
      </c>
      <c r="AA1654">
        <v>5.8672208812856393E-4</v>
      </c>
      <c r="AB1654">
        <v>102.32</v>
      </c>
      <c r="AC1654" t="s">
        <v>154</v>
      </c>
      <c r="AE1654" t="s">
        <v>35</v>
      </c>
      <c r="AF1654">
        <v>1.4011179129769936E-2</v>
      </c>
      <c r="AH1654" t="s">
        <v>237</v>
      </c>
      <c r="AJ1654">
        <v>1.0244799737207844E-3</v>
      </c>
      <c r="AK1654">
        <v>1.0244799737207844E-3</v>
      </c>
      <c r="AL1654">
        <v>0</v>
      </c>
      <c r="AN1654" t="s">
        <v>603</v>
      </c>
      <c r="AQ1654">
        <v>1.4354172426663906E-5</v>
      </c>
    </row>
    <row r="1655" spans="1:43" x14ac:dyDescent="0.2">
      <c r="A1655">
        <v>1653</v>
      </c>
      <c r="B1655">
        <v>126</v>
      </c>
      <c r="C1655">
        <v>17</v>
      </c>
      <c r="D1655">
        <v>72151751.822310522</v>
      </c>
      <c r="E1655" t="s">
        <v>1109</v>
      </c>
      <c r="F1655" t="s">
        <v>61</v>
      </c>
      <c r="G1655" t="s">
        <v>1632</v>
      </c>
      <c r="H1655">
        <v>4.9879390425617703E-3</v>
      </c>
      <c r="I1655">
        <v>3.9684238995387291E-5</v>
      </c>
      <c r="J1655">
        <v>5.67</v>
      </c>
      <c r="L1655" s="1">
        <v>45556</v>
      </c>
      <c r="M1655" s="1">
        <v>43024</v>
      </c>
      <c r="R1655">
        <v>4.5110742770481528E-2</v>
      </c>
      <c r="T1655" t="s">
        <v>39</v>
      </c>
      <c r="V1655">
        <v>73453691.212699994</v>
      </c>
      <c r="W1655" t="s">
        <v>1110</v>
      </c>
      <c r="X1655" t="s">
        <v>1111</v>
      </c>
      <c r="Y1655">
        <v>72151751.822310522</v>
      </c>
      <c r="Z1655" t="s">
        <v>31</v>
      </c>
      <c r="AA1655">
        <v>1.8168166924808055E-3</v>
      </c>
      <c r="AB1655">
        <v>101.3087</v>
      </c>
      <c r="AC1655" t="s">
        <v>144</v>
      </c>
      <c r="AE1655" t="s">
        <v>175</v>
      </c>
      <c r="AF1655">
        <v>0</v>
      </c>
      <c r="AH1655" t="s">
        <v>237</v>
      </c>
      <c r="AJ1655">
        <v>8.7970706218020648E-4</v>
      </c>
      <c r="AK1655">
        <v>8.7970706218020648E-4</v>
      </c>
      <c r="AL1655">
        <v>0</v>
      </c>
      <c r="AN1655" t="s">
        <v>163</v>
      </c>
      <c r="AQ1655">
        <v>0</v>
      </c>
    </row>
    <row r="1656" spans="1:43" x14ac:dyDescent="0.2">
      <c r="A1656">
        <v>1654</v>
      </c>
      <c r="B1656">
        <v>126</v>
      </c>
      <c r="C1656">
        <v>17</v>
      </c>
      <c r="D1656">
        <v>26721655.72665216</v>
      </c>
      <c r="E1656" t="s">
        <v>1138</v>
      </c>
      <c r="F1656" t="s">
        <v>61</v>
      </c>
      <c r="G1656" t="s">
        <v>1139</v>
      </c>
      <c r="H1656">
        <v>1.77153207286277E-3</v>
      </c>
      <c r="I1656">
        <v>1.5577997592313912E-5</v>
      </c>
      <c r="J1656">
        <v>5.13</v>
      </c>
      <c r="L1656" s="1">
        <v>45306</v>
      </c>
      <c r="M1656" s="1">
        <v>43024</v>
      </c>
      <c r="R1656">
        <v>4.5110742770481528E-2</v>
      </c>
      <c r="T1656" t="s">
        <v>39</v>
      </c>
      <c r="V1656">
        <v>28834153.150600001</v>
      </c>
      <c r="W1656" t="s">
        <v>1140</v>
      </c>
      <c r="X1656" t="s">
        <v>1141</v>
      </c>
      <c r="Y1656">
        <v>26721655.72665216</v>
      </c>
      <c r="Z1656" t="s">
        <v>31</v>
      </c>
      <c r="AA1656">
        <v>7.1318908407016319E-4</v>
      </c>
      <c r="AB1656">
        <v>106.1207</v>
      </c>
      <c r="AC1656" t="s">
        <v>149</v>
      </c>
      <c r="AE1656" t="s">
        <v>43</v>
      </c>
      <c r="AF1656">
        <v>0</v>
      </c>
      <c r="AH1656" t="s">
        <v>237</v>
      </c>
      <c r="AJ1656">
        <v>3.4532788944693373E-4</v>
      </c>
      <c r="AK1656">
        <v>3.4532788944693373E-4</v>
      </c>
      <c r="AL1656">
        <v>0</v>
      </c>
      <c r="AN1656" t="s">
        <v>1142</v>
      </c>
      <c r="AQ1656">
        <v>0</v>
      </c>
    </row>
    <row r="1657" spans="1:43" x14ac:dyDescent="0.2">
      <c r="A1657">
        <v>1655</v>
      </c>
      <c r="B1657">
        <v>127</v>
      </c>
      <c r="C1657">
        <v>17</v>
      </c>
      <c r="D1657">
        <v>57511735.656744063</v>
      </c>
      <c r="E1657" t="s">
        <v>354</v>
      </c>
      <c r="F1657" t="s">
        <v>61</v>
      </c>
      <c r="G1657" t="s">
        <v>1143</v>
      </c>
      <c r="H1657">
        <v>6.0975080108287326E-3</v>
      </c>
      <c r="I1657">
        <v>9.2098535821470738E-6</v>
      </c>
      <c r="J1657">
        <v>7.85</v>
      </c>
      <c r="L1657" s="1">
        <v>46753</v>
      </c>
      <c r="M1657" s="1">
        <v>43024</v>
      </c>
      <c r="R1657">
        <v>1.1856868493072853E-2</v>
      </c>
      <c r="T1657" t="s">
        <v>32</v>
      </c>
      <c r="V1657">
        <v>64857211.025600001</v>
      </c>
      <c r="W1657" t="s">
        <v>355</v>
      </c>
      <c r="X1657" t="s">
        <v>1006</v>
      </c>
      <c r="Y1657">
        <v>57511735.656744063</v>
      </c>
      <c r="Z1657" t="s">
        <v>31</v>
      </c>
      <c r="AA1657">
        <v>4.2164386030670427E-4</v>
      </c>
      <c r="AB1657">
        <v>110.39</v>
      </c>
      <c r="AC1657" t="s">
        <v>146</v>
      </c>
      <c r="AE1657" t="s">
        <v>57</v>
      </c>
      <c r="AF1657">
        <v>2.1311179129769937E-2</v>
      </c>
      <c r="AH1657" t="s">
        <v>237</v>
      </c>
      <c r="AJ1657">
        <v>7.7675261284442453E-4</v>
      </c>
      <c r="AK1657">
        <v>7.7675261284442453E-4</v>
      </c>
      <c r="AL1657">
        <v>0</v>
      </c>
      <c r="AN1657" t="s">
        <v>154</v>
      </c>
      <c r="AQ1657">
        <v>1.6553514071844367E-5</v>
      </c>
    </row>
    <row r="1658" spans="1:43" x14ac:dyDescent="0.2">
      <c r="A1658">
        <v>1656</v>
      </c>
      <c r="B1658">
        <v>129</v>
      </c>
      <c r="C1658">
        <v>17</v>
      </c>
      <c r="D1658">
        <v>3613071894.7791257</v>
      </c>
      <c r="E1658" t="s">
        <v>276</v>
      </c>
      <c r="F1658" t="s">
        <v>61</v>
      </c>
      <c r="G1658" t="s">
        <v>277</v>
      </c>
      <c r="H1658">
        <v>0.14042591106892485</v>
      </c>
      <c r="I1658">
        <v>1.8815626438518516E-4</v>
      </c>
      <c r="J1658">
        <v>3.15</v>
      </c>
      <c r="L1658" s="1">
        <v>44256</v>
      </c>
      <c r="M1658" s="1">
        <v>43024</v>
      </c>
      <c r="R1658">
        <v>4.2206757164810118E-3</v>
      </c>
      <c r="T1658" t="s">
        <v>39</v>
      </c>
      <c r="V1658">
        <v>3722307461.9449</v>
      </c>
      <c r="W1658" t="s">
        <v>278</v>
      </c>
      <c r="X1658" t="s">
        <v>279</v>
      </c>
      <c r="Y1658">
        <v>3613071894.7791257</v>
      </c>
      <c r="Z1658" t="s">
        <v>31</v>
      </c>
      <c r="AA1658">
        <v>8.6141362561991067E-3</v>
      </c>
      <c r="AB1658">
        <v>102.46</v>
      </c>
      <c r="AC1658" t="s">
        <v>42</v>
      </c>
      <c r="AE1658" t="s">
        <v>182</v>
      </c>
      <c r="AF1658">
        <v>3.7499999999999999E-2</v>
      </c>
      <c r="AH1658" t="s">
        <v>280</v>
      </c>
      <c r="AJ1658">
        <v>4.4579654307595196E-2</v>
      </c>
      <c r="AK1658">
        <v>4.4579654307595196E-2</v>
      </c>
      <c r="AL1658">
        <v>0</v>
      </c>
      <c r="AN1658" t="s">
        <v>142</v>
      </c>
      <c r="AQ1658">
        <v>1.6717370365348198E-3</v>
      </c>
    </row>
    <row r="1659" spans="1:43" x14ac:dyDescent="0.2">
      <c r="A1659">
        <v>1657</v>
      </c>
      <c r="B1659">
        <v>130</v>
      </c>
      <c r="C1659">
        <v>17</v>
      </c>
      <c r="D1659">
        <v>114910711.09464779</v>
      </c>
      <c r="E1659" t="s">
        <v>281</v>
      </c>
      <c r="F1659" t="s">
        <v>61</v>
      </c>
      <c r="G1659" t="s">
        <v>282</v>
      </c>
      <c r="H1659">
        <v>5.8929735234338121E-3</v>
      </c>
      <c r="I1659">
        <v>9.7170289882952376E-6</v>
      </c>
      <c r="J1659">
        <v>3.91</v>
      </c>
      <c r="L1659" s="1">
        <v>44621</v>
      </c>
      <c r="M1659" s="1">
        <v>43024</v>
      </c>
      <c r="R1659">
        <v>6.4472686315576169E-3</v>
      </c>
      <c r="T1659" t="s">
        <v>39</v>
      </c>
      <c r="V1659">
        <v>125844221.6446</v>
      </c>
      <c r="W1659" t="s">
        <v>283</v>
      </c>
      <c r="X1659" t="s">
        <v>284</v>
      </c>
      <c r="Y1659">
        <v>114910711.09464779</v>
      </c>
      <c r="Z1659" t="s">
        <v>31</v>
      </c>
      <c r="AA1659">
        <v>4.4486327353553855E-4</v>
      </c>
      <c r="AB1659">
        <v>108.72</v>
      </c>
      <c r="AC1659" t="s">
        <v>42</v>
      </c>
      <c r="AE1659" t="s">
        <v>182</v>
      </c>
      <c r="AF1659">
        <v>3.8399999999999997E-2</v>
      </c>
      <c r="AH1659" t="s">
        <v>280</v>
      </c>
      <c r="AJ1659">
        <v>1.5071543538193893E-3</v>
      </c>
      <c r="AK1659">
        <v>1.5071543538193893E-3</v>
      </c>
      <c r="AL1659">
        <v>0</v>
      </c>
      <c r="AN1659" t="s">
        <v>142</v>
      </c>
      <c r="AQ1659">
        <v>5.7874727186664544E-5</v>
      </c>
    </row>
    <row r="1660" spans="1:43" x14ac:dyDescent="0.2">
      <c r="A1660">
        <v>1658</v>
      </c>
      <c r="B1660">
        <v>134</v>
      </c>
      <c r="C1660">
        <v>17</v>
      </c>
      <c r="D1660">
        <v>3610133573.1577568</v>
      </c>
      <c r="E1660" t="s">
        <v>276</v>
      </c>
      <c r="F1660" t="s">
        <v>61</v>
      </c>
      <c r="G1660" t="s">
        <v>285</v>
      </c>
      <c r="H1660">
        <v>0.51342567322260557</v>
      </c>
      <c r="I1660">
        <v>2.627102780863759E-4</v>
      </c>
      <c r="J1660">
        <v>11.75</v>
      </c>
      <c r="L1660" s="1">
        <v>49369</v>
      </c>
      <c r="M1660" s="1">
        <v>43024</v>
      </c>
      <c r="R1660">
        <v>6.0122544089776268E-3</v>
      </c>
      <c r="T1660" t="s">
        <v>39</v>
      </c>
      <c r="V1660">
        <v>3648507649.4790001</v>
      </c>
      <c r="W1660" t="s">
        <v>278</v>
      </c>
      <c r="X1660" t="s">
        <v>279</v>
      </c>
      <c r="Y1660">
        <v>3610133573.1577568</v>
      </c>
      <c r="Z1660" t="s">
        <v>31</v>
      </c>
      <c r="AA1660">
        <v>1.2027354702935863E-2</v>
      </c>
      <c r="AB1660">
        <v>100.45</v>
      </c>
      <c r="AC1660" t="s">
        <v>42</v>
      </c>
      <c r="AE1660" t="s">
        <v>182</v>
      </c>
      <c r="AF1660">
        <v>5.0200000000000002E-2</v>
      </c>
      <c r="AH1660" t="s">
        <v>280</v>
      </c>
      <c r="AJ1660">
        <v>4.3695801976391967E-2</v>
      </c>
      <c r="AK1660">
        <v>4.3695801976391967E-2</v>
      </c>
      <c r="AL1660">
        <v>0</v>
      </c>
      <c r="AN1660" t="s">
        <v>142</v>
      </c>
      <c r="AQ1660">
        <v>2.1935292592148766E-3</v>
      </c>
    </row>
    <row r="1661" spans="1:43" x14ac:dyDescent="0.2">
      <c r="A1661">
        <v>1659</v>
      </c>
      <c r="B1661">
        <v>136</v>
      </c>
      <c r="C1661">
        <v>17</v>
      </c>
      <c r="D1661">
        <v>10000</v>
      </c>
      <c r="E1661" t="s">
        <v>286</v>
      </c>
      <c r="F1661" t="s">
        <v>61</v>
      </c>
      <c r="G1661" t="s">
        <v>1171</v>
      </c>
      <c r="H1661">
        <v>3.9046097947139933E-3</v>
      </c>
      <c r="I1661">
        <v>6.3195959400751532E-5</v>
      </c>
      <c r="J1661">
        <v>1.19</v>
      </c>
      <c r="L1661" s="1">
        <v>43466</v>
      </c>
      <c r="M1661" s="1">
        <v>43024</v>
      </c>
      <c r="R1661">
        <v>1.9260104246192119E-2</v>
      </c>
      <c r="T1661" t="s">
        <v>32</v>
      </c>
      <c r="V1661">
        <v>273972028</v>
      </c>
      <c r="W1661" t="s">
        <v>278</v>
      </c>
      <c r="X1661" t="s">
        <v>288</v>
      </c>
      <c r="Y1661">
        <v>10000</v>
      </c>
      <c r="Z1661" t="s">
        <v>31</v>
      </c>
      <c r="AA1661">
        <v>2.8932260474988643E-3</v>
      </c>
      <c r="AB1661">
        <v>101.87</v>
      </c>
      <c r="AC1661" t="s">
        <v>42</v>
      </c>
      <c r="AE1661" t="s">
        <v>182</v>
      </c>
      <c r="AF1661">
        <v>-9.3888208702300642E-3</v>
      </c>
      <c r="AH1661" t="s">
        <v>280</v>
      </c>
      <c r="AJ1661">
        <v>3.2811847014403307E-3</v>
      </c>
      <c r="AK1661">
        <v>3.2811847014403307E-3</v>
      </c>
      <c r="AL1661">
        <v>0</v>
      </c>
      <c r="AN1661" t="s">
        <v>142</v>
      </c>
      <c r="AQ1661">
        <v>-3.0806455403962577E-5</v>
      </c>
    </row>
    <row r="1662" spans="1:43" x14ac:dyDescent="0.2">
      <c r="A1662">
        <v>1660</v>
      </c>
      <c r="B1662">
        <v>136</v>
      </c>
      <c r="C1662">
        <v>17</v>
      </c>
      <c r="D1662">
        <v>41240136.734915935</v>
      </c>
      <c r="E1662" t="s">
        <v>286</v>
      </c>
      <c r="F1662" t="s">
        <v>61</v>
      </c>
      <c r="G1662" t="s">
        <v>287</v>
      </c>
      <c r="H1662">
        <v>1.1024732431341219E-3</v>
      </c>
      <c r="I1662">
        <v>9.9223128931778938E-6</v>
      </c>
      <c r="J1662">
        <v>2.14</v>
      </c>
      <c r="L1662" s="1">
        <v>43831</v>
      </c>
      <c r="M1662" s="1">
        <v>43024</v>
      </c>
      <c r="R1662">
        <v>1.9260104246192119E-2</v>
      </c>
      <c r="T1662" t="s">
        <v>32</v>
      </c>
      <c r="V1662">
        <v>43015980.951499999</v>
      </c>
      <c r="W1662" t="s">
        <v>278</v>
      </c>
      <c r="X1662" t="s">
        <v>288</v>
      </c>
      <c r="Y1662">
        <v>41240136.734915935</v>
      </c>
      <c r="Z1662" t="s">
        <v>31</v>
      </c>
      <c r="AA1662">
        <v>4.5426154434858863E-4</v>
      </c>
      <c r="AB1662">
        <v>103.39</v>
      </c>
      <c r="AC1662" t="s">
        <v>42</v>
      </c>
      <c r="AE1662" t="s">
        <v>182</v>
      </c>
      <c r="AF1662">
        <v>-9.3888208702300642E-3</v>
      </c>
      <c r="AH1662" t="s">
        <v>280</v>
      </c>
      <c r="AJ1662">
        <v>5.1517441267949612E-4</v>
      </c>
      <c r="AK1662">
        <v>5.1517441267949612E-4</v>
      </c>
      <c r="AL1662">
        <v>0</v>
      </c>
      <c r="AN1662" t="s">
        <v>142</v>
      </c>
      <c r="AQ1662">
        <v>-4.8368802775737688E-6</v>
      </c>
    </row>
    <row r="1663" spans="1:43" x14ac:dyDescent="0.2">
      <c r="A1663">
        <v>1661</v>
      </c>
      <c r="B1663">
        <v>136</v>
      </c>
      <c r="C1663">
        <v>17</v>
      </c>
      <c r="D1663">
        <v>5365</v>
      </c>
      <c r="E1663" t="s">
        <v>309</v>
      </c>
      <c r="F1663" t="s">
        <v>61</v>
      </c>
      <c r="G1663" t="s">
        <v>1172</v>
      </c>
      <c r="H1663">
        <v>4.7885582985661123E-5</v>
      </c>
      <c r="I1663">
        <v>2.4270561057724127E-6</v>
      </c>
      <c r="J1663">
        <v>0.38</v>
      </c>
      <c r="L1663" s="1">
        <v>43256</v>
      </c>
      <c r="M1663" s="1">
        <v>43024</v>
      </c>
      <c r="R1663">
        <v>1.9260104246192119E-2</v>
      </c>
      <c r="T1663" t="s">
        <v>32</v>
      </c>
      <c r="V1663">
        <v>10521962</v>
      </c>
      <c r="W1663" t="s">
        <v>311</v>
      </c>
      <c r="X1663" t="s">
        <v>312</v>
      </c>
      <c r="Y1663">
        <v>5365</v>
      </c>
      <c r="Z1663" t="s">
        <v>31</v>
      </c>
      <c r="AA1663">
        <v>1.1111504612869911E-4</v>
      </c>
      <c r="AB1663">
        <v>99.86</v>
      </c>
      <c r="AC1663" t="s">
        <v>42</v>
      </c>
      <c r="AE1663" t="s">
        <v>182</v>
      </c>
      <c r="AF1663">
        <v>1.0411179129769937E-2</v>
      </c>
      <c r="AH1663" t="s">
        <v>280</v>
      </c>
      <c r="AJ1663">
        <v>1.2601469206752926E-4</v>
      </c>
      <c r="AK1663">
        <v>1.2601469206752926E-4</v>
      </c>
      <c r="AL1663">
        <v>0</v>
      </c>
      <c r="AN1663" t="s">
        <v>142</v>
      </c>
      <c r="AQ1663">
        <v>1.311961532097846E-6</v>
      </c>
    </row>
    <row r="1664" spans="1:43" x14ac:dyDescent="0.2">
      <c r="A1664">
        <v>1662</v>
      </c>
      <c r="B1664">
        <v>136</v>
      </c>
      <c r="C1664">
        <v>17</v>
      </c>
      <c r="D1664">
        <v>3585</v>
      </c>
      <c r="E1664" t="s">
        <v>309</v>
      </c>
      <c r="F1664" t="s">
        <v>61</v>
      </c>
      <c r="G1664" t="s">
        <v>1173</v>
      </c>
      <c r="H1664">
        <v>5.7146718194122024E-5</v>
      </c>
      <c r="I1664">
        <v>2.158140685777557E-6</v>
      </c>
      <c r="J1664">
        <v>0.51</v>
      </c>
      <c r="L1664" s="1">
        <v>43348</v>
      </c>
      <c r="M1664" s="1">
        <v>43024</v>
      </c>
      <c r="R1664">
        <v>1.9260104246192119E-2</v>
      </c>
      <c r="T1664" t="s">
        <v>32</v>
      </c>
      <c r="V1664">
        <v>9356139</v>
      </c>
      <c r="W1664" t="s">
        <v>311</v>
      </c>
      <c r="X1664" t="s">
        <v>312</v>
      </c>
      <c r="Y1664">
        <v>3585</v>
      </c>
      <c r="Z1664" t="s">
        <v>31</v>
      </c>
      <c r="AA1664">
        <v>9.8803608734903314E-5</v>
      </c>
      <c r="AB1664">
        <v>100.03</v>
      </c>
      <c r="AC1664" t="s">
        <v>42</v>
      </c>
      <c r="AE1664" t="s">
        <v>182</v>
      </c>
      <c r="AF1664">
        <v>5.9111791297699334E-3</v>
      </c>
      <c r="AH1664" t="s">
        <v>280</v>
      </c>
      <c r="AJ1664">
        <v>1.1205238861592554E-4</v>
      </c>
      <c r="AK1664">
        <v>1.1205238861592554E-4</v>
      </c>
      <c r="AL1664">
        <v>0</v>
      </c>
      <c r="AN1664" t="s">
        <v>142</v>
      </c>
      <c r="AQ1664">
        <v>6.6236174102732912E-7</v>
      </c>
    </row>
    <row r="1665" spans="1:43" x14ac:dyDescent="0.2">
      <c r="A1665">
        <v>1663</v>
      </c>
      <c r="B1665">
        <v>136</v>
      </c>
      <c r="C1665">
        <v>17</v>
      </c>
      <c r="D1665">
        <v>2051</v>
      </c>
      <c r="E1665" t="s">
        <v>309</v>
      </c>
      <c r="F1665" t="s">
        <v>61</v>
      </c>
      <c r="G1665" t="s">
        <v>1174</v>
      </c>
      <c r="H1665">
        <v>2.1621770450531588E-6</v>
      </c>
      <c r="I1665">
        <v>3.2033657912651898E-7</v>
      </c>
      <c r="J1665">
        <v>0.13</v>
      </c>
      <c r="L1665" s="1">
        <v>43074</v>
      </c>
      <c r="M1665" s="1">
        <v>43024</v>
      </c>
      <c r="R1665">
        <v>1.9260104246192119E-2</v>
      </c>
      <c r="T1665" t="s">
        <v>32</v>
      </c>
      <c r="V1665">
        <v>1388748</v>
      </c>
      <c r="W1665" t="s">
        <v>311</v>
      </c>
      <c r="X1665" t="s">
        <v>312</v>
      </c>
      <c r="Y1665">
        <v>2051</v>
      </c>
      <c r="Z1665" t="s">
        <v>31</v>
      </c>
      <c r="AA1665">
        <v>1.4665591653071795E-5</v>
      </c>
      <c r="AB1665">
        <v>99.92</v>
      </c>
      <c r="AC1665" t="s">
        <v>42</v>
      </c>
      <c r="AE1665" t="s">
        <v>182</v>
      </c>
      <c r="AF1665">
        <v>1.7711179129769938E-2</v>
      </c>
      <c r="AH1665" t="s">
        <v>280</v>
      </c>
      <c r="AJ1665">
        <v>1.6632131115793528E-5</v>
      </c>
      <c r="AK1665">
        <v>1.6632131115793528E-5</v>
      </c>
      <c r="AL1665">
        <v>0</v>
      </c>
      <c r="AN1665" t="s">
        <v>142</v>
      </c>
      <c r="AQ1665">
        <v>2.9457465350163955E-7</v>
      </c>
    </row>
    <row r="1666" spans="1:43" x14ac:dyDescent="0.2">
      <c r="A1666">
        <v>1664</v>
      </c>
      <c r="B1666">
        <v>136</v>
      </c>
      <c r="C1666">
        <v>17</v>
      </c>
      <c r="D1666">
        <v>8904.9599999999991</v>
      </c>
      <c r="E1666" t="s">
        <v>306</v>
      </c>
      <c r="F1666" t="s">
        <v>61</v>
      </c>
      <c r="G1666" t="s">
        <v>1175</v>
      </c>
      <c r="H1666">
        <v>1.2654094351402976E-3</v>
      </c>
      <c r="I1666">
        <v>5.4159816966482699E-5</v>
      </c>
      <c r="J1666">
        <v>0.45</v>
      </c>
      <c r="L1666" s="1">
        <v>43191</v>
      </c>
      <c r="M1666" s="1">
        <v>43024</v>
      </c>
      <c r="R1666">
        <v>1.9260104246192119E-2</v>
      </c>
      <c r="T1666" t="s">
        <v>32</v>
      </c>
      <c r="V1666">
        <v>234797842</v>
      </c>
      <c r="W1666" t="s">
        <v>283</v>
      </c>
      <c r="X1666" t="s">
        <v>1176</v>
      </c>
      <c r="Y1666">
        <v>8904.9599999999991</v>
      </c>
      <c r="Z1666" t="s">
        <v>31</v>
      </c>
      <c r="AA1666">
        <v>2.4795349997223906E-3</v>
      </c>
      <c r="AB1666">
        <v>1.54</v>
      </c>
      <c r="AC1666" t="s">
        <v>42</v>
      </c>
      <c r="AE1666" t="s">
        <v>182</v>
      </c>
      <c r="AF1666">
        <v>9.1117912976993592E-4</v>
      </c>
      <c r="AH1666" t="s">
        <v>280</v>
      </c>
      <c r="AJ1666">
        <v>2.8120209669784389E-3</v>
      </c>
      <c r="AK1666">
        <v>2.8120209669784389E-3</v>
      </c>
      <c r="AL1666">
        <v>0</v>
      </c>
      <c r="AN1666" t="s">
        <v>142</v>
      </c>
      <c r="AQ1666">
        <v>2.5622548175862276E-6</v>
      </c>
    </row>
    <row r="1667" spans="1:43" x14ac:dyDescent="0.2">
      <c r="A1667">
        <v>1665</v>
      </c>
      <c r="B1667">
        <v>137</v>
      </c>
      <c r="C1667">
        <v>17</v>
      </c>
      <c r="D1667">
        <v>783909309.11327386</v>
      </c>
      <c r="E1667" t="s">
        <v>286</v>
      </c>
      <c r="F1667" t="s">
        <v>61</v>
      </c>
      <c r="G1667" t="s">
        <v>289</v>
      </c>
      <c r="H1667">
        <v>0.33703452266574213</v>
      </c>
      <c r="I1667">
        <v>2.7820985675967537E-3</v>
      </c>
      <c r="J1667">
        <v>3.3</v>
      </c>
      <c r="L1667" s="1">
        <v>44256</v>
      </c>
      <c r="M1667" s="1">
        <v>43024</v>
      </c>
      <c r="R1667">
        <v>2.7240311171845666E-2</v>
      </c>
      <c r="T1667" t="s">
        <v>32</v>
      </c>
      <c r="V1667">
        <v>8527780136.5937004</v>
      </c>
      <c r="W1667" t="s">
        <v>278</v>
      </c>
      <c r="X1667" t="s">
        <v>288</v>
      </c>
      <c r="Y1667">
        <v>783909309.11327386</v>
      </c>
      <c r="Z1667" t="s">
        <v>31</v>
      </c>
      <c r="AA1667">
        <v>0.12736953626159342</v>
      </c>
      <c r="AB1667">
        <v>100.12</v>
      </c>
      <c r="AC1667" t="s">
        <v>42</v>
      </c>
      <c r="AE1667" t="s">
        <v>182</v>
      </c>
      <c r="AF1667">
        <v>-8.8888208702300655E-3</v>
      </c>
      <c r="AH1667" t="s">
        <v>280</v>
      </c>
      <c r="AJ1667">
        <v>0.10213167353507338</v>
      </c>
      <c r="AK1667">
        <v>0.10213167353507338</v>
      </c>
      <c r="AL1667">
        <v>0</v>
      </c>
      <c r="AN1667" t="s">
        <v>142</v>
      </c>
      <c r="AQ1667">
        <v>-9.0783015123008389E-4</v>
      </c>
    </row>
    <row r="1668" spans="1:43" x14ac:dyDescent="0.2">
      <c r="A1668">
        <v>1666</v>
      </c>
      <c r="B1668">
        <v>138</v>
      </c>
      <c r="C1668">
        <v>17</v>
      </c>
      <c r="D1668">
        <v>11000</v>
      </c>
      <c r="E1668" t="s">
        <v>1177</v>
      </c>
      <c r="F1668" t="s">
        <v>61</v>
      </c>
      <c r="G1668" t="s">
        <v>1178</v>
      </c>
      <c r="H1668">
        <v>1.5482068624750182E-2</v>
      </c>
      <c r="I1668">
        <v>1.0950695354776231E-4</v>
      </c>
      <c r="J1668">
        <v>4.13</v>
      </c>
      <c r="L1668" s="1">
        <v>44621</v>
      </c>
      <c r="M1668" s="1">
        <v>43024</v>
      </c>
      <c r="R1668">
        <v>2.9212098790807165E-2</v>
      </c>
      <c r="T1668" t="s">
        <v>32</v>
      </c>
      <c r="V1668">
        <v>313007312</v>
      </c>
      <c r="W1668" t="s">
        <v>283</v>
      </c>
      <c r="X1668" t="s">
        <v>1179</v>
      </c>
      <c r="Y1668">
        <v>11000</v>
      </c>
      <c r="Z1668" t="s">
        <v>31</v>
      </c>
      <c r="AA1668">
        <v>5.013427652510111E-3</v>
      </c>
      <c r="AB1668">
        <v>106.33</v>
      </c>
      <c r="AC1668" t="s">
        <v>42</v>
      </c>
      <c r="AE1668" t="s">
        <v>182</v>
      </c>
      <c r="AF1668">
        <v>-8.5888208702300656E-3</v>
      </c>
      <c r="AH1668" t="s">
        <v>280</v>
      </c>
      <c r="AJ1668">
        <v>3.7486848970339423E-3</v>
      </c>
      <c r="AK1668">
        <v>3.7486848970339423E-3</v>
      </c>
      <c r="AL1668">
        <v>0</v>
      </c>
      <c r="AN1668" t="s">
        <v>142</v>
      </c>
      <c r="AQ1668">
        <v>-3.2196783079561368E-5</v>
      </c>
    </row>
    <row r="1669" spans="1:43" x14ac:dyDescent="0.2">
      <c r="A1669">
        <v>1667</v>
      </c>
      <c r="B1669">
        <v>140</v>
      </c>
      <c r="C1669">
        <v>17</v>
      </c>
      <c r="D1669">
        <v>570767634.32231379</v>
      </c>
      <c r="E1669" t="s">
        <v>286</v>
      </c>
      <c r="F1669" t="s">
        <v>61</v>
      </c>
      <c r="G1669" t="s">
        <v>290</v>
      </c>
      <c r="H1669">
        <v>0.73433416111767269</v>
      </c>
      <c r="I1669">
        <v>3.3878332203864862E-3</v>
      </c>
      <c r="J1669">
        <v>7.88</v>
      </c>
      <c r="L1669" s="1">
        <v>46082</v>
      </c>
      <c r="M1669" s="1">
        <v>43024</v>
      </c>
      <c r="R1669">
        <v>3.635419294128088E-2</v>
      </c>
      <c r="T1669" t="s">
        <v>32</v>
      </c>
      <c r="V1669">
        <v>7781136984.5102997</v>
      </c>
      <c r="W1669" t="s">
        <v>278</v>
      </c>
      <c r="X1669" t="s">
        <v>288</v>
      </c>
      <c r="Y1669">
        <v>570767634.32231379</v>
      </c>
      <c r="Z1669" t="s">
        <v>31</v>
      </c>
      <c r="AA1669">
        <v>0.15510117119430231</v>
      </c>
      <c r="AB1669">
        <v>97.14</v>
      </c>
      <c r="AC1669" t="s">
        <v>42</v>
      </c>
      <c r="AE1669" t="s">
        <v>182</v>
      </c>
      <c r="AF1669">
        <v>-4.7888208702300643E-3</v>
      </c>
      <c r="AH1669" t="s">
        <v>280</v>
      </c>
      <c r="AJ1669">
        <v>9.3189614355034603E-2</v>
      </c>
      <c r="AK1669">
        <v>9.3189614355034603E-2</v>
      </c>
      <c r="AL1669">
        <v>0</v>
      </c>
      <c r="AN1669" t="s">
        <v>142</v>
      </c>
      <c r="AQ1669">
        <v>-4.4626837011208089E-4</v>
      </c>
    </row>
    <row r="1670" spans="1:43" x14ac:dyDescent="0.2">
      <c r="A1670">
        <v>1668</v>
      </c>
      <c r="B1670">
        <v>142</v>
      </c>
      <c r="C1670">
        <v>17</v>
      </c>
      <c r="D1670">
        <v>38328820.838756353</v>
      </c>
      <c r="E1670" t="s">
        <v>286</v>
      </c>
      <c r="F1670" t="s">
        <v>61</v>
      </c>
      <c r="G1670" t="s">
        <v>291</v>
      </c>
      <c r="H1670">
        <v>0.16298861187156247</v>
      </c>
      <c r="I1670">
        <v>6.9266169768039893E-4</v>
      </c>
      <c r="J1670">
        <v>14.67</v>
      </c>
      <c r="L1670" s="1">
        <v>49369</v>
      </c>
      <c r="M1670" s="1">
        <v>43024</v>
      </c>
      <c r="R1670">
        <v>6.2343908499440139E-2</v>
      </c>
      <c r="T1670" t="s">
        <v>32</v>
      </c>
      <c r="V1670">
        <v>927689612.2974</v>
      </c>
      <c r="W1670" t="s">
        <v>278</v>
      </c>
      <c r="X1670" t="s">
        <v>288</v>
      </c>
      <c r="Y1670">
        <v>38328820.838756353</v>
      </c>
      <c r="Z1670" t="s">
        <v>31</v>
      </c>
      <c r="AA1670">
        <v>3.1711313268073936E-2</v>
      </c>
      <c r="AB1670">
        <v>96.59</v>
      </c>
      <c r="AC1670" t="s">
        <v>42</v>
      </c>
      <c r="AE1670" t="s">
        <v>182</v>
      </c>
      <c r="AF1670">
        <v>-1.0888208702300659E-3</v>
      </c>
      <c r="AH1670" t="s">
        <v>280</v>
      </c>
      <c r="AJ1670">
        <v>1.1110334824237386E-2</v>
      </c>
      <c r="AK1670">
        <v>1.1110334824237386E-2</v>
      </c>
      <c r="AL1670">
        <v>0</v>
      </c>
      <c r="AN1670" t="s">
        <v>142</v>
      </c>
      <c r="AQ1670">
        <v>-1.2097164431873556E-5</v>
      </c>
    </row>
    <row r="1671" spans="1:43" x14ac:dyDescent="0.2">
      <c r="A1671">
        <v>1669</v>
      </c>
      <c r="B1671">
        <v>144</v>
      </c>
      <c r="C1671">
        <v>17</v>
      </c>
      <c r="D1671">
        <v>187529022.24352482</v>
      </c>
      <c r="E1671" t="s">
        <v>206</v>
      </c>
      <c r="F1671" t="s">
        <v>61</v>
      </c>
      <c r="G1671" t="s">
        <v>207</v>
      </c>
      <c r="H1671">
        <v>0</v>
      </c>
      <c r="I1671">
        <v>1.7289209225238895E-7</v>
      </c>
      <c r="J1671">
        <v>0</v>
      </c>
      <c r="L1671" s="1">
        <v>43025</v>
      </c>
      <c r="M1671" s="1">
        <v>43024</v>
      </c>
      <c r="R1671">
        <v>7.30887996554706E-5</v>
      </c>
      <c r="T1671" t="s">
        <v>39</v>
      </c>
      <c r="V1671">
        <v>197514892.6049</v>
      </c>
      <c r="W1671" t="s">
        <v>206</v>
      </c>
      <c r="X1671" t="s">
        <v>208</v>
      </c>
      <c r="Y1671">
        <v>197529021.24352482</v>
      </c>
      <c r="Z1671" t="s">
        <v>31</v>
      </c>
      <c r="AA1671">
        <v>7.9153146728751097E-6</v>
      </c>
      <c r="AB1671">
        <v>99.993776666666676</v>
      </c>
      <c r="AC1671" t="s">
        <v>52</v>
      </c>
      <c r="AE1671" t="s">
        <v>41</v>
      </c>
      <c r="AF1671">
        <v>2.24E-2</v>
      </c>
      <c r="AH1671" t="s">
        <v>209</v>
      </c>
      <c r="AJ1671">
        <v>2.3655073426759746E-3</v>
      </c>
      <c r="AK1671">
        <v>2.3655073426759746E-3</v>
      </c>
      <c r="AL1671">
        <v>0</v>
      </c>
      <c r="AQ1671">
        <v>5.2987364475941831E-5</v>
      </c>
    </row>
    <row r="1672" spans="1:43" x14ac:dyDescent="0.2">
      <c r="A1672">
        <v>1670</v>
      </c>
      <c r="B1672">
        <v>144</v>
      </c>
      <c r="C1672">
        <v>17</v>
      </c>
      <c r="D1672">
        <v>19414237.778290186</v>
      </c>
      <c r="E1672" t="s">
        <v>206</v>
      </c>
      <c r="F1672" t="s">
        <v>61</v>
      </c>
      <c r="G1672" t="s">
        <v>207</v>
      </c>
      <c r="H1672">
        <v>2.3247759488016703E-6</v>
      </c>
      <c r="I1672">
        <v>1.6991508356582186E-8</v>
      </c>
      <c r="J1672">
        <v>0.01</v>
      </c>
      <c r="L1672" s="1">
        <v>43026</v>
      </c>
      <c r="M1672" s="1">
        <v>43024</v>
      </c>
      <c r="R1672">
        <v>7.30887996554706E-5</v>
      </c>
      <c r="T1672" t="s">
        <v>39</v>
      </c>
      <c r="V1672">
        <v>19411390.680300001</v>
      </c>
      <c r="W1672" t="s">
        <v>206</v>
      </c>
      <c r="X1672" t="s">
        <v>208</v>
      </c>
      <c r="Y1672">
        <v>19414237.778290186</v>
      </c>
      <c r="Z1672" t="s">
        <v>31</v>
      </c>
      <c r="AA1672">
        <v>7.7790217966013795E-7</v>
      </c>
      <c r="AB1672">
        <v>99.985335000000006</v>
      </c>
      <c r="AC1672" t="s">
        <v>52</v>
      </c>
      <c r="AE1672" t="s">
        <v>41</v>
      </c>
      <c r="AF1672">
        <v>2.64E-2</v>
      </c>
      <c r="AH1672" t="s">
        <v>209</v>
      </c>
      <c r="AJ1672">
        <v>2.3247759488016702E-4</v>
      </c>
      <c r="AK1672">
        <v>2.3247759488016702E-4</v>
      </c>
      <c r="AL1672">
        <v>0</v>
      </c>
      <c r="AQ1672">
        <v>6.1374085048364097E-6</v>
      </c>
    </row>
    <row r="1673" spans="1:43" x14ac:dyDescent="0.2">
      <c r="A1673">
        <v>1671</v>
      </c>
      <c r="B1673">
        <v>144</v>
      </c>
      <c r="C1673">
        <v>17</v>
      </c>
      <c r="D1673">
        <v>9706358.5756414738</v>
      </c>
      <c r="E1673" t="s">
        <v>228</v>
      </c>
      <c r="F1673" t="s">
        <v>61</v>
      </c>
      <c r="G1673" t="s">
        <v>207</v>
      </c>
      <c r="H1673">
        <v>0</v>
      </c>
      <c r="I1673">
        <v>8.4957541783348591E-9</v>
      </c>
      <c r="J1673">
        <v>0</v>
      </c>
      <c r="L1673" s="1">
        <v>43025</v>
      </c>
      <c r="M1673" s="1">
        <v>43024</v>
      </c>
      <c r="R1673">
        <v>7.30887996554706E-5</v>
      </c>
      <c r="T1673" t="s">
        <v>39</v>
      </c>
      <c r="V1673">
        <v>9705695.3401999995</v>
      </c>
      <c r="W1673" t="s">
        <v>229</v>
      </c>
      <c r="X1673" t="s">
        <v>230</v>
      </c>
      <c r="Y1673">
        <v>9706358.5756414738</v>
      </c>
      <c r="Z1673" t="s">
        <v>31</v>
      </c>
      <c r="AA1673">
        <v>3.8895108983207263E-7</v>
      </c>
      <c r="AB1673">
        <v>99.993167</v>
      </c>
      <c r="AC1673" t="s">
        <v>52</v>
      </c>
      <c r="AE1673" t="s">
        <v>41</v>
      </c>
      <c r="AF1673">
        <v>2.46E-2</v>
      </c>
      <c r="AH1673" t="s">
        <v>209</v>
      </c>
      <c r="AJ1673">
        <v>1.1623879744068232E-4</v>
      </c>
      <c r="AK1673">
        <v>1.1623879744068232E-4</v>
      </c>
      <c r="AL1673">
        <v>0</v>
      </c>
      <c r="AQ1673">
        <v>2.8594744170407848E-6</v>
      </c>
    </row>
    <row r="1674" spans="1:43" x14ac:dyDescent="0.2">
      <c r="A1674">
        <v>1672</v>
      </c>
      <c r="B1674">
        <v>144</v>
      </c>
      <c r="C1674">
        <v>17</v>
      </c>
      <c r="D1674">
        <v>116933255.06652033</v>
      </c>
      <c r="E1674" t="s">
        <v>228</v>
      </c>
      <c r="F1674" t="s">
        <v>61</v>
      </c>
      <c r="G1674" t="s">
        <v>207</v>
      </c>
      <c r="H1674">
        <v>1.4001394988799706E-5</v>
      </c>
      <c r="I1674">
        <v>1.0233451532334917E-7</v>
      </c>
      <c r="J1674">
        <v>0.01</v>
      </c>
      <c r="L1674" s="1">
        <v>43027</v>
      </c>
      <c r="M1674" s="1">
        <v>43024</v>
      </c>
      <c r="R1674">
        <v>7.30887996554706E-5</v>
      </c>
      <c r="T1674" t="s">
        <v>39</v>
      </c>
      <c r="V1674">
        <v>116908706.1215</v>
      </c>
      <c r="W1674" t="s">
        <v>229</v>
      </c>
      <c r="X1674" t="s">
        <v>230</v>
      </c>
      <c r="Y1674">
        <v>116933255.06652033</v>
      </c>
      <c r="Z1674" t="s">
        <v>31</v>
      </c>
      <c r="AA1674">
        <v>4.6850603756822547E-6</v>
      </c>
      <c r="AB1674">
        <v>99.980507000000003</v>
      </c>
      <c r="AC1674" t="s">
        <v>52</v>
      </c>
      <c r="AE1674" t="s">
        <v>41</v>
      </c>
      <c r="AF1674">
        <v>2.3400000000000001E-2</v>
      </c>
      <c r="AH1674" t="s">
        <v>209</v>
      </c>
      <c r="AJ1674">
        <v>1.4001394988799707E-3</v>
      </c>
      <c r="AK1674">
        <v>1.4001394988799707E-3</v>
      </c>
      <c r="AL1674">
        <v>0</v>
      </c>
      <c r="AQ1674">
        <v>3.2763264273791311E-5</v>
      </c>
    </row>
    <row r="1675" spans="1:43" x14ac:dyDescent="0.2">
      <c r="A1675">
        <v>1673</v>
      </c>
      <c r="B1675">
        <v>144</v>
      </c>
      <c r="C1675">
        <v>17</v>
      </c>
      <c r="D1675">
        <v>2425974.3781010085</v>
      </c>
      <c r="E1675" t="s">
        <v>210</v>
      </c>
      <c r="F1675" t="s">
        <v>61</v>
      </c>
      <c r="G1675" t="s">
        <v>207</v>
      </c>
      <c r="H1675">
        <v>2.904966839696695E-7</v>
      </c>
      <c r="I1675">
        <v>2.1232053935237734E-9</v>
      </c>
      <c r="J1675">
        <v>0.01</v>
      </c>
      <c r="L1675" s="1">
        <v>43026</v>
      </c>
      <c r="M1675" s="1">
        <v>43024</v>
      </c>
      <c r="R1675">
        <v>7.30887996554706E-5</v>
      </c>
      <c r="T1675" t="s">
        <v>39</v>
      </c>
      <c r="V1675">
        <v>2425586.2707000002</v>
      </c>
      <c r="W1675" t="s">
        <v>211</v>
      </c>
      <c r="X1675" t="s">
        <v>212</v>
      </c>
      <c r="Y1675">
        <v>2425974.3781010085</v>
      </c>
      <c r="Z1675" t="s">
        <v>31</v>
      </c>
      <c r="AA1675">
        <v>9.7204207468049057E-8</v>
      </c>
      <c r="AB1675">
        <v>99.984002000000004</v>
      </c>
      <c r="AC1675" t="s">
        <v>52</v>
      </c>
      <c r="AE1675" t="s">
        <v>41</v>
      </c>
      <c r="AF1675">
        <v>2.8799999999999999E-2</v>
      </c>
      <c r="AH1675" t="s">
        <v>209</v>
      </c>
      <c r="AJ1675">
        <v>2.9049668396966951E-5</v>
      </c>
      <c r="AK1675">
        <v>2.9049668396966951E-5</v>
      </c>
      <c r="AL1675">
        <v>0</v>
      </c>
      <c r="AQ1675">
        <v>8.3663044983264819E-7</v>
      </c>
    </row>
    <row r="1676" spans="1:43" x14ac:dyDescent="0.2">
      <c r="A1676">
        <v>1674</v>
      </c>
      <c r="B1676">
        <v>144</v>
      </c>
      <c r="C1676">
        <v>17</v>
      </c>
      <c r="D1676">
        <v>19413073.017227676</v>
      </c>
      <c r="E1676" t="s">
        <v>225</v>
      </c>
      <c r="F1676" t="s">
        <v>61</v>
      </c>
      <c r="G1676" t="s">
        <v>207</v>
      </c>
      <c r="H1676">
        <v>0</v>
      </c>
      <c r="I1676">
        <v>1.6991508356582186E-8</v>
      </c>
      <c r="J1676">
        <v>0</v>
      </c>
      <c r="L1676" s="1">
        <v>43025</v>
      </c>
      <c r="M1676" s="1">
        <v>43024</v>
      </c>
      <c r="R1676">
        <v>7.30887996554706E-5</v>
      </c>
      <c r="T1676" t="s">
        <v>39</v>
      </c>
      <c r="V1676">
        <v>19411390.680300001</v>
      </c>
      <c r="W1676" t="s">
        <v>226</v>
      </c>
      <c r="X1676" t="s">
        <v>227</v>
      </c>
      <c r="Y1676">
        <v>19413073.017227676</v>
      </c>
      <c r="Z1676" t="s">
        <v>31</v>
      </c>
      <c r="AA1676">
        <v>7.7790217966013795E-7</v>
      </c>
      <c r="AB1676">
        <v>99.991333999999995</v>
      </c>
      <c r="AC1676" t="s">
        <v>52</v>
      </c>
      <c r="AE1676" t="s">
        <v>41</v>
      </c>
      <c r="AF1676">
        <v>3.1199999999999999E-2</v>
      </c>
      <c r="AH1676" t="s">
        <v>209</v>
      </c>
      <c r="AJ1676">
        <v>2.3247759488016702E-4</v>
      </c>
      <c r="AK1676">
        <v>2.3247759488016702E-4</v>
      </c>
      <c r="AL1676">
        <v>0</v>
      </c>
      <c r="AQ1676">
        <v>7.2533009602612103E-6</v>
      </c>
    </row>
    <row r="1677" spans="1:43" x14ac:dyDescent="0.2">
      <c r="A1677">
        <v>1675</v>
      </c>
      <c r="B1677">
        <v>144</v>
      </c>
      <c r="C1677">
        <v>17</v>
      </c>
      <c r="D1677">
        <v>25338699.236463849</v>
      </c>
      <c r="E1677" t="s">
        <v>204</v>
      </c>
      <c r="F1677" t="s">
        <v>61</v>
      </c>
      <c r="G1677" t="s">
        <v>207</v>
      </c>
      <c r="H1677">
        <v>3.0341656411605274E-6</v>
      </c>
      <c r="I1677">
        <v>2.217635246682943E-8</v>
      </c>
      <c r="J1677">
        <v>0.01</v>
      </c>
      <c r="L1677" s="1">
        <v>43026</v>
      </c>
      <c r="M1677" s="1">
        <v>43024</v>
      </c>
      <c r="R1677">
        <v>7.30887996554706E-5</v>
      </c>
      <c r="T1677" t="s">
        <v>39</v>
      </c>
      <c r="V1677">
        <v>25334645.551399998</v>
      </c>
      <c r="W1677" t="s">
        <v>200</v>
      </c>
      <c r="X1677" t="s">
        <v>214</v>
      </c>
      <c r="Y1677">
        <v>25338699.236463849</v>
      </c>
      <c r="Z1677" t="s">
        <v>31</v>
      </c>
      <c r="AA1677">
        <v>1.0152737802218348E-6</v>
      </c>
      <c r="AB1677">
        <v>99.984002000000004</v>
      </c>
      <c r="AC1677" t="s">
        <v>52</v>
      </c>
      <c r="AE1677" t="s">
        <v>41</v>
      </c>
      <c r="AF1677">
        <v>2.8799999999999999E-2</v>
      </c>
      <c r="AH1677" t="s">
        <v>209</v>
      </c>
      <c r="AJ1677">
        <v>3.0341656411605274E-4</v>
      </c>
      <c r="AK1677">
        <v>3.0341656411605274E-4</v>
      </c>
      <c r="AL1677">
        <v>0</v>
      </c>
      <c r="AQ1677">
        <v>8.7383970465423185E-6</v>
      </c>
    </row>
    <row r="1678" spans="1:43" x14ac:dyDescent="0.2">
      <c r="A1678">
        <v>1676</v>
      </c>
      <c r="B1678">
        <v>144</v>
      </c>
      <c r="C1678">
        <v>17</v>
      </c>
      <c r="D1678">
        <v>38828718.932928756</v>
      </c>
      <c r="E1678" t="s">
        <v>204</v>
      </c>
      <c r="F1678" t="s">
        <v>61</v>
      </c>
      <c r="G1678" t="s">
        <v>207</v>
      </c>
      <c r="H1678">
        <v>4.6491506590991471E-6</v>
      </c>
      <c r="I1678">
        <v>3.3980084109099668E-8</v>
      </c>
      <c r="J1678">
        <v>0.01</v>
      </c>
      <c r="L1678" s="1">
        <v>43027</v>
      </c>
      <c r="M1678" s="1">
        <v>43024</v>
      </c>
      <c r="R1678">
        <v>7.30887996554706E-5</v>
      </c>
      <c r="T1678" t="s">
        <v>39</v>
      </c>
      <c r="V1678">
        <v>38819431.103399999</v>
      </c>
      <c r="W1678" t="s">
        <v>200</v>
      </c>
      <c r="X1678" t="s">
        <v>214</v>
      </c>
      <c r="Y1678">
        <v>38828718.932928756</v>
      </c>
      <c r="Z1678" t="s">
        <v>31</v>
      </c>
      <c r="AA1678">
        <v>1.5556700993684141E-6</v>
      </c>
      <c r="AB1678">
        <v>99.976079999999996</v>
      </c>
      <c r="AC1678" t="s">
        <v>52</v>
      </c>
      <c r="AE1678" t="s">
        <v>41</v>
      </c>
      <c r="AF1678">
        <v>2.7900000000000001E-2</v>
      </c>
      <c r="AH1678" t="s">
        <v>209</v>
      </c>
      <c r="AJ1678">
        <v>4.6491506590991472E-4</v>
      </c>
      <c r="AK1678">
        <v>4.6491506590991472E-4</v>
      </c>
      <c r="AL1678">
        <v>0</v>
      </c>
      <c r="AQ1678">
        <v>1.2971130338886621E-5</v>
      </c>
    </row>
    <row r="1679" spans="1:43" x14ac:dyDescent="0.2">
      <c r="A1679">
        <v>1677</v>
      </c>
      <c r="B1679">
        <v>144</v>
      </c>
      <c r="C1679">
        <v>17</v>
      </c>
      <c r="D1679">
        <v>2426039.0666513997</v>
      </c>
      <c r="E1679" t="s">
        <v>256</v>
      </c>
      <c r="F1679" t="s">
        <v>61</v>
      </c>
      <c r="G1679" t="s">
        <v>207</v>
      </c>
      <c r="H1679">
        <v>2.904966839696695E-7</v>
      </c>
      <c r="I1679">
        <v>2.1232053935237734E-9</v>
      </c>
      <c r="J1679">
        <v>0.01</v>
      </c>
      <c r="L1679" s="1">
        <v>43026</v>
      </c>
      <c r="M1679" s="1">
        <v>43024</v>
      </c>
      <c r="R1679">
        <v>7.30887996554706E-5</v>
      </c>
      <c r="T1679" t="s">
        <v>39</v>
      </c>
      <c r="V1679">
        <v>2425586.2707000002</v>
      </c>
      <c r="W1679" t="s">
        <v>248</v>
      </c>
      <c r="X1679" t="s">
        <v>257</v>
      </c>
      <c r="Y1679">
        <v>2426039.0666513997</v>
      </c>
      <c r="Z1679" t="s">
        <v>31</v>
      </c>
      <c r="AA1679">
        <v>9.7204207468049057E-8</v>
      </c>
      <c r="AB1679">
        <v>99.981335999999999</v>
      </c>
      <c r="AC1679" t="s">
        <v>52</v>
      </c>
      <c r="AE1679" t="s">
        <v>41</v>
      </c>
      <c r="AF1679">
        <v>3.3599999999999998E-2</v>
      </c>
      <c r="AH1679" t="s">
        <v>209</v>
      </c>
      <c r="AJ1679">
        <v>2.9049668396966951E-5</v>
      </c>
      <c r="AK1679">
        <v>2.9049668396966951E-5</v>
      </c>
      <c r="AL1679">
        <v>0</v>
      </c>
      <c r="AQ1679">
        <v>9.7606885813808942E-7</v>
      </c>
    </row>
    <row r="1680" spans="1:43" x14ac:dyDescent="0.2">
      <c r="A1680">
        <v>1678</v>
      </c>
      <c r="B1680">
        <v>145</v>
      </c>
      <c r="C1680">
        <v>17</v>
      </c>
      <c r="D1680">
        <v>44196532.592458732</v>
      </c>
      <c r="E1680" t="s">
        <v>254</v>
      </c>
      <c r="F1680" t="s">
        <v>61</v>
      </c>
      <c r="G1680" t="s">
        <v>207</v>
      </c>
      <c r="H1680">
        <v>3.9252757957467411E-4</v>
      </c>
      <c r="I1680">
        <v>4.6036733841901954E-7</v>
      </c>
      <c r="J1680">
        <v>0.76</v>
      </c>
      <c r="L1680" s="1">
        <v>43300</v>
      </c>
      <c r="M1680" s="1">
        <v>43024</v>
      </c>
      <c r="R1680">
        <v>8.9134928449503804E-4</v>
      </c>
      <c r="T1680" t="s">
        <v>39</v>
      </c>
      <c r="V1680">
        <v>43125300.129199997</v>
      </c>
      <c r="W1680" t="s">
        <v>249</v>
      </c>
      <c r="X1680" t="s">
        <v>255</v>
      </c>
      <c r="Y1680">
        <v>44196532.592458732</v>
      </c>
      <c r="Z1680" t="s">
        <v>31</v>
      </c>
      <c r="AA1680">
        <v>2.1076454690484407E-5</v>
      </c>
      <c r="AB1680">
        <v>97.576206999999997</v>
      </c>
      <c r="AC1680" t="s">
        <v>52</v>
      </c>
      <c r="AE1680" t="s">
        <v>41</v>
      </c>
      <c r="AF1680">
        <v>3.2399999999999998E-2</v>
      </c>
      <c r="AH1680" t="s">
        <v>209</v>
      </c>
      <c r="AJ1680">
        <v>5.1648365733509747E-4</v>
      </c>
      <c r="AK1680">
        <v>5.1648365733509747E-4</v>
      </c>
      <c r="AL1680">
        <v>0</v>
      </c>
      <c r="AQ1680">
        <v>1.6734070497657157E-5</v>
      </c>
    </row>
    <row r="1681" spans="1:43" x14ac:dyDescent="0.2">
      <c r="A1681">
        <v>1679</v>
      </c>
      <c r="B1681">
        <v>145</v>
      </c>
      <c r="C1681">
        <v>17</v>
      </c>
      <c r="D1681">
        <v>4851098.026925208</v>
      </c>
      <c r="E1681" t="s">
        <v>219</v>
      </c>
      <c r="F1681" t="s">
        <v>61</v>
      </c>
      <c r="G1681" t="s">
        <v>207</v>
      </c>
      <c r="H1681">
        <v>4.5890451297698799E-5</v>
      </c>
      <c r="I1681">
        <v>5.0499285097973101E-8</v>
      </c>
      <c r="J1681">
        <v>0.81</v>
      </c>
      <c r="L1681" s="1">
        <v>43318</v>
      </c>
      <c r="M1681" s="1">
        <v>43024</v>
      </c>
      <c r="R1681">
        <v>8.9134928449503804E-4</v>
      </c>
      <c r="T1681" t="s">
        <v>39</v>
      </c>
      <c r="V1681">
        <v>4730563.2794000003</v>
      </c>
      <c r="W1681" t="s">
        <v>220</v>
      </c>
      <c r="X1681" t="s">
        <v>221</v>
      </c>
      <c r="Y1681">
        <v>4851098.026925208</v>
      </c>
      <c r="Z1681" t="s">
        <v>31</v>
      </c>
      <c r="AA1681">
        <v>2.3119491880645379E-6</v>
      </c>
      <c r="AB1681">
        <v>97.515309999999999</v>
      </c>
      <c r="AC1681" t="s">
        <v>52</v>
      </c>
      <c r="AE1681" t="s">
        <v>41</v>
      </c>
      <c r="AF1681">
        <v>3.1199999999999999E-2</v>
      </c>
      <c r="AH1681" t="s">
        <v>209</v>
      </c>
      <c r="AJ1681">
        <v>5.6654878145307159E-5</v>
      </c>
      <c r="AK1681">
        <v>5.6654878145307159E-5</v>
      </c>
      <c r="AL1681">
        <v>0</v>
      </c>
      <c r="AQ1681">
        <v>1.7676321981335832E-6</v>
      </c>
    </row>
    <row r="1682" spans="1:43" x14ac:dyDescent="0.2">
      <c r="A1682">
        <v>1680</v>
      </c>
      <c r="B1682">
        <v>145</v>
      </c>
      <c r="C1682">
        <v>17</v>
      </c>
      <c r="D1682">
        <v>29120871.5788453</v>
      </c>
      <c r="E1682" t="s">
        <v>219</v>
      </c>
      <c r="F1682" t="s">
        <v>61</v>
      </c>
      <c r="G1682" t="s">
        <v>207</v>
      </c>
      <c r="H1682">
        <v>2.8204138477111549E-4</v>
      </c>
      <c r="I1682">
        <v>3.0288841748641392E-7</v>
      </c>
      <c r="J1682">
        <v>0.83</v>
      </c>
      <c r="L1682" s="1">
        <v>43328</v>
      </c>
      <c r="M1682" s="1">
        <v>43024</v>
      </c>
      <c r="R1682">
        <v>8.9134928449503804E-4</v>
      </c>
      <c r="T1682" t="s">
        <v>39</v>
      </c>
      <c r="V1682">
        <v>28373328.904300001</v>
      </c>
      <c r="W1682" t="s">
        <v>220</v>
      </c>
      <c r="X1682" t="s">
        <v>221</v>
      </c>
      <c r="Y1682">
        <v>29120871.5788453</v>
      </c>
      <c r="Z1682" t="s">
        <v>31</v>
      </c>
      <c r="AA1682">
        <v>1.3866783054914455E-5</v>
      </c>
      <c r="AB1682">
        <v>97.432965999999993</v>
      </c>
      <c r="AC1682" t="s">
        <v>52</v>
      </c>
      <c r="AE1682" t="s">
        <v>41</v>
      </c>
      <c r="AF1682">
        <v>3.1199999999999999E-2</v>
      </c>
      <c r="AH1682" t="s">
        <v>209</v>
      </c>
      <c r="AJ1682">
        <v>3.3980889731459701E-4</v>
      </c>
      <c r="AK1682">
        <v>3.3980889731459701E-4</v>
      </c>
      <c r="AL1682">
        <v>0</v>
      </c>
      <c r="AQ1682">
        <v>1.0602037596215427E-5</v>
      </c>
    </row>
    <row r="1683" spans="1:43" x14ac:dyDescent="0.2">
      <c r="A1683">
        <v>1681</v>
      </c>
      <c r="B1683">
        <v>145</v>
      </c>
      <c r="C1683">
        <v>17</v>
      </c>
      <c r="D1683">
        <v>19412005.769988105</v>
      </c>
      <c r="E1683" t="s">
        <v>225</v>
      </c>
      <c r="F1683" t="s">
        <v>61</v>
      </c>
      <c r="G1683" t="s">
        <v>207</v>
      </c>
      <c r="H1683">
        <v>1.7883922788250659E-4</v>
      </c>
      <c r="I1683">
        <v>2.0178255419331303E-7</v>
      </c>
      <c r="J1683">
        <v>0.79</v>
      </c>
      <c r="L1683" s="1">
        <v>43313</v>
      </c>
      <c r="M1683" s="1">
        <v>43024</v>
      </c>
      <c r="R1683">
        <v>8.9134928449503804E-4</v>
      </c>
      <c r="T1683" t="s">
        <v>39</v>
      </c>
      <c r="V1683">
        <v>18902151.573800001</v>
      </c>
      <c r="W1683" t="s">
        <v>226</v>
      </c>
      <c r="X1683" t="s">
        <v>227</v>
      </c>
      <c r="Y1683">
        <v>19412005.769988105</v>
      </c>
      <c r="Z1683" t="s">
        <v>31</v>
      </c>
      <c r="AA1683">
        <v>9.2379726055080944E-6</v>
      </c>
      <c r="AB1683">
        <v>97.373510999999993</v>
      </c>
      <c r="AC1683" t="s">
        <v>52</v>
      </c>
      <c r="AE1683" t="s">
        <v>41</v>
      </c>
      <c r="AF1683">
        <v>3.3599999999999998E-2</v>
      </c>
      <c r="AH1683" t="s">
        <v>209</v>
      </c>
      <c r="AJ1683">
        <v>2.2637876947152733E-4</v>
      </c>
      <c r="AK1683">
        <v>2.2637876947152733E-4</v>
      </c>
      <c r="AL1683">
        <v>0</v>
      </c>
      <c r="AQ1683">
        <v>7.6063266542433177E-6</v>
      </c>
    </row>
    <row r="1684" spans="1:43" x14ac:dyDescent="0.2">
      <c r="A1684">
        <v>1682</v>
      </c>
      <c r="B1684">
        <v>145</v>
      </c>
      <c r="C1684">
        <v>17</v>
      </c>
      <c r="D1684">
        <v>98087834.535833359</v>
      </c>
      <c r="E1684" t="s">
        <v>524</v>
      </c>
      <c r="F1684" t="s">
        <v>61</v>
      </c>
      <c r="G1684" t="s">
        <v>525</v>
      </c>
      <c r="H1684">
        <v>1.1645162227301214E-3</v>
      </c>
      <c r="I1684">
        <v>1.0591741856258756E-6</v>
      </c>
      <c r="J1684">
        <v>0.98</v>
      </c>
      <c r="L1684" s="1">
        <v>43388</v>
      </c>
      <c r="M1684" s="1">
        <v>43024</v>
      </c>
      <c r="R1684">
        <v>8.9134928449503804E-4</v>
      </c>
      <c r="T1684" t="s">
        <v>39</v>
      </c>
      <c r="V1684">
        <v>99219038.433699995</v>
      </c>
      <c r="W1684" t="s">
        <v>526</v>
      </c>
      <c r="X1684" t="s">
        <v>527</v>
      </c>
      <c r="Y1684">
        <v>98087834.535833359</v>
      </c>
      <c r="Z1684" t="s">
        <v>31</v>
      </c>
      <c r="AA1684">
        <v>4.8490922073963134E-5</v>
      </c>
      <c r="AB1684">
        <v>101.14</v>
      </c>
      <c r="AC1684" t="s">
        <v>42</v>
      </c>
      <c r="AE1684" t="s">
        <v>41</v>
      </c>
      <c r="AF1684">
        <v>3.6999999999999998E-2</v>
      </c>
      <c r="AH1684" t="s">
        <v>237</v>
      </c>
      <c r="AJ1684">
        <v>1.1882818599286953E-3</v>
      </c>
      <c r="AK1684">
        <v>1.1882818599286953E-3</v>
      </c>
      <c r="AL1684">
        <v>0</v>
      </c>
      <c r="AN1684" t="s">
        <v>142</v>
      </c>
      <c r="AQ1684">
        <v>4.3966428817361725E-5</v>
      </c>
    </row>
    <row r="1685" spans="1:43" x14ac:dyDescent="0.2">
      <c r="A1685">
        <v>1683</v>
      </c>
      <c r="B1685">
        <v>145</v>
      </c>
      <c r="C1685">
        <v>17</v>
      </c>
      <c r="D1685">
        <v>19413034.987835459</v>
      </c>
      <c r="E1685" t="s">
        <v>215</v>
      </c>
      <c r="F1685" t="s">
        <v>61</v>
      </c>
      <c r="G1685" t="s">
        <v>207</v>
      </c>
      <c r="H1685">
        <v>1.681141224093151E-4</v>
      </c>
      <c r="I1685">
        <v>2.0249784151764089E-7</v>
      </c>
      <c r="J1685">
        <v>0.74</v>
      </c>
      <c r="L1685" s="1">
        <v>43294</v>
      </c>
      <c r="M1685" s="1">
        <v>43024</v>
      </c>
      <c r="R1685">
        <v>8.9134928449503804E-4</v>
      </c>
      <c r="T1685" t="s">
        <v>39</v>
      </c>
      <c r="V1685">
        <v>18969156.7194</v>
      </c>
      <c r="W1685" t="s">
        <v>216</v>
      </c>
      <c r="X1685" t="s">
        <v>217</v>
      </c>
      <c r="Y1685">
        <v>19413034.987835459</v>
      </c>
      <c r="Z1685" t="s">
        <v>31</v>
      </c>
      <c r="AA1685">
        <v>9.2707197611461268E-6</v>
      </c>
      <c r="AB1685">
        <v>97.713504</v>
      </c>
      <c r="AC1685" t="s">
        <v>52</v>
      </c>
      <c r="AE1685" t="s">
        <v>41</v>
      </c>
      <c r="AF1685">
        <v>3.1199999999999999E-2</v>
      </c>
      <c r="AH1685" t="s">
        <v>209</v>
      </c>
      <c r="AJ1685">
        <v>2.2718124649907445E-4</v>
      </c>
      <c r="AK1685">
        <v>2.2718124649907445E-4</v>
      </c>
      <c r="AL1685">
        <v>0</v>
      </c>
      <c r="AQ1685">
        <v>7.0880548907711223E-6</v>
      </c>
    </row>
    <row r="1686" spans="1:43" x14ac:dyDescent="0.2">
      <c r="A1686">
        <v>1684</v>
      </c>
      <c r="B1686">
        <v>145</v>
      </c>
      <c r="C1686">
        <v>17</v>
      </c>
      <c r="D1686">
        <v>48534021.386470072</v>
      </c>
      <c r="E1686" t="s">
        <v>215</v>
      </c>
      <c r="F1686" t="s">
        <v>61</v>
      </c>
      <c r="G1686" t="s">
        <v>207</v>
      </c>
      <c r="H1686">
        <v>5.2509923802186178E-4</v>
      </c>
      <c r="I1686">
        <v>5.0327616139750117E-7</v>
      </c>
      <c r="J1686">
        <v>0.93</v>
      </c>
      <c r="L1686" s="1">
        <v>43364</v>
      </c>
      <c r="M1686" s="1">
        <v>43024</v>
      </c>
      <c r="R1686">
        <v>8.9134928449503804E-4</v>
      </c>
      <c r="T1686" t="s">
        <v>39</v>
      </c>
      <c r="V1686">
        <v>47144820.444200002</v>
      </c>
      <c r="W1686" t="s">
        <v>216</v>
      </c>
      <c r="X1686" t="s">
        <v>217</v>
      </c>
      <c r="Y1686">
        <v>48534021.386470072</v>
      </c>
      <c r="Z1686" t="s">
        <v>31</v>
      </c>
      <c r="AA1686">
        <v>2.3040898706938166E-5</v>
      </c>
      <c r="AB1686">
        <v>97.137675999999999</v>
      </c>
      <c r="AC1686" t="s">
        <v>52</v>
      </c>
      <c r="AE1686" t="s">
        <v>41</v>
      </c>
      <c r="AF1686">
        <v>3.1199999999999999E-2</v>
      </c>
      <c r="AH1686" t="s">
        <v>209</v>
      </c>
      <c r="AJ1686">
        <v>5.6462283658264699E-4</v>
      </c>
      <c r="AK1686">
        <v>5.6462283658264699E-4</v>
      </c>
      <c r="AL1686">
        <v>0</v>
      </c>
      <c r="AQ1686">
        <v>1.7616232501378585E-5</v>
      </c>
    </row>
    <row r="1687" spans="1:43" x14ac:dyDescent="0.2">
      <c r="A1687">
        <v>1685</v>
      </c>
      <c r="B1687">
        <v>145</v>
      </c>
      <c r="C1687">
        <v>17</v>
      </c>
      <c r="D1687">
        <v>20383261.493573491</v>
      </c>
      <c r="E1687" t="s">
        <v>215</v>
      </c>
      <c r="F1687" t="s">
        <v>61</v>
      </c>
      <c r="G1687" t="s">
        <v>207</v>
      </c>
      <c r="H1687">
        <v>2.3203543003846278E-4</v>
      </c>
      <c r="I1687">
        <v>2.1104552504314515E-7</v>
      </c>
      <c r="J1687">
        <v>0.98</v>
      </c>
      <c r="L1687" s="1">
        <v>43382</v>
      </c>
      <c r="M1687" s="1">
        <v>43024</v>
      </c>
      <c r="R1687">
        <v>8.9134928449503804E-4</v>
      </c>
      <c r="T1687" t="s">
        <v>39</v>
      </c>
      <c r="V1687">
        <v>19769868.2093</v>
      </c>
      <c r="W1687" t="s">
        <v>216</v>
      </c>
      <c r="X1687" t="s">
        <v>217</v>
      </c>
      <c r="Y1687">
        <v>20383261.493573491</v>
      </c>
      <c r="Z1687" t="s">
        <v>31</v>
      </c>
      <c r="AA1687">
        <v>9.662048271010822E-6</v>
      </c>
      <c r="AB1687">
        <v>96.990701000000001</v>
      </c>
      <c r="AC1687" t="s">
        <v>52</v>
      </c>
      <c r="AE1687" t="s">
        <v>41</v>
      </c>
      <c r="AF1687">
        <v>3.1199999999999999E-2</v>
      </c>
      <c r="AH1687" t="s">
        <v>209</v>
      </c>
      <c r="AJ1687">
        <v>2.3677084697802325E-4</v>
      </c>
      <c r="AK1687">
        <v>2.3677084697802325E-4</v>
      </c>
      <c r="AL1687">
        <v>0</v>
      </c>
      <c r="AQ1687">
        <v>7.3872504257143254E-6</v>
      </c>
    </row>
    <row r="1688" spans="1:43" x14ac:dyDescent="0.2">
      <c r="A1688">
        <v>1686</v>
      </c>
      <c r="B1688">
        <v>145</v>
      </c>
      <c r="C1688">
        <v>17</v>
      </c>
      <c r="D1688">
        <v>62169267.13629017</v>
      </c>
      <c r="E1688" t="s">
        <v>256</v>
      </c>
      <c r="F1688" t="s">
        <v>61</v>
      </c>
      <c r="G1688" t="s">
        <v>207</v>
      </c>
      <c r="H1688">
        <v>5.9501786901106708E-4</v>
      </c>
      <c r="I1688">
        <v>6.4679116073753288E-7</v>
      </c>
      <c r="J1688">
        <v>0.82</v>
      </c>
      <c r="L1688" s="1">
        <v>43325</v>
      </c>
      <c r="M1688" s="1">
        <v>43024</v>
      </c>
      <c r="R1688">
        <v>8.9134928449503804E-4</v>
      </c>
      <c r="T1688" t="s">
        <v>39</v>
      </c>
      <c r="V1688">
        <v>60588709.4934</v>
      </c>
      <c r="W1688" t="s">
        <v>248</v>
      </c>
      <c r="X1688" t="s">
        <v>257</v>
      </c>
      <c r="Y1688">
        <v>62169267.13629017</v>
      </c>
      <c r="Z1688" t="s">
        <v>31</v>
      </c>
      <c r="AA1688">
        <v>2.9611276595566663E-5</v>
      </c>
      <c r="AB1688">
        <v>97.457654750000003</v>
      </c>
      <c r="AC1688" t="s">
        <v>52</v>
      </c>
      <c r="AE1688" t="s">
        <v>41</v>
      </c>
      <c r="AF1688">
        <v>3.1199999999999999E-2</v>
      </c>
      <c r="AH1688" t="s">
        <v>209</v>
      </c>
      <c r="AJ1688">
        <v>7.2563154757447211E-4</v>
      </c>
      <c r="AK1688">
        <v>7.2563154757447211E-4</v>
      </c>
      <c r="AL1688">
        <v>0</v>
      </c>
      <c r="AQ1688">
        <v>2.2639704284323529E-5</v>
      </c>
    </row>
    <row r="1689" spans="1:43" x14ac:dyDescent="0.2">
      <c r="A1689">
        <v>1687</v>
      </c>
      <c r="B1689">
        <v>145</v>
      </c>
      <c r="C1689">
        <v>17</v>
      </c>
      <c r="D1689">
        <v>48533748.25307589</v>
      </c>
      <c r="E1689" t="s">
        <v>256</v>
      </c>
      <c r="F1689" t="s">
        <v>61</v>
      </c>
      <c r="G1689" t="s">
        <v>207</v>
      </c>
      <c r="H1689">
        <v>5.3616298880043603E-4</v>
      </c>
      <c r="I1689">
        <v>5.030615751999893E-7</v>
      </c>
      <c r="J1689">
        <v>0.95</v>
      </c>
      <c r="L1689" s="1">
        <v>43369</v>
      </c>
      <c r="M1689" s="1">
        <v>43024</v>
      </c>
      <c r="R1689">
        <v>8.9134928449503804E-4</v>
      </c>
      <c r="T1689" t="s">
        <v>39</v>
      </c>
      <c r="V1689">
        <v>47124718.9005</v>
      </c>
      <c r="W1689" t="s">
        <v>248</v>
      </c>
      <c r="X1689" t="s">
        <v>257</v>
      </c>
      <c r="Y1689">
        <v>48533748.25307589</v>
      </c>
      <c r="Z1689" t="s">
        <v>31</v>
      </c>
      <c r="AA1689">
        <v>2.3031074560236979E-5</v>
      </c>
      <c r="AB1689">
        <v>97.096805000000003</v>
      </c>
      <c r="AC1689" t="s">
        <v>52</v>
      </c>
      <c r="AE1689" t="s">
        <v>41</v>
      </c>
      <c r="AF1689">
        <v>3.1199999999999999E-2</v>
      </c>
      <c r="AH1689" t="s">
        <v>209</v>
      </c>
      <c r="AJ1689">
        <v>5.6438209347414324E-4</v>
      </c>
      <c r="AK1689">
        <v>5.6438209347414324E-4</v>
      </c>
      <c r="AL1689">
        <v>0</v>
      </c>
      <c r="AQ1689">
        <v>1.7608721316393268E-5</v>
      </c>
    </row>
    <row r="1690" spans="1:43" x14ac:dyDescent="0.2">
      <c r="A1690">
        <v>1688</v>
      </c>
      <c r="B1690">
        <v>146</v>
      </c>
      <c r="C1690">
        <v>17</v>
      </c>
      <c r="D1690">
        <v>88934878.466993704</v>
      </c>
      <c r="E1690" t="s">
        <v>203</v>
      </c>
      <c r="F1690" t="s">
        <v>61</v>
      </c>
      <c r="G1690" t="s">
        <v>207</v>
      </c>
      <c r="H1690">
        <v>3.3785806919931285E-4</v>
      </c>
      <c r="I1690">
        <v>3.5400410261794979E-7</v>
      </c>
      <c r="J1690">
        <v>0.32</v>
      </c>
      <c r="L1690" s="1">
        <v>43139</v>
      </c>
      <c r="M1690" s="1">
        <v>43024</v>
      </c>
      <c r="R1690">
        <v>3.3529260705895942E-4</v>
      </c>
      <c r="T1690" t="s">
        <v>39</v>
      </c>
      <c r="V1690">
        <v>88157621.424500003</v>
      </c>
      <c r="W1690" t="s">
        <v>181</v>
      </c>
      <c r="X1690" t="s">
        <v>236</v>
      </c>
      <c r="Y1690">
        <v>88934878.466993704</v>
      </c>
      <c r="Z1690" t="s">
        <v>31</v>
      </c>
      <c r="AA1690">
        <v>1.6206952158456084E-5</v>
      </c>
      <c r="AB1690">
        <v>99.126037999999994</v>
      </c>
      <c r="AC1690" t="s">
        <v>52</v>
      </c>
      <c r="AE1690" t="s">
        <v>41</v>
      </c>
      <c r="AF1690">
        <v>2.76E-2</v>
      </c>
      <c r="AH1690" t="s">
        <v>209</v>
      </c>
      <c r="AJ1690">
        <v>1.0558064662478527E-3</v>
      </c>
      <c r="AK1690">
        <v>1.0558064662478527E-3</v>
      </c>
      <c r="AL1690">
        <v>0</v>
      </c>
      <c r="AQ1690">
        <v>2.9140258468440734E-5</v>
      </c>
    </row>
    <row r="1691" spans="1:43" x14ac:dyDescent="0.2">
      <c r="A1691">
        <v>1689</v>
      </c>
      <c r="B1691">
        <v>146</v>
      </c>
      <c r="C1691">
        <v>17</v>
      </c>
      <c r="D1691">
        <v>12132134.261124128</v>
      </c>
      <c r="E1691" t="s">
        <v>206</v>
      </c>
      <c r="F1691" t="s">
        <v>61</v>
      </c>
      <c r="G1691" t="s">
        <v>207</v>
      </c>
      <c r="H1691">
        <v>3.6051280462495395E-5</v>
      </c>
      <c r="I1691">
        <v>4.835091125633524E-8</v>
      </c>
      <c r="J1691">
        <v>0.25</v>
      </c>
      <c r="L1691" s="1">
        <v>43115</v>
      </c>
      <c r="M1691" s="1">
        <v>43024</v>
      </c>
      <c r="R1691">
        <v>3.3529260705895942E-4</v>
      </c>
      <c r="T1691" t="s">
        <v>39</v>
      </c>
      <c r="V1691">
        <v>12040824.6643</v>
      </c>
      <c r="W1691" t="s">
        <v>206</v>
      </c>
      <c r="X1691" t="s">
        <v>208</v>
      </c>
      <c r="Y1691">
        <v>12132134.261124128</v>
      </c>
      <c r="Z1691" t="s">
        <v>31</v>
      </c>
      <c r="AA1691">
        <v>2.2135927232314723E-6</v>
      </c>
      <c r="AB1691">
        <v>99.247373999999994</v>
      </c>
      <c r="AC1691" t="s">
        <v>52</v>
      </c>
      <c r="AE1691" t="s">
        <v>41</v>
      </c>
      <c r="AF1691">
        <v>0.03</v>
      </c>
      <c r="AH1691" t="s">
        <v>209</v>
      </c>
      <c r="AJ1691">
        <v>1.4420512184998158E-4</v>
      </c>
      <c r="AK1691">
        <v>1.4420512184998158E-4</v>
      </c>
      <c r="AL1691">
        <v>0</v>
      </c>
      <c r="AQ1691">
        <v>4.3261536554994474E-6</v>
      </c>
    </row>
    <row r="1692" spans="1:43" x14ac:dyDescent="0.2">
      <c r="A1692">
        <v>1690</v>
      </c>
      <c r="B1692">
        <v>146</v>
      </c>
      <c r="C1692">
        <v>17</v>
      </c>
      <c r="D1692">
        <v>9706141.6162879281</v>
      </c>
      <c r="E1692" t="s">
        <v>206</v>
      </c>
      <c r="F1692" t="s">
        <v>61</v>
      </c>
      <c r="G1692" t="s">
        <v>207</v>
      </c>
      <c r="H1692">
        <v>3.3429989251933613E-5</v>
      </c>
      <c r="I1692">
        <v>3.8651131897357986E-8</v>
      </c>
      <c r="J1692">
        <v>0.28999999999999998</v>
      </c>
      <c r="L1692" s="1">
        <v>43129</v>
      </c>
      <c r="M1692" s="1">
        <v>43024</v>
      </c>
      <c r="R1692">
        <v>3.3529260705895942E-4</v>
      </c>
      <c r="T1692" t="s">
        <v>39</v>
      </c>
      <c r="V1692">
        <v>9625289.1654000003</v>
      </c>
      <c r="W1692" t="s">
        <v>206</v>
      </c>
      <c r="X1692" t="s">
        <v>208</v>
      </c>
      <c r="Y1692">
        <v>9706141.6162879281</v>
      </c>
      <c r="Z1692" t="s">
        <v>31</v>
      </c>
      <c r="AA1692">
        <v>1.7695191691230257E-6</v>
      </c>
      <c r="AB1692">
        <v>99.166996999999995</v>
      </c>
      <c r="AC1692" t="s">
        <v>52</v>
      </c>
      <c r="AE1692" t="s">
        <v>41</v>
      </c>
      <c r="AF1692">
        <v>2.8799999999999999E-2</v>
      </c>
      <c r="AH1692" t="s">
        <v>209</v>
      </c>
      <c r="AJ1692">
        <v>1.1527582500666765E-4</v>
      </c>
      <c r="AK1692">
        <v>1.1527582500666765E-4</v>
      </c>
      <c r="AL1692">
        <v>0</v>
      </c>
      <c r="AQ1692">
        <v>3.319943760192028E-6</v>
      </c>
    </row>
    <row r="1693" spans="1:43" x14ac:dyDescent="0.2">
      <c r="A1693">
        <v>1691</v>
      </c>
      <c r="B1693">
        <v>146</v>
      </c>
      <c r="C1693">
        <v>17</v>
      </c>
      <c r="D1693">
        <v>4852896.6509280615</v>
      </c>
      <c r="E1693" t="s">
        <v>206</v>
      </c>
      <c r="F1693" t="s">
        <v>61</v>
      </c>
      <c r="G1693" t="s">
        <v>207</v>
      </c>
      <c r="H1693">
        <v>1.7824218497214795E-5</v>
      </c>
      <c r="I1693">
        <v>1.9278479641031215E-8</v>
      </c>
      <c r="J1693">
        <v>0.31</v>
      </c>
      <c r="L1693" s="1">
        <v>43136</v>
      </c>
      <c r="M1693" s="1">
        <v>43024</v>
      </c>
      <c r="R1693">
        <v>3.3529260705895942E-4</v>
      </c>
      <c r="T1693" t="s">
        <v>39</v>
      </c>
      <c r="V1693">
        <v>4800918.6821999997</v>
      </c>
      <c r="W1693" t="s">
        <v>206</v>
      </c>
      <c r="X1693" t="s">
        <v>208</v>
      </c>
      <c r="Y1693">
        <v>4852896.6509280615</v>
      </c>
      <c r="Z1693" t="s">
        <v>31</v>
      </c>
      <c r="AA1693">
        <v>8.8260388769324961E-7</v>
      </c>
      <c r="AB1693">
        <v>98.928928999999997</v>
      </c>
      <c r="AC1693" t="s">
        <v>52</v>
      </c>
      <c r="AE1693" t="s">
        <v>41</v>
      </c>
      <c r="AF1693">
        <v>3.4799999999999998E-2</v>
      </c>
      <c r="AH1693" t="s">
        <v>209</v>
      </c>
      <c r="AJ1693">
        <v>5.7497479023273537E-5</v>
      </c>
      <c r="AK1693">
        <v>5.7497479023273537E-5</v>
      </c>
      <c r="AL1693">
        <v>0</v>
      </c>
      <c r="AQ1693">
        <v>2.0009122700099188E-6</v>
      </c>
    </row>
    <row r="1694" spans="1:43" x14ac:dyDescent="0.2">
      <c r="A1694">
        <v>1692</v>
      </c>
      <c r="B1694">
        <v>146</v>
      </c>
      <c r="C1694">
        <v>17</v>
      </c>
      <c r="D1694">
        <v>19413568.730218045</v>
      </c>
      <c r="E1694" t="s">
        <v>254</v>
      </c>
      <c r="F1694" t="s">
        <v>61</v>
      </c>
      <c r="G1694" t="s">
        <v>207</v>
      </c>
      <c r="H1694">
        <v>6.2303112703283327E-5</v>
      </c>
      <c r="I1694">
        <v>7.7369529948785317E-8</v>
      </c>
      <c r="J1694">
        <v>0.27</v>
      </c>
      <c r="L1694" s="1">
        <v>43123</v>
      </c>
      <c r="M1694" s="1">
        <v>43024</v>
      </c>
      <c r="R1694">
        <v>3.3529260705895942E-4</v>
      </c>
      <c r="T1694" t="s">
        <v>39</v>
      </c>
      <c r="V1694">
        <v>19267329.6173</v>
      </c>
      <c r="W1694" t="s">
        <v>249</v>
      </c>
      <c r="X1694" t="s">
        <v>255</v>
      </c>
      <c r="Y1694">
        <v>19413568.730218045</v>
      </c>
      <c r="Z1694" t="s">
        <v>31</v>
      </c>
      <c r="AA1694">
        <v>3.542117905213844E-6</v>
      </c>
      <c r="AB1694">
        <v>99.246717000000004</v>
      </c>
      <c r="AC1694" t="s">
        <v>52</v>
      </c>
      <c r="AE1694" t="s">
        <v>41</v>
      </c>
      <c r="AF1694">
        <v>2.76E-2</v>
      </c>
      <c r="AH1694" t="s">
        <v>209</v>
      </c>
      <c r="AJ1694">
        <v>2.307522692714197E-4</v>
      </c>
      <c r="AK1694">
        <v>2.307522692714197E-4</v>
      </c>
      <c r="AL1694">
        <v>0</v>
      </c>
      <c r="AQ1694">
        <v>6.3687626318911833E-6</v>
      </c>
    </row>
    <row r="1695" spans="1:43" x14ac:dyDescent="0.2">
      <c r="A1695">
        <v>1693</v>
      </c>
      <c r="B1695">
        <v>146</v>
      </c>
      <c r="C1695">
        <v>17</v>
      </c>
      <c r="D1695">
        <v>29120025.495045774</v>
      </c>
      <c r="E1695" t="s">
        <v>210</v>
      </c>
      <c r="F1695" t="s">
        <v>61</v>
      </c>
      <c r="G1695" t="s">
        <v>207</v>
      </c>
      <c r="H1695">
        <v>8.6577240309551983E-5</v>
      </c>
      <c r="I1695">
        <v>1.1611483446143886E-7</v>
      </c>
      <c r="J1695">
        <v>0.25</v>
      </c>
      <c r="L1695" s="1">
        <v>43116</v>
      </c>
      <c r="M1695" s="1">
        <v>43024</v>
      </c>
      <c r="R1695">
        <v>3.3529260705895942E-4</v>
      </c>
      <c r="T1695" t="s">
        <v>39</v>
      </c>
      <c r="V1695">
        <v>28916070.583700001</v>
      </c>
      <c r="W1695" t="s">
        <v>211</v>
      </c>
      <c r="X1695" t="s">
        <v>212</v>
      </c>
      <c r="Y1695">
        <v>29120025.495045774</v>
      </c>
      <c r="Z1695" t="s">
        <v>31</v>
      </c>
      <c r="AA1695">
        <v>5.3159484680733965E-6</v>
      </c>
      <c r="AB1695">
        <v>99.299605999999997</v>
      </c>
      <c r="AC1695" t="s">
        <v>52</v>
      </c>
      <c r="AE1695" t="s">
        <v>41</v>
      </c>
      <c r="AF1695">
        <v>2.76E-2</v>
      </c>
      <c r="AH1695" t="s">
        <v>209</v>
      </c>
      <c r="AJ1695">
        <v>3.4630896123820793E-4</v>
      </c>
      <c r="AK1695">
        <v>3.4630896123820793E-4</v>
      </c>
      <c r="AL1695">
        <v>0</v>
      </c>
      <c r="AQ1695">
        <v>9.5581273301745386E-6</v>
      </c>
    </row>
    <row r="1696" spans="1:43" x14ac:dyDescent="0.2">
      <c r="A1696">
        <v>1694</v>
      </c>
      <c r="B1696">
        <v>146</v>
      </c>
      <c r="C1696">
        <v>17</v>
      </c>
      <c r="D1696">
        <v>29403398.244256783</v>
      </c>
      <c r="E1696" t="s">
        <v>210</v>
      </c>
      <c r="F1696" t="s">
        <v>61</v>
      </c>
      <c r="G1696" t="s">
        <v>207</v>
      </c>
      <c r="H1696">
        <v>9.0895770433112479E-5</v>
      </c>
      <c r="I1696">
        <v>1.1721799938134984E-7</v>
      </c>
      <c r="J1696">
        <v>0.26</v>
      </c>
      <c r="L1696" s="1">
        <v>43119</v>
      </c>
      <c r="M1696" s="1">
        <v>43024</v>
      </c>
      <c r="R1696">
        <v>3.3529260705895942E-4</v>
      </c>
      <c r="T1696" t="s">
        <v>39</v>
      </c>
      <c r="V1696">
        <v>29190791.680599999</v>
      </c>
      <c r="W1696" t="s">
        <v>211</v>
      </c>
      <c r="X1696" t="s">
        <v>212</v>
      </c>
      <c r="Y1696">
        <v>29403398.244256783</v>
      </c>
      <c r="Z1696" t="s">
        <v>31</v>
      </c>
      <c r="AA1696">
        <v>5.3664533660326716E-6</v>
      </c>
      <c r="AB1696">
        <v>99.276932000000002</v>
      </c>
      <c r="AC1696" t="s">
        <v>52</v>
      </c>
      <c r="AE1696" t="s">
        <v>41</v>
      </c>
      <c r="AF1696">
        <v>2.76E-2</v>
      </c>
      <c r="AH1696" t="s">
        <v>209</v>
      </c>
      <c r="AJ1696">
        <v>3.4959911705043258E-4</v>
      </c>
      <c r="AK1696">
        <v>3.4959911705043258E-4</v>
      </c>
      <c r="AL1696">
        <v>0</v>
      </c>
      <c r="AQ1696">
        <v>9.6489356305919387E-6</v>
      </c>
    </row>
    <row r="1697" spans="1:43" x14ac:dyDescent="0.2">
      <c r="A1697">
        <v>1695</v>
      </c>
      <c r="B1697">
        <v>146</v>
      </c>
      <c r="C1697">
        <v>17</v>
      </c>
      <c r="D1697">
        <v>1</v>
      </c>
      <c r="E1697" t="s">
        <v>210</v>
      </c>
      <c r="F1697" t="s">
        <v>61</v>
      </c>
      <c r="G1697" t="s">
        <v>207</v>
      </c>
      <c r="H1697">
        <v>1.3892565169721571E-3</v>
      </c>
      <c r="I1697">
        <v>1.6062325498249796E-6</v>
      </c>
      <c r="J1697">
        <v>0.28999999999999998</v>
      </c>
      <c r="L1697" s="1">
        <v>43129</v>
      </c>
      <c r="M1697" s="1">
        <v>43024</v>
      </c>
      <c r="R1697">
        <v>3.3529260705895942E-4</v>
      </c>
      <c r="T1697" t="s">
        <v>39</v>
      </c>
      <c r="V1697">
        <v>400000000</v>
      </c>
      <c r="W1697" t="s">
        <v>211</v>
      </c>
      <c r="X1697" t="s">
        <v>212</v>
      </c>
      <c r="Y1697">
        <v>403220000</v>
      </c>
      <c r="Z1697" t="s">
        <v>31</v>
      </c>
      <c r="AA1697">
        <v>7.3536249715339927E-5</v>
      </c>
      <c r="AB1697">
        <v>99.201428000000007</v>
      </c>
      <c r="AC1697" t="s">
        <v>52</v>
      </c>
      <c r="AE1697" t="s">
        <v>41</v>
      </c>
      <c r="AF1697">
        <v>2.76E-2</v>
      </c>
      <c r="AH1697" t="s">
        <v>209</v>
      </c>
      <c r="AJ1697">
        <v>4.7905397136970935E-3</v>
      </c>
      <c r="AK1697">
        <v>4.7905397136970935E-3</v>
      </c>
      <c r="AL1697">
        <v>0</v>
      </c>
      <c r="AQ1697">
        <v>1.3221889609803977E-4</v>
      </c>
    </row>
    <row r="1698" spans="1:43" x14ac:dyDescent="0.2">
      <c r="A1698">
        <v>1696</v>
      </c>
      <c r="B1698">
        <v>146</v>
      </c>
      <c r="C1698">
        <v>17</v>
      </c>
      <c r="D1698">
        <v>1</v>
      </c>
      <c r="E1698" t="s">
        <v>222</v>
      </c>
      <c r="F1698" t="s">
        <v>61</v>
      </c>
      <c r="G1698" t="s">
        <v>207</v>
      </c>
      <c r="H1698">
        <v>2.6276439679233879E-6</v>
      </c>
      <c r="I1698">
        <v>3.5241183857111257E-9</v>
      </c>
      <c r="J1698">
        <v>0.25</v>
      </c>
      <c r="L1698" s="1">
        <v>43115</v>
      </c>
      <c r="M1698" s="1">
        <v>43024</v>
      </c>
      <c r="R1698">
        <v>3.3529260705895942E-4</v>
      </c>
      <c r="T1698" t="s">
        <v>39</v>
      </c>
      <c r="V1698">
        <v>877611</v>
      </c>
      <c r="W1698" t="s">
        <v>223</v>
      </c>
      <c r="X1698" t="s">
        <v>224</v>
      </c>
      <c r="Y1698">
        <v>884000</v>
      </c>
      <c r="Z1698" t="s">
        <v>31</v>
      </c>
      <c r="AA1698">
        <v>1.6134055412232298E-7</v>
      </c>
      <c r="AB1698">
        <v>99.277261999999993</v>
      </c>
      <c r="AC1698" t="s">
        <v>218</v>
      </c>
      <c r="AE1698" t="s">
        <v>41</v>
      </c>
      <c r="AF1698">
        <v>2.8799999999999999E-2</v>
      </c>
      <c r="AH1698" t="s">
        <v>209</v>
      </c>
      <c r="AJ1698">
        <v>1.0510575871693551E-5</v>
      </c>
      <c r="AK1698">
        <v>1.0510575871693551E-5</v>
      </c>
      <c r="AL1698">
        <v>0</v>
      </c>
      <c r="AQ1698">
        <v>3.0270458510477426E-7</v>
      </c>
    </row>
    <row r="1699" spans="1:43" x14ac:dyDescent="0.2">
      <c r="A1699">
        <v>1697</v>
      </c>
      <c r="B1699">
        <v>146</v>
      </c>
      <c r="C1699">
        <v>17</v>
      </c>
      <c r="D1699">
        <v>5796534.5526171504</v>
      </c>
      <c r="E1699" t="s">
        <v>222</v>
      </c>
      <c r="F1699" t="s">
        <v>61</v>
      </c>
      <c r="G1699" t="s">
        <v>207</v>
      </c>
      <c r="H1699">
        <v>1.7227160452343614E-5</v>
      </c>
      <c r="I1699">
        <v>2.3104558161157172E-8</v>
      </c>
      <c r="J1699">
        <v>0.25</v>
      </c>
      <c r="L1699" s="1">
        <v>43117</v>
      </c>
      <c r="M1699" s="1">
        <v>43024</v>
      </c>
      <c r="R1699">
        <v>3.3529260705895942E-4</v>
      </c>
      <c r="T1699" t="s">
        <v>39</v>
      </c>
      <c r="V1699">
        <v>5753726.7971999999</v>
      </c>
      <c r="W1699" t="s">
        <v>223</v>
      </c>
      <c r="X1699" t="s">
        <v>224</v>
      </c>
      <c r="Y1699">
        <v>5796534.5526171504</v>
      </c>
      <c r="Z1699" t="s">
        <v>31</v>
      </c>
      <c r="AA1699">
        <v>1.0577687263818555E-6</v>
      </c>
      <c r="AB1699">
        <v>99.261493999999999</v>
      </c>
      <c r="AC1699" t="s">
        <v>218</v>
      </c>
      <c r="AE1699" t="s">
        <v>41</v>
      </c>
      <c r="AF1699">
        <v>2.8799999999999999E-2</v>
      </c>
      <c r="AH1699" t="s">
        <v>209</v>
      </c>
      <c r="AJ1699">
        <v>6.8908641809374457E-5</v>
      </c>
      <c r="AK1699">
        <v>6.8908641809374457E-5</v>
      </c>
      <c r="AL1699">
        <v>0</v>
      </c>
      <c r="AQ1699">
        <v>1.9845688841099845E-6</v>
      </c>
    </row>
    <row r="1700" spans="1:43" x14ac:dyDescent="0.2">
      <c r="A1700">
        <v>1698</v>
      </c>
      <c r="B1700">
        <v>146</v>
      </c>
      <c r="C1700">
        <v>17</v>
      </c>
      <c r="D1700">
        <v>9591407.388985822</v>
      </c>
      <c r="E1700" t="s">
        <v>222</v>
      </c>
      <c r="F1700" t="s">
        <v>61</v>
      </c>
      <c r="G1700" t="s">
        <v>207</v>
      </c>
      <c r="H1700">
        <v>2.3787743888017653E-4</v>
      </c>
      <c r="I1700">
        <v>2.6586182214214221E-7</v>
      </c>
      <c r="J1700">
        <v>0.3</v>
      </c>
      <c r="L1700" s="1">
        <v>43133</v>
      </c>
      <c r="M1700" s="1">
        <v>43024</v>
      </c>
      <c r="R1700">
        <v>3.3529260705895942E-4</v>
      </c>
      <c r="T1700" t="s">
        <v>39</v>
      </c>
      <c r="V1700">
        <v>66207554.359700002</v>
      </c>
      <c r="W1700" t="s">
        <v>223</v>
      </c>
      <c r="X1700" t="s">
        <v>224</v>
      </c>
      <c r="Y1700">
        <v>66809006.38898582</v>
      </c>
      <c r="Z1700" t="s">
        <v>31</v>
      </c>
      <c r="AA1700">
        <v>1.2171638126092104E-5</v>
      </c>
      <c r="AB1700">
        <v>99.0108745</v>
      </c>
      <c r="AC1700" t="s">
        <v>218</v>
      </c>
      <c r="AE1700" t="s">
        <v>41</v>
      </c>
      <c r="AF1700">
        <v>3.3000000000000002E-2</v>
      </c>
      <c r="AH1700" t="s">
        <v>209</v>
      </c>
      <c r="AJ1700">
        <v>7.9292479626725512E-4</v>
      </c>
      <c r="AK1700">
        <v>7.9292479626725512E-4</v>
      </c>
      <c r="AL1700">
        <v>0</v>
      </c>
      <c r="AQ1700">
        <v>2.616651827681942E-5</v>
      </c>
    </row>
    <row r="1701" spans="1:43" x14ac:dyDescent="0.2">
      <c r="A1701">
        <v>1699</v>
      </c>
      <c r="B1701">
        <v>146</v>
      </c>
      <c r="C1701">
        <v>17</v>
      </c>
      <c r="D1701">
        <v>4853051.1810226794</v>
      </c>
      <c r="E1701" t="s">
        <v>225</v>
      </c>
      <c r="F1701" t="s">
        <v>61</v>
      </c>
      <c r="G1701" t="s">
        <v>207</v>
      </c>
      <c r="H1701">
        <v>1.669754075068712E-5</v>
      </c>
      <c r="I1701">
        <v>1.9305386102658964E-8</v>
      </c>
      <c r="J1701">
        <v>0.28999999999999998</v>
      </c>
      <c r="L1701" s="1">
        <v>43129</v>
      </c>
      <c r="M1701" s="1">
        <v>43024</v>
      </c>
      <c r="R1701">
        <v>3.3529260705895942E-4</v>
      </c>
      <c r="T1701" t="s">
        <v>39</v>
      </c>
      <c r="V1701">
        <v>4807619.1968</v>
      </c>
      <c r="W1701" t="s">
        <v>226</v>
      </c>
      <c r="X1701" t="s">
        <v>227</v>
      </c>
      <c r="Y1701">
        <v>4853051.1810226794</v>
      </c>
      <c r="Z1701" t="s">
        <v>31</v>
      </c>
      <c r="AA1701">
        <v>8.8383571448036696E-7</v>
      </c>
      <c r="AB1701">
        <v>99.063846999999996</v>
      </c>
      <c r="AC1701" t="s">
        <v>52</v>
      </c>
      <c r="AE1701" t="s">
        <v>41</v>
      </c>
      <c r="AF1701">
        <v>3.2399999999999998E-2</v>
      </c>
      <c r="AH1701" t="s">
        <v>209</v>
      </c>
      <c r="AJ1701">
        <v>5.7577726726507315E-5</v>
      </c>
      <c r="AK1701">
        <v>5.7577726726507315E-5</v>
      </c>
      <c r="AL1701">
        <v>0</v>
      </c>
      <c r="AQ1701">
        <v>1.8655183459388368E-6</v>
      </c>
    </row>
    <row r="1702" spans="1:43" x14ac:dyDescent="0.2">
      <c r="A1702">
        <v>1700</v>
      </c>
      <c r="B1702">
        <v>146</v>
      </c>
      <c r="C1702">
        <v>17</v>
      </c>
      <c r="D1702">
        <v>21859283.556037076</v>
      </c>
      <c r="E1702" t="s">
        <v>204</v>
      </c>
      <c r="F1702" t="s">
        <v>61</v>
      </c>
      <c r="G1702" t="s">
        <v>207</v>
      </c>
      <c r="H1702">
        <v>6.4997327660558856E-5</v>
      </c>
      <c r="I1702">
        <v>8.7172493772696776E-8</v>
      </c>
      <c r="J1702">
        <v>0.25</v>
      </c>
      <c r="L1702" s="1">
        <v>43115</v>
      </c>
      <c r="M1702" s="1">
        <v>43024</v>
      </c>
      <c r="R1702">
        <v>3.3529260705895942E-4</v>
      </c>
      <c r="T1702" t="s">
        <v>39</v>
      </c>
      <c r="V1702">
        <v>21708561.137600001</v>
      </c>
      <c r="W1702" t="s">
        <v>200</v>
      </c>
      <c r="X1702" t="s">
        <v>214</v>
      </c>
      <c r="Y1702">
        <v>21859283.556037076</v>
      </c>
      <c r="Z1702" t="s">
        <v>31</v>
      </c>
      <c r="AA1702">
        <v>3.990915431938194E-6</v>
      </c>
      <c r="AB1702">
        <v>99.309303499999999</v>
      </c>
      <c r="AC1702" t="s">
        <v>52</v>
      </c>
      <c r="AE1702" t="s">
        <v>41</v>
      </c>
      <c r="AF1702">
        <v>2.7300000000000001E-2</v>
      </c>
      <c r="AH1702" t="s">
        <v>209</v>
      </c>
      <c r="AJ1702">
        <v>2.5998931064223543E-4</v>
      </c>
      <c r="AK1702">
        <v>2.5998931064223543E-4</v>
      </c>
      <c r="AL1702">
        <v>0</v>
      </c>
      <c r="AQ1702">
        <v>7.0977081805330271E-6</v>
      </c>
    </row>
    <row r="1703" spans="1:43" x14ac:dyDescent="0.2">
      <c r="A1703">
        <v>1701</v>
      </c>
      <c r="B1703">
        <v>146</v>
      </c>
      <c r="C1703">
        <v>17</v>
      </c>
      <c r="D1703">
        <v>24266000.580773111</v>
      </c>
      <c r="E1703" t="s">
        <v>204</v>
      </c>
      <c r="F1703" t="s">
        <v>61</v>
      </c>
      <c r="G1703" t="s">
        <v>207</v>
      </c>
      <c r="H1703">
        <v>8.6462887332922905E-5</v>
      </c>
      <c r="I1703">
        <v>9.6634556359002655E-8</v>
      </c>
      <c r="J1703">
        <v>0.3</v>
      </c>
      <c r="L1703" s="1">
        <v>43133</v>
      </c>
      <c r="M1703" s="1">
        <v>43024</v>
      </c>
      <c r="R1703">
        <v>3.3529260705895942E-4</v>
      </c>
      <c r="T1703" t="s">
        <v>39</v>
      </c>
      <c r="V1703">
        <v>24064898.042199999</v>
      </c>
      <c r="W1703" t="s">
        <v>200</v>
      </c>
      <c r="X1703" t="s">
        <v>214</v>
      </c>
      <c r="Y1703">
        <v>24266000.580773111</v>
      </c>
      <c r="Z1703" t="s">
        <v>31</v>
      </c>
      <c r="AA1703">
        <v>4.4241058795135344E-6</v>
      </c>
      <c r="AB1703">
        <v>99.171257999999995</v>
      </c>
      <c r="AC1703" t="s">
        <v>52</v>
      </c>
      <c r="AE1703" t="s">
        <v>41</v>
      </c>
      <c r="AF1703">
        <v>2.76E-2</v>
      </c>
      <c r="AH1703" t="s">
        <v>209</v>
      </c>
      <c r="AJ1703">
        <v>2.8820962444307634E-4</v>
      </c>
      <c r="AK1703">
        <v>2.8820962444307634E-4</v>
      </c>
      <c r="AL1703">
        <v>0</v>
      </c>
      <c r="AQ1703">
        <v>7.9545856346289061E-6</v>
      </c>
    </row>
    <row r="1704" spans="1:43" x14ac:dyDescent="0.2">
      <c r="A1704">
        <v>1702</v>
      </c>
      <c r="B1704">
        <v>146</v>
      </c>
      <c r="C1704">
        <v>17</v>
      </c>
      <c r="D1704">
        <v>14491206.446490446</v>
      </c>
      <c r="E1704" t="s">
        <v>215</v>
      </c>
      <c r="F1704" t="s">
        <v>61</v>
      </c>
      <c r="G1704" t="s">
        <v>207</v>
      </c>
      <c r="H1704">
        <v>4.8217429303004166E-5</v>
      </c>
      <c r="I1704">
        <v>5.7739098488161892E-8</v>
      </c>
      <c r="J1704">
        <v>0.28000000000000003</v>
      </c>
      <c r="L1704" s="1">
        <v>43126</v>
      </c>
      <c r="M1704" s="1">
        <v>43024</v>
      </c>
      <c r="R1704">
        <v>3.3529260705895942E-4</v>
      </c>
      <c r="T1704" t="s">
        <v>39</v>
      </c>
      <c r="V1704">
        <v>14378764.3936</v>
      </c>
      <c r="W1704" t="s">
        <v>216</v>
      </c>
      <c r="X1704" t="s">
        <v>217</v>
      </c>
      <c r="Y1704">
        <v>14491206.446490446</v>
      </c>
      <c r="Z1704" t="s">
        <v>31</v>
      </c>
      <c r="AA1704">
        <v>2.6434010226145199E-6</v>
      </c>
      <c r="AB1704">
        <v>99.224067000000005</v>
      </c>
      <c r="AC1704" t="s">
        <v>52</v>
      </c>
      <c r="AE1704" t="s">
        <v>41</v>
      </c>
      <c r="AF1704">
        <v>2.76E-2</v>
      </c>
      <c r="AH1704" t="s">
        <v>209</v>
      </c>
      <c r="AJ1704">
        <v>1.7220510465358629E-4</v>
      </c>
      <c r="AK1704">
        <v>1.7220510465358629E-4</v>
      </c>
      <c r="AL1704">
        <v>0</v>
      </c>
      <c r="AQ1704">
        <v>4.7528608884389819E-6</v>
      </c>
    </row>
    <row r="1705" spans="1:43" x14ac:dyDescent="0.2">
      <c r="A1705">
        <v>1703</v>
      </c>
      <c r="B1705">
        <v>146</v>
      </c>
      <c r="C1705">
        <v>17</v>
      </c>
      <c r="D1705">
        <v>32480736.639976583</v>
      </c>
      <c r="E1705" t="s">
        <v>215</v>
      </c>
      <c r="F1705" t="s">
        <v>61</v>
      </c>
      <c r="G1705" t="s">
        <v>207</v>
      </c>
      <c r="H1705">
        <v>1.1184961988152284E-4</v>
      </c>
      <c r="I1705">
        <v>1.2931845051251522E-7</v>
      </c>
      <c r="J1705">
        <v>0.28999999999999998</v>
      </c>
      <c r="L1705" s="1">
        <v>43129</v>
      </c>
      <c r="M1705" s="1">
        <v>43024</v>
      </c>
      <c r="R1705">
        <v>3.3529260705895942E-4</v>
      </c>
      <c r="T1705" t="s">
        <v>39</v>
      </c>
      <c r="V1705">
        <v>32204166.3336</v>
      </c>
      <c r="W1705" t="s">
        <v>216</v>
      </c>
      <c r="X1705" t="s">
        <v>217</v>
      </c>
      <c r="Y1705">
        <v>32480736.639976583</v>
      </c>
      <c r="Z1705" t="s">
        <v>31</v>
      </c>
      <c r="AA1705">
        <v>5.9204340434548804E-6</v>
      </c>
      <c r="AB1705">
        <v>99.098253999999997</v>
      </c>
      <c r="AC1705" t="s">
        <v>52</v>
      </c>
      <c r="AE1705" t="s">
        <v>41</v>
      </c>
      <c r="AF1705">
        <v>3.1199999999999999E-2</v>
      </c>
      <c r="AH1705" t="s">
        <v>209</v>
      </c>
      <c r="AJ1705">
        <v>3.8568834441904431E-4</v>
      </c>
      <c r="AK1705">
        <v>3.8568834441904431E-4</v>
      </c>
      <c r="AL1705">
        <v>0</v>
      </c>
      <c r="AQ1705">
        <v>1.2033476345874181E-5</v>
      </c>
    </row>
    <row r="1706" spans="1:43" x14ac:dyDescent="0.2">
      <c r="A1706">
        <v>1704</v>
      </c>
      <c r="B1706">
        <v>146</v>
      </c>
      <c r="C1706">
        <v>17</v>
      </c>
      <c r="D1706">
        <v>10439187.547375796</v>
      </c>
      <c r="E1706" t="s">
        <v>215</v>
      </c>
      <c r="F1706" t="s">
        <v>61</v>
      </c>
      <c r="G1706" t="s">
        <v>207</v>
      </c>
      <c r="H1706">
        <v>3.7182773071324882E-5</v>
      </c>
      <c r="I1706">
        <v>4.1557029735887308E-8</v>
      </c>
      <c r="J1706">
        <v>0.3</v>
      </c>
      <c r="L1706" s="1">
        <v>43133</v>
      </c>
      <c r="M1706" s="1">
        <v>43024</v>
      </c>
      <c r="R1706">
        <v>3.3529260705895942E-4</v>
      </c>
      <c r="T1706" t="s">
        <v>39</v>
      </c>
      <c r="V1706">
        <v>10348944.7379</v>
      </c>
      <c r="W1706" t="s">
        <v>216</v>
      </c>
      <c r="X1706" t="s">
        <v>217</v>
      </c>
      <c r="Y1706">
        <v>10439187.547375796</v>
      </c>
      <c r="Z1706" t="s">
        <v>31</v>
      </c>
      <c r="AA1706">
        <v>1.9025564613411687E-6</v>
      </c>
      <c r="AB1706">
        <v>99.135537999999997</v>
      </c>
      <c r="AC1706" t="s">
        <v>52</v>
      </c>
      <c r="AE1706" t="s">
        <v>41</v>
      </c>
      <c r="AF1706">
        <v>2.8799999999999999E-2</v>
      </c>
      <c r="AH1706" t="s">
        <v>209</v>
      </c>
      <c r="AJ1706">
        <v>1.2394257690441629E-4</v>
      </c>
      <c r="AK1706">
        <v>1.2394257690441629E-4</v>
      </c>
      <c r="AL1706">
        <v>0</v>
      </c>
      <c r="AQ1706">
        <v>3.5695462148471888E-6</v>
      </c>
    </row>
    <row r="1707" spans="1:43" x14ac:dyDescent="0.2">
      <c r="A1707">
        <v>1705</v>
      </c>
      <c r="B1707">
        <v>146</v>
      </c>
      <c r="C1707">
        <v>17</v>
      </c>
      <c r="D1707">
        <v>8694491.2171449922</v>
      </c>
      <c r="E1707" t="s">
        <v>256</v>
      </c>
      <c r="F1707" t="s">
        <v>61</v>
      </c>
      <c r="G1707" t="s">
        <v>207</v>
      </c>
      <c r="H1707">
        <v>2.7911989924736148E-5</v>
      </c>
      <c r="I1707">
        <v>3.4661792111363666E-8</v>
      </c>
      <c r="J1707">
        <v>0.27</v>
      </c>
      <c r="L1707" s="1">
        <v>43123</v>
      </c>
      <c r="M1707" s="1">
        <v>43024</v>
      </c>
      <c r="R1707">
        <v>3.3529260705895942E-4</v>
      </c>
      <c r="T1707" t="s">
        <v>39</v>
      </c>
      <c r="V1707">
        <v>8631824.1066999994</v>
      </c>
      <c r="W1707" t="s">
        <v>248</v>
      </c>
      <c r="X1707" t="s">
        <v>257</v>
      </c>
      <c r="Y1707">
        <v>8694491.2171449922</v>
      </c>
      <c r="Z1707" t="s">
        <v>31</v>
      </c>
      <c r="AA1707">
        <v>1.5868799325229552E-6</v>
      </c>
      <c r="AB1707">
        <v>99.279231999999993</v>
      </c>
      <c r="AC1707" t="s">
        <v>52</v>
      </c>
      <c r="AE1707" t="s">
        <v>41</v>
      </c>
      <c r="AF1707">
        <v>2.64E-2</v>
      </c>
      <c r="AH1707" t="s">
        <v>209</v>
      </c>
      <c r="AJ1707">
        <v>1.0337774046198572E-4</v>
      </c>
      <c r="AK1707">
        <v>1.0337774046198572E-4</v>
      </c>
      <c r="AL1707">
        <v>0</v>
      </c>
      <c r="AQ1707">
        <v>2.7291723481964233E-6</v>
      </c>
    </row>
    <row r="1708" spans="1:43" x14ac:dyDescent="0.2">
      <c r="A1708">
        <v>1706</v>
      </c>
      <c r="B1708">
        <v>147</v>
      </c>
      <c r="C1708">
        <v>17</v>
      </c>
      <c r="D1708">
        <v>10094343.897403568</v>
      </c>
      <c r="E1708" t="s">
        <v>1727</v>
      </c>
      <c r="F1708" t="s">
        <v>61</v>
      </c>
      <c r="G1708" t="s">
        <v>207</v>
      </c>
      <c r="H1708">
        <v>9.6243119080887817E-6</v>
      </c>
      <c r="I1708">
        <v>1.8315283351622104E-8</v>
      </c>
      <c r="J1708">
        <v>0.08</v>
      </c>
      <c r="L1708" s="1">
        <v>43052</v>
      </c>
      <c r="M1708" s="1">
        <v>43024</v>
      </c>
      <c r="R1708">
        <v>1.5224181033641663E-4</v>
      </c>
      <c r="T1708" t="s">
        <v>39</v>
      </c>
      <c r="V1708">
        <v>10045122.7662</v>
      </c>
      <c r="W1708" t="s">
        <v>1728</v>
      </c>
      <c r="X1708" t="s">
        <v>1729</v>
      </c>
      <c r="Y1708">
        <v>10094343.897403568</v>
      </c>
      <c r="Z1708" t="s">
        <v>31</v>
      </c>
      <c r="AA1708">
        <v>8.3850700840226824E-7</v>
      </c>
      <c r="AB1708">
        <v>99.512388999999999</v>
      </c>
      <c r="AC1708" t="s">
        <v>34</v>
      </c>
      <c r="AE1708" t="s">
        <v>178</v>
      </c>
      <c r="AF1708">
        <v>6.3E-2</v>
      </c>
      <c r="AH1708" t="s">
        <v>539</v>
      </c>
      <c r="AJ1708">
        <v>1.2030389885110977E-4</v>
      </c>
      <c r="AK1708">
        <v>1.2030389885110977E-4</v>
      </c>
      <c r="AL1708">
        <v>0</v>
      </c>
      <c r="AN1708" t="s">
        <v>54</v>
      </c>
      <c r="AQ1708">
        <v>7.5791456276199159E-6</v>
      </c>
    </row>
    <row r="1709" spans="1:43" x14ac:dyDescent="0.2">
      <c r="A1709">
        <v>1707</v>
      </c>
      <c r="B1709">
        <v>147</v>
      </c>
      <c r="C1709">
        <v>17</v>
      </c>
      <c r="D1709">
        <v>106780536.30729702</v>
      </c>
      <c r="E1709" t="s">
        <v>203</v>
      </c>
      <c r="F1709" t="s">
        <v>61</v>
      </c>
      <c r="G1709" t="s">
        <v>207</v>
      </c>
      <c r="H1709">
        <v>7.6604457049649999E-5</v>
      </c>
      <c r="I1709">
        <v>1.943733536846165E-7</v>
      </c>
      <c r="J1709">
        <v>0.06</v>
      </c>
      <c r="L1709" s="1">
        <v>43047</v>
      </c>
      <c r="M1709" s="1">
        <v>43024</v>
      </c>
      <c r="R1709">
        <v>1.5224181033641663E-4</v>
      </c>
      <c r="T1709" t="s">
        <v>39</v>
      </c>
      <c r="V1709">
        <v>106605186.6496</v>
      </c>
      <c r="W1709" t="s">
        <v>181</v>
      </c>
      <c r="X1709" t="s">
        <v>236</v>
      </c>
      <c r="Y1709">
        <v>106780536.30729702</v>
      </c>
      <c r="Z1709" t="s">
        <v>31</v>
      </c>
      <c r="AA1709">
        <v>8.8987659203628455E-6</v>
      </c>
      <c r="AB1709">
        <v>99.835785000000001</v>
      </c>
      <c r="AC1709" t="s">
        <v>52</v>
      </c>
      <c r="AE1709" t="s">
        <v>41</v>
      </c>
      <c r="AF1709">
        <v>2.58E-2</v>
      </c>
      <c r="AH1709" t="s">
        <v>209</v>
      </c>
      <c r="AJ1709">
        <v>1.2767409508275E-3</v>
      </c>
      <c r="AK1709">
        <v>1.2767409508275E-3</v>
      </c>
      <c r="AL1709">
        <v>0</v>
      </c>
      <c r="AQ1709">
        <v>3.2939916531349504E-5</v>
      </c>
    </row>
    <row r="1710" spans="1:43" x14ac:dyDescent="0.2">
      <c r="A1710">
        <v>1708</v>
      </c>
      <c r="B1710">
        <v>147</v>
      </c>
      <c r="C1710">
        <v>17</v>
      </c>
      <c r="D1710">
        <v>19411672.379501987</v>
      </c>
      <c r="E1710" t="s">
        <v>203</v>
      </c>
      <c r="F1710" t="s">
        <v>61</v>
      </c>
      <c r="G1710" t="s">
        <v>207</v>
      </c>
      <c r="H1710">
        <v>1.6242536276034361E-5</v>
      </c>
      <c r="I1710">
        <v>3.532561610169128E-8</v>
      </c>
      <c r="J1710">
        <v>7.0000000000000007E-2</v>
      </c>
      <c r="L1710" s="1">
        <v>43049</v>
      </c>
      <c r="M1710" s="1">
        <v>43024</v>
      </c>
      <c r="R1710">
        <v>1.5224181033641663E-4</v>
      </c>
      <c r="T1710" t="s">
        <v>39</v>
      </c>
      <c r="V1710">
        <v>19374537.850200001</v>
      </c>
      <c r="W1710" t="s">
        <v>181</v>
      </c>
      <c r="X1710" t="s">
        <v>236</v>
      </c>
      <c r="Y1710">
        <v>19411672.379501987</v>
      </c>
      <c r="Z1710" t="s">
        <v>31</v>
      </c>
      <c r="AA1710">
        <v>1.6172710030594625E-6</v>
      </c>
      <c r="AB1710">
        <v>99.808700000000002</v>
      </c>
      <c r="AC1710" t="s">
        <v>52</v>
      </c>
      <c r="AE1710" t="s">
        <v>41</v>
      </c>
      <c r="AF1710">
        <v>2.76E-2</v>
      </c>
      <c r="AH1710" t="s">
        <v>209</v>
      </c>
      <c r="AJ1710">
        <v>2.3203623251477656E-4</v>
      </c>
      <c r="AK1710">
        <v>2.3203623251477656E-4</v>
      </c>
      <c r="AL1710">
        <v>0</v>
      </c>
      <c r="AQ1710">
        <v>6.4042000174078328E-6</v>
      </c>
    </row>
    <row r="1711" spans="1:43" x14ac:dyDescent="0.2">
      <c r="A1711">
        <v>1709</v>
      </c>
      <c r="B1711">
        <v>147</v>
      </c>
      <c r="C1711">
        <v>17</v>
      </c>
      <c r="D1711">
        <v>14558674.331211645</v>
      </c>
      <c r="E1711" t="s">
        <v>203</v>
      </c>
      <c r="F1711" t="s">
        <v>61</v>
      </c>
      <c r="G1711" t="s">
        <v>207</v>
      </c>
      <c r="H1711">
        <v>1.3918161565796763E-5</v>
      </c>
      <c r="I1711">
        <v>2.6486576416645426E-8</v>
      </c>
      <c r="J1711">
        <v>0.08</v>
      </c>
      <c r="L1711" s="1">
        <v>43054</v>
      </c>
      <c r="M1711" s="1">
        <v>43024</v>
      </c>
      <c r="R1711">
        <v>1.5224181033641663E-4</v>
      </c>
      <c r="T1711" t="s">
        <v>39</v>
      </c>
      <c r="V1711">
        <v>14526715.566099999</v>
      </c>
      <c r="W1711" t="s">
        <v>181</v>
      </c>
      <c r="X1711" t="s">
        <v>236</v>
      </c>
      <c r="Y1711">
        <v>14558674.331211645</v>
      </c>
      <c r="Z1711" t="s">
        <v>31</v>
      </c>
      <c r="AA1711">
        <v>1.2126036778990077E-6</v>
      </c>
      <c r="AB1711">
        <v>99.780483000000004</v>
      </c>
      <c r="AC1711" t="s">
        <v>52</v>
      </c>
      <c r="AE1711" t="s">
        <v>41</v>
      </c>
      <c r="AF1711">
        <v>2.64E-2</v>
      </c>
      <c r="AH1711" t="s">
        <v>209</v>
      </c>
      <c r="AJ1711">
        <v>1.7397701957245953E-4</v>
      </c>
      <c r="AK1711">
        <v>1.7397701957245953E-4</v>
      </c>
      <c r="AL1711">
        <v>0</v>
      </c>
      <c r="AQ1711">
        <v>4.5929933167129313E-6</v>
      </c>
    </row>
    <row r="1712" spans="1:43" x14ac:dyDescent="0.2">
      <c r="A1712">
        <v>1710</v>
      </c>
      <c r="B1712">
        <v>147</v>
      </c>
      <c r="C1712">
        <v>17</v>
      </c>
      <c r="D1712">
        <v>4853436.4268613094</v>
      </c>
      <c r="E1712" t="s">
        <v>206</v>
      </c>
      <c r="F1712" t="s">
        <v>61</v>
      </c>
      <c r="G1712" t="s">
        <v>207</v>
      </c>
      <c r="H1712">
        <v>1.161986735878678E-6</v>
      </c>
      <c r="I1712">
        <v>8.845148212853677E-9</v>
      </c>
      <c r="J1712">
        <v>0.02</v>
      </c>
      <c r="L1712" s="1">
        <v>43031</v>
      </c>
      <c r="M1712" s="1">
        <v>43024</v>
      </c>
      <c r="R1712">
        <v>1.5224181033641663E-4</v>
      </c>
      <c r="T1712" t="s">
        <v>39</v>
      </c>
      <c r="V1712">
        <v>4851172.5414000005</v>
      </c>
      <c r="W1712" t="s">
        <v>206</v>
      </c>
      <c r="X1712" t="s">
        <v>208</v>
      </c>
      <c r="Y1712">
        <v>4853436.4268613094</v>
      </c>
      <c r="Z1712" t="s">
        <v>31</v>
      </c>
      <c r="AA1712">
        <v>4.0494698468193453E-7</v>
      </c>
      <c r="AB1712">
        <v>99.953355000000002</v>
      </c>
      <c r="AC1712" t="s">
        <v>52</v>
      </c>
      <c r="AE1712" t="s">
        <v>41</v>
      </c>
      <c r="AF1712">
        <v>2.4E-2</v>
      </c>
      <c r="AH1712" t="s">
        <v>209</v>
      </c>
      <c r="AJ1712">
        <v>5.8099336793933902E-5</v>
      </c>
      <c r="AK1712">
        <v>5.8099336793933902E-5</v>
      </c>
      <c r="AL1712">
        <v>0</v>
      </c>
      <c r="AQ1712">
        <v>1.3943840830544137E-6</v>
      </c>
    </row>
    <row r="1713" spans="1:43" x14ac:dyDescent="0.2">
      <c r="A1713">
        <v>1711</v>
      </c>
      <c r="B1713">
        <v>147</v>
      </c>
      <c r="C1713">
        <v>17</v>
      </c>
      <c r="D1713">
        <v>12604260.825464107</v>
      </c>
      <c r="E1713" t="s">
        <v>206</v>
      </c>
      <c r="F1713" t="s">
        <v>61</v>
      </c>
      <c r="G1713" t="s">
        <v>207</v>
      </c>
      <c r="H1713">
        <v>6.0317765207584197E-6</v>
      </c>
      <c r="I1713">
        <v>2.2957214426623857E-8</v>
      </c>
      <c r="J1713">
        <v>0.04</v>
      </c>
      <c r="L1713" s="1">
        <v>43038</v>
      </c>
      <c r="M1713" s="1">
        <v>43024</v>
      </c>
      <c r="R1713">
        <v>1.5224181033641663E-4</v>
      </c>
      <c r="T1713" t="s">
        <v>39</v>
      </c>
      <c r="V1713">
        <v>12591016.631200001</v>
      </c>
      <c r="W1713" t="s">
        <v>206</v>
      </c>
      <c r="X1713" t="s">
        <v>208</v>
      </c>
      <c r="Y1713">
        <v>12604260.825464107</v>
      </c>
      <c r="Z1713" t="s">
        <v>31</v>
      </c>
      <c r="AA1713">
        <v>1.0510230620272056E-6</v>
      </c>
      <c r="AB1713">
        <v>99.897438499999993</v>
      </c>
      <c r="AC1713" t="s">
        <v>52</v>
      </c>
      <c r="AE1713" t="s">
        <v>41</v>
      </c>
      <c r="AF1713">
        <v>2.64E-2</v>
      </c>
      <c r="AH1713" t="s">
        <v>209</v>
      </c>
      <c r="AJ1713">
        <v>1.507944130189605E-4</v>
      </c>
      <c r="AK1713">
        <v>1.507944130189605E-4</v>
      </c>
      <c r="AL1713">
        <v>0</v>
      </c>
      <c r="AQ1713">
        <v>3.9809725037005568E-6</v>
      </c>
    </row>
    <row r="1714" spans="1:43" x14ac:dyDescent="0.2">
      <c r="A1714">
        <v>1712</v>
      </c>
      <c r="B1714">
        <v>147</v>
      </c>
      <c r="C1714">
        <v>17</v>
      </c>
      <c r="D1714">
        <v>19413265.924329635</v>
      </c>
      <c r="E1714" t="s">
        <v>206</v>
      </c>
      <c r="F1714" t="s">
        <v>61</v>
      </c>
      <c r="G1714" t="s">
        <v>207</v>
      </c>
      <c r="H1714">
        <v>1.1611842588583167E-5</v>
      </c>
      <c r="I1714">
        <v>3.5356158740548068E-8</v>
      </c>
      <c r="J1714">
        <v>0.05</v>
      </c>
      <c r="L1714" s="1">
        <v>43041</v>
      </c>
      <c r="M1714" s="1">
        <v>43024</v>
      </c>
      <c r="R1714">
        <v>1.5224181033641663E-4</v>
      </c>
      <c r="T1714" t="s">
        <v>39</v>
      </c>
      <c r="V1714">
        <v>19391289.136599999</v>
      </c>
      <c r="W1714" t="s">
        <v>206</v>
      </c>
      <c r="X1714" t="s">
        <v>208</v>
      </c>
      <c r="Y1714">
        <v>19413265.924329635</v>
      </c>
      <c r="Z1714" t="s">
        <v>31</v>
      </c>
      <c r="AA1714">
        <v>1.6186693006585138E-6</v>
      </c>
      <c r="AB1714">
        <v>99.886795000000006</v>
      </c>
      <c r="AC1714" t="s">
        <v>52</v>
      </c>
      <c r="AE1714" t="s">
        <v>41</v>
      </c>
      <c r="AF1714">
        <v>2.4E-2</v>
      </c>
      <c r="AH1714" t="s">
        <v>209</v>
      </c>
      <c r="AJ1714">
        <v>2.3223685177166332E-4</v>
      </c>
      <c r="AK1714">
        <v>2.3223685177166332E-4</v>
      </c>
      <c r="AL1714">
        <v>0</v>
      </c>
      <c r="AQ1714">
        <v>5.5736844425199196E-6</v>
      </c>
    </row>
    <row r="1715" spans="1:43" x14ac:dyDescent="0.2">
      <c r="A1715">
        <v>1713</v>
      </c>
      <c r="B1715">
        <v>147</v>
      </c>
      <c r="C1715">
        <v>17</v>
      </c>
      <c r="D1715">
        <v>39238683.977269076</v>
      </c>
      <c r="E1715" t="s">
        <v>206</v>
      </c>
      <c r="F1715" t="s">
        <v>61</v>
      </c>
      <c r="G1715" t="s">
        <v>207</v>
      </c>
      <c r="H1715">
        <v>2.3464428285490356E-5</v>
      </c>
      <c r="I1715">
        <v>7.144534081384145E-8</v>
      </c>
      <c r="J1715">
        <v>0.05</v>
      </c>
      <c r="L1715" s="1">
        <v>43042</v>
      </c>
      <c r="M1715" s="1">
        <v>43024</v>
      </c>
      <c r="R1715">
        <v>1.5224181033641663E-4</v>
      </c>
      <c r="T1715" t="s">
        <v>39</v>
      </c>
      <c r="V1715">
        <v>39184609.146899998</v>
      </c>
      <c r="W1715" t="s">
        <v>206</v>
      </c>
      <c r="X1715" t="s">
        <v>208</v>
      </c>
      <c r="Y1715">
        <v>39238683.977269076</v>
      </c>
      <c r="Z1715" t="s">
        <v>31</v>
      </c>
      <c r="AA1715">
        <v>3.2708977437026078E-6</v>
      </c>
      <c r="AB1715">
        <v>99.862189999999998</v>
      </c>
      <c r="AC1715" t="s">
        <v>52</v>
      </c>
      <c r="AE1715" t="s">
        <v>41</v>
      </c>
      <c r="AF1715">
        <v>2.76E-2</v>
      </c>
      <c r="AH1715" t="s">
        <v>209</v>
      </c>
      <c r="AJ1715">
        <v>4.6928856570980712E-4</v>
      </c>
      <c r="AK1715">
        <v>4.6928856570980712E-4</v>
      </c>
      <c r="AL1715">
        <v>0</v>
      </c>
      <c r="AQ1715">
        <v>1.2952364413590677E-5</v>
      </c>
    </row>
    <row r="1716" spans="1:43" x14ac:dyDescent="0.2">
      <c r="A1716">
        <v>1714</v>
      </c>
      <c r="B1716">
        <v>147</v>
      </c>
      <c r="C1716">
        <v>17</v>
      </c>
      <c r="D1716">
        <v>9704254.5352517664</v>
      </c>
      <c r="E1716" t="s">
        <v>206</v>
      </c>
      <c r="F1716" t="s">
        <v>61</v>
      </c>
      <c r="G1716" t="s">
        <v>207</v>
      </c>
      <c r="H1716">
        <v>9.2766344384449414E-6</v>
      </c>
      <c r="I1716">
        <v>1.765364525922507E-8</v>
      </c>
      <c r="J1716">
        <v>0.08</v>
      </c>
      <c r="L1716" s="1">
        <v>43055</v>
      </c>
      <c r="M1716" s="1">
        <v>43024</v>
      </c>
      <c r="R1716">
        <v>1.5224181033641663E-4</v>
      </c>
      <c r="T1716" t="s">
        <v>39</v>
      </c>
      <c r="V1716">
        <v>9682243.5392000005</v>
      </c>
      <c r="W1716" t="s">
        <v>206</v>
      </c>
      <c r="X1716" t="s">
        <v>208</v>
      </c>
      <c r="Y1716">
        <v>9704254.5352517664</v>
      </c>
      <c r="Z1716" t="s">
        <v>31</v>
      </c>
      <c r="AA1716">
        <v>8.0821601225168536E-7</v>
      </c>
      <c r="AB1716">
        <v>99.773182000000006</v>
      </c>
      <c r="AC1716" t="s">
        <v>52</v>
      </c>
      <c r="AE1716" t="s">
        <v>41</v>
      </c>
      <c r="AF1716">
        <v>2.64E-2</v>
      </c>
      <c r="AH1716" t="s">
        <v>209</v>
      </c>
      <c r="AJ1716">
        <v>1.1595793048056177E-4</v>
      </c>
      <c r="AK1716">
        <v>1.1595793048056177E-4</v>
      </c>
      <c r="AL1716">
        <v>0</v>
      </c>
      <c r="AQ1716">
        <v>3.0612893646868308E-6</v>
      </c>
    </row>
    <row r="1717" spans="1:43" x14ac:dyDescent="0.2">
      <c r="A1717">
        <v>1715</v>
      </c>
      <c r="B1717">
        <v>147</v>
      </c>
      <c r="C1717">
        <v>17</v>
      </c>
      <c r="D1717">
        <v>9704377.3282952327</v>
      </c>
      <c r="E1717" t="s">
        <v>250</v>
      </c>
      <c r="F1717" t="s">
        <v>61</v>
      </c>
      <c r="G1717" t="s">
        <v>207</v>
      </c>
      <c r="H1717">
        <v>5.8039151017107395E-6</v>
      </c>
      <c r="I1717">
        <v>1.7671970842466214E-8</v>
      </c>
      <c r="J1717">
        <v>0.05</v>
      </c>
      <c r="L1717" s="1">
        <v>43041</v>
      </c>
      <c r="M1717" s="1">
        <v>43024</v>
      </c>
      <c r="R1717">
        <v>1.5224181033641663E-4</v>
      </c>
      <c r="T1717" t="s">
        <v>39</v>
      </c>
      <c r="V1717">
        <v>9692294.3110000007</v>
      </c>
      <c r="W1717" t="s">
        <v>250</v>
      </c>
      <c r="X1717" t="s">
        <v>258</v>
      </c>
      <c r="Y1717">
        <v>9704377.3282952327</v>
      </c>
      <c r="Z1717" t="s">
        <v>31</v>
      </c>
      <c r="AA1717">
        <v>8.0905499080777721E-7</v>
      </c>
      <c r="AB1717">
        <v>99.875489000000002</v>
      </c>
      <c r="AC1717" t="s">
        <v>52</v>
      </c>
      <c r="AE1717" t="s">
        <v>41</v>
      </c>
      <c r="AF1717">
        <v>2.64E-2</v>
      </c>
      <c r="AH1717" t="s">
        <v>209</v>
      </c>
      <c r="AJ1717">
        <v>1.1607830203421479E-4</v>
      </c>
      <c r="AK1717">
        <v>1.1607830203421479E-4</v>
      </c>
      <c r="AL1717">
        <v>0</v>
      </c>
      <c r="AQ1717">
        <v>3.0644671737032702E-6</v>
      </c>
    </row>
    <row r="1718" spans="1:43" x14ac:dyDescent="0.2">
      <c r="A1718">
        <v>1716</v>
      </c>
      <c r="B1718">
        <v>147</v>
      </c>
      <c r="C1718">
        <v>17</v>
      </c>
      <c r="D1718">
        <v>19413322.970079634</v>
      </c>
      <c r="E1718" t="s">
        <v>1672</v>
      </c>
      <c r="F1718" t="s">
        <v>61</v>
      </c>
      <c r="G1718" t="s">
        <v>1673</v>
      </c>
      <c r="H1718">
        <v>1.1613848781164011E-5</v>
      </c>
      <c r="I1718">
        <v>3.5362267268355891E-8</v>
      </c>
      <c r="J1718">
        <v>0.05</v>
      </c>
      <c r="L1718" s="1">
        <v>43041</v>
      </c>
      <c r="M1718" s="1">
        <v>43024</v>
      </c>
      <c r="R1718">
        <v>1.5224181033641663E-4</v>
      </c>
      <c r="T1718" t="s">
        <v>39</v>
      </c>
      <c r="V1718">
        <v>19394639.3939</v>
      </c>
      <c r="W1718" t="s">
        <v>283</v>
      </c>
      <c r="X1718" t="s">
        <v>1674</v>
      </c>
      <c r="Y1718">
        <v>19413322.970079634</v>
      </c>
      <c r="Z1718" t="s">
        <v>31</v>
      </c>
      <c r="AA1718">
        <v>1.6189489601799935E-6</v>
      </c>
      <c r="AB1718">
        <v>99.903758999999994</v>
      </c>
      <c r="AC1718" t="s">
        <v>47</v>
      </c>
      <c r="AE1718" t="s">
        <v>182</v>
      </c>
      <c r="AF1718">
        <v>1.6999999999999999E-3</v>
      </c>
      <c r="AH1718" t="s">
        <v>209</v>
      </c>
      <c r="AJ1718">
        <v>2.322769756232802E-4</v>
      </c>
      <c r="AK1718">
        <v>2.322769756232802E-4</v>
      </c>
      <c r="AL1718">
        <v>0</v>
      </c>
      <c r="AQ1718">
        <v>3.9487085855957631E-7</v>
      </c>
    </row>
    <row r="1719" spans="1:43" x14ac:dyDescent="0.2">
      <c r="A1719">
        <v>1717</v>
      </c>
      <c r="B1719">
        <v>147</v>
      </c>
      <c r="C1719">
        <v>17</v>
      </c>
      <c r="D1719">
        <v>33973556.81382931</v>
      </c>
      <c r="E1719" t="s">
        <v>1672</v>
      </c>
      <c r="F1719" t="s">
        <v>61</v>
      </c>
      <c r="G1719" t="s">
        <v>1673</v>
      </c>
      <c r="H1719">
        <v>2.8440588333314963E-5</v>
      </c>
      <c r="I1719">
        <v>6.1854952212809145E-8</v>
      </c>
      <c r="J1719">
        <v>7.0000000000000007E-2</v>
      </c>
      <c r="L1719" s="1">
        <v>43048</v>
      </c>
      <c r="M1719" s="1">
        <v>43024</v>
      </c>
      <c r="R1719">
        <v>1.5224181033641663E-4</v>
      </c>
      <c r="T1719" t="s">
        <v>39</v>
      </c>
      <c r="V1719">
        <v>33924705.217299998</v>
      </c>
      <c r="W1719" t="s">
        <v>283</v>
      </c>
      <c r="X1719" t="s">
        <v>1674</v>
      </c>
      <c r="Y1719">
        <v>33973556.81382931</v>
      </c>
      <c r="Z1719" t="s">
        <v>31</v>
      </c>
      <c r="AA1719">
        <v>2.831832297600481E-6</v>
      </c>
      <c r="AB1719">
        <v>99.856206999999998</v>
      </c>
      <c r="AC1719" t="s">
        <v>47</v>
      </c>
      <c r="AE1719" t="s">
        <v>182</v>
      </c>
      <c r="AF1719">
        <v>1.8E-3</v>
      </c>
      <c r="AH1719" t="s">
        <v>209</v>
      </c>
      <c r="AJ1719">
        <v>4.0629411904735658E-4</v>
      </c>
      <c r="AK1719">
        <v>4.0629411904735658E-4</v>
      </c>
      <c r="AL1719">
        <v>0</v>
      </c>
      <c r="AQ1719">
        <v>7.313294142852418E-7</v>
      </c>
    </row>
    <row r="1720" spans="1:43" x14ac:dyDescent="0.2">
      <c r="A1720">
        <v>1718</v>
      </c>
      <c r="B1720">
        <v>147</v>
      </c>
      <c r="C1720">
        <v>17</v>
      </c>
      <c r="D1720">
        <v>43863835.191287711</v>
      </c>
      <c r="E1720" t="s">
        <v>228</v>
      </c>
      <c r="F1720" t="s">
        <v>61</v>
      </c>
      <c r="G1720" t="s">
        <v>207</v>
      </c>
      <c r="H1720">
        <v>1.050041190545433E-5</v>
      </c>
      <c r="I1720">
        <v>7.9930085888221465E-8</v>
      </c>
      <c r="J1720">
        <v>0.02</v>
      </c>
      <c r="L1720" s="1">
        <v>43032</v>
      </c>
      <c r="M1720" s="1">
        <v>43024</v>
      </c>
      <c r="R1720">
        <v>1.5224181033641663E-4</v>
      </c>
      <c r="T1720" t="s">
        <v>39</v>
      </c>
      <c r="V1720">
        <v>43838116.5088</v>
      </c>
      <c r="W1720" t="s">
        <v>229</v>
      </c>
      <c r="X1720" t="s">
        <v>230</v>
      </c>
      <c r="Y1720">
        <v>43863835.191287711</v>
      </c>
      <c r="Z1720" t="s">
        <v>31</v>
      </c>
      <c r="AA1720">
        <v>3.6593448167174058E-6</v>
      </c>
      <c r="AB1720">
        <v>99.941367</v>
      </c>
      <c r="AC1720" t="s">
        <v>52</v>
      </c>
      <c r="AE1720" t="s">
        <v>41</v>
      </c>
      <c r="AF1720">
        <v>2.64E-2</v>
      </c>
      <c r="AH1720" t="s">
        <v>209</v>
      </c>
      <c r="AJ1720">
        <v>5.2502059527271649E-4</v>
      </c>
      <c r="AK1720">
        <v>5.2502059527271649E-4</v>
      </c>
      <c r="AL1720">
        <v>0</v>
      </c>
      <c r="AQ1720">
        <v>1.3860543715199716E-5</v>
      </c>
    </row>
    <row r="1721" spans="1:43" x14ac:dyDescent="0.2">
      <c r="A1721">
        <v>1719</v>
      </c>
      <c r="B1721">
        <v>147</v>
      </c>
      <c r="C1721">
        <v>17</v>
      </c>
      <c r="D1721">
        <v>71217300.78351973</v>
      </c>
      <c r="E1721" t="s">
        <v>228</v>
      </c>
      <c r="F1721" t="s">
        <v>61</v>
      </c>
      <c r="G1721" t="s">
        <v>207</v>
      </c>
      <c r="H1721">
        <v>2.5570529244261477E-5</v>
      </c>
      <c r="I1721">
        <v>1.2976345544688837E-7</v>
      </c>
      <c r="J1721">
        <v>0.03</v>
      </c>
      <c r="L1721" s="1">
        <v>43034</v>
      </c>
      <c r="M1721" s="1">
        <v>43024</v>
      </c>
      <c r="R1721">
        <v>1.5224181033641663E-4</v>
      </c>
      <c r="T1721" t="s">
        <v>39</v>
      </c>
      <c r="V1721">
        <v>71169515.399000004</v>
      </c>
      <c r="W1721" t="s">
        <v>229</v>
      </c>
      <c r="X1721" t="s">
        <v>230</v>
      </c>
      <c r="Y1721">
        <v>71217300.78351973</v>
      </c>
      <c r="Z1721" t="s">
        <v>31</v>
      </c>
      <c r="AA1721">
        <v>5.9408071793262634E-6</v>
      </c>
      <c r="AB1721">
        <v>99.932901999999999</v>
      </c>
      <c r="AC1721" t="s">
        <v>52</v>
      </c>
      <c r="AE1721" t="s">
        <v>41</v>
      </c>
      <c r="AF1721">
        <v>2.4799999999999999E-2</v>
      </c>
      <c r="AH1721" t="s">
        <v>209</v>
      </c>
      <c r="AJ1721">
        <v>8.5235097480871594E-4</v>
      </c>
      <c r="AK1721">
        <v>8.5235097480871594E-4</v>
      </c>
      <c r="AL1721">
        <v>0</v>
      </c>
      <c r="AQ1721">
        <v>2.1138304175256153E-5</v>
      </c>
    </row>
    <row r="1722" spans="1:43" x14ac:dyDescent="0.2">
      <c r="A1722">
        <v>1720</v>
      </c>
      <c r="B1722">
        <v>147</v>
      </c>
      <c r="C1722">
        <v>17</v>
      </c>
      <c r="D1722">
        <v>29180272.154895671</v>
      </c>
      <c r="E1722" t="s">
        <v>228</v>
      </c>
      <c r="F1722" t="s">
        <v>61</v>
      </c>
      <c r="G1722" t="s">
        <v>207</v>
      </c>
      <c r="H1722">
        <v>1.7453875349150299E-5</v>
      </c>
      <c r="I1722">
        <v>5.3144191610815946E-8</v>
      </c>
      <c r="J1722">
        <v>0.05</v>
      </c>
      <c r="L1722" s="1">
        <v>43041</v>
      </c>
      <c r="M1722" s="1">
        <v>43024</v>
      </c>
      <c r="R1722">
        <v>1.5224181033641663E-4</v>
      </c>
      <c r="T1722" t="s">
        <v>39</v>
      </c>
      <c r="V1722">
        <v>29147238.335999999</v>
      </c>
      <c r="W1722" t="s">
        <v>229</v>
      </c>
      <c r="X1722" t="s">
        <v>230</v>
      </c>
      <c r="Y1722">
        <v>29180272.154895671</v>
      </c>
      <c r="Z1722" t="s">
        <v>31</v>
      </c>
      <c r="AA1722">
        <v>2.4330378223493638E-6</v>
      </c>
      <c r="AB1722">
        <v>99.886793999999995</v>
      </c>
      <c r="AC1722" t="s">
        <v>52</v>
      </c>
      <c r="AE1722" t="s">
        <v>41</v>
      </c>
      <c r="AF1722">
        <v>2.4E-2</v>
      </c>
      <c r="AH1722" t="s">
        <v>209</v>
      </c>
      <c r="AJ1722">
        <v>3.4907750698300597E-4</v>
      </c>
      <c r="AK1722">
        <v>3.4907750698300597E-4</v>
      </c>
      <c r="AL1722">
        <v>0</v>
      </c>
      <c r="AQ1722">
        <v>8.3778601675921437E-6</v>
      </c>
    </row>
    <row r="1723" spans="1:43" x14ac:dyDescent="0.2">
      <c r="A1723">
        <v>1721</v>
      </c>
      <c r="B1723">
        <v>147</v>
      </c>
      <c r="C1723">
        <v>17</v>
      </c>
      <c r="D1723">
        <v>38828369.394598655</v>
      </c>
      <c r="E1723" t="s">
        <v>228</v>
      </c>
      <c r="F1723" t="s">
        <v>61</v>
      </c>
      <c r="G1723" t="s">
        <v>207</v>
      </c>
      <c r="H1723">
        <v>2.785638505725825E-5</v>
      </c>
      <c r="I1723">
        <v>7.0681774842421685E-8</v>
      </c>
      <c r="J1723">
        <v>0.06</v>
      </c>
      <c r="L1723" s="1">
        <v>43046</v>
      </c>
      <c r="M1723" s="1">
        <v>43024</v>
      </c>
      <c r="R1723">
        <v>1.5224181033641663E-4</v>
      </c>
      <c r="T1723" t="s">
        <v>39</v>
      </c>
      <c r="V1723">
        <v>38765826.986900002</v>
      </c>
      <c r="W1723" t="s">
        <v>229</v>
      </c>
      <c r="X1723" t="s">
        <v>230</v>
      </c>
      <c r="Y1723">
        <v>38828369.394598655</v>
      </c>
      <c r="Z1723" t="s">
        <v>31</v>
      </c>
      <c r="AA1723">
        <v>3.235940303726324E-6</v>
      </c>
      <c r="AB1723">
        <v>99.838926000000001</v>
      </c>
      <c r="AC1723" t="s">
        <v>52</v>
      </c>
      <c r="AE1723" t="s">
        <v>41</v>
      </c>
      <c r="AF1723">
        <v>2.64E-2</v>
      </c>
      <c r="AH1723" t="s">
        <v>209</v>
      </c>
      <c r="AJ1723">
        <v>4.6427308428763754E-4</v>
      </c>
      <c r="AK1723">
        <v>4.6427308428763754E-4</v>
      </c>
      <c r="AL1723">
        <v>0</v>
      </c>
      <c r="AQ1723">
        <v>1.2256809425193632E-5</v>
      </c>
    </row>
    <row r="1724" spans="1:43" x14ac:dyDescent="0.2">
      <c r="A1724">
        <v>1722</v>
      </c>
      <c r="B1724">
        <v>147</v>
      </c>
      <c r="C1724">
        <v>17</v>
      </c>
      <c r="D1724">
        <v>43680182.101562217</v>
      </c>
      <c r="E1724" t="s">
        <v>228</v>
      </c>
      <c r="F1724" t="s">
        <v>61</v>
      </c>
      <c r="G1724" t="s">
        <v>207</v>
      </c>
      <c r="H1724">
        <v>3.6552026127727923E-5</v>
      </c>
      <c r="I1724">
        <v>7.9496380416418551E-8</v>
      </c>
      <c r="J1724">
        <v>7.0000000000000007E-2</v>
      </c>
      <c r="L1724" s="1">
        <v>43049</v>
      </c>
      <c r="M1724" s="1">
        <v>43024</v>
      </c>
      <c r="R1724">
        <v>1.5224181033641663E-4</v>
      </c>
      <c r="T1724" t="s">
        <v>39</v>
      </c>
      <c r="V1724">
        <v>43600248.241899997</v>
      </c>
      <c r="W1724" t="s">
        <v>229</v>
      </c>
      <c r="X1724" t="s">
        <v>230</v>
      </c>
      <c r="Y1724">
        <v>43680182.101562217</v>
      </c>
      <c r="Z1724" t="s">
        <v>31</v>
      </c>
      <c r="AA1724">
        <v>3.6394889908092063E-6</v>
      </c>
      <c r="AB1724">
        <v>99.817002000000002</v>
      </c>
      <c r="AC1724" t="s">
        <v>52</v>
      </c>
      <c r="AE1724" t="s">
        <v>41</v>
      </c>
      <c r="AF1724">
        <v>2.64E-2</v>
      </c>
      <c r="AH1724" t="s">
        <v>209</v>
      </c>
      <c r="AJ1724">
        <v>5.2217180182468454E-4</v>
      </c>
      <c r="AK1724">
        <v>5.2217180182468454E-4</v>
      </c>
      <c r="AL1724">
        <v>0</v>
      </c>
      <c r="AQ1724">
        <v>1.3785335568171672E-5</v>
      </c>
    </row>
    <row r="1725" spans="1:43" x14ac:dyDescent="0.2">
      <c r="A1725">
        <v>1723</v>
      </c>
      <c r="B1725">
        <v>147</v>
      </c>
      <c r="C1725">
        <v>17</v>
      </c>
      <c r="D1725">
        <v>36743618.082460612</v>
      </c>
      <c r="E1725" t="s">
        <v>254</v>
      </c>
      <c r="F1725" t="s">
        <v>61</v>
      </c>
      <c r="G1725" t="s">
        <v>207</v>
      </c>
      <c r="H1725">
        <v>1.3191518617326477E-5</v>
      </c>
      <c r="I1725">
        <v>6.6943355846277549E-8</v>
      </c>
      <c r="J1725">
        <v>0.03</v>
      </c>
      <c r="L1725" s="1">
        <v>43034</v>
      </c>
      <c r="M1725" s="1">
        <v>43024</v>
      </c>
      <c r="R1725">
        <v>1.5224181033641663E-4</v>
      </c>
      <c r="T1725" t="s">
        <v>39</v>
      </c>
      <c r="V1725">
        <v>36715469.531499997</v>
      </c>
      <c r="W1725" t="s">
        <v>249</v>
      </c>
      <c r="X1725" t="s">
        <v>255</v>
      </c>
      <c r="Y1725">
        <v>36743618.082460612</v>
      </c>
      <c r="Z1725" t="s">
        <v>31</v>
      </c>
      <c r="AA1725">
        <v>3.0647886775990981E-6</v>
      </c>
      <c r="AB1725">
        <v>99.923392000000007</v>
      </c>
      <c r="AC1725" t="s">
        <v>52</v>
      </c>
      <c r="AE1725" t="s">
        <v>41</v>
      </c>
      <c r="AF1725">
        <v>2.76E-2</v>
      </c>
      <c r="AH1725" t="s">
        <v>209</v>
      </c>
      <c r="AJ1725">
        <v>4.3971728724421594E-4</v>
      </c>
      <c r="AK1725">
        <v>4.3971728724421594E-4</v>
      </c>
      <c r="AL1725">
        <v>0</v>
      </c>
      <c r="AQ1725">
        <v>1.213619712794036E-5</v>
      </c>
    </row>
    <row r="1726" spans="1:43" x14ac:dyDescent="0.2">
      <c r="A1726">
        <v>1724</v>
      </c>
      <c r="B1726">
        <v>147</v>
      </c>
      <c r="C1726">
        <v>17</v>
      </c>
      <c r="D1726">
        <v>69869565.70228152</v>
      </c>
      <c r="E1726" t="s">
        <v>251</v>
      </c>
      <c r="F1726" t="s">
        <v>61</v>
      </c>
      <c r="G1726" t="s">
        <v>207</v>
      </c>
      <c r="H1726">
        <v>4.1785098124603299E-5</v>
      </c>
      <c r="I1726">
        <v>1.2722877967148825E-7</v>
      </c>
      <c r="J1726">
        <v>0.05</v>
      </c>
      <c r="L1726" s="1">
        <v>43041</v>
      </c>
      <c r="M1726" s="1">
        <v>43024</v>
      </c>
      <c r="R1726">
        <v>1.5224181033641663E-4</v>
      </c>
      <c r="T1726" t="s">
        <v>39</v>
      </c>
      <c r="V1726">
        <v>69779357.854200006</v>
      </c>
      <c r="W1726" t="s">
        <v>251</v>
      </c>
      <c r="X1726" t="s">
        <v>1668</v>
      </c>
      <c r="Y1726">
        <v>69869565.70228152</v>
      </c>
      <c r="Z1726" t="s">
        <v>31</v>
      </c>
      <c r="AA1726">
        <v>5.824765108838055E-6</v>
      </c>
      <c r="AB1726">
        <v>99.878315000000001</v>
      </c>
      <c r="AC1726" t="s">
        <v>34</v>
      </c>
      <c r="AE1726" t="s">
        <v>41</v>
      </c>
      <c r="AF1726">
        <v>2.58E-2</v>
      </c>
      <c r="AH1726" t="s">
        <v>209</v>
      </c>
      <c r="AJ1726">
        <v>8.3570196249206587E-4</v>
      </c>
      <c r="AK1726">
        <v>8.3570196249206587E-4</v>
      </c>
      <c r="AL1726">
        <v>0</v>
      </c>
      <c r="AN1726" t="s">
        <v>54</v>
      </c>
      <c r="AQ1726">
        <v>2.1561110632295299E-5</v>
      </c>
    </row>
    <row r="1727" spans="1:43" x14ac:dyDescent="0.2">
      <c r="A1727">
        <v>1725</v>
      </c>
      <c r="B1727">
        <v>147</v>
      </c>
      <c r="C1727">
        <v>17</v>
      </c>
      <c r="D1727">
        <v>9705221.457083391</v>
      </c>
      <c r="E1727" t="s">
        <v>251</v>
      </c>
      <c r="F1727" t="s">
        <v>61</v>
      </c>
      <c r="G1727" t="s">
        <v>207</v>
      </c>
      <c r="H1727">
        <v>8.1226724728656883E-6</v>
      </c>
      <c r="I1727">
        <v>1.7665862314840717E-8</v>
      </c>
      <c r="J1727">
        <v>7.0000000000000007E-2</v>
      </c>
      <c r="L1727" s="1">
        <v>43048</v>
      </c>
      <c r="M1727" s="1">
        <v>43024</v>
      </c>
      <c r="R1727">
        <v>1.5224181033641663E-4</v>
      </c>
      <c r="T1727" t="s">
        <v>39</v>
      </c>
      <c r="V1727">
        <v>9688944.0537999999</v>
      </c>
      <c r="W1727" t="s">
        <v>251</v>
      </c>
      <c r="X1727" t="s">
        <v>1668</v>
      </c>
      <c r="Y1727">
        <v>9705221.457083391</v>
      </c>
      <c r="Z1727" t="s">
        <v>31</v>
      </c>
      <c r="AA1727">
        <v>8.0877533129464483E-7</v>
      </c>
      <c r="AB1727">
        <v>99.832282000000006</v>
      </c>
      <c r="AC1727" t="s">
        <v>34</v>
      </c>
      <c r="AE1727" t="s">
        <v>41</v>
      </c>
      <c r="AF1727">
        <v>2.52E-2</v>
      </c>
      <c r="AH1727" t="s">
        <v>209</v>
      </c>
      <c r="AJ1727">
        <v>1.1603817818379553E-4</v>
      </c>
      <c r="AK1727">
        <v>1.1603817818379553E-4</v>
      </c>
      <c r="AL1727">
        <v>0</v>
      </c>
      <c r="AN1727" t="s">
        <v>54</v>
      </c>
      <c r="AQ1727">
        <v>2.9241620902316476E-6</v>
      </c>
    </row>
    <row r="1728" spans="1:43" x14ac:dyDescent="0.2">
      <c r="A1728">
        <v>1726</v>
      </c>
      <c r="B1728">
        <v>147</v>
      </c>
      <c r="C1728">
        <v>17</v>
      </c>
      <c r="D1728">
        <v>9704167.6321563199</v>
      </c>
      <c r="E1728" t="s">
        <v>210</v>
      </c>
      <c r="F1728" t="s">
        <v>61</v>
      </c>
      <c r="G1728" t="s">
        <v>207</v>
      </c>
      <c r="H1728">
        <v>2.3231709947489712E-6</v>
      </c>
      <c r="I1728">
        <v>1.7684187898081861E-8</v>
      </c>
      <c r="J1728">
        <v>0.02</v>
      </c>
      <c r="L1728" s="1">
        <v>43032</v>
      </c>
      <c r="M1728" s="1">
        <v>43024</v>
      </c>
      <c r="R1728">
        <v>1.5224181033641663E-4</v>
      </c>
      <c r="T1728" t="s">
        <v>39</v>
      </c>
      <c r="V1728">
        <v>9698994.8256000001</v>
      </c>
      <c r="W1728" t="s">
        <v>211</v>
      </c>
      <c r="X1728" t="s">
        <v>212</v>
      </c>
      <c r="Y1728">
        <v>9704167.6321563199</v>
      </c>
      <c r="Z1728" t="s">
        <v>31</v>
      </c>
      <c r="AA1728">
        <v>8.0961430985073667E-7</v>
      </c>
      <c r="AB1728">
        <v>99.946695000000005</v>
      </c>
      <c r="AC1728" t="s">
        <v>52</v>
      </c>
      <c r="AE1728" t="s">
        <v>41</v>
      </c>
      <c r="AF1728">
        <v>2.4E-2</v>
      </c>
      <c r="AH1728" t="s">
        <v>209</v>
      </c>
      <c r="AJ1728">
        <v>1.1615854973744855E-4</v>
      </c>
      <c r="AK1728">
        <v>1.1615854973744855E-4</v>
      </c>
      <c r="AL1728">
        <v>0</v>
      </c>
      <c r="AQ1728">
        <v>2.7878051936987652E-6</v>
      </c>
    </row>
    <row r="1729" spans="1:43" x14ac:dyDescent="0.2">
      <c r="A1729">
        <v>1727</v>
      </c>
      <c r="B1729">
        <v>147</v>
      </c>
      <c r="C1729">
        <v>17</v>
      </c>
      <c r="D1729">
        <v>115340656.05467379</v>
      </c>
      <c r="E1729" t="s">
        <v>210</v>
      </c>
      <c r="F1729" t="s">
        <v>61</v>
      </c>
      <c r="G1729" t="s">
        <v>207</v>
      </c>
      <c r="H1729">
        <v>1.2336394053658034E-4</v>
      </c>
      <c r="I1729">
        <v>9.390574818761521E-7</v>
      </c>
      <c r="J1729">
        <v>0.02</v>
      </c>
      <c r="L1729" s="1">
        <v>43033</v>
      </c>
      <c r="M1729" s="1">
        <v>43024</v>
      </c>
      <c r="R1729">
        <v>1.5224181033641663E-4</v>
      </c>
      <c r="T1729" t="s">
        <v>39</v>
      </c>
      <c r="V1729">
        <v>515031490.85210001</v>
      </c>
      <c r="W1729" t="s">
        <v>211</v>
      </c>
      <c r="X1729" t="s">
        <v>212</v>
      </c>
      <c r="Y1729">
        <v>515340655.05467379</v>
      </c>
      <c r="Z1729" t="s">
        <v>31</v>
      </c>
      <c r="AA1729">
        <v>4.2991760745869242E-5</v>
      </c>
      <c r="AB1729">
        <v>99.939037333333332</v>
      </c>
      <c r="AC1729" t="s">
        <v>52</v>
      </c>
      <c r="AE1729" t="s">
        <v>41</v>
      </c>
      <c r="AF1729">
        <v>2.4400000000000002E-2</v>
      </c>
      <c r="AH1729" t="s">
        <v>209</v>
      </c>
      <c r="AJ1729">
        <v>6.1681970268290167E-3</v>
      </c>
      <c r="AK1729">
        <v>6.1681970268290167E-3</v>
      </c>
      <c r="AL1729">
        <v>0</v>
      </c>
      <c r="AQ1729">
        <v>1.5050400745462801E-4</v>
      </c>
    </row>
    <row r="1730" spans="1:43" x14ac:dyDescent="0.2">
      <c r="A1730">
        <v>1728</v>
      </c>
      <c r="B1730">
        <v>147</v>
      </c>
      <c r="C1730">
        <v>17</v>
      </c>
      <c r="D1730">
        <v>30888156.534009561</v>
      </c>
      <c r="E1730" t="s">
        <v>210</v>
      </c>
      <c r="F1730" t="s">
        <v>61</v>
      </c>
      <c r="G1730" t="s">
        <v>207</v>
      </c>
      <c r="H1730">
        <v>2.5845377626244284E-5</v>
      </c>
      <c r="I1730">
        <v>5.6210672552110681E-8</v>
      </c>
      <c r="J1730">
        <v>7.0000000000000007E-2</v>
      </c>
      <c r="L1730" s="1">
        <v>43049</v>
      </c>
      <c r="M1730" s="1">
        <v>43024</v>
      </c>
      <c r="R1730">
        <v>1.5224181033641663E-4</v>
      </c>
      <c r="T1730" t="s">
        <v>39</v>
      </c>
      <c r="V1730">
        <v>30829067.490600001</v>
      </c>
      <c r="W1730" t="s">
        <v>211</v>
      </c>
      <c r="X1730" t="s">
        <v>212</v>
      </c>
      <c r="Y1730">
        <v>30888156.534009561</v>
      </c>
      <c r="Z1730" t="s">
        <v>31</v>
      </c>
      <c r="AA1730">
        <v>2.5734269012974596E-6</v>
      </c>
      <c r="AB1730">
        <v>99.808700000000002</v>
      </c>
      <c r="AC1730" t="s">
        <v>52</v>
      </c>
      <c r="AE1730" t="s">
        <v>41</v>
      </c>
      <c r="AF1730">
        <v>2.76E-2</v>
      </c>
      <c r="AH1730" t="s">
        <v>209</v>
      </c>
      <c r="AJ1730">
        <v>3.692196803749183E-4</v>
      </c>
      <c r="AK1730">
        <v>3.692196803749183E-4</v>
      </c>
      <c r="AL1730">
        <v>0</v>
      </c>
      <c r="AQ1730">
        <v>1.0190463178347744E-5</v>
      </c>
    </row>
    <row r="1731" spans="1:43" x14ac:dyDescent="0.2">
      <c r="A1731">
        <v>1729</v>
      </c>
      <c r="B1731">
        <v>147</v>
      </c>
      <c r="C1731">
        <v>17</v>
      </c>
      <c r="D1731">
        <v>3384630.6609038659</v>
      </c>
      <c r="E1731" t="s">
        <v>1669</v>
      </c>
      <c r="F1731" t="s">
        <v>61</v>
      </c>
      <c r="G1731" t="s">
        <v>207</v>
      </c>
      <c r="H1731">
        <v>2.0223348984364268E-6</v>
      </c>
      <c r="I1731">
        <v>6.1576785208894973E-9</v>
      </c>
      <c r="J1731">
        <v>0.05</v>
      </c>
      <c r="L1731" s="1">
        <v>43042</v>
      </c>
      <c r="M1731" s="1">
        <v>43024</v>
      </c>
      <c r="R1731">
        <v>1.5224181033641663E-4</v>
      </c>
      <c r="T1731" t="s">
        <v>39</v>
      </c>
      <c r="V1731">
        <v>3377214.2919999999</v>
      </c>
      <c r="W1731" t="s">
        <v>1670</v>
      </c>
      <c r="X1731" t="s">
        <v>1671</v>
      </c>
      <c r="Y1731">
        <v>3384630.6609038659</v>
      </c>
      <c r="Z1731" t="s">
        <v>31</v>
      </c>
      <c r="AA1731">
        <v>2.8190973058555873E-7</v>
      </c>
      <c r="AB1731">
        <v>99.780880999999994</v>
      </c>
      <c r="AC1731" t="s">
        <v>34</v>
      </c>
      <c r="AE1731" t="s">
        <v>180</v>
      </c>
      <c r="AF1731">
        <v>4.3920000000000001E-2</v>
      </c>
      <c r="AH1731" t="s">
        <v>539</v>
      </c>
      <c r="AJ1731">
        <v>4.0446697968728534E-5</v>
      </c>
      <c r="AK1731">
        <v>4.0446697968728534E-5</v>
      </c>
      <c r="AL1731">
        <v>0</v>
      </c>
      <c r="AN1731" t="s">
        <v>54</v>
      </c>
      <c r="AQ1731">
        <v>1.7764189747865572E-6</v>
      </c>
    </row>
    <row r="1732" spans="1:43" x14ac:dyDescent="0.2">
      <c r="A1732">
        <v>1730</v>
      </c>
      <c r="B1732">
        <v>147</v>
      </c>
      <c r="C1732">
        <v>17</v>
      </c>
      <c r="D1732">
        <v>6618122.3011975</v>
      </c>
      <c r="E1732" t="s">
        <v>1147</v>
      </c>
      <c r="F1732" t="s">
        <v>61</v>
      </c>
      <c r="G1732" t="s">
        <v>207</v>
      </c>
      <c r="H1732">
        <v>4.7360493700142465E-6</v>
      </c>
      <c r="I1732">
        <v>1.2017078832226907E-8</v>
      </c>
      <c r="J1732">
        <v>0.06</v>
      </c>
      <c r="L1732" s="1">
        <v>43047</v>
      </c>
      <c r="M1732" s="1">
        <v>43024</v>
      </c>
      <c r="R1732">
        <v>1.5224181033641663E-4</v>
      </c>
      <c r="T1732" t="s">
        <v>39</v>
      </c>
      <c r="V1732">
        <v>6590836.1799999997</v>
      </c>
      <c r="W1732" t="s">
        <v>1148</v>
      </c>
      <c r="X1732" t="s">
        <v>1149</v>
      </c>
      <c r="Y1732">
        <v>6618122.3011975</v>
      </c>
      <c r="Z1732" t="s">
        <v>31</v>
      </c>
      <c r="AA1732">
        <v>5.5016374182670693E-7</v>
      </c>
      <c r="AB1732">
        <v>99.587705999999997</v>
      </c>
      <c r="AC1732" t="s">
        <v>144</v>
      </c>
      <c r="AE1732" t="s">
        <v>88</v>
      </c>
      <c r="AF1732">
        <v>6.4799999999999996E-2</v>
      </c>
      <c r="AH1732" t="s">
        <v>539</v>
      </c>
      <c r="AJ1732">
        <v>7.8934156166904116E-5</v>
      </c>
      <c r="AK1732">
        <v>7.8934156166904116E-5</v>
      </c>
      <c r="AL1732">
        <v>0</v>
      </c>
      <c r="AN1732" t="s">
        <v>163</v>
      </c>
      <c r="AQ1732">
        <v>5.1149333196153866E-6</v>
      </c>
    </row>
    <row r="1733" spans="1:43" x14ac:dyDescent="0.2">
      <c r="A1733">
        <v>1731</v>
      </c>
      <c r="B1733">
        <v>147</v>
      </c>
      <c r="C1733">
        <v>17</v>
      </c>
      <c r="D1733">
        <v>2995445.1277588913</v>
      </c>
      <c r="E1733" t="s">
        <v>1147</v>
      </c>
      <c r="F1733" t="s">
        <v>61</v>
      </c>
      <c r="G1733" t="s">
        <v>207</v>
      </c>
      <c r="H1733">
        <v>2.8534950680947709E-6</v>
      </c>
      <c r="I1733">
        <v>5.4302656869098047E-9</v>
      </c>
      <c r="J1733">
        <v>0.08</v>
      </c>
      <c r="L1733" s="1">
        <v>43054</v>
      </c>
      <c r="M1733" s="1">
        <v>43024</v>
      </c>
      <c r="R1733">
        <v>1.5224181033641663E-4</v>
      </c>
      <c r="T1733" t="s">
        <v>39</v>
      </c>
      <c r="V1733">
        <v>2978260.5287000001</v>
      </c>
      <c r="W1733" t="s">
        <v>1148</v>
      </c>
      <c r="X1733" t="s">
        <v>1149</v>
      </c>
      <c r="Y1733">
        <v>2995445.1277588913</v>
      </c>
      <c r="Z1733" t="s">
        <v>31</v>
      </c>
      <c r="AA1733">
        <v>2.486074470454186E-7</v>
      </c>
      <c r="AB1733">
        <v>99.426309000000003</v>
      </c>
      <c r="AC1733" t="s">
        <v>144</v>
      </c>
      <c r="AE1733" t="s">
        <v>88</v>
      </c>
      <c r="AF1733">
        <v>6.9239999999999996E-2</v>
      </c>
      <c r="AH1733" t="s">
        <v>539</v>
      </c>
      <c r="AJ1733">
        <v>3.5668688351184637E-5</v>
      </c>
      <c r="AK1733">
        <v>3.5668688351184637E-5</v>
      </c>
      <c r="AL1733">
        <v>0</v>
      </c>
      <c r="AN1733" t="s">
        <v>163</v>
      </c>
      <c r="AQ1733">
        <v>2.4696999814360243E-6</v>
      </c>
    </row>
    <row r="1734" spans="1:43" x14ac:dyDescent="0.2">
      <c r="A1734">
        <v>1732</v>
      </c>
      <c r="B1734">
        <v>147</v>
      </c>
      <c r="C1734">
        <v>17</v>
      </c>
      <c r="D1734">
        <v>8290316.4172406029</v>
      </c>
      <c r="E1734" t="s">
        <v>1736</v>
      </c>
      <c r="F1734" t="s">
        <v>61</v>
      </c>
      <c r="G1734" t="s">
        <v>207</v>
      </c>
      <c r="H1734">
        <v>3.9619013673078098E-6</v>
      </c>
      <c r="I1734">
        <v>1.5079175913331634E-8</v>
      </c>
      <c r="J1734">
        <v>0.04</v>
      </c>
      <c r="L1734" s="1">
        <v>43039</v>
      </c>
      <c r="M1734" s="1">
        <v>43024</v>
      </c>
      <c r="R1734">
        <v>1.5224181033641663E-4</v>
      </c>
      <c r="T1734" t="s">
        <v>39</v>
      </c>
      <c r="V1734">
        <v>8270260.9812000003</v>
      </c>
      <c r="W1734" t="s">
        <v>1737</v>
      </c>
      <c r="X1734" t="s">
        <v>1738</v>
      </c>
      <c r="Y1734">
        <v>8290316.4172406029</v>
      </c>
      <c r="Z1734" t="s">
        <v>31</v>
      </c>
      <c r="AA1734">
        <v>6.9035211967602054E-7</v>
      </c>
      <c r="AB1734">
        <v>99.758086000000006</v>
      </c>
      <c r="AC1734" t="s">
        <v>54</v>
      </c>
      <c r="AE1734" t="s">
        <v>176</v>
      </c>
      <c r="AF1734">
        <v>5.8200000000000002E-2</v>
      </c>
      <c r="AH1734" t="s">
        <v>539</v>
      </c>
      <c r="AJ1734">
        <v>9.9047534182695245E-5</v>
      </c>
      <c r="AK1734">
        <v>9.9047534182695245E-5</v>
      </c>
      <c r="AL1734">
        <v>0</v>
      </c>
      <c r="AN1734" t="s">
        <v>154</v>
      </c>
      <c r="AQ1734">
        <v>5.7645664894328632E-6</v>
      </c>
    </row>
    <row r="1735" spans="1:43" x14ac:dyDescent="0.2">
      <c r="A1735">
        <v>1733</v>
      </c>
      <c r="B1735">
        <v>147</v>
      </c>
      <c r="C1735">
        <v>17</v>
      </c>
      <c r="D1735">
        <v>10246027.918079169</v>
      </c>
      <c r="E1735" t="s">
        <v>219</v>
      </c>
      <c r="F1735" t="s">
        <v>61</v>
      </c>
      <c r="G1735" t="s">
        <v>207</v>
      </c>
      <c r="H1735">
        <v>6.1269121053104409E-6</v>
      </c>
      <c r="I1735">
        <v>1.8655443813691344E-8</v>
      </c>
      <c r="J1735">
        <v>0.05</v>
      </c>
      <c r="L1735" s="1">
        <v>43041</v>
      </c>
      <c r="M1735" s="1">
        <v>43024</v>
      </c>
      <c r="R1735">
        <v>1.5224181033641663E-4</v>
      </c>
      <c r="T1735" t="s">
        <v>39</v>
      </c>
      <c r="V1735">
        <v>10231685.733100001</v>
      </c>
      <c r="W1735" t="s">
        <v>220</v>
      </c>
      <c r="X1735" t="s">
        <v>221</v>
      </c>
      <c r="Y1735">
        <v>10246027.918079169</v>
      </c>
      <c r="Z1735" t="s">
        <v>31</v>
      </c>
      <c r="AA1735">
        <v>8.5408017349890058E-7</v>
      </c>
      <c r="AB1735">
        <v>99.860022000000001</v>
      </c>
      <c r="AC1735" t="s">
        <v>52</v>
      </c>
      <c r="AE1735" t="s">
        <v>41</v>
      </c>
      <c r="AF1735">
        <v>2.9399999999999999E-2</v>
      </c>
      <c r="AH1735" t="s">
        <v>209</v>
      </c>
      <c r="AJ1735">
        <v>1.225382421062088E-4</v>
      </c>
      <c r="AK1735">
        <v>1.225382421062088E-4</v>
      </c>
      <c r="AL1735">
        <v>0</v>
      </c>
      <c r="AQ1735">
        <v>3.6026243179225388E-6</v>
      </c>
    </row>
    <row r="1736" spans="1:43" x14ac:dyDescent="0.2">
      <c r="A1736">
        <v>1734</v>
      </c>
      <c r="B1736">
        <v>147</v>
      </c>
      <c r="C1736">
        <v>17</v>
      </c>
      <c r="D1736">
        <v>7007915.2516775122</v>
      </c>
      <c r="E1736" t="s">
        <v>225</v>
      </c>
      <c r="F1736" t="s">
        <v>61</v>
      </c>
      <c r="G1736" t="s">
        <v>207</v>
      </c>
      <c r="H1736">
        <v>6.6956433034436352E-6</v>
      </c>
      <c r="I1736">
        <v>1.274196072353955E-8</v>
      </c>
      <c r="J1736">
        <v>0.08</v>
      </c>
      <c r="L1736" s="1">
        <v>43054</v>
      </c>
      <c r="M1736" s="1">
        <v>43024</v>
      </c>
      <c r="R1736">
        <v>1.5224181033641663E-4</v>
      </c>
      <c r="T1736" t="s">
        <v>39</v>
      </c>
      <c r="V1736">
        <v>6988401.8332000002</v>
      </c>
      <c r="W1736" t="s">
        <v>226</v>
      </c>
      <c r="X1736" t="s">
        <v>227</v>
      </c>
      <c r="Y1736">
        <v>7007915.2516775122</v>
      </c>
      <c r="Z1736" t="s">
        <v>31</v>
      </c>
      <c r="AA1736">
        <v>5.8335015420485399E-7</v>
      </c>
      <c r="AB1736">
        <v>99.740699000000006</v>
      </c>
      <c r="AC1736" t="s">
        <v>52</v>
      </c>
      <c r="AE1736" t="s">
        <v>41</v>
      </c>
      <c r="AF1736">
        <v>3.1199999999999999E-2</v>
      </c>
      <c r="AH1736" t="s">
        <v>209</v>
      </c>
      <c r="AJ1736">
        <v>8.3695541293045438E-5</v>
      </c>
      <c r="AK1736">
        <v>8.3695541293045438E-5</v>
      </c>
      <c r="AL1736">
        <v>0</v>
      </c>
      <c r="AQ1736">
        <v>2.6113008883430176E-6</v>
      </c>
    </row>
    <row r="1737" spans="1:43" x14ac:dyDescent="0.2">
      <c r="A1737">
        <v>1735</v>
      </c>
      <c r="B1737">
        <v>147</v>
      </c>
      <c r="C1737">
        <v>17</v>
      </c>
      <c r="D1737">
        <v>9706537.0652082879</v>
      </c>
      <c r="E1737" t="s">
        <v>225</v>
      </c>
      <c r="F1737" t="s">
        <v>61</v>
      </c>
      <c r="G1737" t="s">
        <v>207</v>
      </c>
      <c r="H1737">
        <v>9.2702146221862402E-6</v>
      </c>
      <c r="I1737">
        <v>1.7641428203609419E-8</v>
      </c>
      <c r="J1737">
        <v>0.08</v>
      </c>
      <c r="L1737" s="1">
        <v>43055</v>
      </c>
      <c r="M1737" s="1">
        <v>43024</v>
      </c>
      <c r="R1737">
        <v>1.5224181033641663E-4</v>
      </c>
      <c r="T1737" t="s">
        <v>39</v>
      </c>
      <c r="V1737">
        <v>9675543.0245999992</v>
      </c>
      <c r="W1737" t="s">
        <v>226</v>
      </c>
      <c r="X1737" t="s">
        <v>227</v>
      </c>
      <c r="Y1737">
        <v>9706537.0652082879</v>
      </c>
      <c r="Z1737" t="s">
        <v>31</v>
      </c>
      <c r="AA1737">
        <v>8.0765669320872569E-7</v>
      </c>
      <c r="AB1737">
        <v>99.680689000000001</v>
      </c>
      <c r="AC1737" t="s">
        <v>52</v>
      </c>
      <c r="AE1737" t="s">
        <v>41</v>
      </c>
      <c r="AF1737">
        <v>3.7199999999999997E-2</v>
      </c>
      <c r="AH1737" t="s">
        <v>209</v>
      </c>
      <c r="AJ1737">
        <v>1.1587768277732799E-4</v>
      </c>
      <c r="AK1737">
        <v>1.1587768277732799E-4</v>
      </c>
      <c r="AL1737">
        <v>0</v>
      </c>
      <c r="AQ1737">
        <v>4.3106497993166012E-6</v>
      </c>
    </row>
    <row r="1738" spans="1:43" x14ac:dyDescent="0.2">
      <c r="A1738">
        <v>1736</v>
      </c>
      <c r="B1738">
        <v>147</v>
      </c>
      <c r="C1738">
        <v>17</v>
      </c>
      <c r="D1738">
        <v>9704652.6380880047</v>
      </c>
      <c r="E1738" t="s">
        <v>204</v>
      </c>
      <c r="F1738" t="s">
        <v>61</v>
      </c>
      <c r="G1738" t="s">
        <v>207</v>
      </c>
      <c r="H1738">
        <v>2.3231709947489712E-6</v>
      </c>
      <c r="I1738">
        <v>1.7684187898081861E-8</v>
      </c>
      <c r="J1738">
        <v>0.02</v>
      </c>
      <c r="L1738" s="1">
        <v>43031</v>
      </c>
      <c r="M1738" s="1">
        <v>43024</v>
      </c>
      <c r="R1738">
        <v>1.5224181033641663E-4</v>
      </c>
      <c r="T1738" t="s">
        <v>39</v>
      </c>
      <c r="V1738">
        <v>9698994.8256000001</v>
      </c>
      <c r="W1738" t="s">
        <v>200</v>
      </c>
      <c r="X1738" t="s">
        <v>214</v>
      </c>
      <c r="Y1738">
        <v>9704652.6380880047</v>
      </c>
      <c r="Z1738" t="s">
        <v>31</v>
      </c>
      <c r="AA1738">
        <v>8.0961430985073667E-7</v>
      </c>
      <c r="AB1738">
        <v>99.941699999999997</v>
      </c>
      <c r="AC1738" t="s">
        <v>52</v>
      </c>
      <c r="AE1738" t="s">
        <v>41</v>
      </c>
      <c r="AF1738">
        <v>0.03</v>
      </c>
      <c r="AH1738" t="s">
        <v>209</v>
      </c>
      <c r="AJ1738">
        <v>1.1615854973744855E-4</v>
      </c>
      <c r="AK1738">
        <v>1.1615854973744855E-4</v>
      </c>
      <c r="AL1738">
        <v>0</v>
      </c>
      <c r="AQ1738">
        <v>3.4847564921234565E-6</v>
      </c>
    </row>
    <row r="1739" spans="1:43" x14ac:dyDescent="0.2">
      <c r="A1739">
        <v>1737</v>
      </c>
      <c r="B1739">
        <v>147</v>
      </c>
      <c r="C1739">
        <v>17</v>
      </c>
      <c r="D1739">
        <v>9705996.5190443099</v>
      </c>
      <c r="E1739" t="s">
        <v>204</v>
      </c>
      <c r="F1739" t="s">
        <v>61</v>
      </c>
      <c r="G1739" t="s">
        <v>207</v>
      </c>
      <c r="H1739">
        <v>6.9622906910277315E-6</v>
      </c>
      <c r="I1739">
        <v>1.7665862314840717E-8</v>
      </c>
      <c r="J1739">
        <v>0.06</v>
      </c>
      <c r="L1739" s="1">
        <v>43046</v>
      </c>
      <c r="M1739" s="1">
        <v>43024</v>
      </c>
      <c r="R1739">
        <v>1.5224181033641663E-4</v>
      </c>
      <c r="T1739" t="s">
        <v>39</v>
      </c>
      <c r="V1739">
        <v>9688944.0537999999</v>
      </c>
      <c r="W1739" t="s">
        <v>200</v>
      </c>
      <c r="X1739" t="s">
        <v>214</v>
      </c>
      <c r="Y1739">
        <v>9705996.5190443099</v>
      </c>
      <c r="Z1739" t="s">
        <v>31</v>
      </c>
      <c r="AA1739">
        <v>8.0877533129464483E-7</v>
      </c>
      <c r="AB1739">
        <v>99.824309999999997</v>
      </c>
      <c r="AC1739" t="s">
        <v>52</v>
      </c>
      <c r="AE1739" t="s">
        <v>41</v>
      </c>
      <c r="AF1739">
        <v>2.76E-2</v>
      </c>
      <c r="AH1739" t="s">
        <v>209</v>
      </c>
      <c r="AJ1739">
        <v>1.1603817818379553E-4</v>
      </c>
      <c r="AK1739">
        <v>1.1603817818379553E-4</v>
      </c>
      <c r="AL1739">
        <v>0</v>
      </c>
      <c r="AQ1739">
        <v>3.2026537178727565E-6</v>
      </c>
    </row>
    <row r="1740" spans="1:43" x14ac:dyDescent="0.2">
      <c r="A1740">
        <v>1738</v>
      </c>
      <c r="B1740">
        <v>147</v>
      </c>
      <c r="C1740">
        <v>17</v>
      </c>
      <c r="D1740">
        <v>29120509.122129545</v>
      </c>
      <c r="E1740" t="s">
        <v>204</v>
      </c>
      <c r="F1740" t="s">
        <v>61</v>
      </c>
      <c r="G1740" t="s">
        <v>207</v>
      </c>
      <c r="H1740">
        <v>2.4368017418513231E-5</v>
      </c>
      <c r="I1740">
        <v>5.2997586944339817E-8</v>
      </c>
      <c r="J1740">
        <v>7.0000000000000007E-2</v>
      </c>
      <c r="L1740" s="1">
        <v>43048</v>
      </c>
      <c r="M1740" s="1">
        <v>43024</v>
      </c>
      <c r="R1740">
        <v>1.5224181033641663E-4</v>
      </c>
      <c r="T1740" t="s">
        <v>39</v>
      </c>
      <c r="V1740">
        <v>29066832.1613</v>
      </c>
      <c r="W1740" t="s">
        <v>200</v>
      </c>
      <c r="X1740" t="s">
        <v>214</v>
      </c>
      <c r="Y1740">
        <v>29120509.122129545</v>
      </c>
      <c r="Z1740" t="s">
        <v>31</v>
      </c>
      <c r="AA1740">
        <v>2.426325993875587E-6</v>
      </c>
      <c r="AB1740">
        <v>99.815673000000004</v>
      </c>
      <c r="AC1740" t="s">
        <v>52</v>
      </c>
      <c r="AE1740" t="s">
        <v>41</v>
      </c>
      <c r="AF1740">
        <v>2.8000000000000001E-2</v>
      </c>
      <c r="AH1740" t="s">
        <v>209</v>
      </c>
      <c r="AJ1740">
        <v>3.4811453455018895E-4</v>
      </c>
      <c r="AK1740">
        <v>3.4811453455018895E-4</v>
      </c>
      <c r="AL1740">
        <v>0</v>
      </c>
      <c r="AQ1740">
        <v>9.7472069674052909E-6</v>
      </c>
    </row>
    <row r="1741" spans="1:43" x14ac:dyDescent="0.2">
      <c r="A1741">
        <v>1739</v>
      </c>
      <c r="B1741">
        <v>147</v>
      </c>
      <c r="C1741">
        <v>17</v>
      </c>
      <c r="D1741">
        <v>5618301.6473779995</v>
      </c>
      <c r="E1741" t="s">
        <v>204</v>
      </c>
      <c r="F1741" t="s">
        <v>61</v>
      </c>
      <c r="G1741" t="s">
        <v>207</v>
      </c>
      <c r="H1741">
        <v>5.3701762683071381E-6</v>
      </c>
      <c r="I1741">
        <v>1.0219566961409262E-8</v>
      </c>
      <c r="J1741">
        <v>0.08</v>
      </c>
      <c r="L1741" s="1">
        <v>43055</v>
      </c>
      <c r="M1741" s="1">
        <v>43024</v>
      </c>
      <c r="R1741">
        <v>1.5224181033641663E-4</v>
      </c>
      <c r="T1741" t="s">
        <v>39</v>
      </c>
      <c r="V1741">
        <v>5604980.4293999998</v>
      </c>
      <c r="W1741" t="s">
        <v>200</v>
      </c>
      <c r="X1741" t="s">
        <v>214</v>
      </c>
      <c r="Y1741">
        <v>5618301.6473779995</v>
      </c>
      <c r="Z1741" t="s">
        <v>31</v>
      </c>
      <c r="AA1741">
        <v>4.6787037663924566E-7</v>
      </c>
      <c r="AB1741">
        <v>99.762895999999998</v>
      </c>
      <c r="AC1741" t="s">
        <v>52</v>
      </c>
      <c r="AE1741" t="s">
        <v>41</v>
      </c>
      <c r="AF1741">
        <v>2.76E-2</v>
      </c>
      <c r="AH1741" t="s">
        <v>209</v>
      </c>
      <c r="AJ1741">
        <v>6.712720335383923E-5</v>
      </c>
      <c r="AK1741">
        <v>6.712720335383923E-5</v>
      </c>
      <c r="AL1741">
        <v>0</v>
      </c>
      <c r="AQ1741">
        <v>1.8527108125659628E-6</v>
      </c>
    </row>
    <row r="1742" spans="1:43" x14ac:dyDescent="0.2">
      <c r="A1742">
        <v>1740</v>
      </c>
      <c r="B1742">
        <v>147</v>
      </c>
      <c r="C1742">
        <v>17</v>
      </c>
      <c r="D1742">
        <v>9704086.8510933742</v>
      </c>
      <c r="E1742" t="s">
        <v>215</v>
      </c>
      <c r="F1742" t="s">
        <v>61</v>
      </c>
      <c r="G1742" t="s">
        <v>207</v>
      </c>
      <c r="H1742">
        <v>2.3231709947489712E-6</v>
      </c>
      <c r="I1742">
        <v>1.7684187898081861E-8</v>
      </c>
      <c r="J1742">
        <v>0.02</v>
      </c>
      <c r="L1742" s="1">
        <v>43031</v>
      </c>
      <c r="M1742" s="1">
        <v>43024</v>
      </c>
      <c r="R1742">
        <v>1.5224181033641663E-4</v>
      </c>
      <c r="T1742" t="s">
        <v>39</v>
      </c>
      <c r="V1742">
        <v>9698994.8256000001</v>
      </c>
      <c r="W1742" t="s">
        <v>216</v>
      </c>
      <c r="X1742" t="s">
        <v>217</v>
      </c>
      <c r="Y1742">
        <v>9704086.8510933742</v>
      </c>
      <c r="Z1742" t="s">
        <v>31</v>
      </c>
      <c r="AA1742">
        <v>8.0961430985073667E-7</v>
      </c>
      <c r="AB1742">
        <v>99.947526999999994</v>
      </c>
      <c r="AC1742" t="s">
        <v>52</v>
      </c>
      <c r="AE1742" t="s">
        <v>41</v>
      </c>
      <c r="AF1742">
        <v>2.7E-2</v>
      </c>
      <c r="AH1742" t="s">
        <v>209</v>
      </c>
      <c r="AJ1742">
        <v>1.1615854973744855E-4</v>
      </c>
      <c r="AK1742">
        <v>1.1615854973744855E-4</v>
      </c>
      <c r="AL1742">
        <v>0</v>
      </c>
      <c r="AQ1742">
        <v>3.1362808429111107E-6</v>
      </c>
    </row>
    <row r="1743" spans="1:43" x14ac:dyDescent="0.2">
      <c r="A1743">
        <v>1741</v>
      </c>
      <c r="B1743">
        <v>147</v>
      </c>
      <c r="C1743">
        <v>17</v>
      </c>
      <c r="D1743">
        <v>9704377.4254599884</v>
      </c>
      <c r="E1743" t="s">
        <v>215</v>
      </c>
      <c r="F1743" t="s">
        <v>61</v>
      </c>
      <c r="G1743" t="s">
        <v>207</v>
      </c>
      <c r="H1743">
        <v>5.8039151017107395E-6</v>
      </c>
      <c r="I1743">
        <v>1.7671970842466214E-8</v>
      </c>
      <c r="J1743">
        <v>0.05</v>
      </c>
      <c r="L1743" s="1">
        <v>43041</v>
      </c>
      <c r="M1743" s="1">
        <v>43024</v>
      </c>
      <c r="R1743">
        <v>1.5224181033641663E-4</v>
      </c>
      <c r="T1743" t="s">
        <v>39</v>
      </c>
      <c r="V1743">
        <v>9692294.3110000007</v>
      </c>
      <c r="W1743" t="s">
        <v>216</v>
      </c>
      <c r="X1743" t="s">
        <v>217</v>
      </c>
      <c r="Y1743">
        <v>9704377.4254599884</v>
      </c>
      <c r="Z1743" t="s">
        <v>31</v>
      </c>
      <c r="AA1743">
        <v>8.0905499080777721E-7</v>
      </c>
      <c r="AB1743">
        <v>99.875488000000004</v>
      </c>
      <c r="AC1743" t="s">
        <v>52</v>
      </c>
      <c r="AE1743" t="s">
        <v>41</v>
      </c>
      <c r="AF1743">
        <v>2.64E-2</v>
      </c>
      <c r="AH1743" t="s">
        <v>209</v>
      </c>
      <c r="AJ1743">
        <v>1.1607830203421479E-4</v>
      </c>
      <c r="AK1743">
        <v>1.1607830203421479E-4</v>
      </c>
      <c r="AL1743">
        <v>0</v>
      </c>
      <c r="AQ1743">
        <v>3.0644671737032702E-6</v>
      </c>
    </row>
    <row r="1744" spans="1:43" x14ac:dyDescent="0.2">
      <c r="A1744">
        <v>1742</v>
      </c>
      <c r="B1744">
        <v>147</v>
      </c>
      <c r="C1744">
        <v>17</v>
      </c>
      <c r="D1744">
        <v>48536102.608014189</v>
      </c>
      <c r="E1744" t="s">
        <v>215</v>
      </c>
      <c r="F1744" t="s">
        <v>61</v>
      </c>
      <c r="G1744" t="s">
        <v>207</v>
      </c>
      <c r="H1744">
        <v>3.482349061040815E-5</v>
      </c>
      <c r="I1744">
        <v>8.8359854212695722E-8</v>
      </c>
      <c r="J1744">
        <v>0.06</v>
      </c>
      <c r="L1744" s="1">
        <v>43045</v>
      </c>
      <c r="M1744" s="1">
        <v>43024</v>
      </c>
      <c r="R1744">
        <v>1.5224181033641663E-4</v>
      </c>
      <c r="T1744" t="s">
        <v>39</v>
      </c>
      <c r="V1744">
        <v>48461471.555200003</v>
      </c>
      <c r="W1744" t="s">
        <v>216</v>
      </c>
      <c r="X1744" t="s">
        <v>217</v>
      </c>
      <c r="Y1744">
        <v>48536102.608014189</v>
      </c>
      <c r="Z1744" t="s">
        <v>31</v>
      </c>
      <c r="AA1744">
        <v>4.0452749540555811E-6</v>
      </c>
      <c r="AB1744">
        <v>99.846236000000005</v>
      </c>
      <c r="AC1744" t="s">
        <v>52</v>
      </c>
      <c r="AE1744" t="s">
        <v>41</v>
      </c>
      <c r="AF1744">
        <v>2.64E-2</v>
      </c>
      <c r="AH1744" t="s">
        <v>209</v>
      </c>
      <c r="AJ1744">
        <v>5.8039151017346921E-4</v>
      </c>
      <c r="AK1744">
        <v>5.8039151017346921E-4</v>
      </c>
      <c r="AL1744">
        <v>0</v>
      </c>
      <c r="AQ1744">
        <v>1.5322335868579588E-5</v>
      </c>
    </row>
    <row r="1745" spans="1:43" x14ac:dyDescent="0.2">
      <c r="A1745">
        <v>1743</v>
      </c>
      <c r="B1745">
        <v>147</v>
      </c>
      <c r="C1745">
        <v>17</v>
      </c>
      <c r="D1745">
        <v>47590132.179948561</v>
      </c>
      <c r="E1745" t="s">
        <v>215</v>
      </c>
      <c r="F1745" t="s">
        <v>61</v>
      </c>
      <c r="G1745" t="s">
        <v>207</v>
      </c>
      <c r="H1745">
        <v>3.4139780182952361E-5</v>
      </c>
      <c r="I1745">
        <v>8.6625032325666467E-8</v>
      </c>
      <c r="J1745">
        <v>0.06</v>
      </c>
      <c r="L1745" s="1">
        <v>43046</v>
      </c>
      <c r="M1745" s="1">
        <v>43024</v>
      </c>
      <c r="R1745">
        <v>1.5224181033641663E-4</v>
      </c>
      <c r="T1745" t="s">
        <v>39</v>
      </c>
      <c r="V1745">
        <v>47509998.4877</v>
      </c>
      <c r="W1745" t="s">
        <v>216</v>
      </c>
      <c r="X1745" t="s">
        <v>217</v>
      </c>
      <c r="Y1745">
        <v>47590132.179948561</v>
      </c>
      <c r="Z1745" t="s">
        <v>31</v>
      </c>
      <c r="AA1745">
        <v>3.9658516504311332E-6</v>
      </c>
      <c r="AB1745">
        <v>99.831616999999994</v>
      </c>
      <c r="AC1745" t="s">
        <v>52</v>
      </c>
      <c r="AE1745" t="s">
        <v>41</v>
      </c>
      <c r="AF1745">
        <v>2.76E-2</v>
      </c>
      <c r="AH1745" t="s">
        <v>209</v>
      </c>
      <c r="AJ1745">
        <v>5.6899633638253933E-4</v>
      </c>
      <c r="AK1745">
        <v>5.6899633638253933E-4</v>
      </c>
      <c r="AL1745">
        <v>0</v>
      </c>
      <c r="AQ1745">
        <v>1.5704298884158085E-5</v>
      </c>
    </row>
    <row r="1746" spans="1:43" x14ac:dyDescent="0.2">
      <c r="A1746">
        <v>1744</v>
      </c>
      <c r="B1746">
        <v>147</v>
      </c>
      <c r="C1746">
        <v>17</v>
      </c>
      <c r="D1746">
        <v>8734077.7332637329</v>
      </c>
      <c r="E1746" t="s">
        <v>215</v>
      </c>
      <c r="F1746" t="s">
        <v>61</v>
      </c>
      <c r="G1746" t="s">
        <v>207</v>
      </c>
      <c r="H1746">
        <v>7.3081582899053414E-6</v>
      </c>
      <c r="I1746">
        <v>1.5894389261146853E-8</v>
      </c>
      <c r="J1746">
        <v>7.0000000000000007E-2</v>
      </c>
      <c r="L1746" s="1">
        <v>43049</v>
      </c>
      <c r="M1746" s="1">
        <v>43024</v>
      </c>
      <c r="R1746">
        <v>1.5224181033641663E-4</v>
      </c>
      <c r="T1746" t="s">
        <v>39</v>
      </c>
      <c r="V1746">
        <v>8717369.4426000006</v>
      </c>
      <c r="W1746" t="s">
        <v>216</v>
      </c>
      <c r="X1746" t="s">
        <v>217</v>
      </c>
      <c r="Y1746">
        <v>8734077.7332637329</v>
      </c>
      <c r="Z1746" t="s">
        <v>31</v>
      </c>
      <c r="AA1746">
        <v>7.2767407054966604E-7</v>
      </c>
      <c r="AB1746">
        <v>99.808700000000002</v>
      </c>
      <c r="AC1746" t="s">
        <v>52</v>
      </c>
      <c r="AE1746" t="s">
        <v>41</v>
      </c>
      <c r="AF1746">
        <v>2.76E-2</v>
      </c>
      <c r="AH1746" t="s">
        <v>209</v>
      </c>
      <c r="AJ1746">
        <v>1.0440226128436201E-4</v>
      </c>
      <c r="AK1746">
        <v>1.0440226128436201E-4</v>
      </c>
      <c r="AL1746">
        <v>0</v>
      </c>
      <c r="AQ1746">
        <v>2.8815024114483915E-6</v>
      </c>
    </row>
    <row r="1747" spans="1:43" x14ac:dyDescent="0.2">
      <c r="A1747">
        <v>1745</v>
      </c>
      <c r="B1747">
        <v>147</v>
      </c>
      <c r="C1747">
        <v>17</v>
      </c>
      <c r="D1747">
        <v>43683059.996089794</v>
      </c>
      <c r="E1747" t="s">
        <v>215</v>
      </c>
      <c r="F1747" t="s">
        <v>61</v>
      </c>
      <c r="G1747" t="s">
        <v>207</v>
      </c>
      <c r="H1747">
        <v>4.1767324329811883E-5</v>
      </c>
      <c r="I1747">
        <v>7.9484163360985254E-8</v>
      </c>
      <c r="J1747">
        <v>0.08</v>
      </c>
      <c r="L1747" s="1">
        <v>43052</v>
      </c>
      <c r="M1747" s="1">
        <v>43024</v>
      </c>
      <c r="R1747">
        <v>1.5224181033641663E-4</v>
      </c>
      <c r="T1747" t="s">
        <v>39</v>
      </c>
      <c r="V1747">
        <v>43593547.727399997</v>
      </c>
      <c r="W1747" t="s">
        <v>216</v>
      </c>
      <c r="X1747" t="s">
        <v>217</v>
      </c>
      <c r="Y1747">
        <v>43683059.996089794</v>
      </c>
      <c r="Z1747" t="s">
        <v>31</v>
      </c>
      <c r="AA1747">
        <v>3.6389296717745949E-6</v>
      </c>
      <c r="AB1747">
        <v>99.795086999999995</v>
      </c>
      <c r="AC1747" t="s">
        <v>52</v>
      </c>
      <c r="AE1747" t="s">
        <v>41</v>
      </c>
      <c r="AF1747">
        <v>2.64E-2</v>
      </c>
      <c r="AH1747" t="s">
        <v>209</v>
      </c>
      <c r="AJ1747">
        <v>5.2209155412264851E-4</v>
      </c>
      <c r="AK1747">
        <v>5.2209155412264851E-4</v>
      </c>
      <c r="AL1747">
        <v>0</v>
      </c>
      <c r="AQ1747">
        <v>1.3783217028837921E-5</v>
      </c>
    </row>
    <row r="1748" spans="1:43" x14ac:dyDescent="0.2">
      <c r="A1748">
        <v>1746</v>
      </c>
      <c r="B1748">
        <v>147</v>
      </c>
      <c r="C1748">
        <v>17</v>
      </c>
      <c r="D1748">
        <v>4853127.7281615902</v>
      </c>
      <c r="E1748" t="s">
        <v>215</v>
      </c>
      <c r="F1748" t="s">
        <v>61</v>
      </c>
      <c r="G1748" t="s">
        <v>207</v>
      </c>
      <c r="H1748">
        <v>4.6383172192224707E-6</v>
      </c>
      <c r="I1748">
        <v>8.8268226296125348E-9</v>
      </c>
      <c r="J1748">
        <v>0.08</v>
      </c>
      <c r="L1748" s="1">
        <v>43055</v>
      </c>
      <c r="M1748" s="1">
        <v>43024</v>
      </c>
      <c r="R1748">
        <v>1.5224181033641663E-4</v>
      </c>
      <c r="T1748" t="s">
        <v>39</v>
      </c>
      <c r="V1748">
        <v>4841121.7696000002</v>
      </c>
      <c r="W1748" t="s">
        <v>216</v>
      </c>
      <c r="X1748" t="s">
        <v>217</v>
      </c>
      <c r="Y1748">
        <v>4853127.7281615902</v>
      </c>
      <c r="Z1748" t="s">
        <v>31</v>
      </c>
      <c r="AA1748">
        <v>4.0410800612584268E-7</v>
      </c>
      <c r="AB1748">
        <v>99.752613999999994</v>
      </c>
      <c r="AC1748" t="s">
        <v>52</v>
      </c>
      <c r="AE1748" t="s">
        <v>41</v>
      </c>
      <c r="AF1748">
        <v>2.8799999999999999E-2</v>
      </c>
      <c r="AH1748" t="s">
        <v>209</v>
      </c>
      <c r="AJ1748">
        <v>5.7978965240280885E-5</v>
      </c>
      <c r="AK1748">
        <v>5.7978965240280885E-5</v>
      </c>
      <c r="AL1748">
        <v>0</v>
      </c>
      <c r="AQ1748">
        <v>1.6697941989200893E-6</v>
      </c>
    </row>
    <row r="1749" spans="1:43" x14ac:dyDescent="0.2">
      <c r="A1749">
        <v>1747</v>
      </c>
      <c r="B1749">
        <v>147</v>
      </c>
      <c r="C1749">
        <v>17</v>
      </c>
      <c r="D1749">
        <v>1455572.2804519322</v>
      </c>
      <c r="E1749" t="s">
        <v>256</v>
      </c>
      <c r="F1749" t="s">
        <v>61</v>
      </c>
      <c r="G1749" t="s">
        <v>207</v>
      </c>
      <c r="H1749">
        <v>6.9655005990133668E-7</v>
      </c>
      <c r="I1749">
        <v>2.6511010527329733E-9</v>
      </c>
      <c r="J1749">
        <v>0.04</v>
      </c>
      <c r="L1749" s="1">
        <v>43038</v>
      </c>
      <c r="M1749" s="1">
        <v>43024</v>
      </c>
      <c r="R1749">
        <v>1.5224181033641663E-4</v>
      </c>
      <c r="T1749" t="s">
        <v>39</v>
      </c>
      <c r="V1749">
        <v>1454011.6595000001</v>
      </c>
      <c r="W1749" t="s">
        <v>248</v>
      </c>
      <c r="X1749" t="s">
        <v>257</v>
      </c>
      <c r="Y1749">
        <v>1455572.2804519322</v>
      </c>
      <c r="Z1749" t="s">
        <v>31</v>
      </c>
      <c r="AA1749">
        <v>1.2137223159598845E-7</v>
      </c>
      <c r="AB1749">
        <v>99.892782999999994</v>
      </c>
      <c r="AC1749" t="s">
        <v>52</v>
      </c>
      <c r="AE1749" t="s">
        <v>41</v>
      </c>
      <c r="AF1749">
        <v>2.76E-2</v>
      </c>
      <c r="AH1749" t="s">
        <v>209</v>
      </c>
      <c r="AJ1749">
        <v>1.7413751497533416E-5</v>
      </c>
      <c r="AK1749">
        <v>1.7413751497533416E-5</v>
      </c>
      <c r="AL1749">
        <v>0</v>
      </c>
      <c r="AQ1749">
        <v>4.806195413319223E-7</v>
      </c>
    </row>
    <row r="1750" spans="1:43" x14ac:dyDescent="0.2">
      <c r="A1750">
        <v>1748</v>
      </c>
      <c r="B1750">
        <v>147</v>
      </c>
      <c r="C1750">
        <v>17</v>
      </c>
      <c r="D1750">
        <v>6792119.7412954336</v>
      </c>
      <c r="E1750" t="s">
        <v>256</v>
      </c>
      <c r="F1750" t="s">
        <v>61</v>
      </c>
      <c r="G1750" t="s">
        <v>207</v>
      </c>
      <c r="H1750">
        <v>6.4936441068731356E-6</v>
      </c>
      <c r="I1750">
        <v>1.2357551681384618E-8</v>
      </c>
      <c r="J1750">
        <v>0.08</v>
      </c>
      <c r="L1750" s="1">
        <v>43052</v>
      </c>
      <c r="M1750" s="1">
        <v>43024</v>
      </c>
      <c r="R1750">
        <v>1.5224181033641663E-4</v>
      </c>
      <c r="T1750" t="s">
        <v>39</v>
      </c>
      <c r="V1750">
        <v>6777570.4774000002</v>
      </c>
      <c r="W1750" t="s">
        <v>248</v>
      </c>
      <c r="X1750" t="s">
        <v>257</v>
      </c>
      <c r="Y1750">
        <v>6792119.7412954336</v>
      </c>
      <c r="Z1750" t="s">
        <v>31</v>
      </c>
      <c r="AA1750">
        <v>5.6575120857284085E-7</v>
      </c>
      <c r="AB1750">
        <v>99.785792000000001</v>
      </c>
      <c r="AC1750" t="s">
        <v>52</v>
      </c>
      <c r="AE1750" t="s">
        <v>41</v>
      </c>
      <c r="AF1750">
        <v>2.76E-2</v>
      </c>
      <c r="AH1750" t="s">
        <v>209</v>
      </c>
      <c r="AJ1750">
        <v>8.1170551335914189E-5</v>
      </c>
      <c r="AK1750">
        <v>8.1170551335914189E-5</v>
      </c>
      <c r="AL1750">
        <v>0</v>
      </c>
      <c r="AQ1750">
        <v>2.2403072168712317E-6</v>
      </c>
    </row>
    <row r="1751" spans="1:43" x14ac:dyDescent="0.2">
      <c r="A1751">
        <v>1749</v>
      </c>
      <c r="B1751">
        <v>147</v>
      </c>
      <c r="C1751">
        <v>17</v>
      </c>
      <c r="D1751">
        <v>2424263.742847132</v>
      </c>
      <c r="E1751" t="s">
        <v>256</v>
      </c>
      <c r="F1751" t="s">
        <v>61</v>
      </c>
      <c r="G1751" t="s">
        <v>207</v>
      </c>
      <c r="H1751">
        <v>2.3175536555944657E-6</v>
      </c>
      <c r="I1751">
        <v>4.4103570509935208E-9</v>
      </c>
      <c r="J1751">
        <v>0.08</v>
      </c>
      <c r="L1751" s="1">
        <v>43053</v>
      </c>
      <c r="M1751" s="1">
        <v>43024</v>
      </c>
      <c r="R1751">
        <v>1.5224181033641663E-4</v>
      </c>
      <c r="T1751" t="s">
        <v>39</v>
      </c>
      <c r="V1751">
        <v>2418885.7562000002</v>
      </c>
      <c r="W1751" t="s">
        <v>248</v>
      </c>
      <c r="X1751" t="s">
        <v>257</v>
      </c>
      <c r="Y1751">
        <v>2424263.742847132</v>
      </c>
      <c r="Z1751" t="s">
        <v>31</v>
      </c>
      <c r="AA1751">
        <v>2.0191417330635518E-7</v>
      </c>
      <c r="AB1751">
        <v>99.77816</v>
      </c>
      <c r="AC1751" t="s">
        <v>52</v>
      </c>
      <c r="AE1751" t="s">
        <v>41</v>
      </c>
      <c r="AF1751">
        <v>2.76E-2</v>
      </c>
      <c r="AH1751" t="s">
        <v>209</v>
      </c>
      <c r="AJ1751">
        <v>2.896942069493082E-5</v>
      </c>
      <c r="AK1751">
        <v>2.896942069493082E-5</v>
      </c>
      <c r="AL1751">
        <v>0</v>
      </c>
      <c r="AQ1751">
        <v>7.9955601118009056E-7</v>
      </c>
    </row>
    <row r="1752" spans="1:43" x14ac:dyDescent="0.2">
      <c r="A1752">
        <v>1750</v>
      </c>
      <c r="B1752">
        <v>147</v>
      </c>
      <c r="C1752">
        <v>17</v>
      </c>
      <c r="D1752">
        <v>9705719.530433856</v>
      </c>
      <c r="E1752" t="s">
        <v>246</v>
      </c>
      <c r="F1752" t="s">
        <v>61</v>
      </c>
      <c r="G1752" t="s">
        <v>207</v>
      </c>
      <c r="H1752">
        <v>2.3231709947489712E-6</v>
      </c>
      <c r="I1752">
        <v>1.7684187898081861E-8</v>
      </c>
      <c r="J1752">
        <v>0.02</v>
      </c>
      <c r="L1752" s="1">
        <v>43032</v>
      </c>
      <c r="M1752" s="1">
        <v>43024</v>
      </c>
      <c r="R1752">
        <v>1.5224181033641663E-4</v>
      </c>
      <c r="T1752" t="s">
        <v>39</v>
      </c>
      <c r="V1752">
        <v>9698994.8256000001</v>
      </c>
      <c r="W1752" t="s">
        <v>247</v>
      </c>
      <c r="X1752" t="s">
        <v>261</v>
      </c>
      <c r="Y1752">
        <v>9705719.530433856</v>
      </c>
      <c r="Z1752" t="s">
        <v>31</v>
      </c>
      <c r="AA1752">
        <v>8.0961430985073667E-7</v>
      </c>
      <c r="AB1752">
        <v>99.930713999999995</v>
      </c>
      <c r="AC1752" t="s">
        <v>142</v>
      </c>
      <c r="AE1752" t="s">
        <v>41</v>
      </c>
      <c r="AF1752">
        <v>3.1199999999999999E-2</v>
      </c>
      <c r="AH1752" t="s">
        <v>209</v>
      </c>
      <c r="AJ1752">
        <v>1.1615854973744855E-4</v>
      </c>
      <c r="AK1752">
        <v>1.1615854973744855E-4</v>
      </c>
      <c r="AL1752">
        <v>0</v>
      </c>
      <c r="AN1752" t="s">
        <v>146</v>
      </c>
      <c r="AQ1752">
        <v>3.6241467518083947E-6</v>
      </c>
    </row>
    <row r="1753" spans="1:43" x14ac:dyDescent="0.2">
      <c r="A1753">
        <v>1751</v>
      </c>
      <c r="B1753">
        <v>148</v>
      </c>
      <c r="C1753">
        <v>17</v>
      </c>
      <c r="D1753">
        <v>14491225.62825471</v>
      </c>
      <c r="E1753" t="s">
        <v>203</v>
      </c>
      <c r="F1753" t="s">
        <v>61</v>
      </c>
      <c r="G1753" t="s">
        <v>207</v>
      </c>
      <c r="H1753">
        <v>7.0352649515012676E-5</v>
      </c>
      <c r="I1753">
        <v>8.6537238278535872E-8</v>
      </c>
      <c r="J1753">
        <v>0.41</v>
      </c>
      <c r="L1753" s="1">
        <v>43173</v>
      </c>
      <c r="M1753" s="1">
        <v>43024</v>
      </c>
      <c r="R1753">
        <v>5.0432027704412901E-4</v>
      </c>
      <c r="T1753" t="s">
        <v>39</v>
      </c>
      <c r="V1753">
        <v>14327557.0888</v>
      </c>
      <c r="W1753" t="s">
        <v>181</v>
      </c>
      <c r="X1753" t="s">
        <v>236</v>
      </c>
      <c r="Y1753">
        <v>14491225.62825471</v>
      </c>
      <c r="Z1753" t="s">
        <v>31</v>
      </c>
      <c r="AA1753">
        <v>3.96183227915515E-6</v>
      </c>
      <c r="AB1753">
        <v>98.870568000000006</v>
      </c>
      <c r="AC1753" t="s">
        <v>52</v>
      </c>
      <c r="AE1753" t="s">
        <v>41</v>
      </c>
      <c r="AF1753">
        <v>2.76E-2</v>
      </c>
      <c r="AH1753" t="s">
        <v>209</v>
      </c>
      <c r="AJ1753">
        <v>1.7159182808539679E-4</v>
      </c>
      <c r="AK1753">
        <v>1.7159182808539679E-4</v>
      </c>
      <c r="AL1753">
        <v>0</v>
      </c>
      <c r="AQ1753">
        <v>4.7359344551569518E-6</v>
      </c>
    </row>
    <row r="1754" spans="1:43" x14ac:dyDescent="0.2">
      <c r="A1754">
        <v>1752</v>
      </c>
      <c r="B1754">
        <v>148</v>
      </c>
      <c r="C1754">
        <v>17</v>
      </c>
      <c r="D1754">
        <v>744898.88966136589</v>
      </c>
      <c r="E1754" t="s">
        <v>206</v>
      </c>
      <c r="F1754" t="s">
        <v>61</v>
      </c>
      <c r="G1754" t="s">
        <v>207</v>
      </c>
      <c r="H1754">
        <v>3.1778090290866755E-6</v>
      </c>
      <c r="I1754">
        <v>4.451759805395352E-9</v>
      </c>
      <c r="J1754">
        <v>0.36</v>
      </c>
      <c r="L1754" s="1">
        <v>43157</v>
      </c>
      <c r="M1754" s="1">
        <v>43024</v>
      </c>
      <c r="R1754">
        <v>5.0432027704412901E-4</v>
      </c>
      <c r="T1754" t="s">
        <v>39</v>
      </c>
      <c r="V1754">
        <v>737056.60160000005</v>
      </c>
      <c r="W1754" t="s">
        <v>206</v>
      </c>
      <c r="X1754" t="s">
        <v>208</v>
      </c>
      <c r="Y1754">
        <v>744898.88966136589</v>
      </c>
      <c r="Z1754" t="s">
        <v>31</v>
      </c>
      <c r="AA1754">
        <v>2.03809666762099E-7</v>
      </c>
      <c r="AB1754">
        <v>98.947201000000007</v>
      </c>
      <c r="AC1754" t="s">
        <v>52</v>
      </c>
      <c r="AE1754" t="s">
        <v>41</v>
      </c>
      <c r="AF1754">
        <v>2.8799999999999999E-2</v>
      </c>
      <c r="AH1754" t="s">
        <v>209</v>
      </c>
      <c r="AJ1754">
        <v>8.8272473030185434E-6</v>
      </c>
      <c r="AK1754">
        <v>8.8272473030185434E-6</v>
      </c>
      <c r="AL1754">
        <v>0</v>
      </c>
      <c r="AQ1754">
        <v>2.5422472232693406E-7</v>
      </c>
    </row>
    <row r="1755" spans="1:43" x14ac:dyDescent="0.2">
      <c r="A1755">
        <v>1753</v>
      </c>
      <c r="B1755">
        <v>148</v>
      </c>
      <c r="C1755">
        <v>17</v>
      </c>
      <c r="D1755">
        <v>14491283.781477774</v>
      </c>
      <c r="E1755" t="s">
        <v>206</v>
      </c>
      <c r="F1755" t="s">
        <v>61</v>
      </c>
      <c r="G1755" t="s">
        <v>207</v>
      </c>
      <c r="H1755">
        <v>6.3551855711893896E-5</v>
      </c>
      <c r="I1755">
        <v>8.66229445386239E-8</v>
      </c>
      <c r="J1755">
        <v>0.37</v>
      </c>
      <c r="L1755" s="1">
        <v>43160</v>
      </c>
      <c r="M1755" s="1">
        <v>43024</v>
      </c>
      <c r="R1755">
        <v>5.0432027704412901E-4</v>
      </c>
      <c r="T1755" t="s">
        <v>39</v>
      </c>
      <c r="V1755">
        <v>14341747.0648</v>
      </c>
      <c r="W1755" t="s">
        <v>206</v>
      </c>
      <c r="X1755" t="s">
        <v>208</v>
      </c>
      <c r="Y1755">
        <v>14491283.781477774</v>
      </c>
      <c r="Z1755" t="s">
        <v>31</v>
      </c>
      <c r="AA1755">
        <v>3.9657560677402384E-6</v>
      </c>
      <c r="AB1755">
        <v>98.968091999999999</v>
      </c>
      <c r="AC1755" t="s">
        <v>52</v>
      </c>
      <c r="AE1755" t="s">
        <v>41</v>
      </c>
      <c r="AF1755">
        <v>2.76E-2</v>
      </c>
      <c r="AH1755" t="s">
        <v>209</v>
      </c>
      <c r="AJ1755">
        <v>1.7176177219430783E-4</v>
      </c>
      <c r="AK1755">
        <v>1.7176177219430783E-4</v>
      </c>
      <c r="AL1755">
        <v>0</v>
      </c>
      <c r="AQ1755">
        <v>4.7406249125628963E-6</v>
      </c>
    </row>
    <row r="1756" spans="1:43" x14ac:dyDescent="0.2">
      <c r="A1756">
        <v>1754</v>
      </c>
      <c r="B1756">
        <v>148</v>
      </c>
      <c r="C1756">
        <v>17</v>
      </c>
      <c r="D1756">
        <v>29121607.773212012</v>
      </c>
      <c r="E1756" t="s">
        <v>206</v>
      </c>
      <c r="F1756" t="s">
        <v>61</v>
      </c>
      <c r="G1756" t="s">
        <v>207</v>
      </c>
      <c r="H1756">
        <v>1.3115524042843155E-4</v>
      </c>
      <c r="I1756">
        <v>1.7406380839119987E-7</v>
      </c>
      <c r="J1756">
        <v>0.38</v>
      </c>
      <c r="L1756" s="1">
        <v>43161</v>
      </c>
      <c r="M1756" s="1">
        <v>43024</v>
      </c>
      <c r="R1756">
        <v>5.0432027704412901E-4</v>
      </c>
      <c r="T1756" t="s">
        <v>39</v>
      </c>
      <c r="V1756">
        <v>28818913.1226</v>
      </c>
      <c r="W1756" t="s">
        <v>206</v>
      </c>
      <c r="X1756" t="s">
        <v>208</v>
      </c>
      <c r="Y1756">
        <v>29121607.773212012</v>
      </c>
      <c r="Z1756" t="s">
        <v>31</v>
      </c>
      <c r="AA1756">
        <v>7.9689579704091322E-6</v>
      </c>
      <c r="AB1756">
        <v>98.960583999999997</v>
      </c>
      <c r="AC1756" t="s">
        <v>52</v>
      </c>
      <c r="AE1756" t="s">
        <v>41</v>
      </c>
      <c r="AF1756">
        <v>2.76E-2</v>
      </c>
      <c r="AH1756" t="s">
        <v>209</v>
      </c>
      <c r="AJ1756">
        <v>3.4514536954850409E-4</v>
      </c>
      <c r="AK1756">
        <v>3.4514536954850409E-4</v>
      </c>
      <c r="AL1756">
        <v>0</v>
      </c>
      <c r="AQ1756">
        <v>9.5260121995387136E-6</v>
      </c>
    </row>
    <row r="1757" spans="1:43" x14ac:dyDescent="0.2">
      <c r="A1757">
        <v>1755</v>
      </c>
      <c r="B1757">
        <v>148</v>
      </c>
      <c r="C1757">
        <v>17</v>
      </c>
      <c r="D1757">
        <v>7978709.1787528116</v>
      </c>
      <c r="E1757" t="s">
        <v>206</v>
      </c>
      <c r="F1757" t="s">
        <v>61</v>
      </c>
      <c r="G1757" t="s">
        <v>207</v>
      </c>
      <c r="H1757">
        <v>3.6845255360856311E-5</v>
      </c>
      <c r="I1757">
        <v>4.7645665106022397E-8</v>
      </c>
      <c r="J1757">
        <v>0.39</v>
      </c>
      <c r="L1757" s="1">
        <v>43167</v>
      </c>
      <c r="M1757" s="1">
        <v>43024</v>
      </c>
      <c r="R1757">
        <v>5.0432027704412901E-4</v>
      </c>
      <c r="T1757" t="s">
        <v>39</v>
      </c>
      <c r="V1757">
        <v>7888465.1327</v>
      </c>
      <c r="W1757" t="s">
        <v>206</v>
      </c>
      <c r="X1757" t="s">
        <v>208</v>
      </c>
      <c r="Y1757">
        <v>7978709.1787528116</v>
      </c>
      <c r="Z1757" t="s">
        <v>31</v>
      </c>
      <c r="AA1757">
        <v>2.1813052708162925E-6</v>
      </c>
      <c r="AB1757">
        <v>98.868939499999996</v>
      </c>
      <c r="AC1757" t="s">
        <v>52</v>
      </c>
      <c r="AE1757" t="s">
        <v>41</v>
      </c>
      <c r="AF1757">
        <v>2.8799999999999999E-2</v>
      </c>
      <c r="AH1757" t="s">
        <v>209</v>
      </c>
      <c r="AJ1757">
        <v>9.4475013745785413E-5</v>
      </c>
      <c r="AK1757">
        <v>9.4475013745785413E-5</v>
      </c>
      <c r="AL1757">
        <v>0</v>
      </c>
      <c r="AQ1757">
        <v>2.7208803958786199E-6</v>
      </c>
    </row>
    <row r="1758" spans="1:43" x14ac:dyDescent="0.2">
      <c r="A1758">
        <v>1756</v>
      </c>
      <c r="B1758">
        <v>148</v>
      </c>
      <c r="C1758">
        <v>17</v>
      </c>
      <c r="D1758">
        <v>40482511.344401166</v>
      </c>
      <c r="E1758" t="s">
        <v>206</v>
      </c>
      <c r="F1758" t="s">
        <v>61</v>
      </c>
      <c r="G1758" t="s">
        <v>207</v>
      </c>
      <c r="H1758">
        <v>2.0649701393295035E-4</v>
      </c>
      <c r="I1758">
        <v>2.6702725968064332E-7</v>
      </c>
      <c r="J1758">
        <v>0.39</v>
      </c>
      <c r="L1758" s="1">
        <v>43168</v>
      </c>
      <c r="M1758" s="1">
        <v>43024</v>
      </c>
      <c r="R1758">
        <v>5.0432027704412901E-4</v>
      </c>
      <c r="T1758" t="s">
        <v>39</v>
      </c>
      <c r="V1758">
        <v>44210427.596799999</v>
      </c>
      <c r="W1758" t="s">
        <v>206</v>
      </c>
      <c r="X1758" t="s">
        <v>208</v>
      </c>
      <c r="Y1758">
        <v>44698510.344401166</v>
      </c>
      <c r="Z1758" t="s">
        <v>31</v>
      </c>
      <c r="AA1758">
        <v>1.2224993977875949E-5</v>
      </c>
      <c r="AB1758">
        <v>98.908057999999997</v>
      </c>
      <c r="AC1758" t="s">
        <v>52</v>
      </c>
      <c r="AE1758" t="s">
        <v>41</v>
      </c>
      <c r="AF1758">
        <v>2.76E-2</v>
      </c>
      <c r="AH1758" t="s">
        <v>209</v>
      </c>
      <c r="AJ1758">
        <v>5.2947952290500089E-4</v>
      </c>
      <c r="AK1758">
        <v>5.2947952290500089E-4</v>
      </c>
      <c r="AL1758">
        <v>0</v>
      </c>
      <c r="AQ1758">
        <v>1.4613634832178024E-5</v>
      </c>
    </row>
    <row r="1759" spans="1:43" x14ac:dyDescent="0.2">
      <c r="A1759">
        <v>1757</v>
      </c>
      <c r="B1759">
        <v>148</v>
      </c>
      <c r="C1759">
        <v>17</v>
      </c>
      <c r="D1759">
        <v>44194936.821658693</v>
      </c>
      <c r="E1759" t="s">
        <v>250</v>
      </c>
      <c r="F1759" t="s">
        <v>61</v>
      </c>
      <c r="G1759" t="s">
        <v>207</v>
      </c>
      <c r="H1759">
        <v>2.1442034124458418E-4</v>
      </c>
      <c r="I1759">
        <v>2.6374762414723262E-7</v>
      </c>
      <c r="J1759">
        <v>0.41</v>
      </c>
      <c r="L1759" s="1">
        <v>43175</v>
      </c>
      <c r="M1759" s="1">
        <v>43024</v>
      </c>
      <c r="R1759">
        <v>5.0432027704412901E-4</v>
      </c>
      <c r="T1759" t="s">
        <v>39</v>
      </c>
      <c r="V1759">
        <v>43667434.010799997</v>
      </c>
      <c r="W1759" t="s">
        <v>250</v>
      </c>
      <c r="X1759" t="s">
        <v>258</v>
      </c>
      <c r="Y1759">
        <v>44194936.821658693</v>
      </c>
      <c r="Z1759" t="s">
        <v>31</v>
      </c>
      <c r="AA1759">
        <v>1.207484629372743E-5</v>
      </c>
      <c r="AB1759">
        <v>98.806417999999994</v>
      </c>
      <c r="AC1759" t="s">
        <v>52</v>
      </c>
      <c r="AE1759" t="s">
        <v>41</v>
      </c>
      <c r="AF1759">
        <v>2.8799999999999999E-2</v>
      </c>
      <c r="AH1759" t="s">
        <v>209</v>
      </c>
      <c r="AJ1759">
        <v>5.2297644205996142E-4</v>
      </c>
      <c r="AK1759">
        <v>5.2297644205996142E-4</v>
      </c>
      <c r="AL1759">
        <v>0</v>
      </c>
      <c r="AQ1759">
        <v>1.5061721531326889E-5</v>
      </c>
    </row>
    <row r="1760" spans="1:43" x14ac:dyDescent="0.2">
      <c r="A1760">
        <v>1758</v>
      </c>
      <c r="B1760">
        <v>148</v>
      </c>
      <c r="C1760">
        <v>17</v>
      </c>
      <c r="D1760">
        <v>1454896.6975421759</v>
      </c>
      <c r="E1760" t="s">
        <v>228</v>
      </c>
      <c r="F1760" t="s">
        <v>61</v>
      </c>
      <c r="G1760" t="s">
        <v>207</v>
      </c>
      <c r="H1760">
        <v>5.6935745104469599E-6</v>
      </c>
      <c r="I1760">
        <v>8.7011668923636422E-9</v>
      </c>
      <c r="J1760">
        <v>0.33</v>
      </c>
      <c r="L1760" s="1">
        <v>43143</v>
      </c>
      <c r="M1760" s="1">
        <v>43024</v>
      </c>
      <c r="R1760">
        <v>5.0432027704412901E-4</v>
      </c>
      <c r="T1760" t="s">
        <v>39</v>
      </c>
      <c r="V1760">
        <v>1440610.6303999999</v>
      </c>
      <c r="W1760" t="s">
        <v>229</v>
      </c>
      <c r="X1760" t="s">
        <v>230</v>
      </c>
      <c r="Y1760">
        <v>1454896.6975421759</v>
      </c>
      <c r="Z1760" t="s">
        <v>31</v>
      </c>
      <c r="AA1760">
        <v>3.9835525776228436E-7</v>
      </c>
      <c r="AB1760">
        <v>99.018069999999994</v>
      </c>
      <c r="AC1760" t="s">
        <v>52</v>
      </c>
      <c r="AE1760" t="s">
        <v>41</v>
      </c>
      <c r="AF1760">
        <v>0.03</v>
      </c>
      <c r="AH1760" t="s">
        <v>209</v>
      </c>
      <c r="AJ1760">
        <v>1.7253256092263514E-5</v>
      </c>
      <c r="AK1760">
        <v>1.7253256092263514E-5</v>
      </c>
      <c r="AL1760">
        <v>0</v>
      </c>
      <c r="AQ1760">
        <v>5.1759768276790534E-7</v>
      </c>
    </row>
    <row r="1761" spans="1:43" x14ac:dyDescent="0.2">
      <c r="A1761">
        <v>1759</v>
      </c>
      <c r="B1761">
        <v>148</v>
      </c>
      <c r="C1761">
        <v>17</v>
      </c>
      <c r="D1761">
        <v>9707073.4955181405</v>
      </c>
      <c r="E1761" t="s">
        <v>210</v>
      </c>
      <c r="F1761" t="s">
        <v>61</v>
      </c>
      <c r="G1761" t="s">
        <v>207</v>
      </c>
      <c r="H1761">
        <v>4.3698084058142988E-5</v>
      </c>
      <c r="I1761">
        <v>5.7994289101316608E-8</v>
      </c>
      <c r="J1761">
        <v>0.38</v>
      </c>
      <c r="L1761" s="1">
        <v>43161</v>
      </c>
      <c r="M1761" s="1">
        <v>43024</v>
      </c>
      <c r="R1761">
        <v>5.0432027704412901E-4</v>
      </c>
      <c r="T1761" t="s">
        <v>39</v>
      </c>
      <c r="V1761">
        <v>9601837.3644999992</v>
      </c>
      <c r="W1761" t="s">
        <v>211</v>
      </c>
      <c r="X1761" t="s">
        <v>212</v>
      </c>
      <c r="Y1761">
        <v>9707073.4955181405</v>
      </c>
      <c r="Z1761" t="s">
        <v>31</v>
      </c>
      <c r="AA1761">
        <v>2.6550841133699654E-6</v>
      </c>
      <c r="AB1761">
        <v>98.915881999999996</v>
      </c>
      <c r="AC1761" t="s">
        <v>52</v>
      </c>
      <c r="AE1761" t="s">
        <v>41</v>
      </c>
      <c r="AF1761">
        <v>2.8799999999999999E-2</v>
      </c>
      <c r="AH1761" t="s">
        <v>209</v>
      </c>
      <c r="AJ1761">
        <v>1.1499495804774471E-4</v>
      </c>
      <c r="AK1761">
        <v>1.1499495804774471E-4</v>
      </c>
      <c r="AL1761">
        <v>0</v>
      </c>
      <c r="AQ1761">
        <v>3.3118547917750474E-6</v>
      </c>
    </row>
    <row r="1762" spans="1:43" x14ac:dyDescent="0.2">
      <c r="A1762">
        <v>1760</v>
      </c>
      <c r="B1762">
        <v>148</v>
      </c>
      <c r="C1762">
        <v>17</v>
      </c>
      <c r="D1762">
        <v>2426034.4012890388</v>
      </c>
      <c r="E1762" t="s">
        <v>210</v>
      </c>
      <c r="F1762" t="s">
        <v>61</v>
      </c>
      <c r="G1762" t="s">
        <v>207</v>
      </c>
      <c r="H1762">
        <v>1.1204184258706588E-5</v>
      </c>
      <c r="I1762">
        <v>1.4488454639498397E-8</v>
      </c>
      <c r="J1762">
        <v>0.39</v>
      </c>
      <c r="L1762" s="1">
        <v>43166</v>
      </c>
      <c r="M1762" s="1">
        <v>43024</v>
      </c>
      <c r="R1762">
        <v>5.0432027704412901E-4</v>
      </c>
      <c r="T1762" t="s">
        <v>39</v>
      </c>
      <c r="V1762">
        <v>2398784.2124999999</v>
      </c>
      <c r="W1762" t="s">
        <v>211</v>
      </c>
      <c r="X1762" t="s">
        <v>212</v>
      </c>
      <c r="Y1762">
        <v>2426034.4012890388</v>
      </c>
      <c r="Z1762" t="s">
        <v>31</v>
      </c>
      <c r="AA1762">
        <v>6.6330782455854334E-7</v>
      </c>
      <c r="AB1762">
        <v>98.876760000000004</v>
      </c>
      <c r="AC1762" t="s">
        <v>52</v>
      </c>
      <c r="AE1762" t="s">
        <v>41</v>
      </c>
      <c r="AF1762">
        <v>2.8799999999999999E-2</v>
      </c>
      <c r="AH1762" t="s">
        <v>209</v>
      </c>
      <c r="AJ1762">
        <v>2.8728677586427146E-5</v>
      </c>
      <c r="AK1762">
        <v>2.8728677586427146E-5</v>
      </c>
      <c r="AL1762">
        <v>0</v>
      </c>
      <c r="AQ1762">
        <v>8.2738591448910176E-7</v>
      </c>
    </row>
    <row r="1763" spans="1:43" x14ac:dyDescent="0.2">
      <c r="A1763">
        <v>1761</v>
      </c>
      <c r="B1763">
        <v>148</v>
      </c>
      <c r="C1763">
        <v>17</v>
      </c>
      <c r="D1763">
        <v>33441814.087103598</v>
      </c>
      <c r="E1763" t="s">
        <v>222</v>
      </c>
      <c r="F1763" t="s">
        <v>61</v>
      </c>
      <c r="G1763" t="s">
        <v>207</v>
      </c>
      <c r="H1763">
        <v>1.6219551933041338E-4</v>
      </c>
      <c r="I1763">
        <v>1.9950851035129382E-7</v>
      </c>
      <c r="J1763">
        <v>0.41</v>
      </c>
      <c r="L1763" s="1">
        <v>43173</v>
      </c>
      <c r="M1763" s="1">
        <v>43024</v>
      </c>
      <c r="R1763">
        <v>5.0432027704412901E-4</v>
      </c>
      <c r="T1763" t="s">
        <v>39</v>
      </c>
      <c r="V1763">
        <v>33031670.857799999</v>
      </c>
      <c r="W1763" t="s">
        <v>223</v>
      </c>
      <c r="X1763" t="s">
        <v>224</v>
      </c>
      <c r="Y1763">
        <v>33441814.087103598</v>
      </c>
      <c r="Z1763" t="s">
        <v>31</v>
      </c>
      <c r="AA1763">
        <v>9.1338627393193064E-6</v>
      </c>
      <c r="AB1763">
        <v>98.7735615</v>
      </c>
      <c r="AC1763" t="s">
        <v>218</v>
      </c>
      <c r="AE1763" t="s">
        <v>41</v>
      </c>
      <c r="AF1763">
        <v>0.03</v>
      </c>
      <c r="AH1763" t="s">
        <v>209</v>
      </c>
      <c r="AJ1763">
        <v>3.9559882763515463E-4</v>
      </c>
      <c r="AK1763">
        <v>3.9559882763515463E-4</v>
      </c>
      <c r="AL1763">
        <v>0</v>
      </c>
      <c r="AQ1763">
        <v>1.1867964829054638E-5</v>
      </c>
    </row>
    <row r="1764" spans="1:43" x14ac:dyDescent="0.2">
      <c r="A1764">
        <v>1762</v>
      </c>
      <c r="B1764">
        <v>148</v>
      </c>
      <c r="C1764">
        <v>17</v>
      </c>
      <c r="D1764">
        <v>14560034.952946512</v>
      </c>
      <c r="E1764" t="s">
        <v>219</v>
      </c>
      <c r="F1764" t="s">
        <v>61</v>
      </c>
      <c r="G1764" t="s">
        <v>207</v>
      </c>
      <c r="H1764">
        <v>5.7015190330275814E-5</v>
      </c>
      <c r="I1764">
        <v>8.7133080554813452E-8</v>
      </c>
      <c r="J1764">
        <v>0.33</v>
      </c>
      <c r="L1764" s="1">
        <v>43145</v>
      </c>
      <c r="M1764" s="1">
        <v>43024</v>
      </c>
      <c r="R1764">
        <v>5.0432027704412901E-4</v>
      </c>
      <c r="T1764" t="s">
        <v>39</v>
      </c>
      <c r="V1764">
        <v>14426207.8477</v>
      </c>
      <c r="W1764" t="s">
        <v>220</v>
      </c>
      <c r="X1764" t="s">
        <v>221</v>
      </c>
      <c r="Y1764">
        <v>14560034.952946512</v>
      </c>
      <c r="Z1764" t="s">
        <v>31</v>
      </c>
      <c r="AA1764">
        <v>3.9891110230855219E-6</v>
      </c>
      <c r="AB1764">
        <v>99.080860000000001</v>
      </c>
      <c r="AC1764" t="s">
        <v>52</v>
      </c>
      <c r="AE1764" t="s">
        <v>41</v>
      </c>
      <c r="AF1764">
        <v>2.76E-2</v>
      </c>
      <c r="AH1764" t="s">
        <v>209</v>
      </c>
      <c r="AJ1764">
        <v>1.7277330403113881E-4</v>
      </c>
      <c r="AK1764">
        <v>1.7277330403113881E-4</v>
      </c>
      <c r="AL1764">
        <v>0</v>
      </c>
      <c r="AQ1764">
        <v>4.7685431912594308E-6</v>
      </c>
    </row>
    <row r="1765" spans="1:43" x14ac:dyDescent="0.2">
      <c r="A1765">
        <v>1763</v>
      </c>
      <c r="B1765">
        <v>148</v>
      </c>
      <c r="C1765">
        <v>17</v>
      </c>
      <c r="D1765">
        <v>19413727.456148796</v>
      </c>
      <c r="E1765" t="s">
        <v>219</v>
      </c>
      <c r="F1765" t="s">
        <v>61</v>
      </c>
      <c r="G1765" t="s">
        <v>207</v>
      </c>
      <c r="H1765">
        <v>7.6015840150023224E-5</v>
      </c>
      <c r="I1765">
        <v>1.1617069564909679E-7</v>
      </c>
      <c r="J1765">
        <v>0.33</v>
      </c>
      <c r="L1765" s="1">
        <v>43146</v>
      </c>
      <c r="M1765" s="1">
        <v>43024</v>
      </c>
      <c r="R1765">
        <v>5.0432027704412901E-4</v>
      </c>
      <c r="T1765" t="s">
        <v>39</v>
      </c>
      <c r="V1765">
        <v>19233827.044500001</v>
      </c>
      <c r="W1765" t="s">
        <v>220</v>
      </c>
      <c r="X1765" t="s">
        <v>221</v>
      </c>
      <c r="Y1765">
        <v>19413727.456148796</v>
      </c>
      <c r="Z1765" t="s">
        <v>31</v>
      </c>
      <c r="AA1765">
        <v>5.318505894920123E-6</v>
      </c>
      <c r="AB1765">
        <v>99.073334000000003</v>
      </c>
      <c r="AC1765" t="s">
        <v>52</v>
      </c>
      <c r="AE1765" t="s">
        <v>41</v>
      </c>
      <c r="AF1765">
        <v>2.76E-2</v>
      </c>
      <c r="AH1765" t="s">
        <v>209</v>
      </c>
      <c r="AJ1765">
        <v>2.3035103075764614E-4</v>
      </c>
      <c r="AK1765">
        <v>2.3035103075764614E-4</v>
      </c>
      <c r="AL1765">
        <v>0</v>
      </c>
      <c r="AQ1765">
        <v>6.3576884489110336E-6</v>
      </c>
    </row>
    <row r="1766" spans="1:43" x14ac:dyDescent="0.2">
      <c r="A1766">
        <v>1764</v>
      </c>
      <c r="B1766">
        <v>148</v>
      </c>
      <c r="C1766">
        <v>17</v>
      </c>
      <c r="D1766">
        <v>31215909.298468944</v>
      </c>
      <c r="E1766" t="s">
        <v>219</v>
      </c>
      <c r="F1766" t="s">
        <v>61</v>
      </c>
      <c r="G1766" t="s">
        <v>207</v>
      </c>
      <c r="H1766">
        <v>1.2959651749471299E-4</v>
      </c>
      <c r="I1766">
        <v>1.8673757601967992E-7</v>
      </c>
      <c r="J1766">
        <v>0.35</v>
      </c>
      <c r="L1766" s="1">
        <v>43150</v>
      </c>
      <c r="M1766" s="1">
        <v>43024</v>
      </c>
      <c r="R1766">
        <v>5.0432027704412901E-4</v>
      </c>
      <c r="T1766" t="s">
        <v>39</v>
      </c>
      <c r="V1766">
        <v>30917248.276799999</v>
      </c>
      <c r="W1766" t="s">
        <v>220</v>
      </c>
      <c r="X1766" t="s">
        <v>221</v>
      </c>
      <c r="Y1766">
        <v>31215909.298468944</v>
      </c>
      <c r="Z1766" t="s">
        <v>31</v>
      </c>
      <c r="AA1766">
        <v>8.5491861206004929E-6</v>
      </c>
      <c r="AB1766">
        <v>99.043240999999995</v>
      </c>
      <c r="AC1766" t="s">
        <v>52</v>
      </c>
      <c r="AE1766" t="s">
        <v>41</v>
      </c>
      <c r="AF1766">
        <v>2.76E-2</v>
      </c>
      <c r="AH1766" t="s">
        <v>209</v>
      </c>
      <c r="AJ1766">
        <v>3.7027576427060859E-4</v>
      </c>
      <c r="AK1766">
        <v>3.7027576427060859E-4</v>
      </c>
      <c r="AL1766">
        <v>0</v>
      </c>
      <c r="AQ1766">
        <v>1.0219611093868797E-5</v>
      </c>
    </row>
    <row r="1767" spans="1:43" x14ac:dyDescent="0.2">
      <c r="A1767">
        <v>1765</v>
      </c>
      <c r="B1767">
        <v>148</v>
      </c>
      <c r="C1767">
        <v>17</v>
      </c>
      <c r="D1767">
        <v>4636953.0081863813</v>
      </c>
      <c r="E1767" t="s">
        <v>219</v>
      </c>
      <c r="F1767" t="s">
        <v>61</v>
      </c>
      <c r="G1767" t="s">
        <v>207</v>
      </c>
      <c r="H1767">
        <v>1.9790360950285366E-5</v>
      </c>
      <c r="I1767">
        <v>2.7724111992364524E-8</v>
      </c>
      <c r="J1767">
        <v>0.36</v>
      </c>
      <c r="L1767" s="1">
        <v>43157</v>
      </c>
      <c r="M1767" s="1">
        <v>43024</v>
      </c>
      <c r="R1767">
        <v>5.0432027704412901E-4</v>
      </c>
      <c r="T1767" t="s">
        <v>39</v>
      </c>
      <c r="V1767">
        <v>4590148.7637999998</v>
      </c>
      <c r="W1767" t="s">
        <v>220</v>
      </c>
      <c r="X1767" t="s">
        <v>221</v>
      </c>
      <c r="Y1767">
        <v>4636953.0081863813</v>
      </c>
      <c r="Z1767" t="s">
        <v>31</v>
      </c>
      <c r="AA1767">
        <v>1.2692603090559423E-6</v>
      </c>
      <c r="AB1767">
        <v>98.990624999999994</v>
      </c>
      <c r="AC1767" t="s">
        <v>52</v>
      </c>
      <c r="AE1767" t="s">
        <v>41</v>
      </c>
      <c r="AF1767">
        <v>2.76E-2</v>
      </c>
      <c r="AH1767" t="s">
        <v>209</v>
      </c>
      <c r="AJ1767">
        <v>5.49732248619038E-5</v>
      </c>
      <c r="AK1767">
        <v>5.49732248619038E-5</v>
      </c>
      <c r="AL1767">
        <v>0</v>
      </c>
      <c r="AQ1767">
        <v>1.5172610061885449E-6</v>
      </c>
    </row>
    <row r="1768" spans="1:43" x14ac:dyDescent="0.2">
      <c r="A1768">
        <v>1766</v>
      </c>
      <c r="B1768">
        <v>148</v>
      </c>
      <c r="C1768">
        <v>17</v>
      </c>
      <c r="D1768">
        <v>9705672.81649247</v>
      </c>
      <c r="E1768" t="s">
        <v>219</v>
      </c>
      <c r="F1768" t="s">
        <v>61</v>
      </c>
      <c r="G1768" t="s">
        <v>207</v>
      </c>
      <c r="H1768">
        <v>4.481673703435927E-5</v>
      </c>
      <c r="I1768">
        <v>5.79538185573896E-8</v>
      </c>
      <c r="J1768">
        <v>0.39</v>
      </c>
      <c r="L1768" s="1">
        <v>43168</v>
      </c>
      <c r="M1768" s="1">
        <v>43024</v>
      </c>
      <c r="R1768">
        <v>5.0432027704412901E-4</v>
      </c>
      <c r="T1768" t="s">
        <v>39</v>
      </c>
      <c r="V1768">
        <v>9595136.8498999998</v>
      </c>
      <c r="W1768" t="s">
        <v>220</v>
      </c>
      <c r="X1768" t="s">
        <v>221</v>
      </c>
      <c r="Y1768">
        <v>9705672.81649247</v>
      </c>
      <c r="Z1768" t="s">
        <v>31</v>
      </c>
      <c r="AA1768">
        <v>2.653231298206522E-6</v>
      </c>
      <c r="AB1768">
        <v>98.86112</v>
      </c>
      <c r="AC1768" t="s">
        <v>52</v>
      </c>
      <c r="AE1768" t="s">
        <v>41</v>
      </c>
      <c r="AF1768">
        <v>2.8799999999999999E-2</v>
      </c>
      <c r="AH1768" t="s">
        <v>209</v>
      </c>
      <c r="AJ1768">
        <v>1.1491471034451095E-4</v>
      </c>
      <c r="AK1768">
        <v>1.1491471034451095E-4</v>
      </c>
      <c r="AL1768">
        <v>0</v>
      </c>
      <c r="AQ1768">
        <v>3.309543657921915E-6</v>
      </c>
    </row>
    <row r="1769" spans="1:43" x14ac:dyDescent="0.2">
      <c r="A1769">
        <v>1767</v>
      </c>
      <c r="B1769">
        <v>148</v>
      </c>
      <c r="C1769">
        <v>17</v>
      </c>
      <c r="D1769">
        <v>14720783.233299553</v>
      </c>
      <c r="E1769" t="s">
        <v>219</v>
      </c>
      <c r="F1769" t="s">
        <v>61</v>
      </c>
      <c r="G1769" t="s">
        <v>207</v>
      </c>
      <c r="H1769">
        <v>4.1110436499205489E-4</v>
      </c>
      <c r="I1769">
        <v>5.0567870060205822E-7</v>
      </c>
      <c r="J1769">
        <v>0.41</v>
      </c>
      <c r="L1769" s="1">
        <v>43173</v>
      </c>
      <c r="M1769" s="1">
        <v>43024</v>
      </c>
      <c r="R1769">
        <v>5.0432027704412901E-4</v>
      </c>
      <c r="T1769" t="s">
        <v>39</v>
      </c>
      <c r="V1769">
        <v>83722806.454099998</v>
      </c>
      <c r="W1769" t="s">
        <v>220</v>
      </c>
      <c r="X1769" t="s">
        <v>221</v>
      </c>
      <c r="Y1769">
        <v>84720782.233299553</v>
      </c>
      <c r="Z1769" t="s">
        <v>31</v>
      </c>
      <c r="AA1769">
        <v>2.3150891324704786E-5</v>
      </c>
      <c r="AB1769">
        <v>98.822040999999999</v>
      </c>
      <c r="AC1769" t="s">
        <v>52</v>
      </c>
      <c r="AE1769" t="s">
        <v>41</v>
      </c>
      <c r="AF1769">
        <v>2.8799999999999999E-2</v>
      </c>
      <c r="AH1769" t="s">
        <v>209</v>
      </c>
      <c r="AJ1769">
        <v>1.0026935731513534E-3</v>
      </c>
      <c r="AK1769">
        <v>1.0026935731513534E-3</v>
      </c>
      <c r="AL1769">
        <v>0</v>
      </c>
      <c r="AQ1769">
        <v>2.887757490675898E-5</v>
      </c>
    </row>
    <row r="1770" spans="1:43" x14ac:dyDescent="0.2">
      <c r="A1770">
        <v>1768</v>
      </c>
      <c r="B1770">
        <v>148</v>
      </c>
      <c r="C1770">
        <v>17</v>
      </c>
      <c r="D1770">
        <v>2425576.4973089988</v>
      </c>
      <c r="E1770" t="s">
        <v>219</v>
      </c>
      <c r="F1770" t="s">
        <v>61</v>
      </c>
      <c r="G1770" t="s">
        <v>207</v>
      </c>
      <c r="H1770">
        <v>1.1762307031272209E-5</v>
      </c>
      <c r="I1770">
        <v>1.4468219367534896E-8</v>
      </c>
      <c r="J1770">
        <v>0.41</v>
      </c>
      <c r="L1770" s="1">
        <v>43175</v>
      </c>
      <c r="M1770" s="1">
        <v>43024</v>
      </c>
      <c r="R1770">
        <v>5.0432027704412901E-4</v>
      </c>
      <c r="T1770" t="s">
        <v>39</v>
      </c>
      <c r="V1770">
        <v>2395433.9552000002</v>
      </c>
      <c r="W1770" t="s">
        <v>220</v>
      </c>
      <c r="X1770" t="s">
        <v>221</v>
      </c>
      <c r="Y1770">
        <v>2425576.4973089988</v>
      </c>
      <c r="Z1770" t="s">
        <v>31</v>
      </c>
      <c r="AA1770">
        <v>6.6238141697682183E-7</v>
      </c>
      <c r="AB1770">
        <v>98.757304000000005</v>
      </c>
      <c r="AC1770" t="s">
        <v>52</v>
      </c>
      <c r="AE1770" t="s">
        <v>41</v>
      </c>
      <c r="AF1770">
        <v>0.03</v>
      </c>
      <c r="AH1770" t="s">
        <v>209</v>
      </c>
      <c r="AJ1770">
        <v>2.8688553734810267E-5</v>
      </c>
      <c r="AK1770">
        <v>2.8688553734810267E-5</v>
      </c>
      <c r="AL1770">
        <v>0</v>
      </c>
      <c r="AQ1770">
        <v>8.60656612044308E-7</v>
      </c>
    </row>
    <row r="1771" spans="1:43" x14ac:dyDescent="0.2">
      <c r="A1771">
        <v>1769</v>
      </c>
      <c r="B1771">
        <v>148</v>
      </c>
      <c r="C1771">
        <v>17</v>
      </c>
      <c r="D1771">
        <v>12131400.818374263</v>
      </c>
      <c r="E1771" t="s">
        <v>225</v>
      </c>
      <c r="F1771" t="s">
        <v>61</v>
      </c>
      <c r="G1771" t="s">
        <v>207</v>
      </c>
      <c r="H1771">
        <v>5.0289229123894248E-5</v>
      </c>
      <c r="I1771">
        <v>7.246250846885151E-8</v>
      </c>
      <c r="J1771">
        <v>0.35</v>
      </c>
      <c r="L1771" s="1">
        <v>43153</v>
      </c>
      <c r="M1771" s="1">
        <v>43024</v>
      </c>
      <c r="R1771">
        <v>5.0432027704412901E-4</v>
      </c>
      <c r="T1771" t="s">
        <v>39</v>
      </c>
      <c r="V1771">
        <v>11997271.319700001</v>
      </c>
      <c r="W1771" t="s">
        <v>226</v>
      </c>
      <c r="X1771" t="s">
        <v>227</v>
      </c>
      <c r="Y1771">
        <v>12131400.818374263</v>
      </c>
      <c r="Z1771" t="s">
        <v>31</v>
      </c>
      <c r="AA1771">
        <v>3.3174655303467873E-6</v>
      </c>
      <c r="AB1771">
        <v>98.894361000000004</v>
      </c>
      <c r="AC1771" t="s">
        <v>52</v>
      </c>
      <c r="AE1771" t="s">
        <v>41</v>
      </c>
      <c r="AF1771">
        <v>3.1199999999999999E-2</v>
      </c>
      <c r="AH1771" t="s">
        <v>209</v>
      </c>
      <c r="AJ1771">
        <v>1.43683511782555E-4</v>
      </c>
      <c r="AK1771">
        <v>1.43683511782555E-4</v>
      </c>
      <c r="AL1771">
        <v>0</v>
      </c>
      <c r="AQ1771">
        <v>4.4829255676157159E-6</v>
      </c>
    </row>
    <row r="1772" spans="1:43" x14ac:dyDescent="0.2">
      <c r="A1772">
        <v>1770</v>
      </c>
      <c r="B1772">
        <v>148</v>
      </c>
      <c r="C1772">
        <v>17</v>
      </c>
      <c r="D1772">
        <v>12937531.409027694</v>
      </c>
      <c r="E1772" t="s">
        <v>225</v>
      </c>
      <c r="F1772" t="s">
        <v>61</v>
      </c>
      <c r="G1772" t="s">
        <v>207</v>
      </c>
      <c r="H1772">
        <v>5.9604382459484202E-5</v>
      </c>
      <c r="I1772">
        <v>7.7076150448746908E-8</v>
      </c>
      <c r="J1772">
        <v>0.39</v>
      </c>
      <c r="L1772" s="1">
        <v>43167</v>
      </c>
      <c r="M1772" s="1">
        <v>43024</v>
      </c>
      <c r="R1772">
        <v>5.0432027704412901E-4</v>
      </c>
      <c r="T1772" t="s">
        <v>39</v>
      </c>
      <c r="V1772">
        <v>12761129.979499999</v>
      </c>
      <c r="W1772" t="s">
        <v>226</v>
      </c>
      <c r="X1772" t="s">
        <v>227</v>
      </c>
      <c r="Y1772">
        <v>12937531.409027694</v>
      </c>
      <c r="Z1772" t="s">
        <v>31</v>
      </c>
      <c r="AA1772">
        <v>3.528686457707356E-6</v>
      </c>
      <c r="AB1772">
        <v>98.636514000000005</v>
      </c>
      <c r="AC1772" t="s">
        <v>52</v>
      </c>
      <c r="AE1772" t="s">
        <v>41</v>
      </c>
      <c r="AF1772">
        <v>3.4799999999999998E-2</v>
      </c>
      <c r="AH1772" t="s">
        <v>209</v>
      </c>
      <c r="AJ1772">
        <v>1.5283174989611333E-4</v>
      </c>
      <c r="AK1772">
        <v>1.5283174989611333E-4</v>
      </c>
      <c r="AL1772">
        <v>0</v>
      </c>
      <c r="AQ1772">
        <v>5.3185448963847438E-6</v>
      </c>
    </row>
    <row r="1773" spans="1:43" x14ac:dyDescent="0.2">
      <c r="A1773">
        <v>1771</v>
      </c>
      <c r="B1773">
        <v>148</v>
      </c>
      <c r="C1773">
        <v>17</v>
      </c>
      <c r="D1773">
        <v>9704769.0565242134</v>
      </c>
      <c r="E1773" t="s">
        <v>204</v>
      </c>
      <c r="F1773" t="s">
        <v>61</v>
      </c>
      <c r="G1773" t="s">
        <v>207</v>
      </c>
      <c r="H1773">
        <v>4.2548134477665541E-5</v>
      </c>
      <c r="I1773">
        <v>5.7994289101316608E-8</v>
      </c>
      <c r="J1773">
        <v>0.37</v>
      </c>
      <c r="L1773" s="1">
        <v>43158</v>
      </c>
      <c r="M1773" s="1">
        <v>43024</v>
      </c>
      <c r="R1773">
        <v>5.0432027704412901E-4</v>
      </c>
      <c r="T1773" t="s">
        <v>39</v>
      </c>
      <c r="V1773">
        <v>9601837.3644999992</v>
      </c>
      <c r="W1773" t="s">
        <v>200</v>
      </c>
      <c r="X1773" t="s">
        <v>214</v>
      </c>
      <c r="Y1773">
        <v>9704769.0565242134</v>
      </c>
      <c r="Z1773" t="s">
        <v>31</v>
      </c>
      <c r="AA1773">
        <v>2.6550841133699654E-6</v>
      </c>
      <c r="AB1773">
        <v>98.939369999999997</v>
      </c>
      <c r="AC1773" t="s">
        <v>52</v>
      </c>
      <c r="AE1773" t="s">
        <v>41</v>
      </c>
      <c r="AF1773">
        <v>2.8799999999999999E-2</v>
      </c>
      <c r="AH1773" t="s">
        <v>209</v>
      </c>
      <c r="AJ1773">
        <v>1.1499495804774471E-4</v>
      </c>
      <c r="AK1773">
        <v>1.1499495804774471E-4</v>
      </c>
      <c r="AL1773">
        <v>0</v>
      </c>
      <c r="AQ1773">
        <v>3.3118547917750474E-6</v>
      </c>
    </row>
    <row r="1774" spans="1:43" x14ac:dyDescent="0.2">
      <c r="A1774">
        <v>1772</v>
      </c>
      <c r="B1774">
        <v>148</v>
      </c>
      <c r="C1774">
        <v>17</v>
      </c>
      <c r="D1774">
        <v>31800604.125703655</v>
      </c>
      <c r="E1774" t="s">
        <v>204</v>
      </c>
      <c r="F1774" t="s">
        <v>61</v>
      </c>
      <c r="G1774" t="s">
        <v>207</v>
      </c>
      <c r="H1774">
        <v>1.5428682285364132E-4</v>
      </c>
      <c r="I1774">
        <v>1.8978042255074841E-7</v>
      </c>
      <c r="J1774">
        <v>0.41</v>
      </c>
      <c r="L1774" s="1">
        <v>43175</v>
      </c>
      <c r="M1774" s="1">
        <v>43024</v>
      </c>
      <c r="R1774">
        <v>5.0432027704412901E-4</v>
      </c>
      <c r="T1774" t="s">
        <v>39</v>
      </c>
      <c r="V1774">
        <v>31421037.839000002</v>
      </c>
      <c r="W1774" t="s">
        <v>200</v>
      </c>
      <c r="X1774" t="s">
        <v>214</v>
      </c>
      <c r="Y1774">
        <v>31800604.125703655</v>
      </c>
      <c r="Z1774" t="s">
        <v>31</v>
      </c>
      <c r="AA1774">
        <v>8.6884931732302562E-6</v>
      </c>
      <c r="AB1774">
        <v>98.806417999999994</v>
      </c>
      <c r="AC1774" t="s">
        <v>52</v>
      </c>
      <c r="AE1774" t="s">
        <v>41</v>
      </c>
      <c r="AF1774">
        <v>2.8799999999999999E-2</v>
      </c>
      <c r="AH1774" t="s">
        <v>209</v>
      </c>
      <c r="AJ1774">
        <v>3.7630932403327153E-4</v>
      </c>
      <c r="AK1774">
        <v>3.7630932403327153E-4</v>
      </c>
      <c r="AL1774">
        <v>0</v>
      </c>
      <c r="AQ1774">
        <v>1.083770853215822E-5</v>
      </c>
    </row>
    <row r="1775" spans="1:43" x14ac:dyDescent="0.2">
      <c r="A1775">
        <v>1773</v>
      </c>
      <c r="B1775">
        <v>148</v>
      </c>
      <c r="C1775">
        <v>17</v>
      </c>
      <c r="D1775">
        <v>4853387.7106567901</v>
      </c>
      <c r="E1775" t="s">
        <v>215</v>
      </c>
      <c r="F1775" t="s">
        <v>61</v>
      </c>
      <c r="G1775" t="s">
        <v>207</v>
      </c>
      <c r="H1775">
        <v>1.9000649819747414E-5</v>
      </c>
      <c r="I1775">
        <v>2.9037615094283321E-8</v>
      </c>
      <c r="J1775">
        <v>0.33</v>
      </c>
      <c r="L1775" s="1">
        <v>43143</v>
      </c>
      <c r="M1775" s="1">
        <v>43024</v>
      </c>
      <c r="R1775">
        <v>5.0432027704412901E-4</v>
      </c>
      <c r="T1775" t="s">
        <v>39</v>
      </c>
      <c r="V1775">
        <v>4807619.1968</v>
      </c>
      <c r="W1775" t="s">
        <v>216</v>
      </c>
      <c r="X1775" t="s">
        <v>217</v>
      </c>
      <c r="Y1775">
        <v>4853387.7106567901</v>
      </c>
      <c r="Z1775" t="s">
        <v>31</v>
      </c>
      <c r="AA1775">
        <v>1.3293948718346005E-6</v>
      </c>
      <c r="AB1775">
        <v>99.056978000000001</v>
      </c>
      <c r="AC1775" t="s">
        <v>52</v>
      </c>
      <c r="AE1775" t="s">
        <v>41</v>
      </c>
      <c r="AF1775">
        <v>2.8799999999999999E-2</v>
      </c>
      <c r="AH1775" t="s">
        <v>209</v>
      </c>
      <c r="AJ1775">
        <v>5.7577726726507315E-5</v>
      </c>
      <c r="AK1775">
        <v>5.7577726726507315E-5</v>
      </c>
      <c r="AL1775">
        <v>0</v>
      </c>
      <c r="AQ1775">
        <v>1.6582385297234106E-6</v>
      </c>
    </row>
    <row r="1776" spans="1:43" x14ac:dyDescent="0.2">
      <c r="A1776">
        <v>1774</v>
      </c>
      <c r="B1776">
        <v>148</v>
      </c>
      <c r="C1776">
        <v>17</v>
      </c>
      <c r="D1776">
        <v>21298871.161545485</v>
      </c>
      <c r="E1776" t="s">
        <v>215</v>
      </c>
      <c r="F1776" t="s">
        <v>61</v>
      </c>
      <c r="G1776" t="s">
        <v>207</v>
      </c>
      <c r="H1776">
        <v>8.8401168720198223E-5</v>
      </c>
      <c r="I1776">
        <v>1.2737857685712904E-7</v>
      </c>
      <c r="J1776">
        <v>0.35</v>
      </c>
      <c r="L1776" s="1">
        <v>43151</v>
      </c>
      <c r="M1776" s="1">
        <v>43024</v>
      </c>
      <c r="R1776">
        <v>5.0432027704412901E-4</v>
      </c>
      <c r="T1776" t="s">
        <v>39</v>
      </c>
      <c r="V1776">
        <v>21089462.387699999</v>
      </c>
      <c r="W1776" t="s">
        <v>216</v>
      </c>
      <c r="X1776" t="s">
        <v>217</v>
      </c>
      <c r="Y1776">
        <v>21298871.161545485</v>
      </c>
      <c r="Z1776" t="s">
        <v>31</v>
      </c>
      <c r="AA1776">
        <v>5.8316230966500539E-6</v>
      </c>
      <c r="AB1776">
        <v>99.014970000000005</v>
      </c>
      <c r="AC1776" t="s">
        <v>52</v>
      </c>
      <c r="AE1776" t="s">
        <v>41</v>
      </c>
      <c r="AF1776">
        <v>2.8199999999999999E-2</v>
      </c>
      <c r="AH1776" t="s">
        <v>209</v>
      </c>
      <c r="AJ1776">
        <v>2.5257476777199494E-4</v>
      </c>
      <c r="AK1776">
        <v>2.5257476777199494E-4</v>
      </c>
      <c r="AL1776">
        <v>0</v>
      </c>
      <c r="AQ1776">
        <v>7.1226084511702575E-6</v>
      </c>
    </row>
    <row r="1777" spans="1:43" x14ac:dyDescent="0.2">
      <c r="A1777">
        <v>1775</v>
      </c>
      <c r="B1777">
        <v>148</v>
      </c>
      <c r="C1777">
        <v>17</v>
      </c>
      <c r="D1777">
        <v>4850457.5295555396</v>
      </c>
      <c r="E1777" t="s">
        <v>215</v>
      </c>
      <c r="F1777" t="s">
        <v>61</v>
      </c>
      <c r="G1777" t="s">
        <v>207</v>
      </c>
      <c r="H1777">
        <v>2.1214683938661345E-5</v>
      </c>
      <c r="I1777">
        <v>2.8916203463106282E-8</v>
      </c>
      <c r="J1777">
        <v>0.37</v>
      </c>
      <c r="L1777" s="1">
        <v>43160</v>
      </c>
      <c r="M1777" s="1">
        <v>43024</v>
      </c>
      <c r="R1777">
        <v>5.0432027704412901E-4</v>
      </c>
      <c r="T1777" t="s">
        <v>39</v>
      </c>
      <c r="V1777">
        <v>4787517.6530999998</v>
      </c>
      <c r="W1777" t="s">
        <v>216</v>
      </c>
      <c r="X1777" t="s">
        <v>217</v>
      </c>
      <c r="Y1777">
        <v>4850457.5295555396</v>
      </c>
      <c r="Z1777" t="s">
        <v>31</v>
      </c>
      <c r="AA1777">
        <v>1.3238364263719217E-6</v>
      </c>
      <c r="AB1777">
        <v>98.702393000000001</v>
      </c>
      <c r="AC1777" t="s">
        <v>52</v>
      </c>
      <c r="AE1777" t="s">
        <v>41</v>
      </c>
      <c r="AF1777">
        <v>3.4799999999999998E-2</v>
      </c>
      <c r="AH1777" t="s">
        <v>209</v>
      </c>
      <c r="AJ1777">
        <v>5.7336983618003638E-5</v>
      </c>
      <c r="AK1777">
        <v>5.7336983618003638E-5</v>
      </c>
      <c r="AL1777">
        <v>0</v>
      </c>
      <c r="AQ1777">
        <v>1.9953270299065263E-6</v>
      </c>
    </row>
    <row r="1778" spans="1:43" x14ac:dyDescent="0.2">
      <c r="A1778">
        <v>1776</v>
      </c>
      <c r="B1778">
        <v>148</v>
      </c>
      <c r="C1778">
        <v>17</v>
      </c>
      <c r="D1778">
        <v>1</v>
      </c>
      <c r="E1778" t="s">
        <v>256</v>
      </c>
      <c r="F1778" t="s">
        <v>61</v>
      </c>
      <c r="G1778" t="s">
        <v>207</v>
      </c>
      <c r="H1778">
        <v>2.1053707053646457E-6</v>
      </c>
      <c r="I1778">
        <v>2.8696787497570041E-9</v>
      </c>
      <c r="J1778">
        <v>0.37</v>
      </c>
      <c r="L1778" s="1">
        <v>43158</v>
      </c>
      <c r="M1778" s="1">
        <v>43024</v>
      </c>
      <c r="R1778">
        <v>5.0432027704412901E-4</v>
      </c>
      <c r="T1778" t="s">
        <v>39</v>
      </c>
      <c r="V1778">
        <v>475119</v>
      </c>
      <c r="W1778" t="s">
        <v>248</v>
      </c>
      <c r="X1778" t="s">
        <v>257</v>
      </c>
      <c r="Y1778">
        <v>480000</v>
      </c>
      <c r="Z1778" t="s">
        <v>31</v>
      </c>
      <c r="AA1778">
        <v>1.3137911640996786E-7</v>
      </c>
      <c r="AB1778">
        <v>98.983125000000001</v>
      </c>
      <c r="AC1778" t="s">
        <v>52</v>
      </c>
      <c r="AE1778" t="s">
        <v>41</v>
      </c>
      <c r="AF1778">
        <v>2.76E-2</v>
      </c>
      <c r="AH1778" t="s">
        <v>209</v>
      </c>
      <c r="AJ1778">
        <v>5.6901910955801241E-6</v>
      </c>
      <c r="AK1778">
        <v>5.6901910955801241E-6</v>
      </c>
      <c r="AL1778">
        <v>0</v>
      </c>
      <c r="AQ1778">
        <v>1.5704927423801142E-7</v>
      </c>
    </row>
    <row r="1779" spans="1:43" x14ac:dyDescent="0.2">
      <c r="A1779">
        <v>1777</v>
      </c>
      <c r="B1779">
        <v>148</v>
      </c>
      <c r="C1779">
        <v>17</v>
      </c>
      <c r="D1779">
        <v>5324606.5366253043</v>
      </c>
      <c r="E1779" t="s">
        <v>256</v>
      </c>
      <c r="F1779" t="s">
        <v>61</v>
      </c>
      <c r="G1779" t="s">
        <v>207</v>
      </c>
      <c r="H1779">
        <v>2.3324589247718323E-5</v>
      </c>
      <c r="I1779">
        <v>3.1792063003648159E-8</v>
      </c>
      <c r="J1779">
        <v>0.37</v>
      </c>
      <c r="L1779" s="1">
        <v>43159</v>
      </c>
      <c r="M1779" s="1">
        <v>43024</v>
      </c>
      <c r="R1779">
        <v>5.0432027704412901E-4</v>
      </c>
      <c r="T1779" t="s">
        <v>39</v>
      </c>
      <c r="V1779">
        <v>5263659.9770999998</v>
      </c>
      <c r="W1779" t="s">
        <v>248</v>
      </c>
      <c r="X1779" t="s">
        <v>257</v>
      </c>
      <c r="Y1779">
        <v>5324606.5366253043</v>
      </c>
      <c r="Z1779" t="s">
        <v>31</v>
      </c>
      <c r="AA1779">
        <v>1.455498510633988E-6</v>
      </c>
      <c r="AB1779">
        <v>98.843706499999996</v>
      </c>
      <c r="AC1779" t="s">
        <v>52</v>
      </c>
      <c r="AE1779" t="s">
        <v>41</v>
      </c>
      <c r="AF1779">
        <v>3.1199999999999999E-2</v>
      </c>
      <c r="AH1779" t="s">
        <v>209</v>
      </c>
      <c r="AJ1779">
        <v>6.3039430399238714E-5</v>
      </c>
      <c r="AK1779">
        <v>6.3039430399238714E-5</v>
      </c>
      <c r="AL1779">
        <v>0</v>
      </c>
      <c r="AQ1779">
        <v>1.9668302284562479E-6</v>
      </c>
    </row>
    <row r="1780" spans="1:43" x14ac:dyDescent="0.2">
      <c r="A1780">
        <v>1778</v>
      </c>
      <c r="B1780">
        <v>149</v>
      </c>
      <c r="C1780">
        <v>17</v>
      </c>
      <c r="D1780">
        <v>43619046.787329584</v>
      </c>
      <c r="E1780" t="s">
        <v>203</v>
      </c>
      <c r="F1780" t="s">
        <v>61</v>
      </c>
      <c r="G1780" t="s">
        <v>207</v>
      </c>
      <c r="H1780">
        <v>5.2107687772165589E-5</v>
      </c>
      <c r="I1780">
        <v>1.2671202883789539E-7</v>
      </c>
      <c r="J1780">
        <v>0.1</v>
      </c>
      <c r="L1780" s="1">
        <v>43062</v>
      </c>
      <c r="M1780" s="1">
        <v>43024</v>
      </c>
      <c r="R1780">
        <v>2.4317338622263966E-4</v>
      </c>
      <c r="T1780" t="s">
        <v>39</v>
      </c>
      <c r="V1780">
        <v>43508824.380000003</v>
      </c>
      <c r="W1780" t="s">
        <v>181</v>
      </c>
      <c r="X1780" t="s">
        <v>236</v>
      </c>
      <c r="Y1780">
        <v>43619046.787329584</v>
      </c>
      <c r="Z1780" t="s">
        <v>31</v>
      </c>
      <c r="AA1780">
        <v>5.8011073151120868E-6</v>
      </c>
      <c r="AB1780">
        <v>99.74730666666666</v>
      </c>
      <c r="AC1780" t="s">
        <v>52</v>
      </c>
      <c r="AE1780" t="s">
        <v>41</v>
      </c>
      <c r="AF1780">
        <v>2.4E-2</v>
      </c>
      <c r="AH1780" t="s">
        <v>209</v>
      </c>
      <c r="AJ1780">
        <v>5.2107687772165586E-4</v>
      </c>
      <c r="AK1780">
        <v>5.2107687772165586E-4</v>
      </c>
      <c r="AL1780">
        <v>0</v>
      </c>
      <c r="AQ1780">
        <v>1.2505845065319741E-5</v>
      </c>
    </row>
    <row r="1781" spans="1:43" x14ac:dyDescent="0.2">
      <c r="A1781">
        <v>1779</v>
      </c>
      <c r="B1781">
        <v>149</v>
      </c>
      <c r="C1781">
        <v>17</v>
      </c>
      <c r="D1781">
        <v>19411952.575545188</v>
      </c>
      <c r="E1781" t="s">
        <v>203</v>
      </c>
      <c r="F1781" t="s">
        <v>61</v>
      </c>
      <c r="G1781" t="s">
        <v>207</v>
      </c>
      <c r="H1781">
        <v>3.2428899160140416E-5</v>
      </c>
      <c r="I1781">
        <v>5.632746585888471E-8</v>
      </c>
      <c r="J1781">
        <v>0.14000000000000001</v>
      </c>
      <c r="L1781" s="1">
        <v>43074</v>
      </c>
      <c r="M1781" s="1">
        <v>43024</v>
      </c>
      <c r="R1781">
        <v>2.4317338622263966E-4</v>
      </c>
      <c r="T1781" t="s">
        <v>39</v>
      </c>
      <c r="V1781">
        <v>19341035.277399998</v>
      </c>
      <c r="W1781" t="s">
        <v>181</v>
      </c>
      <c r="X1781" t="s">
        <v>236</v>
      </c>
      <c r="Y1781">
        <v>19411952.575545188</v>
      </c>
      <c r="Z1781" t="s">
        <v>31</v>
      </c>
      <c r="AA1781">
        <v>2.5787739114629248E-6</v>
      </c>
      <c r="AB1781">
        <v>99.634671999999995</v>
      </c>
      <c r="AC1781" t="s">
        <v>52</v>
      </c>
      <c r="AE1781" t="s">
        <v>41</v>
      </c>
      <c r="AF1781">
        <v>2.64E-2</v>
      </c>
      <c r="AH1781" t="s">
        <v>209</v>
      </c>
      <c r="AJ1781">
        <v>2.3163499400100294E-4</v>
      </c>
      <c r="AK1781">
        <v>2.3163499400100294E-4</v>
      </c>
      <c r="AL1781">
        <v>0</v>
      </c>
      <c r="AQ1781">
        <v>6.1151638416264774E-6</v>
      </c>
    </row>
    <row r="1782" spans="1:43" x14ac:dyDescent="0.2">
      <c r="A1782">
        <v>1780</v>
      </c>
      <c r="B1782">
        <v>149</v>
      </c>
      <c r="C1782">
        <v>17</v>
      </c>
      <c r="D1782">
        <v>34525764.075978994</v>
      </c>
      <c r="E1782" t="s">
        <v>250</v>
      </c>
      <c r="F1782" t="s">
        <v>61</v>
      </c>
      <c r="G1782" t="s">
        <v>207</v>
      </c>
      <c r="H1782">
        <v>4.9454964413081416E-5</v>
      </c>
      <c r="I1782">
        <v>1.0021775968207624E-7</v>
      </c>
      <c r="J1782">
        <v>0.12</v>
      </c>
      <c r="L1782" s="1">
        <v>43068</v>
      </c>
      <c r="M1782" s="1">
        <v>43024</v>
      </c>
      <c r="R1782">
        <v>2.4317338622263966E-4</v>
      </c>
      <c r="T1782" t="s">
        <v>39</v>
      </c>
      <c r="V1782">
        <v>34411546.762800001</v>
      </c>
      <c r="W1782" t="s">
        <v>250</v>
      </c>
      <c r="X1782" t="s">
        <v>258</v>
      </c>
      <c r="Y1782">
        <v>34525764.075978994</v>
      </c>
      <c r="Z1782" t="s">
        <v>31</v>
      </c>
      <c r="AA1782">
        <v>4.5881514496117661E-6</v>
      </c>
      <c r="AB1782">
        <v>99.678372499999995</v>
      </c>
      <c r="AC1782" t="s">
        <v>52</v>
      </c>
      <c r="AE1782" t="s">
        <v>41</v>
      </c>
      <c r="AF1782">
        <v>2.64E-2</v>
      </c>
      <c r="AH1782" t="s">
        <v>209</v>
      </c>
      <c r="AJ1782">
        <v>4.1212470344234516E-4</v>
      </c>
      <c r="AK1782">
        <v>4.1212470344234516E-4</v>
      </c>
      <c r="AL1782">
        <v>0</v>
      </c>
      <c r="AQ1782">
        <v>1.0880092170877912E-5</v>
      </c>
    </row>
    <row r="1783" spans="1:43" x14ac:dyDescent="0.2">
      <c r="A1783">
        <v>1781</v>
      </c>
      <c r="B1783">
        <v>149</v>
      </c>
      <c r="C1783">
        <v>17</v>
      </c>
      <c r="D1783">
        <v>30061898.624131627</v>
      </c>
      <c r="E1783" t="s">
        <v>228</v>
      </c>
      <c r="F1783" t="s">
        <v>61</v>
      </c>
      <c r="G1783" t="s">
        <v>207</v>
      </c>
      <c r="H1783">
        <v>5.0190048256849694E-5</v>
      </c>
      <c r="I1783">
        <v>8.7177742780684518E-8</v>
      </c>
      <c r="J1783">
        <v>0.14000000000000001</v>
      </c>
      <c r="L1783" s="1">
        <v>43074</v>
      </c>
      <c r="M1783" s="1">
        <v>43024</v>
      </c>
      <c r="R1783">
        <v>2.4317338622263966E-4</v>
      </c>
      <c r="T1783" t="s">
        <v>39</v>
      </c>
      <c r="V1783">
        <v>29934025.484999999</v>
      </c>
      <c r="W1783" t="s">
        <v>229</v>
      </c>
      <c r="X1783" t="s">
        <v>230</v>
      </c>
      <c r="Y1783">
        <v>30061898.624131627</v>
      </c>
      <c r="Z1783" t="s">
        <v>31</v>
      </c>
      <c r="AA1783">
        <v>3.9911557410778545E-6</v>
      </c>
      <c r="AB1783">
        <v>99.597481999999999</v>
      </c>
      <c r="AC1783" t="s">
        <v>52</v>
      </c>
      <c r="AE1783" t="s">
        <v>41</v>
      </c>
      <c r="AF1783">
        <v>2.9850000000000002E-2</v>
      </c>
      <c r="AH1783" t="s">
        <v>209</v>
      </c>
      <c r="AJ1783">
        <v>3.5850034469178351E-4</v>
      </c>
      <c r="AK1783">
        <v>3.5850034469178351E-4</v>
      </c>
      <c r="AL1783">
        <v>0</v>
      </c>
      <c r="AQ1783">
        <v>1.0701235289049738E-5</v>
      </c>
    </row>
    <row r="1784" spans="1:43" x14ac:dyDescent="0.2">
      <c r="A1784">
        <v>1782</v>
      </c>
      <c r="B1784">
        <v>149</v>
      </c>
      <c r="C1784">
        <v>17</v>
      </c>
      <c r="D1784">
        <v>579064.64703262353</v>
      </c>
      <c r="E1784" t="s">
        <v>254</v>
      </c>
      <c r="F1784" t="s">
        <v>61</v>
      </c>
      <c r="G1784" t="s">
        <v>207</v>
      </c>
      <c r="H1784">
        <v>9.6720364715014911E-7</v>
      </c>
      <c r="I1784">
        <v>1.6799870431742063E-9</v>
      </c>
      <c r="J1784">
        <v>0.14000000000000001</v>
      </c>
      <c r="L1784" s="1">
        <v>43074</v>
      </c>
      <c r="M1784" s="1">
        <v>43024</v>
      </c>
      <c r="R1784">
        <v>2.4317338622263966E-4</v>
      </c>
      <c r="T1784" t="s">
        <v>39</v>
      </c>
      <c r="V1784">
        <v>576853.37289999996</v>
      </c>
      <c r="W1784" t="s">
        <v>249</v>
      </c>
      <c r="X1784" t="s">
        <v>255</v>
      </c>
      <c r="Y1784">
        <v>579064.64703262353</v>
      </c>
      <c r="Z1784" t="s">
        <v>31</v>
      </c>
      <c r="AA1784">
        <v>7.6912864665116705E-8</v>
      </c>
      <c r="AB1784">
        <v>99.618129999999994</v>
      </c>
      <c r="AC1784" t="s">
        <v>52</v>
      </c>
      <c r="AE1784" t="s">
        <v>41</v>
      </c>
      <c r="AF1784">
        <v>2.76E-2</v>
      </c>
      <c r="AH1784" t="s">
        <v>209</v>
      </c>
      <c r="AJ1784">
        <v>6.9085974796439222E-6</v>
      </c>
      <c r="AK1784">
        <v>6.9085974796439222E-6</v>
      </c>
      <c r="AL1784">
        <v>0</v>
      </c>
      <c r="AQ1784">
        <v>1.9067729043817224E-7</v>
      </c>
    </row>
    <row r="1785" spans="1:43" x14ac:dyDescent="0.2">
      <c r="A1785">
        <v>1783</v>
      </c>
      <c r="B1785">
        <v>149</v>
      </c>
      <c r="C1785">
        <v>17</v>
      </c>
      <c r="D1785">
        <v>121340582.08401901</v>
      </c>
      <c r="E1785" t="s">
        <v>210</v>
      </c>
      <c r="F1785" t="s">
        <v>61</v>
      </c>
      <c r="G1785" t="s">
        <v>207</v>
      </c>
      <c r="H1785">
        <v>1.4491932640469014E-4</v>
      </c>
      <c r="I1785">
        <v>3.5240523330932498E-7</v>
      </c>
      <c r="J1785">
        <v>0.1</v>
      </c>
      <c r="L1785" s="1">
        <v>43059</v>
      </c>
      <c r="M1785" s="1">
        <v>43024</v>
      </c>
      <c r="R1785">
        <v>2.4317338622263966E-4</v>
      </c>
      <c r="T1785" t="s">
        <v>39</v>
      </c>
      <c r="V1785">
        <v>121004592.439</v>
      </c>
      <c r="W1785" t="s">
        <v>211</v>
      </c>
      <c r="X1785" t="s">
        <v>212</v>
      </c>
      <c r="Y1785">
        <v>121340582.08401901</v>
      </c>
      <c r="Z1785" t="s">
        <v>31</v>
      </c>
      <c r="AA1785">
        <v>1.6133753011325094E-5</v>
      </c>
      <c r="AB1785">
        <v>99.723101999999997</v>
      </c>
      <c r="AC1785" t="s">
        <v>52</v>
      </c>
      <c r="AE1785" t="s">
        <v>41</v>
      </c>
      <c r="AF1785">
        <v>2.8199999999999999E-2</v>
      </c>
      <c r="AH1785" t="s">
        <v>209</v>
      </c>
      <c r="AJ1785">
        <v>1.4491932640469014E-3</v>
      </c>
      <c r="AK1785">
        <v>1.4491932640469014E-3</v>
      </c>
      <c r="AL1785">
        <v>0</v>
      </c>
      <c r="AQ1785">
        <v>4.0867250046122622E-5</v>
      </c>
    </row>
    <row r="1786" spans="1:43" x14ac:dyDescent="0.2">
      <c r="A1786">
        <v>1784</v>
      </c>
      <c r="B1786">
        <v>149</v>
      </c>
      <c r="C1786">
        <v>17</v>
      </c>
      <c r="D1786">
        <v>1938878.4021871921</v>
      </c>
      <c r="E1786" t="s">
        <v>210</v>
      </c>
      <c r="F1786" t="s">
        <v>61</v>
      </c>
      <c r="G1786" t="s">
        <v>207</v>
      </c>
      <c r="H1786">
        <v>2.546660846973546E-6</v>
      </c>
      <c r="I1786">
        <v>5.6298194701742967E-9</v>
      </c>
      <c r="J1786">
        <v>0.11</v>
      </c>
      <c r="L1786" s="1">
        <v>43063</v>
      </c>
      <c r="M1786" s="1">
        <v>43024</v>
      </c>
      <c r="R1786">
        <v>2.4317338622263966E-4</v>
      </c>
      <c r="T1786" t="s">
        <v>39</v>
      </c>
      <c r="V1786">
        <v>1933098.4506000001</v>
      </c>
      <c r="W1786" t="s">
        <v>211</v>
      </c>
      <c r="X1786" t="s">
        <v>212</v>
      </c>
      <c r="Y1786">
        <v>1938878.4021871921</v>
      </c>
      <c r="Z1786" t="s">
        <v>31</v>
      </c>
      <c r="AA1786">
        <v>2.577433824611076E-7</v>
      </c>
      <c r="AB1786">
        <v>99.701892000000001</v>
      </c>
      <c r="AC1786" t="s">
        <v>52</v>
      </c>
      <c r="AE1786" t="s">
        <v>41</v>
      </c>
      <c r="AF1786">
        <v>2.76E-2</v>
      </c>
      <c r="AH1786" t="s">
        <v>209</v>
      </c>
      <c r="AJ1786">
        <v>2.3151462245214052E-5</v>
      </c>
      <c r="AK1786">
        <v>2.3151462245214052E-5</v>
      </c>
      <c r="AL1786">
        <v>0</v>
      </c>
      <c r="AQ1786">
        <v>6.3898035796790788E-7</v>
      </c>
    </row>
    <row r="1787" spans="1:43" x14ac:dyDescent="0.2">
      <c r="A1787">
        <v>1785</v>
      </c>
      <c r="B1787">
        <v>149</v>
      </c>
      <c r="C1787">
        <v>17</v>
      </c>
      <c r="D1787">
        <v>24265872.873417456</v>
      </c>
      <c r="E1787" t="s">
        <v>210</v>
      </c>
      <c r="F1787" t="s">
        <v>61</v>
      </c>
      <c r="G1787" t="s">
        <v>207</v>
      </c>
      <c r="H1787">
        <v>4.0534719615494677E-5</v>
      </c>
      <c r="I1787">
        <v>7.0406893060607813E-8</v>
      </c>
      <c r="J1787">
        <v>0.14000000000000001</v>
      </c>
      <c r="L1787" s="1">
        <v>43075</v>
      </c>
      <c r="M1787" s="1">
        <v>43024</v>
      </c>
      <c r="R1787">
        <v>2.4317338622263966E-4</v>
      </c>
      <c r="T1787" t="s">
        <v>39</v>
      </c>
      <c r="V1787">
        <v>24175456.532499999</v>
      </c>
      <c r="W1787" t="s">
        <v>211</v>
      </c>
      <c r="X1787" t="s">
        <v>212</v>
      </c>
      <c r="Y1787">
        <v>24265872.873417456</v>
      </c>
      <c r="Z1787" t="s">
        <v>31</v>
      </c>
      <c r="AA1787">
        <v>3.2233557154287794E-6</v>
      </c>
      <c r="AB1787">
        <v>99.627392999999998</v>
      </c>
      <c r="AC1787" t="s">
        <v>52</v>
      </c>
      <c r="AE1787" t="s">
        <v>41</v>
      </c>
      <c r="AF1787">
        <v>2.64E-2</v>
      </c>
      <c r="AH1787" t="s">
        <v>209</v>
      </c>
      <c r="AJ1787">
        <v>2.8953371153924768E-4</v>
      </c>
      <c r="AK1787">
        <v>2.8953371153924768E-4</v>
      </c>
      <c r="AL1787">
        <v>0</v>
      </c>
      <c r="AQ1787">
        <v>7.643689984636139E-6</v>
      </c>
    </row>
    <row r="1788" spans="1:43" x14ac:dyDescent="0.2">
      <c r="A1788">
        <v>1786</v>
      </c>
      <c r="B1788">
        <v>149</v>
      </c>
      <c r="C1788">
        <v>17</v>
      </c>
      <c r="D1788">
        <v>12417925.452779625</v>
      </c>
      <c r="E1788" t="s">
        <v>1147</v>
      </c>
      <c r="F1788" t="s">
        <v>61</v>
      </c>
      <c r="G1788" t="s">
        <v>207</v>
      </c>
      <c r="H1788">
        <v>1.4766692276601794E-5</v>
      </c>
      <c r="I1788">
        <v>3.5908665642089583E-8</v>
      </c>
      <c r="J1788">
        <v>0.1</v>
      </c>
      <c r="L1788" s="1">
        <v>43061</v>
      </c>
      <c r="M1788" s="1">
        <v>43024</v>
      </c>
      <c r="R1788">
        <v>2.4317338622263966E-4</v>
      </c>
      <c r="T1788" t="s">
        <v>39</v>
      </c>
      <c r="V1788">
        <v>12329877.7667</v>
      </c>
      <c r="W1788" t="s">
        <v>1148</v>
      </c>
      <c r="X1788" t="s">
        <v>1149</v>
      </c>
      <c r="Y1788">
        <v>12417925.452779625</v>
      </c>
      <c r="Z1788" t="s">
        <v>31</v>
      </c>
      <c r="AA1788">
        <v>1.6439640722565819E-6</v>
      </c>
      <c r="AB1788">
        <v>99.290963000000005</v>
      </c>
      <c r="AC1788" t="s">
        <v>144</v>
      </c>
      <c r="AE1788" t="s">
        <v>88</v>
      </c>
      <c r="AF1788">
        <v>6.948E-2</v>
      </c>
      <c r="AH1788" t="s">
        <v>539</v>
      </c>
      <c r="AJ1788">
        <v>1.4766692276601794E-4</v>
      </c>
      <c r="AK1788">
        <v>1.4766692276601794E-4</v>
      </c>
      <c r="AL1788">
        <v>0</v>
      </c>
      <c r="AN1788" t="s">
        <v>163</v>
      </c>
      <c r="AQ1788">
        <v>1.0259897793782927E-5</v>
      </c>
    </row>
    <row r="1789" spans="1:43" x14ac:dyDescent="0.2">
      <c r="A1789">
        <v>1787</v>
      </c>
      <c r="B1789">
        <v>149</v>
      </c>
      <c r="C1789">
        <v>17</v>
      </c>
      <c r="D1789">
        <v>25379020.926283013</v>
      </c>
      <c r="E1789" t="s">
        <v>1147</v>
      </c>
      <c r="F1789" t="s">
        <v>61</v>
      </c>
      <c r="G1789" t="s">
        <v>207</v>
      </c>
      <c r="H1789">
        <v>4.8086890517975861E-5</v>
      </c>
      <c r="I1789">
        <v>7.3084075001084575E-8</v>
      </c>
      <c r="J1789">
        <v>0.16</v>
      </c>
      <c r="L1789" s="1">
        <v>43082</v>
      </c>
      <c r="M1789" s="1">
        <v>43024</v>
      </c>
      <c r="N1789" s="1"/>
      <c r="R1789">
        <v>2.4317338622263966E-4</v>
      </c>
      <c r="T1789" t="s">
        <v>39</v>
      </c>
      <c r="V1789">
        <v>25094714.4747</v>
      </c>
      <c r="W1789" t="s">
        <v>1148</v>
      </c>
      <c r="X1789" t="s">
        <v>1149</v>
      </c>
      <c r="Y1789">
        <v>25379020.926283013</v>
      </c>
      <c r="Z1789" t="s">
        <v>31</v>
      </c>
      <c r="AA1789">
        <v>3.3459219775368093E-6</v>
      </c>
      <c r="AB1789">
        <v>98.879757999999995</v>
      </c>
      <c r="AC1789" t="s">
        <v>144</v>
      </c>
      <c r="AE1789" t="s">
        <v>88</v>
      </c>
      <c r="AF1789">
        <v>7.0319999999999994E-2</v>
      </c>
      <c r="AH1789" t="s">
        <v>539</v>
      </c>
      <c r="AJ1789">
        <v>3.0054306573734912E-4</v>
      </c>
      <c r="AK1789">
        <v>3.0054306573734912E-4</v>
      </c>
      <c r="AL1789">
        <v>0</v>
      </c>
      <c r="AN1789" t="s">
        <v>163</v>
      </c>
      <c r="AQ1789">
        <v>2.1134188382650389E-5</v>
      </c>
    </row>
    <row r="1790" spans="1:43" x14ac:dyDescent="0.2">
      <c r="A1790">
        <v>1788</v>
      </c>
      <c r="B1790">
        <v>149</v>
      </c>
      <c r="C1790">
        <v>17</v>
      </c>
      <c r="D1790">
        <v>19413693.159596037</v>
      </c>
      <c r="E1790" t="s">
        <v>219</v>
      </c>
      <c r="F1790" t="s">
        <v>61</v>
      </c>
      <c r="G1790" t="s">
        <v>207</v>
      </c>
      <c r="H1790">
        <v>3.0112549220130382E-5</v>
      </c>
      <c r="I1790">
        <v>5.632746585888471E-8</v>
      </c>
      <c r="J1790">
        <v>0.13</v>
      </c>
      <c r="L1790" s="1">
        <v>43073</v>
      </c>
      <c r="M1790" s="1">
        <v>43024</v>
      </c>
      <c r="N1790" s="1"/>
      <c r="R1790">
        <v>2.4317338622263966E-4</v>
      </c>
      <c r="T1790" t="s">
        <v>39</v>
      </c>
      <c r="V1790">
        <v>19341035.277399998</v>
      </c>
      <c r="W1790" t="s">
        <v>220</v>
      </c>
      <c r="X1790" t="s">
        <v>221</v>
      </c>
      <c r="Y1790">
        <v>19413693.159596037</v>
      </c>
      <c r="Z1790" t="s">
        <v>31</v>
      </c>
      <c r="AA1790">
        <v>2.5787739114629248E-6</v>
      </c>
      <c r="AB1790">
        <v>99.625738999999996</v>
      </c>
      <c r="AC1790" t="s">
        <v>52</v>
      </c>
      <c r="AE1790" t="s">
        <v>41</v>
      </c>
      <c r="AF1790">
        <v>2.76E-2</v>
      </c>
      <c r="AH1790" t="s">
        <v>209</v>
      </c>
      <c r="AJ1790">
        <v>2.3163499400100294E-4</v>
      </c>
      <c r="AK1790">
        <v>2.3163499400100294E-4</v>
      </c>
      <c r="AL1790">
        <v>0</v>
      </c>
      <c r="AQ1790">
        <v>6.3931258344276806E-6</v>
      </c>
    </row>
    <row r="1791" spans="1:43" x14ac:dyDescent="0.2">
      <c r="A1791">
        <v>1789</v>
      </c>
      <c r="B1791">
        <v>149</v>
      </c>
      <c r="C1791">
        <v>17</v>
      </c>
      <c r="D1791">
        <v>19414777.997222494</v>
      </c>
      <c r="E1791" t="s">
        <v>219</v>
      </c>
      <c r="F1791" t="s">
        <v>61</v>
      </c>
      <c r="G1791" t="s">
        <v>207</v>
      </c>
      <c r="H1791">
        <v>3.2423281821081728E-5</v>
      </c>
      <c r="I1791">
        <v>5.631770880630998E-8</v>
      </c>
      <c r="J1791">
        <v>0.14000000000000001</v>
      </c>
      <c r="L1791" s="1">
        <v>43076</v>
      </c>
      <c r="M1791" s="1">
        <v>43024</v>
      </c>
      <c r="N1791" s="1"/>
      <c r="R1791">
        <v>2.4317338622263966E-4</v>
      </c>
      <c r="T1791" t="s">
        <v>39</v>
      </c>
      <c r="V1791">
        <v>19337685.020199999</v>
      </c>
      <c r="W1791" t="s">
        <v>220</v>
      </c>
      <c r="X1791" t="s">
        <v>221</v>
      </c>
      <c r="Y1791">
        <v>19414777.997222494</v>
      </c>
      <c r="Z1791" t="s">
        <v>31</v>
      </c>
      <c r="AA1791">
        <v>2.5783272158367535E-6</v>
      </c>
      <c r="AB1791">
        <v>99.602915999999993</v>
      </c>
      <c r="AC1791" t="s">
        <v>52</v>
      </c>
      <c r="AE1791" t="s">
        <v>41</v>
      </c>
      <c r="AF1791">
        <v>2.76E-2</v>
      </c>
      <c r="AH1791" t="s">
        <v>209</v>
      </c>
      <c r="AJ1791">
        <v>2.3159487015058373E-4</v>
      </c>
      <c r="AK1791">
        <v>2.3159487015058373E-4</v>
      </c>
      <c r="AL1791">
        <v>0</v>
      </c>
      <c r="AQ1791">
        <v>6.3920184161561106E-6</v>
      </c>
    </row>
    <row r="1792" spans="1:43" x14ac:dyDescent="0.2">
      <c r="A1792">
        <v>1790</v>
      </c>
      <c r="B1792">
        <v>149</v>
      </c>
      <c r="C1792">
        <v>17</v>
      </c>
      <c r="D1792">
        <v>869301.55694716424</v>
      </c>
      <c r="E1792" t="s">
        <v>225</v>
      </c>
      <c r="F1792" t="s">
        <v>61</v>
      </c>
      <c r="G1792" t="s">
        <v>207</v>
      </c>
      <c r="H1792">
        <v>1.1419505245137368E-6</v>
      </c>
      <c r="I1792">
        <v>2.5244725085884079E-9</v>
      </c>
      <c r="J1792">
        <v>0.11</v>
      </c>
      <c r="L1792" s="1">
        <v>43063</v>
      </c>
      <c r="M1792" s="1">
        <v>43024</v>
      </c>
      <c r="R1792">
        <v>2.4317338622263966E-4</v>
      </c>
      <c r="T1792" t="s">
        <v>39</v>
      </c>
      <c r="V1792">
        <v>866822.44799999997</v>
      </c>
      <c r="W1792" t="s">
        <v>226</v>
      </c>
      <c r="X1792" t="s">
        <v>227</v>
      </c>
      <c r="Y1792">
        <v>869301.55694716424</v>
      </c>
      <c r="Z1792" t="s">
        <v>31</v>
      </c>
      <c r="AA1792">
        <v>1.1557494636209169E-7</v>
      </c>
      <c r="AB1792">
        <v>99.714815999999999</v>
      </c>
      <c r="AC1792" t="s">
        <v>52</v>
      </c>
      <c r="AE1792" t="s">
        <v>41</v>
      </c>
      <c r="AF1792">
        <v>2.64E-2</v>
      </c>
      <c r="AH1792" t="s">
        <v>209</v>
      </c>
      <c r="AJ1792">
        <v>1.0381368404670336E-5</v>
      </c>
      <c r="AK1792">
        <v>1.0381368404670336E-5</v>
      </c>
      <c r="AL1792">
        <v>0</v>
      </c>
      <c r="AQ1792">
        <v>2.7406812588329686E-7</v>
      </c>
    </row>
    <row r="1793" spans="1:43" x14ac:dyDescent="0.2">
      <c r="A1793">
        <v>1791</v>
      </c>
      <c r="B1793">
        <v>149</v>
      </c>
      <c r="C1793">
        <v>17</v>
      </c>
      <c r="D1793">
        <v>12716654.693966523</v>
      </c>
      <c r="E1793" t="s">
        <v>204</v>
      </c>
      <c r="F1793" t="s">
        <v>61</v>
      </c>
      <c r="G1793" t="s">
        <v>207</v>
      </c>
      <c r="H1793">
        <v>2.1233542148897334E-5</v>
      </c>
      <c r="I1793">
        <v>3.6881659613203639E-8</v>
      </c>
      <c r="J1793">
        <v>0.14000000000000001</v>
      </c>
      <c r="L1793" s="1">
        <v>43076</v>
      </c>
      <c r="M1793" s="1">
        <v>43024</v>
      </c>
      <c r="R1793">
        <v>2.4317338622263966E-4</v>
      </c>
      <c r="T1793" t="s">
        <v>39</v>
      </c>
      <c r="V1793">
        <v>12663972.5184</v>
      </c>
      <c r="W1793" t="s">
        <v>200</v>
      </c>
      <c r="X1793" t="s">
        <v>214</v>
      </c>
      <c r="Y1793">
        <v>12716654.693966523</v>
      </c>
      <c r="Z1793" t="s">
        <v>31</v>
      </c>
      <c r="AA1793">
        <v>1.6885095072492671E-6</v>
      </c>
      <c r="AB1793">
        <v>99.585723000000002</v>
      </c>
      <c r="AC1793" t="s">
        <v>52</v>
      </c>
      <c r="AE1793" t="s">
        <v>41</v>
      </c>
      <c r="AF1793">
        <v>2.8799999999999999E-2</v>
      </c>
      <c r="AH1793" t="s">
        <v>209</v>
      </c>
      <c r="AJ1793">
        <v>1.5166815820640952E-4</v>
      </c>
      <c r="AK1793">
        <v>1.5166815820640952E-4</v>
      </c>
      <c r="AL1793">
        <v>0</v>
      </c>
      <c r="AQ1793">
        <v>4.3680429563445941E-6</v>
      </c>
    </row>
    <row r="1794" spans="1:43" x14ac:dyDescent="0.2">
      <c r="A1794">
        <v>1792</v>
      </c>
      <c r="B1794">
        <v>149</v>
      </c>
      <c r="C1794">
        <v>17</v>
      </c>
      <c r="D1794">
        <v>54967490.507690385</v>
      </c>
      <c r="E1794" t="s">
        <v>215</v>
      </c>
      <c r="F1794" t="s">
        <v>61</v>
      </c>
      <c r="G1794" t="s">
        <v>207</v>
      </c>
      <c r="H1794">
        <v>1.585720121215578E-4</v>
      </c>
      <c r="I1794">
        <v>2.7543209391240477E-7</v>
      </c>
      <c r="J1794">
        <v>0.14000000000000001</v>
      </c>
      <c r="L1794" s="1">
        <v>43076</v>
      </c>
      <c r="M1794" s="1">
        <v>43024</v>
      </c>
      <c r="N1794" s="1"/>
      <c r="R1794">
        <v>2.4317338622263966E-4</v>
      </c>
      <c r="T1794" t="s">
        <v>39</v>
      </c>
      <c r="V1794">
        <v>94574498.668799996</v>
      </c>
      <c r="W1794" t="s">
        <v>216</v>
      </c>
      <c r="X1794" t="s">
        <v>217</v>
      </c>
      <c r="Y1794">
        <v>94967489.507690385</v>
      </c>
      <c r="Z1794" t="s">
        <v>31</v>
      </c>
      <c r="AA1794">
        <v>1.260978258706594E-5</v>
      </c>
      <c r="AB1794">
        <v>99.590803499999993</v>
      </c>
      <c r="AC1794" t="s">
        <v>52</v>
      </c>
      <c r="AE1794" t="s">
        <v>41</v>
      </c>
      <c r="AF1794">
        <v>2.8199999999999999E-2</v>
      </c>
      <c r="AH1794" t="s">
        <v>209</v>
      </c>
      <c r="AJ1794">
        <v>1.1326572294396984E-3</v>
      </c>
      <c r="AK1794">
        <v>1.1326572294396984E-3</v>
      </c>
      <c r="AL1794">
        <v>0</v>
      </c>
      <c r="AQ1794">
        <v>3.1940933870199496E-5</v>
      </c>
    </row>
    <row r="1795" spans="1:43" x14ac:dyDescent="0.2">
      <c r="A1795">
        <v>1793</v>
      </c>
      <c r="B1795">
        <v>149</v>
      </c>
      <c r="C1795">
        <v>17</v>
      </c>
      <c r="D1795">
        <v>24266770.652542703</v>
      </c>
      <c r="E1795" t="s">
        <v>246</v>
      </c>
      <c r="F1795" t="s">
        <v>61</v>
      </c>
      <c r="G1795" t="s">
        <v>207</v>
      </c>
      <c r="H1795">
        <v>2.8965408309290077E-5</v>
      </c>
      <c r="I1795">
        <v>7.0436164218914509E-8</v>
      </c>
      <c r="J1795">
        <v>0.1</v>
      </c>
      <c r="L1795" s="1">
        <v>43060</v>
      </c>
      <c r="M1795" s="1">
        <v>43024</v>
      </c>
      <c r="R1795">
        <v>2.4317338622263966E-4</v>
      </c>
      <c r="T1795" t="s">
        <v>39</v>
      </c>
      <c r="V1795">
        <v>24185507.304299999</v>
      </c>
      <c r="W1795" t="s">
        <v>247</v>
      </c>
      <c r="X1795" t="s">
        <v>261</v>
      </c>
      <c r="Y1795">
        <v>24266770.652542703</v>
      </c>
      <c r="Z1795" t="s">
        <v>31</v>
      </c>
      <c r="AA1795">
        <v>3.2246958023339618E-6</v>
      </c>
      <c r="AB1795">
        <v>99.665125000000003</v>
      </c>
      <c r="AC1795" t="s">
        <v>142</v>
      </c>
      <c r="AE1795" t="s">
        <v>41</v>
      </c>
      <c r="AF1795">
        <v>3.3599999999999998E-2</v>
      </c>
      <c r="AH1795" t="s">
        <v>209</v>
      </c>
      <c r="AJ1795">
        <v>2.8965408309290075E-4</v>
      </c>
      <c r="AK1795">
        <v>2.8965408309290075E-4</v>
      </c>
      <c r="AL1795">
        <v>0</v>
      </c>
      <c r="AN1795" t="s">
        <v>146</v>
      </c>
      <c r="AQ1795">
        <v>9.7323771919214644E-6</v>
      </c>
    </row>
    <row r="1796" spans="1:43" x14ac:dyDescent="0.2">
      <c r="A1796">
        <v>1794</v>
      </c>
      <c r="B1796">
        <v>150</v>
      </c>
      <c r="C1796">
        <v>17</v>
      </c>
      <c r="D1796">
        <v>2897861.066993868</v>
      </c>
      <c r="E1796" t="s">
        <v>519</v>
      </c>
      <c r="F1796" t="s">
        <v>61</v>
      </c>
      <c r="G1796" t="s">
        <v>207</v>
      </c>
      <c r="H1796">
        <v>1.6755898048686317E-5</v>
      </c>
      <c r="I1796">
        <v>2.0774136481593574E-8</v>
      </c>
      <c r="J1796">
        <v>0.49</v>
      </c>
      <c r="L1796" s="1">
        <v>43203</v>
      </c>
      <c r="M1796" s="1">
        <v>43024</v>
      </c>
      <c r="R1796">
        <v>6.0750709072134284E-4</v>
      </c>
      <c r="T1796" t="s">
        <v>39</v>
      </c>
      <c r="V1796">
        <v>2855269.9567999998</v>
      </c>
      <c r="W1796" t="s">
        <v>519</v>
      </c>
      <c r="X1796" t="s">
        <v>258</v>
      </c>
      <c r="Y1796">
        <v>2897861.066993868</v>
      </c>
      <c r="Z1796" t="s">
        <v>31</v>
      </c>
      <c r="AA1796">
        <v>9.5107778017415734E-7</v>
      </c>
      <c r="AB1796">
        <v>98.530257000000006</v>
      </c>
      <c r="AC1796" t="s">
        <v>52</v>
      </c>
      <c r="AE1796" t="s">
        <v>41</v>
      </c>
      <c r="AF1796">
        <v>0.03</v>
      </c>
      <c r="AH1796" t="s">
        <v>209</v>
      </c>
      <c r="AJ1796">
        <v>3.4195710303441465E-5</v>
      </c>
      <c r="AK1796">
        <v>3.4195710303441465E-5</v>
      </c>
      <c r="AL1796">
        <v>0</v>
      </c>
      <c r="AQ1796">
        <v>1.025871309103244E-6</v>
      </c>
    </row>
    <row r="1797" spans="1:43" x14ac:dyDescent="0.2">
      <c r="A1797">
        <v>1795</v>
      </c>
      <c r="B1797">
        <v>150</v>
      </c>
      <c r="C1797">
        <v>17</v>
      </c>
      <c r="D1797">
        <v>24266283.486191135</v>
      </c>
      <c r="E1797" t="s">
        <v>254</v>
      </c>
      <c r="F1797" t="s">
        <v>61</v>
      </c>
      <c r="G1797" t="s">
        <v>207</v>
      </c>
      <c r="H1797">
        <v>1.3749320399170185E-4</v>
      </c>
      <c r="I1797">
        <v>1.7401686739782274E-7</v>
      </c>
      <c r="J1797">
        <v>0.48</v>
      </c>
      <c r="L1797" s="1">
        <v>43199</v>
      </c>
      <c r="M1797" s="1">
        <v>43024</v>
      </c>
      <c r="R1797">
        <v>6.0750709072134284E-4</v>
      </c>
      <c r="T1797" t="s">
        <v>39</v>
      </c>
      <c r="V1797">
        <v>23917486.721900001</v>
      </c>
      <c r="W1797" t="s">
        <v>249</v>
      </c>
      <c r="X1797" t="s">
        <v>255</v>
      </c>
      <c r="Y1797">
        <v>24266283.486191135</v>
      </c>
      <c r="Z1797" t="s">
        <v>31</v>
      </c>
      <c r="AA1797">
        <v>7.9668089262926728E-6</v>
      </c>
      <c r="AB1797">
        <v>98.562628000000004</v>
      </c>
      <c r="AC1797" t="s">
        <v>52</v>
      </c>
      <c r="AE1797" t="s">
        <v>41</v>
      </c>
      <c r="AF1797">
        <v>0.03</v>
      </c>
      <c r="AH1797" t="s">
        <v>209</v>
      </c>
      <c r="AJ1797">
        <v>2.864441749827122E-4</v>
      </c>
      <c r="AK1797">
        <v>2.864441749827122E-4</v>
      </c>
      <c r="AL1797">
        <v>0</v>
      </c>
      <c r="AQ1797">
        <v>8.5933252494813654E-6</v>
      </c>
    </row>
    <row r="1798" spans="1:43" x14ac:dyDescent="0.2">
      <c r="A1798">
        <v>1796</v>
      </c>
      <c r="B1798">
        <v>150</v>
      </c>
      <c r="C1798">
        <v>17</v>
      </c>
      <c r="D1798">
        <v>7829891.2421879284</v>
      </c>
      <c r="E1798" t="s">
        <v>254</v>
      </c>
      <c r="F1798" t="s">
        <v>61</v>
      </c>
      <c r="G1798" t="s">
        <v>207</v>
      </c>
      <c r="H1798">
        <v>4.4321686684530911E-5</v>
      </c>
      <c r="I1798">
        <v>5.6095289444963027E-8</v>
      </c>
      <c r="J1798">
        <v>0.48</v>
      </c>
      <c r="L1798" s="1">
        <v>43201</v>
      </c>
      <c r="M1798" s="1">
        <v>43024</v>
      </c>
      <c r="R1798">
        <v>6.0750709072134284E-4</v>
      </c>
      <c r="T1798" t="s">
        <v>39</v>
      </c>
      <c r="V1798">
        <v>7709932.7238999996</v>
      </c>
      <c r="W1798" t="s">
        <v>249</v>
      </c>
      <c r="X1798" t="s">
        <v>255</v>
      </c>
      <c r="Y1798">
        <v>7829891.2421879284</v>
      </c>
      <c r="Z1798" t="s">
        <v>31</v>
      </c>
      <c r="AA1798">
        <v>2.568144452637665E-6</v>
      </c>
      <c r="AB1798">
        <v>98.432010500000004</v>
      </c>
      <c r="AC1798" t="s">
        <v>52</v>
      </c>
      <c r="AE1798" t="s">
        <v>41</v>
      </c>
      <c r="AF1798">
        <v>3.2399999999999998E-2</v>
      </c>
      <c r="AH1798" t="s">
        <v>209</v>
      </c>
      <c r="AJ1798">
        <v>9.2336847259439397E-5</v>
      </c>
      <c r="AK1798">
        <v>9.2336847259439397E-5</v>
      </c>
      <c r="AL1798">
        <v>0</v>
      </c>
      <c r="AQ1798">
        <v>2.9917138512058362E-6</v>
      </c>
    </row>
    <row r="1799" spans="1:43" x14ac:dyDescent="0.2">
      <c r="A1799">
        <v>1797</v>
      </c>
      <c r="B1799">
        <v>150</v>
      </c>
      <c r="C1799">
        <v>17</v>
      </c>
      <c r="D1799">
        <v>4853666.4568838887</v>
      </c>
      <c r="E1799" t="s">
        <v>210</v>
      </c>
      <c r="F1799" t="s">
        <v>61</v>
      </c>
      <c r="G1799" t="s">
        <v>207</v>
      </c>
      <c r="H1799">
        <v>2.4115237154919711E-5</v>
      </c>
      <c r="I1799">
        <v>3.4881375157239302E-8</v>
      </c>
      <c r="J1799">
        <v>0.42</v>
      </c>
      <c r="L1799" s="1">
        <v>43179</v>
      </c>
      <c r="M1799" s="1">
        <v>43024</v>
      </c>
      <c r="N1799" s="1"/>
      <c r="R1799">
        <v>6.0750709072134284E-4</v>
      </c>
      <c r="T1799" t="s">
        <v>39</v>
      </c>
      <c r="V1799">
        <v>4794218.1677000001</v>
      </c>
      <c r="W1799" t="s">
        <v>211</v>
      </c>
      <c r="X1799" t="s">
        <v>212</v>
      </c>
      <c r="Y1799">
        <v>4853666.4568838887</v>
      </c>
      <c r="Z1799" t="s">
        <v>31</v>
      </c>
      <c r="AA1799">
        <v>1.596932844037247E-6</v>
      </c>
      <c r="AB1799">
        <v>98.775188</v>
      </c>
      <c r="AC1799" t="s">
        <v>52</v>
      </c>
      <c r="AE1799" t="s">
        <v>41</v>
      </c>
      <c r="AF1799">
        <v>2.8799999999999999E-2</v>
      </c>
      <c r="AH1799" t="s">
        <v>209</v>
      </c>
      <c r="AJ1799">
        <v>5.7417231321237409E-5</v>
      </c>
      <c r="AK1799">
        <v>5.7417231321237409E-5</v>
      </c>
      <c r="AL1799">
        <v>0</v>
      </c>
      <c r="AQ1799">
        <v>1.6536162620516373E-6</v>
      </c>
    </row>
    <row r="1800" spans="1:43" x14ac:dyDescent="0.2">
      <c r="A1800">
        <v>1798</v>
      </c>
      <c r="B1800">
        <v>150</v>
      </c>
      <c r="C1800">
        <v>17</v>
      </c>
      <c r="D1800">
        <v>29937323.093644381</v>
      </c>
      <c r="E1800" t="s">
        <v>210</v>
      </c>
      <c r="F1800" t="s">
        <v>61</v>
      </c>
      <c r="G1800" t="s">
        <v>207</v>
      </c>
      <c r="H1800">
        <v>1.7321789765487256E-4</v>
      </c>
      <c r="I1800">
        <v>2.1475734911261008E-7</v>
      </c>
      <c r="J1800">
        <v>0.49</v>
      </c>
      <c r="L1800" s="1">
        <v>43202</v>
      </c>
      <c r="M1800" s="1">
        <v>43024</v>
      </c>
      <c r="R1800">
        <v>6.0750709072134284E-4</v>
      </c>
      <c r="T1800" t="s">
        <v>39</v>
      </c>
      <c r="V1800">
        <v>29517000.981800001</v>
      </c>
      <c r="W1800" t="s">
        <v>211</v>
      </c>
      <c r="X1800" t="s">
        <v>212</v>
      </c>
      <c r="Y1800">
        <v>29937323.093644381</v>
      </c>
      <c r="Z1800" t="s">
        <v>31</v>
      </c>
      <c r="AA1800">
        <v>9.8319823329879139E-6</v>
      </c>
      <c r="AB1800">
        <v>98.595993000000007</v>
      </c>
      <c r="AC1800" t="s">
        <v>52</v>
      </c>
      <c r="AE1800" t="s">
        <v>41</v>
      </c>
      <c r="AF1800">
        <v>2.8799999999999999E-2</v>
      </c>
      <c r="AH1800" t="s">
        <v>209</v>
      </c>
      <c r="AJ1800">
        <v>3.5350591358137255E-4</v>
      </c>
      <c r="AK1800">
        <v>3.5350591358137255E-4</v>
      </c>
      <c r="AL1800">
        <v>0</v>
      </c>
      <c r="AQ1800">
        <v>1.0180970311143529E-5</v>
      </c>
    </row>
    <row r="1801" spans="1:43" x14ac:dyDescent="0.2">
      <c r="A1801">
        <v>1799</v>
      </c>
      <c r="B1801">
        <v>150</v>
      </c>
      <c r="C1801">
        <v>17</v>
      </c>
      <c r="D1801">
        <v>55244763.773521245</v>
      </c>
      <c r="E1801" t="s">
        <v>238</v>
      </c>
      <c r="F1801" t="s">
        <v>61</v>
      </c>
      <c r="G1801" t="s">
        <v>207</v>
      </c>
      <c r="H1801">
        <v>5.2290416382034187E-4</v>
      </c>
      <c r="I1801">
        <v>7.5635235068707704E-7</v>
      </c>
      <c r="J1801">
        <v>0.42</v>
      </c>
      <c r="L1801" s="1">
        <v>43179</v>
      </c>
      <c r="M1801" s="1">
        <v>43024</v>
      </c>
      <c r="R1801">
        <v>6.0750709072134284E-4</v>
      </c>
      <c r="T1801" t="s">
        <v>39</v>
      </c>
      <c r="V1801">
        <v>103955711.73729999</v>
      </c>
      <c r="W1801" t="s">
        <v>213</v>
      </c>
      <c r="X1801" t="s">
        <v>239</v>
      </c>
      <c r="Y1801">
        <v>105244762.77352124</v>
      </c>
      <c r="Z1801" t="s">
        <v>31</v>
      </c>
      <c r="AA1801">
        <v>3.4627187289268742E-5</v>
      </c>
      <c r="AB1801">
        <v>98.775187500000001</v>
      </c>
      <c r="AC1801" t="s">
        <v>33</v>
      </c>
      <c r="AE1801" t="s">
        <v>41</v>
      </c>
      <c r="AF1801">
        <v>2.8799999999999999E-2</v>
      </c>
      <c r="AH1801" t="s">
        <v>209</v>
      </c>
      <c r="AJ1801">
        <v>1.2450099138579568E-3</v>
      </c>
      <c r="AK1801">
        <v>1.2450099138579568E-3</v>
      </c>
      <c r="AL1801">
        <v>0</v>
      </c>
      <c r="AN1801" t="s">
        <v>148</v>
      </c>
      <c r="AQ1801">
        <v>3.5856285519109153E-5</v>
      </c>
    </row>
    <row r="1802" spans="1:43" x14ac:dyDescent="0.2">
      <c r="A1802">
        <v>1800</v>
      </c>
      <c r="B1802">
        <v>150</v>
      </c>
      <c r="C1802">
        <v>17</v>
      </c>
      <c r="D1802">
        <v>9704250.7217199393</v>
      </c>
      <c r="E1802" t="s">
        <v>259</v>
      </c>
      <c r="F1802" t="s">
        <v>61</v>
      </c>
      <c r="G1802" t="s">
        <v>207</v>
      </c>
      <c r="H1802">
        <v>5.2694654013882961E-5</v>
      </c>
      <c r="I1802">
        <v>6.9592121644656018E-8</v>
      </c>
      <c r="J1802">
        <v>0.46</v>
      </c>
      <c r="L1802" s="1">
        <v>43192</v>
      </c>
      <c r="M1802" s="1">
        <v>43024</v>
      </c>
      <c r="R1802">
        <v>6.0750709072134284E-4</v>
      </c>
      <c r="T1802" t="s">
        <v>39</v>
      </c>
      <c r="V1802">
        <v>9564984.5343999993</v>
      </c>
      <c r="W1802" t="s">
        <v>259</v>
      </c>
      <c r="X1802" t="s">
        <v>260</v>
      </c>
      <c r="Y1802">
        <v>9704250.7217199393</v>
      </c>
      <c r="Z1802" t="s">
        <v>31</v>
      </c>
      <c r="AA1802">
        <v>3.1860539970002238E-6</v>
      </c>
      <c r="AB1802">
        <v>98.564895000000007</v>
      </c>
      <c r="AC1802" t="s">
        <v>52</v>
      </c>
      <c r="AE1802" t="s">
        <v>41</v>
      </c>
      <c r="AF1802">
        <v>3.1199999999999999E-2</v>
      </c>
      <c r="AH1802" t="s">
        <v>209</v>
      </c>
      <c r="AJ1802">
        <v>1.1455359568235426E-4</v>
      </c>
      <c r="AK1802">
        <v>1.1455359568235426E-4</v>
      </c>
      <c r="AL1802">
        <v>0</v>
      </c>
      <c r="AQ1802">
        <v>3.5740721852894528E-6</v>
      </c>
    </row>
    <row r="1803" spans="1:43" x14ac:dyDescent="0.2">
      <c r="A1803">
        <v>1801</v>
      </c>
      <c r="B1803">
        <v>150</v>
      </c>
      <c r="C1803">
        <v>17</v>
      </c>
      <c r="D1803">
        <v>68460559.423579663</v>
      </c>
      <c r="E1803" t="s">
        <v>222</v>
      </c>
      <c r="F1803" t="s">
        <v>61</v>
      </c>
      <c r="G1803" t="s">
        <v>207</v>
      </c>
      <c r="H1803">
        <v>3.6394475828187197E-4</v>
      </c>
      <c r="I1803">
        <v>4.9133115841578307E-7</v>
      </c>
      <c r="J1803">
        <v>0.45</v>
      </c>
      <c r="L1803" s="1">
        <v>43187</v>
      </c>
      <c r="M1803" s="1">
        <v>43024</v>
      </c>
      <c r="R1803">
        <v>6.0750709072134284E-4</v>
      </c>
      <c r="T1803" t="s">
        <v>39</v>
      </c>
      <c r="V1803">
        <v>67530272.399399996</v>
      </c>
      <c r="W1803" t="s">
        <v>223</v>
      </c>
      <c r="X1803" t="s">
        <v>224</v>
      </c>
      <c r="Y1803">
        <v>68460559.423579663</v>
      </c>
      <c r="Z1803" t="s">
        <v>31</v>
      </c>
      <c r="AA1803">
        <v>2.2494034728736619E-5</v>
      </c>
      <c r="AB1803">
        <v>98.633440500000006</v>
      </c>
      <c r="AC1803" t="s">
        <v>218</v>
      </c>
      <c r="AE1803" t="s">
        <v>41</v>
      </c>
      <c r="AF1803">
        <v>3.0599999999999999E-2</v>
      </c>
      <c r="AH1803" t="s">
        <v>209</v>
      </c>
      <c r="AJ1803">
        <v>8.0876612951527105E-4</v>
      </c>
      <c r="AK1803">
        <v>8.0876612951527105E-4</v>
      </c>
      <c r="AL1803">
        <v>0</v>
      </c>
      <c r="AQ1803">
        <v>2.4748243563167293E-5</v>
      </c>
    </row>
    <row r="1804" spans="1:43" x14ac:dyDescent="0.2">
      <c r="A1804">
        <v>1802</v>
      </c>
      <c r="B1804">
        <v>150</v>
      </c>
      <c r="C1804">
        <v>17</v>
      </c>
      <c r="D1804">
        <v>11593004.209621487</v>
      </c>
      <c r="E1804" t="s">
        <v>222</v>
      </c>
      <c r="F1804" t="s">
        <v>61</v>
      </c>
      <c r="G1804" t="s">
        <v>207</v>
      </c>
      <c r="H1804">
        <v>6.2950696898463239E-5</v>
      </c>
      <c r="I1804">
        <v>8.3136945068840125E-8</v>
      </c>
      <c r="J1804">
        <v>0.46</v>
      </c>
      <c r="L1804" s="1">
        <v>43192</v>
      </c>
      <c r="M1804" s="1">
        <v>43024</v>
      </c>
      <c r="R1804">
        <v>6.0750709072134284E-4</v>
      </c>
      <c r="T1804" t="s">
        <v>39</v>
      </c>
      <c r="V1804">
        <v>11426632.4266</v>
      </c>
      <c r="W1804" t="s">
        <v>223</v>
      </c>
      <c r="X1804" t="s">
        <v>224</v>
      </c>
      <c r="Y1804">
        <v>11593004.209621487</v>
      </c>
      <c r="Z1804" t="s">
        <v>31</v>
      </c>
      <c r="AA1804">
        <v>3.8061606669712185E-6</v>
      </c>
      <c r="AB1804">
        <v>98.564895000000007</v>
      </c>
      <c r="AC1804" t="s">
        <v>218</v>
      </c>
      <c r="AE1804" t="s">
        <v>41</v>
      </c>
      <c r="AF1804">
        <v>3.1199999999999999E-2</v>
      </c>
      <c r="AH1804" t="s">
        <v>209</v>
      </c>
      <c r="AJ1804">
        <v>1.3684934108361573E-4</v>
      </c>
      <c r="AK1804">
        <v>1.3684934108361573E-4</v>
      </c>
      <c r="AL1804">
        <v>0</v>
      </c>
      <c r="AQ1804">
        <v>4.2696994418088105E-6</v>
      </c>
    </row>
    <row r="1805" spans="1:43" x14ac:dyDescent="0.2">
      <c r="A1805">
        <v>1803</v>
      </c>
      <c r="B1805">
        <v>150</v>
      </c>
      <c r="C1805">
        <v>17</v>
      </c>
      <c r="D1805">
        <v>12402594.51640855</v>
      </c>
      <c r="E1805" t="s">
        <v>1250</v>
      </c>
      <c r="F1805" t="s">
        <v>61</v>
      </c>
      <c r="G1805" t="s">
        <v>207</v>
      </c>
      <c r="H1805">
        <v>6.307399999815092E-5</v>
      </c>
      <c r="I1805">
        <v>8.911140055589452E-8</v>
      </c>
      <c r="J1805">
        <v>0.43</v>
      </c>
      <c r="L1805" s="1">
        <v>43182</v>
      </c>
      <c r="M1805" s="1">
        <v>43024</v>
      </c>
      <c r="N1805" s="1"/>
      <c r="R1805">
        <v>6.0750709072134284E-4</v>
      </c>
      <c r="T1805" t="s">
        <v>39</v>
      </c>
      <c r="V1805">
        <v>12247782.479</v>
      </c>
      <c r="W1805" t="s">
        <v>220</v>
      </c>
      <c r="X1805" t="s">
        <v>1251</v>
      </c>
      <c r="Y1805">
        <v>12402594.51640855</v>
      </c>
      <c r="Z1805" t="s">
        <v>31</v>
      </c>
      <c r="AA1805">
        <v>4.0796821135743814E-6</v>
      </c>
      <c r="AB1805">
        <v>98.751777000000004</v>
      </c>
      <c r="AC1805" t="s">
        <v>52</v>
      </c>
      <c r="AE1805" t="s">
        <v>41</v>
      </c>
      <c r="AF1805">
        <v>2.8799999999999999E-2</v>
      </c>
      <c r="AH1805" t="s">
        <v>209</v>
      </c>
      <c r="AJ1805">
        <v>1.4668372092593236E-4</v>
      </c>
      <c r="AK1805">
        <v>1.4668372092593236E-4</v>
      </c>
      <c r="AL1805">
        <v>0</v>
      </c>
      <c r="AQ1805">
        <v>4.224491162666852E-6</v>
      </c>
    </row>
    <row r="1806" spans="1:43" x14ac:dyDescent="0.2">
      <c r="A1806">
        <v>1804</v>
      </c>
      <c r="B1806">
        <v>150</v>
      </c>
      <c r="C1806">
        <v>17</v>
      </c>
      <c r="D1806">
        <v>14151198.317287268</v>
      </c>
      <c r="E1806" t="s">
        <v>219</v>
      </c>
      <c r="F1806" t="s">
        <v>61</v>
      </c>
      <c r="G1806" t="s">
        <v>207</v>
      </c>
      <c r="H1806">
        <v>7.0315187922438387E-5</v>
      </c>
      <c r="I1806">
        <v>1.0170708392448822E-7</v>
      </c>
      <c r="J1806">
        <v>0.42</v>
      </c>
      <c r="L1806" s="1">
        <v>43178</v>
      </c>
      <c r="M1806" s="1">
        <v>43024</v>
      </c>
      <c r="R1806">
        <v>6.0750709072134284E-4</v>
      </c>
      <c r="T1806" t="s">
        <v>39</v>
      </c>
      <c r="V1806">
        <v>13978977.2432</v>
      </c>
      <c r="W1806" t="s">
        <v>220</v>
      </c>
      <c r="X1806" t="s">
        <v>221</v>
      </c>
      <c r="Y1806">
        <v>14151198.317287268</v>
      </c>
      <c r="Z1806" t="s">
        <v>31</v>
      </c>
      <c r="AA1806">
        <v>4.6563354242230699E-6</v>
      </c>
      <c r="AB1806">
        <v>98.782993000000005</v>
      </c>
      <c r="AC1806" t="s">
        <v>52</v>
      </c>
      <c r="AE1806" t="s">
        <v>41</v>
      </c>
      <c r="AF1806">
        <v>2.8799999999999999E-2</v>
      </c>
      <c r="AH1806" t="s">
        <v>209</v>
      </c>
      <c r="AJ1806">
        <v>1.674171141010438E-4</v>
      </c>
      <c r="AK1806">
        <v>1.674171141010438E-4</v>
      </c>
      <c r="AL1806">
        <v>0</v>
      </c>
      <c r="AQ1806">
        <v>4.821612886110061E-6</v>
      </c>
    </row>
    <row r="1807" spans="1:43" x14ac:dyDescent="0.2">
      <c r="A1807">
        <v>1805</v>
      </c>
      <c r="B1807">
        <v>150</v>
      </c>
      <c r="C1807">
        <v>17</v>
      </c>
      <c r="D1807">
        <v>3638763.5745184692</v>
      </c>
      <c r="E1807" t="s">
        <v>219</v>
      </c>
      <c r="F1807" t="s">
        <v>61</v>
      </c>
      <c r="G1807" t="s">
        <v>207</v>
      </c>
      <c r="H1807">
        <v>1.8495490531112479E-5</v>
      </c>
      <c r="I1807">
        <v>2.6130561962837879E-8</v>
      </c>
      <c r="J1807">
        <v>0.43</v>
      </c>
      <c r="L1807" s="1">
        <v>43182</v>
      </c>
      <c r="M1807" s="1">
        <v>43024</v>
      </c>
      <c r="R1807">
        <v>6.0750709072134284E-4</v>
      </c>
      <c r="T1807" t="s">
        <v>39</v>
      </c>
      <c r="V1807">
        <v>3591475.8042000001</v>
      </c>
      <c r="W1807" t="s">
        <v>220</v>
      </c>
      <c r="X1807" t="s">
        <v>221</v>
      </c>
      <c r="Y1807">
        <v>3638763.5745184692</v>
      </c>
      <c r="Z1807" t="s">
        <v>31</v>
      </c>
      <c r="AA1807">
        <v>1.1963046882039509E-6</v>
      </c>
      <c r="AB1807">
        <v>98.700444000000005</v>
      </c>
      <c r="AC1807" t="s">
        <v>52</v>
      </c>
      <c r="AE1807" t="s">
        <v>41</v>
      </c>
      <c r="AF1807">
        <v>0.03</v>
      </c>
      <c r="AH1807" t="s">
        <v>209</v>
      </c>
      <c r="AJ1807">
        <v>4.3012768677005769E-5</v>
      </c>
      <c r="AK1807">
        <v>4.3012768677005769E-5</v>
      </c>
      <c r="AL1807">
        <v>0</v>
      </c>
      <c r="AQ1807">
        <v>1.290383060310173E-6</v>
      </c>
    </row>
    <row r="1808" spans="1:43" x14ac:dyDescent="0.2">
      <c r="A1808">
        <v>1806</v>
      </c>
      <c r="B1808">
        <v>150</v>
      </c>
      <c r="C1808">
        <v>17</v>
      </c>
      <c r="D1808">
        <v>59699675.89310275</v>
      </c>
      <c r="E1808" t="s">
        <v>225</v>
      </c>
      <c r="F1808" t="s">
        <v>61</v>
      </c>
      <c r="G1808" t="s">
        <v>207</v>
      </c>
      <c r="H1808">
        <v>2.9647622978054198E-4</v>
      </c>
      <c r="I1808">
        <v>4.2883669481430814E-7</v>
      </c>
      <c r="J1808">
        <v>0.42</v>
      </c>
      <c r="L1808" s="1">
        <v>43178</v>
      </c>
      <c r="M1808" s="1">
        <v>43024</v>
      </c>
      <c r="R1808">
        <v>6.0750709072134284E-4</v>
      </c>
      <c r="T1808" t="s">
        <v>39</v>
      </c>
      <c r="V1808">
        <v>58940814.804099999</v>
      </c>
      <c r="W1808" t="s">
        <v>226</v>
      </c>
      <c r="X1808" t="s">
        <v>227</v>
      </c>
      <c r="Y1808">
        <v>59699675.89310275</v>
      </c>
      <c r="Z1808" t="s">
        <v>31</v>
      </c>
      <c r="AA1808">
        <v>1.9632924435756295E-5</v>
      </c>
      <c r="AB1808">
        <v>98.724608000000003</v>
      </c>
      <c r="AC1808" t="s">
        <v>52</v>
      </c>
      <c r="AE1808" t="s">
        <v>41</v>
      </c>
      <c r="AF1808">
        <v>3.0200000000000001E-2</v>
      </c>
      <c r="AH1808" t="s">
        <v>209</v>
      </c>
      <c r="AJ1808">
        <v>7.0589578519176664E-4</v>
      </c>
      <c r="AK1808">
        <v>7.0589578519176664E-4</v>
      </c>
      <c r="AL1808">
        <v>0</v>
      </c>
      <c r="AQ1808">
        <v>2.1318052712791355E-5</v>
      </c>
    </row>
    <row r="1809" spans="1:43" x14ac:dyDescent="0.2">
      <c r="A1809">
        <v>1807</v>
      </c>
      <c r="B1809">
        <v>150</v>
      </c>
      <c r="C1809">
        <v>17</v>
      </c>
      <c r="D1809">
        <v>73571501.487577766</v>
      </c>
      <c r="E1809" t="s">
        <v>225</v>
      </c>
      <c r="F1809" t="s">
        <v>61</v>
      </c>
      <c r="G1809" t="s">
        <v>207</v>
      </c>
      <c r="H1809">
        <v>4.2515228879479958E-4</v>
      </c>
      <c r="I1809">
        <v>5.271082246515283E-7</v>
      </c>
      <c r="J1809">
        <v>0.49</v>
      </c>
      <c r="L1809" s="1">
        <v>43203</v>
      </c>
      <c r="M1809" s="1">
        <v>43024</v>
      </c>
      <c r="N1809" s="1"/>
      <c r="R1809">
        <v>6.0750709072134284E-4</v>
      </c>
      <c r="T1809" t="s">
        <v>39</v>
      </c>
      <c r="V1809">
        <v>72447597.480800003</v>
      </c>
      <c r="W1809" t="s">
        <v>226</v>
      </c>
      <c r="X1809" t="s">
        <v>227</v>
      </c>
      <c r="Y1809">
        <v>73571501.487577766</v>
      </c>
      <c r="Z1809" t="s">
        <v>31</v>
      </c>
      <c r="AA1809">
        <v>2.4131973940640081E-5</v>
      </c>
      <c r="AB1809">
        <v>98.472364999999996</v>
      </c>
      <c r="AC1809" t="s">
        <v>52</v>
      </c>
      <c r="AE1809" t="s">
        <v>41</v>
      </c>
      <c r="AF1809">
        <v>3.1199999999999999E-2</v>
      </c>
      <c r="AH1809" t="s">
        <v>209</v>
      </c>
      <c r="AJ1809">
        <v>8.676577322342849E-4</v>
      </c>
      <c r="AK1809">
        <v>8.676577322342849E-4</v>
      </c>
      <c r="AL1809">
        <v>0</v>
      </c>
      <c r="AQ1809">
        <v>2.7070921245709688E-5</v>
      </c>
    </row>
    <row r="1810" spans="1:43" x14ac:dyDescent="0.2">
      <c r="A1810">
        <v>1808</v>
      </c>
      <c r="B1810">
        <v>150</v>
      </c>
      <c r="C1810">
        <v>17</v>
      </c>
      <c r="D1810">
        <v>25208144.339730613</v>
      </c>
      <c r="E1810" t="s">
        <v>215</v>
      </c>
      <c r="F1810" t="s">
        <v>61</v>
      </c>
      <c r="G1810" t="s">
        <v>207</v>
      </c>
      <c r="H1810">
        <v>1.2512367360509378E-4</v>
      </c>
      <c r="I1810">
        <v>1.8098456888618429E-7</v>
      </c>
      <c r="J1810">
        <v>0.42</v>
      </c>
      <c r="L1810" s="1">
        <v>43178</v>
      </c>
      <c r="M1810" s="1">
        <v>43024</v>
      </c>
      <c r="N1810" s="1"/>
      <c r="R1810">
        <v>6.0750709072134284E-4</v>
      </c>
      <c r="T1810" t="s">
        <v>39</v>
      </c>
      <c r="V1810">
        <v>24875151.977699999</v>
      </c>
      <c r="W1810" t="s">
        <v>216</v>
      </c>
      <c r="X1810" t="s">
        <v>217</v>
      </c>
      <c r="Y1810">
        <v>25208144.339730613</v>
      </c>
      <c r="Z1810" t="s">
        <v>31</v>
      </c>
      <c r="AA1810">
        <v>8.2858029826924955E-6</v>
      </c>
      <c r="AB1810">
        <v>98.733066500000007</v>
      </c>
      <c r="AC1810" t="s">
        <v>52</v>
      </c>
      <c r="AE1810" t="s">
        <v>41</v>
      </c>
      <c r="AF1810">
        <v>2.9399999999999999E-2</v>
      </c>
      <c r="AH1810" t="s">
        <v>209</v>
      </c>
      <c r="AJ1810">
        <v>2.9791350858355664E-4</v>
      </c>
      <c r="AK1810">
        <v>2.9791350858355664E-4</v>
      </c>
      <c r="AL1810">
        <v>0</v>
      </c>
      <c r="AQ1810">
        <v>8.7586571523565654E-6</v>
      </c>
    </row>
    <row r="1811" spans="1:43" x14ac:dyDescent="0.2">
      <c r="A1811">
        <v>1809</v>
      </c>
      <c r="B1811">
        <v>150</v>
      </c>
      <c r="C1811">
        <v>17</v>
      </c>
      <c r="D1811">
        <v>67949774.72820121</v>
      </c>
      <c r="E1811" t="s">
        <v>215</v>
      </c>
      <c r="F1811" t="s">
        <v>61</v>
      </c>
      <c r="G1811" t="s">
        <v>207</v>
      </c>
      <c r="H1811">
        <v>3.4546194673518632E-4</v>
      </c>
      <c r="I1811">
        <v>4.8807112143261529E-7</v>
      </c>
      <c r="J1811">
        <v>0.43</v>
      </c>
      <c r="L1811" s="1">
        <v>43181</v>
      </c>
      <c r="M1811" s="1">
        <v>43024</v>
      </c>
      <c r="N1811" s="1"/>
      <c r="R1811">
        <v>6.0750709072134284E-4</v>
      </c>
      <c r="T1811" t="s">
        <v>39</v>
      </c>
      <c r="V1811">
        <v>67082201.517399997</v>
      </c>
      <c r="W1811" t="s">
        <v>216</v>
      </c>
      <c r="X1811" t="s">
        <v>217</v>
      </c>
      <c r="Y1811">
        <v>67949774.72820121</v>
      </c>
      <c r="Z1811" t="s">
        <v>31</v>
      </c>
      <c r="AA1811">
        <v>2.2344784301890524E-5</v>
      </c>
      <c r="AB1811">
        <v>98.723213999999999</v>
      </c>
      <c r="AC1811" t="s">
        <v>52</v>
      </c>
      <c r="AE1811" t="s">
        <v>41</v>
      </c>
      <c r="AF1811">
        <v>3.1800000000000002E-2</v>
      </c>
      <c r="AH1811" t="s">
        <v>209</v>
      </c>
      <c r="AJ1811">
        <v>8.0339987612834034E-4</v>
      </c>
      <c r="AK1811">
        <v>8.0339987612834034E-4</v>
      </c>
      <c r="AL1811">
        <v>0</v>
      </c>
      <c r="AQ1811">
        <v>2.5548116060881226E-5</v>
      </c>
    </row>
    <row r="1812" spans="1:43" x14ac:dyDescent="0.2">
      <c r="A1812">
        <v>1810</v>
      </c>
      <c r="B1812">
        <v>150</v>
      </c>
      <c r="C1812">
        <v>17</v>
      </c>
      <c r="D1812">
        <v>34265508.70801162</v>
      </c>
      <c r="E1812" t="s">
        <v>215</v>
      </c>
      <c r="F1812" t="s">
        <v>61</v>
      </c>
      <c r="G1812" t="s">
        <v>207</v>
      </c>
      <c r="H1812">
        <v>4.8880030309621063E-4</v>
      </c>
      <c r="I1812">
        <v>6.5988811128375444E-7</v>
      </c>
      <c r="J1812">
        <v>0.45</v>
      </c>
      <c r="L1812" s="1">
        <v>43188</v>
      </c>
      <c r="M1812" s="1">
        <v>43024</v>
      </c>
      <c r="R1812">
        <v>6.0750709072134284E-4</v>
      </c>
      <c r="T1812" t="s">
        <v>39</v>
      </c>
      <c r="V1812">
        <v>90697329.377200007</v>
      </c>
      <c r="W1812" t="s">
        <v>216</v>
      </c>
      <c r="X1812" t="s">
        <v>217</v>
      </c>
      <c r="Y1812">
        <v>91887382.708011612</v>
      </c>
      <c r="Z1812" t="s">
        <v>31</v>
      </c>
      <c r="AA1812">
        <v>3.0210878829988665E-5</v>
      </c>
      <c r="AB1812">
        <v>98.704818500000002</v>
      </c>
      <c r="AC1812" t="s">
        <v>52</v>
      </c>
      <c r="AE1812" t="s">
        <v>41</v>
      </c>
      <c r="AF1812">
        <v>2.895E-2</v>
      </c>
      <c r="AH1812" t="s">
        <v>209</v>
      </c>
      <c r="AJ1812">
        <v>1.0862228957693569E-3</v>
      </c>
      <c r="AK1812">
        <v>1.0862228957693569E-3</v>
      </c>
      <c r="AL1812">
        <v>0</v>
      </c>
      <c r="AQ1812">
        <v>3.1446152832522879E-5</v>
      </c>
    </row>
    <row r="1813" spans="1:43" x14ac:dyDescent="0.2">
      <c r="A1813">
        <v>1811</v>
      </c>
      <c r="B1813">
        <v>150</v>
      </c>
      <c r="C1813">
        <v>17</v>
      </c>
      <c r="D1813">
        <v>14491168.178886371</v>
      </c>
      <c r="E1813" t="s">
        <v>256</v>
      </c>
      <c r="F1813" t="s">
        <v>61</v>
      </c>
      <c r="G1813" t="s">
        <v>207</v>
      </c>
      <c r="H1813">
        <v>8.0519666676026673E-5</v>
      </c>
      <c r="I1813">
        <v>1.0407716691107494E-7</v>
      </c>
      <c r="J1813">
        <v>0.47</v>
      </c>
      <c r="L1813" s="1">
        <v>43194</v>
      </c>
      <c r="M1813" s="1">
        <v>43024</v>
      </c>
      <c r="N1813" s="1"/>
      <c r="R1813">
        <v>6.0750709072134284E-4</v>
      </c>
      <c r="T1813" t="s">
        <v>39</v>
      </c>
      <c r="V1813">
        <v>14304729.736099999</v>
      </c>
      <c r="W1813" t="s">
        <v>248</v>
      </c>
      <c r="X1813" t="s">
        <v>257</v>
      </c>
      <c r="Y1813">
        <v>14491168.178886371</v>
      </c>
      <c r="Z1813" t="s">
        <v>31</v>
      </c>
      <c r="AA1813">
        <v>4.7648421372558196E-6</v>
      </c>
      <c r="AB1813">
        <v>98.713434000000007</v>
      </c>
      <c r="AC1813" t="s">
        <v>52</v>
      </c>
      <c r="AE1813" t="s">
        <v>41</v>
      </c>
      <c r="AF1813">
        <v>2.76E-2</v>
      </c>
      <c r="AH1813" t="s">
        <v>209</v>
      </c>
      <c r="AJ1813">
        <v>1.7131843973622698E-4</v>
      </c>
      <c r="AK1813">
        <v>1.7131843973622698E-4</v>
      </c>
      <c r="AL1813">
        <v>0</v>
      </c>
      <c r="AQ1813">
        <v>4.7283889367198645E-6</v>
      </c>
    </row>
    <row r="1814" spans="1:43" x14ac:dyDescent="0.2">
      <c r="A1814">
        <v>1812</v>
      </c>
      <c r="B1814">
        <v>151</v>
      </c>
      <c r="C1814">
        <v>17</v>
      </c>
      <c r="D1814">
        <v>14559660.770664787</v>
      </c>
      <c r="E1814" t="s">
        <v>203</v>
      </c>
      <c r="F1814" t="s">
        <v>61</v>
      </c>
      <c r="G1814" t="s">
        <v>207</v>
      </c>
      <c r="H1814">
        <v>3.6400357969538279E-5</v>
      </c>
      <c r="I1814">
        <v>5.9147329578845279E-8</v>
      </c>
      <c r="J1814">
        <v>0.21</v>
      </c>
      <c r="L1814" s="1">
        <v>43102</v>
      </c>
      <c r="M1814" s="1">
        <v>43024</v>
      </c>
      <c r="R1814">
        <v>3.412312379441982E-4</v>
      </c>
      <c r="T1814" t="s">
        <v>39</v>
      </c>
      <c r="V1814">
        <v>14473111.4496</v>
      </c>
      <c r="W1814" t="s">
        <v>181</v>
      </c>
      <c r="X1814" t="s">
        <v>236</v>
      </c>
      <c r="Y1814">
        <v>14559660.770664787</v>
      </c>
      <c r="Z1814" t="s">
        <v>31</v>
      </c>
      <c r="AA1814">
        <v>2.7078724051379801E-6</v>
      </c>
      <c r="AB1814">
        <v>99.405553999999995</v>
      </c>
      <c r="AC1814" t="s">
        <v>52</v>
      </c>
      <c r="AE1814" t="s">
        <v>41</v>
      </c>
      <c r="AF1814">
        <v>2.76E-2</v>
      </c>
      <c r="AH1814" t="s">
        <v>209</v>
      </c>
      <c r="AJ1814">
        <v>1.733350379501823E-4</v>
      </c>
      <c r="AK1814">
        <v>1.733350379501823E-4</v>
      </c>
      <c r="AL1814">
        <v>0</v>
      </c>
      <c r="AQ1814">
        <v>4.7840470474250313E-6</v>
      </c>
    </row>
    <row r="1815" spans="1:43" x14ac:dyDescent="0.2">
      <c r="A1815">
        <v>1813</v>
      </c>
      <c r="B1815">
        <v>151</v>
      </c>
      <c r="C1815">
        <v>17</v>
      </c>
      <c r="D1815">
        <v>1</v>
      </c>
      <c r="E1815" t="s">
        <v>203</v>
      </c>
      <c r="F1815" t="s">
        <v>61</v>
      </c>
      <c r="G1815" t="s">
        <v>207</v>
      </c>
      <c r="H1815">
        <v>2.6192385779619893E-4</v>
      </c>
      <c r="I1815">
        <v>4.062572829223504E-7</v>
      </c>
      <c r="J1815">
        <v>0.22</v>
      </c>
      <c r="L1815" s="1">
        <v>43105</v>
      </c>
      <c r="M1815" s="1">
        <v>43024</v>
      </c>
      <c r="R1815">
        <v>3.412312379441982E-4</v>
      </c>
      <c r="T1815" t="s">
        <v>39</v>
      </c>
      <c r="V1815">
        <v>99409508</v>
      </c>
      <c r="W1815" t="s">
        <v>181</v>
      </c>
      <c r="X1815" t="s">
        <v>236</v>
      </c>
      <c r="Y1815">
        <v>100000000</v>
      </c>
      <c r="Z1815" t="s">
        <v>31</v>
      </c>
      <c r="AA1815">
        <v>1.8599197861423429E-5</v>
      </c>
      <c r="AB1815">
        <v>99.409508000000002</v>
      </c>
      <c r="AC1815" t="s">
        <v>52</v>
      </c>
      <c r="AE1815" t="s">
        <v>41</v>
      </c>
      <c r="AF1815">
        <v>2.64E-2</v>
      </c>
      <c r="AH1815" t="s">
        <v>209</v>
      </c>
      <c r="AJ1815">
        <v>1.1905629899827224E-3</v>
      </c>
      <c r="AK1815">
        <v>1.1905629899827224E-3</v>
      </c>
      <c r="AL1815">
        <v>0</v>
      </c>
      <c r="AQ1815">
        <v>3.1430862935543872E-5</v>
      </c>
    </row>
    <row r="1816" spans="1:43" x14ac:dyDescent="0.2">
      <c r="A1816">
        <v>1814</v>
      </c>
      <c r="B1816">
        <v>151</v>
      </c>
      <c r="C1816">
        <v>17</v>
      </c>
      <c r="D1816">
        <v>20525033.144220304</v>
      </c>
      <c r="E1816" t="s">
        <v>203</v>
      </c>
      <c r="F1816" t="s">
        <v>61</v>
      </c>
      <c r="G1816" t="s">
        <v>207</v>
      </c>
      <c r="H1816">
        <v>5.6172061353630811E-5</v>
      </c>
      <c r="I1816">
        <v>8.3337661015551713E-8</v>
      </c>
      <c r="J1816">
        <v>0.23</v>
      </c>
      <c r="L1816" s="1">
        <v>43109</v>
      </c>
      <c r="M1816" s="1">
        <v>43024</v>
      </c>
      <c r="N1816" s="1"/>
      <c r="R1816">
        <v>3.412312379441982E-4</v>
      </c>
      <c r="T1816" t="s">
        <v>39</v>
      </c>
      <c r="V1816">
        <v>20392387.355700001</v>
      </c>
      <c r="W1816" t="s">
        <v>181</v>
      </c>
      <c r="X1816" t="s">
        <v>236</v>
      </c>
      <c r="Y1816">
        <v>20525033.144220304</v>
      </c>
      <c r="Z1816" t="s">
        <v>31</v>
      </c>
      <c r="AA1816">
        <v>3.8153498083448279E-6</v>
      </c>
      <c r="AB1816">
        <v>99.366539000000003</v>
      </c>
      <c r="AC1816" t="s">
        <v>52</v>
      </c>
      <c r="AE1816" t="s">
        <v>41</v>
      </c>
      <c r="AF1816">
        <v>2.7E-2</v>
      </c>
      <c r="AH1816" t="s">
        <v>209</v>
      </c>
      <c r="AJ1816">
        <v>2.4422635371143829E-4</v>
      </c>
      <c r="AK1816">
        <v>2.4422635371143829E-4</v>
      </c>
      <c r="AL1816">
        <v>0</v>
      </c>
      <c r="AQ1816">
        <v>6.5941115502088333E-6</v>
      </c>
    </row>
    <row r="1817" spans="1:43" x14ac:dyDescent="0.2">
      <c r="A1817">
        <v>1815</v>
      </c>
      <c r="B1817">
        <v>151</v>
      </c>
      <c r="C1817">
        <v>17</v>
      </c>
      <c r="D1817">
        <v>1</v>
      </c>
      <c r="E1817" t="s">
        <v>206</v>
      </c>
      <c r="F1817" t="s">
        <v>61</v>
      </c>
      <c r="G1817" t="s">
        <v>207</v>
      </c>
      <c r="H1817">
        <v>2.2626370581192437E-6</v>
      </c>
      <c r="I1817">
        <v>3.5094656561838556E-9</v>
      </c>
      <c r="J1817">
        <v>0.22</v>
      </c>
      <c r="L1817" s="1">
        <v>43104</v>
      </c>
      <c r="M1817" s="1">
        <v>43024</v>
      </c>
      <c r="N1817" s="1"/>
      <c r="R1817">
        <v>3.412312379441982E-4</v>
      </c>
      <c r="T1817" t="s">
        <v>39</v>
      </c>
      <c r="V1817">
        <v>858752</v>
      </c>
      <c r="W1817" t="s">
        <v>206</v>
      </c>
      <c r="X1817" t="s">
        <v>208</v>
      </c>
      <c r="Y1817">
        <v>864019</v>
      </c>
      <c r="Z1817" t="s">
        <v>31</v>
      </c>
      <c r="AA1817">
        <v>1.6066972549439728E-7</v>
      </c>
      <c r="AB1817">
        <v>99.390405999999999</v>
      </c>
      <c r="AC1817" t="s">
        <v>52</v>
      </c>
      <c r="AE1817" t="s">
        <v>41</v>
      </c>
      <c r="AF1817">
        <v>2.76E-2</v>
      </c>
      <c r="AH1817" t="s">
        <v>209</v>
      </c>
      <c r="AJ1817">
        <v>1.0284713900542016E-5</v>
      </c>
      <c r="AK1817">
        <v>1.0284713900542016E-5</v>
      </c>
      <c r="AL1817">
        <v>0</v>
      </c>
      <c r="AQ1817">
        <v>2.8385810365495965E-7</v>
      </c>
    </row>
    <row r="1818" spans="1:43" x14ac:dyDescent="0.2">
      <c r="A1818">
        <v>1816</v>
      </c>
      <c r="B1818">
        <v>151</v>
      </c>
      <c r="C1818">
        <v>17</v>
      </c>
      <c r="D1818">
        <v>19558120.886517338</v>
      </c>
      <c r="E1818" t="s">
        <v>206</v>
      </c>
      <c r="F1818" t="s">
        <v>61</v>
      </c>
      <c r="G1818" t="s">
        <v>207</v>
      </c>
      <c r="H1818">
        <v>5.3525217737394256E-5</v>
      </c>
      <c r="I1818">
        <v>7.9410766564190415E-8</v>
      </c>
      <c r="J1818">
        <v>0.23</v>
      </c>
      <c r="L1818" s="1">
        <v>43109</v>
      </c>
      <c r="M1818" s="1">
        <v>43024</v>
      </c>
      <c r="R1818">
        <v>3.412312379441982E-4</v>
      </c>
      <c r="T1818" t="s">
        <v>39</v>
      </c>
      <c r="V1818">
        <v>19431492.223999999</v>
      </c>
      <c r="W1818" t="s">
        <v>206</v>
      </c>
      <c r="X1818" t="s">
        <v>208</v>
      </c>
      <c r="Y1818">
        <v>19558120.886517338</v>
      </c>
      <c r="Z1818" t="s">
        <v>31</v>
      </c>
      <c r="AA1818">
        <v>3.6355694328241394E-6</v>
      </c>
      <c r="AB1818">
        <v>99.352552000000003</v>
      </c>
      <c r="AC1818" t="s">
        <v>52</v>
      </c>
      <c r="AE1818" t="s">
        <v>41</v>
      </c>
      <c r="AF1818">
        <v>2.76E-2</v>
      </c>
      <c r="AH1818" t="s">
        <v>209</v>
      </c>
      <c r="AJ1818">
        <v>2.3271833798867066E-4</v>
      </c>
      <c r="AK1818">
        <v>2.3271833798867066E-4</v>
      </c>
      <c r="AL1818">
        <v>0</v>
      </c>
      <c r="AQ1818">
        <v>6.42302612848731E-6</v>
      </c>
    </row>
    <row r="1819" spans="1:43" x14ac:dyDescent="0.2">
      <c r="A1819">
        <v>1817</v>
      </c>
      <c r="B1819">
        <v>151</v>
      </c>
      <c r="C1819">
        <v>17</v>
      </c>
      <c r="D1819">
        <v>20357104.30051285</v>
      </c>
      <c r="E1819" t="s">
        <v>250</v>
      </c>
      <c r="F1819" t="s">
        <v>61</v>
      </c>
      <c r="G1819" t="s">
        <v>207</v>
      </c>
      <c r="H1819">
        <v>5.5716283224766834E-5</v>
      </c>
      <c r="I1819">
        <v>8.2661462167116302E-8</v>
      </c>
      <c r="J1819">
        <v>0.23</v>
      </c>
      <c r="L1819" s="1">
        <v>43109</v>
      </c>
      <c r="M1819" s="1">
        <v>43024</v>
      </c>
      <c r="R1819">
        <v>3.412312379441982E-4</v>
      </c>
      <c r="T1819" t="s">
        <v>39</v>
      </c>
      <c r="V1819">
        <v>20226924.242400002</v>
      </c>
      <c r="W1819" t="s">
        <v>250</v>
      </c>
      <c r="X1819" t="s">
        <v>258</v>
      </c>
      <c r="Y1819">
        <v>20357104.30051285</v>
      </c>
      <c r="Z1819" t="s">
        <v>31</v>
      </c>
      <c r="AA1819">
        <v>3.784392194280046E-6</v>
      </c>
      <c r="AB1819">
        <v>99.366540000000001</v>
      </c>
      <c r="AC1819" t="s">
        <v>52</v>
      </c>
      <c r="AE1819" t="s">
        <v>41</v>
      </c>
      <c r="AF1819">
        <v>2.7E-2</v>
      </c>
      <c r="AH1819" t="s">
        <v>209</v>
      </c>
      <c r="AJ1819">
        <v>2.4224470967289927E-4</v>
      </c>
      <c r="AK1819">
        <v>2.4224470967289927E-4</v>
      </c>
      <c r="AL1819">
        <v>0</v>
      </c>
      <c r="AQ1819">
        <v>6.5406071611682806E-6</v>
      </c>
    </row>
    <row r="1820" spans="1:43" x14ac:dyDescent="0.2">
      <c r="A1820">
        <v>1818</v>
      </c>
      <c r="B1820">
        <v>151</v>
      </c>
      <c r="C1820">
        <v>17</v>
      </c>
      <c r="D1820">
        <v>33167618.847407348</v>
      </c>
      <c r="E1820" t="s">
        <v>250</v>
      </c>
      <c r="F1820" t="s">
        <v>61</v>
      </c>
      <c r="G1820" t="s">
        <v>207</v>
      </c>
      <c r="H1820">
        <v>9.4710022052633773E-5</v>
      </c>
      <c r="I1820">
        <v>1.3465840862809389E-7</v>
      </c>
      <c r="J1820">
        <v>0.24</v>
      </c>
      <c r="L1820" s="1">
        <v>43110</v>
      </c>
      <c r="M1820" s="1">
        <v>43024</v>
      </c>
      <c r="R1820">
        <v>3.412312379441982E-4</v>
      </c>
      <c r="T1820" t="s">
        <v>39</v>
      </c>
      <c r="V1820">
        <v>32950365.968800001</v>
      </c>
      <c r="W1820" t="s">
        <v>250</v>
      </c>
      <c r="X1820" t="s">
        <v>258</v>
      </c>
      <c r="Y1820">
        <v>33167618.847407348</v>
      </c>
      <c r="Z1820" t="s">
        <v>31</v>
      </c>
      <c r="AA1820">
        <v>6.1649070455114242E-6</v>
      </c>
      <c r="AB1820">
        <v>99.344984999999994</v>
      </c>
      <c r="AC1820" t="s">
        <v>52</v>
      </c>
      <c r="AE1820" t="s">
        <v>41</v>
      </c>
      <c r="AF1820">
        <v>2.76E-2</v>
      </c>
      <c r="AH1820" t="s">
        <v>209</v>
      </c>
      <c r="AJ1820">
        <v>3.9462509188597405E-4</v>
      </c>
      <c r="AK1820">
        <v>3.9462509188597405E-4</v>
      </c>
      <c r="AL1820">
        <v>0</v>
      </c>
      <c r="AQ1820">
        <v>1.0891652536052883E-5</v>
      </c>
    </row>
    <row r="1821" spans="1:43" x14ac:dyDescent="0.2">
      <c r="A1821">
        <v>1819</v>
      </c>
      <c r="B1821">
        <v>151</v>
      </c>
      <c r="C1821">
        <v>17</v>
      </c>
      <c r="D1821">
        <v>97071802.298917964</v>
      </c>
      <c r="E1821" t="s">
        <v>262</v>
      </c>
      <c r="F1821" t="s">
        <v>61</v>
      </c>
      <c r="G1821" t="s">
        <v>207</v>
      </c>
      <c r="H1821">
        <v>2.5422472232693405E-4</v>
      </c>
      <c r="I1821">
        <v>3.9431553052563523E-7</v>
      </c>
      <c r="J1821">
        <v>0.22</v>
      </c>
      <c r="L1821" s="1">
        <v>43103</v>
      </c>
      <c r="M1821" s="1">
        <v>43024</v>
      </c>
      <c r="R1821">
        <v>3.412312379441982E-4</v>
      </c>
      <c r="T1821" t="s">
        <v>39</v>
      </c>
      <c r="V1821">
        <v>96487409.664000005</v>
      </c>
      <c r="W1821" t="s">
        <v>263</v>
      </c>
      <c r="X1821" t="s">
        <v>1675</v>
      </c>
      <c r="Y1821">
        <v>97071802.298917964</v>
      </c>
      <c r="Z1821" t="s">
        <v>143</v>
      </c>
      <c r="AA1821">
        <v>1.8052482700919867E-5</v>
      </c>
      <c r="AB1821">
        <v>99.397979000000007</v>
      </c>
      <c r="AC1821" t="s">
        <v>52</v>
      </c>
      <c r="AE1821" t="s">
        <v>182</v>
      </c>
      <c r="AF1821">
        <v>2.76E-2</v>
      </c>
      <c r="AH1821" t="s">
        <v>209</v>
      </c>
      <c r="AJ1821">
        <v>1.155566919667882E-3</v>
      </c>
      <c r="AK1821">
        <v>1.155566919667882E-3</v>
      </c>
      <c r="AL1821">
        <v>0</v>
      </c>
      <c r="AQ1821">
        <v>3.189364698283354E-5</v>
      </c>
    </row>
    <row r="1822" spans="1:43" x14ac:dyDescent="0.2">
      <c r="A1822">
        <v>1820</v>
      </c>
      <c r="B1822">
        <v>151</v>
      </c>
      <c r="C1822">
        <v>17</v>
      </c>
      <c r="D1822">
        <v>1</v>
      </c>
      <c r="E1822" t="s">
        <v>228</v>
      </c>
      <c r="F1822" t="s">
        <v>61</v>
      </c>
      <c r="G1822" t="s">
        <v>207</v>
      </c>
      <c r="H1822">
        <v>1.516026770568061E-4</v>
      </c>
      <c r="I1822">
        <v>2.3514349621703835E-7</v>
      </c>
      <c r="J1822">
        <v>0.22</v>
      </c>
      <c r="L1822" s="1">
        <v>43103</v>
      </c>
      <c r="M1822" s="1">
        <v>43024</v>
      </c>
      <c r="N1822" s="1"/>
      <c r="R1822">
        <v>3.412312379441982E-4</v>
      </c>
      <c r="T1822" t="s">
        <v>39</v>
      </c>
      <c r="V1822">
        <v>57538659</v>
      </c>
      <c r="W1822" t="s">
        <v>229</v>
      </c>
      <c r="X1822" t="s">
        <v>230</v>
      </c>
      <c r="Y1822">
        <v>57872000</v>
      </c>
      <c r="Z1822" t="s">
        <v>31</v>
      </c>
      <c r="AA1822">
        <v>1.0765297253276536E-5</v>
      </c>
      <c r="AB1822">
        <v>99.424002000000002</v>
      </c>
      <c r="AC1822" t="s">
        <v>52</v>
      </c>
      <c r="AE1822" t="s">
        <v>41</v>
      </c>
      <c r="AF1822">
        <v>2.64E-2</v>
      </c>
      <c r="AH1822" t="s">
        <v>209</v>
      </c>
      <c r="AJ1822">
        <v>6.891030775309368E-4</v>
      </c>
      <c r="AK1822">
        <v>6.891030775309368E-4</v>
      </c>
      <c r="AL1822">
        <v>0</v>
      </c>
      <c r="AQ1822">
        <v>1.819232124681673E-5</v>
      </c>
    </row>
    <row r="1823" spans="1:43" x14ac:dyDescent="0.2">
      <c r="A1823">
        <v>1821</v>
      </c>
      <c r="B1823">
        <v>151</v>
      </c>
      <c r="C1823">
        <v>17</v>
      </c>
      <c r="D1823">
        <v>18153171.015291657</v>
      </c>
      <c r="E1823" t="s">
        <v>228</v>
      </c>
      <c r="F1823" t="s">
        <v>61</v>
      </c>
      <c r="G1823" t="s">
        <v>207</v>
      </c>
      <c r="H1823">
        <v>4.7534726726754847E-5</v>
      </c>
      <c r="I1823">
        <v>7.372878930140782E-8</v>
      </c>
      <c r="J1823">
        <v>0.22</v>
      </c>
      <c r="L1823" s="1">
        <v>43105</v>
      </c>
      <c r="M1823" s="1">
        <v>43024</v>
      </c>
      <c r="N1823" s="1"/>
      <c r="R1823">
        <v>3.412312379441982E-4</v>
      </c>
      <c r="T1823" t="s">
        <v>39</v>
      </c>
      <c r="V1823">
        <v>18041135.452799998</v>
      </c>
      <c r="W1823" t="s">
        <v>229</v>
      </c>
      <c r="X1823" t="s">
        <v>230</v>
      </c>
      <c r="Y1823">
        <v>18153171.015291657</v>
      </c>
      <c r="Z1823" t="s">
        <v>31</v>
      </c>
      <c r="AA1823">
        <v>3.3754381716824121E-6</v>
      </c>
      <c r="AB1823">
        <v>99.382831999999993</v>
      </c>
      <c r="AC1823" t="s">
        <v>52</v>
      </c>
      <c r="AE1823" t="s">
        <v>41</v>
      </c>
      <c r="AF1823">
        <v>2.76E-2</v>
      </c>
      <c r="AH1823" t="s">
        <v>209</v>
      </c>
      <c r="AJ1823">
        <v>2.1606693966706749E-4</v>
      </c>
      <c r="AK1823">
        <v>2.1606693966706749E-4</v>
      </c>
      <c r="AL1823">
        <v>0</v>
      </c>
      <c r="AQ1823">
        <v>5.9634475348110631E-6</v>
      </c>
    </row>
    <row r="1824" spans="1:43" x14ac:dyDescent="0.2">
      <c r="A1824">
        <v>1822</v>
      </c>
      <c r="B1824">
        <v>151</v>
      </c>
      <c r="C1824">
        <v>17</v>
      </c>
      <c r="D1824">
        <v>24268289.378530927</v>
      </c>
      <c r="E1824" t="s">
        <v>228</v>
      </c>
      <c r="F1824" t="s">
        <v>61</v>
      </c>
      <c r="G1824" t="s">
        <v>207</v>
      </c>
      <c r="H1824">
        <v>6.6408183937691147E-5</v>
      </c>
      <c r="I1824">
        <v>9.8524116585584197E-8</v>
      </c>
      <c r="J1824">
        <v>0.23</v>
      </c>
      <c r="L1824" s="1">
        <v>43109</v>
      </c>
      <c r="M1824" s="1">
        <v>43024</v>
      </c>
      <c r="R1824">
        <v>3.412312379441982E-4</v>
      </c>
      <c r="T1824" t="s">
        <v>39</v>
      </c>
      <c r="V1824">
        <v>24108451.3869</v>
      </c>
      <c r="W1824" t="s">
        <v>229</v>
      </c>
      <c r="X1824" t="s">
        <v>230</v>
      </c>
      <c r="Y1824">
        <v>24268289.378530927</v>
      </c>
      <c r="Z1824" t="s">
        <v>31</v>
      </c>
      <c r="AA1824">
        <v>4.510613385969692E-6</v>
      </c>
      <c r="AB1824">
        <v>99.341370999999995</v>
      </c>
      <c r="AC1824" t="s">
        <v>52</v>
      </c>
      <c r="AE1824" t="s">
        <v>41</v>
      </c>
      <c r="AF1824">
        <v>2.8799999999999999E-2</v>
      </c>
      <c r="AH1824" t="s">
        <v>209</v>
      </c>
      <c r="AJ1824">
        <v>2.8873123451170061E-4</v>
      </c>
      <c r="AK1824">
        <v>2.8873123451170061E-4</v>
      </c>
      <c r="AL1824">
        <v>0</v>
      </c>
      <c r="AQ1824">
        <v>8.3154595539369772E-6</v>
      </c>
    </row>
    <row r="1825" spans="1:43" x14ac:dyDescent="0.2">
      <c r="A1825">
        <v>1823</v>
      </c>
      <c r="B1825">
        <v>151</v>
      </c>
      <c r="C1825">
        <v>17</v>
      </c>
      <c r="D1825">
        <v>53390274.805307329</v>
      </c>
      <c r="E1825" t="s">
        <v>210</v>
      </c>
      <c r="F1825" t="s">
        <v>61</v>
      </c>
      <c r="G1825" t="s">
        <v>207</v>
      </c>
      <c r="H1825">
        <v>1.4610538745156291E-4</v>
      </c>
      <c r="I1825">
        <v>2.1676400969745013E-7</v>
      </c>
      <c r="J1825">
        <v>0.23</v>
      </c>
      <c r="L1825" s="1">
        <v>43108</v>
      </c>
      <c r="M1825" s="1">
        <v>43024</v>
      </c>
      <c r="R1825">
        <v>3.412312379441982E-4</v>
      </c>
      <c r="T1825" t="s">
        <v>39</v>
      </c>
      <c r="V1825">
        <v>53041273.256999999</v>
      </c>
      <c r="W1825" t="s">
        <v>211</v>
      </c>
      <c r="X1825" t="s">
        <v>212</v>
      </c>
      <c r="Y1825">
        <v>53390274.805307329</v>
      </c>
      <c r="Z1825" t="s">
        <v>31</v>
      </c>
      <c r="AA1825">
        <v>9.9238509069853767E-6</v>
      </c>
      <c r="AB1825">
        <v>99.346320000000006</v>
      </c>
      <c r="AC1825" t="s">
        <v>52</v>
      </c>
      <c r="AE1825" t="s">
        <v>41</v>
      </c>
      <c r="AF1825">
        <v>3.2000000000000001E-2</v>
      </c>
      <c r="AH1825" t="s">
        <v>209</v>
      </c>
      <c r="AJ1825">
        <v>6.3524081500679526E-4</v>
      </c>
      <c r="AK1825">
        <v>6.3524081500679526E-4</v>
      </c>
      <c r="AL1825">
        <v>0</v>
      </c>
      <c r="AQ1825">
        <v>2.0327706080217447E-5</v>
      </c>
    </row>
    <row r="1826" spans="1:43" x14ac:dyDescent="0.2">
      <c r="A1826">
        <v>1824</v>
      </c>
      <c r="B1826">
        <v>151</v>
      </c>
      <c r="C1826">
        <v>17</v>
      </c>
      <c r="D1826">
        <v>5796222.0872357991</v>
      </c>
      <c r="E1826" t="s">
        <v>210</v>
      </c>
      <c r="F1826" t="s">
        <v>61</v>
      </c>
      <c r="G1826" t="s">
        <v>207</v>
      </c>
      <c r="H1826">
        <v>1.6555807332333574E-5</v>
      </c>
      <c r="I1826">
        <v>2.3538994296574248E-8</v>
      </c>
      <c r="J1826">
        <v>0.24</v>
      </c>
      <c r="L1826" s="1">
        <v>43110</v>
      </c>
      <c r="M1826" s="1">
        <v>43024</v>
      </c>
      <c r="R1826">
        <v>3.412312379441982E-4</v>
      </c>
      <c r="T1826" t="s">
        <v>39</v>
      </c>
      <c r="V1826">
        <v>5759896.3519000001</v>
      </c>
      <c r="W1826" t="s">
        <v>211</v>
      </c>
      <c r="X1826" t="s">
        <v>212</v>
      </c>
      <c r="Y1826">
        <v>5796222.0872357991</v>
      </c>
      <c r="Z1826" t="s">
        <v>31</v>
      </c>
      <c r="AA1826">
        <v>1.0776580034002289E-6</v>
      </c>
      <c r="AB1826">
        <v>99.373285999999993</v>
      </c>
      <c r="AC1826" t="s">
        <v>52</v>
      </c>
      <c r="AE1826" t="s">
        <v>41</v>
      </c>
      <c r="AF1826">
        <v>2.64E-2</v>
      </c>
      <c r="AH1826" t="s">
        <v>209</v>
      </c>
      <c r="AJ1826">
        <v>6.8982530551389901E-5</v>
      </c>
      <c r="AK1826">
        <v>6.8982530551389901E-5</v>
      </c>
      <c r="AL1826">
        <v>0</v>
      </c>
      <c r="AQ1826">
        <v>1.8211388065566933E-6</v>
      </c>
    </row>
    <row r="1827" spans="1:43" x14ac:dyDescent="0.2">
      <c r="A1827">
        <v>1825</v>
      </c>
      <c r="B1827">
        <v>151</v>
      </c>
      <c r="C1827">
        <v>17</v>
      </c>
      <c r="D1827">
        <v>36228598.813431919</v>
      </c>
      <c r="E1827" t="s">
        <v>210</v>
      </c>
      <c r="F1827" t="s">
        <v>61</v>
      </c>
      <c r="G1827" t="s">
        <v>207</v>
      </c>
      <c r="H1827">
        <v>1.0345404952943462E-4</v>
      </c>
      <c r="I1827">
        <v>1.4709063913028906E-7</v>
      </c>
      <c r="J1827">
        <v>0.24</v>
      </c>
      <c r="L1827" s="1">
        <v>43111</v>
      </c>
      <c r="M1827" s="1">
        <v>43024</v>
      </c>
      <c r="N1827" s="1"/>
      <c r="R1827">
        <v>3.412312379441982E-4</v>
      </c>
      <c r="T1827" t="s">
        <v>39</v>
      </c>
      <c r="V1827">
        <v>35992482.306199998</v>
      </c>
      <c r="W1827" t="s">
        <v>211</v>
      </c>
      <c r="X1827" t="s">
        <v>212</v>
      </c>
      <c r="Y1827">
        <v>36228598.813431919</v>
      </c>
      <c r="Z1827" t="s">
        <v>31</v>
      </c>
      <c r="AA1827">
        <v>6.7340771864276361E-6</v>
      </c>
      <c r="AB1827">
        <v>99.3517315</v>
      </c>
      <c r="AC1827" t="s">
        <v>52</v>
      </c>
      <c r="AE1827" t="s">
        <v>41</v>
      </c>
      <c r="AF1827">
        <v>2.7E-2</v>
      </c>
      <c r="AH1827" t="s">
        <v>209</v>
      </c>
      <c r="AJ1827">
        <v>4.3105853970597761E-4</v>
      </c>
      <c r="AK1827">
        <v>4.3105853970597761E-4</v>
      </c>
      <c r="AL1827">
        <v>0</v>
      </c>
      <c r="AQ1827">
        <v>1.1638580572061395E-5</v>
      </c>
    </row>
    <row r="1828" spans="1:43" x14ac:dyDescent="0.2">
      <c r="A1828">
        <v>1826</v>
      </c>
      <c r="B1828">
        <v>151</v>
      </c>
      <c r="C1828">
        <v>17</v>
      </c>
      <c r="D1828">
        <v>36260445.641496278</v>
      </c>
      <c r="E1828" t="s">
        <v>259</v>
      </c>
      <c r="F1828" t="s">
        <v>61</v>
      </c>
      <c r="G1828" t="s">
        <v>207</v>
      </c>
      <c r="H1828">
        <v>1.033943501373987E-4</v>
      </c>
      <c r="I1828">
        <v>1.4700575872425182E-7</v>
      </c>
      <c r="J1828">
        <v>0.24</v>
      </c>
      <c r="L1828" s="1">
        <v>43110</v>
      </c>
      <c r="M1828" s="1">
        <v>43024</v>
      </c>
      <c r="R1828">
        <v>3.412312379441982E-4</v>
      </c>
      <c r="T1828" t="s">
        <v>39</v>
      </c>
      <c r="V1828">
        <v>35971712.415399998</v>
      </c>
      <c r="W1828" t="s">
        <v>259</v>
      </c>
      <c r="X1828" t="s">
        <v>260</v>
      </c>
      <c r="Y1828">
        <v>36260445.641496278</v>
      </c>
      <c r="Z1828" t="s">
        <v>31</v>
      </c>
      <c r="AA1828">
        <v>6.7301912069441707E-6</v>
      </c>
      <c r="AB1828">
        <v>99.203723999999994</v>
      </c>
      <c r="AC1828" t="s">
        <v>52</v>
      </c>
      <c r="AE1828" t="s">
        <v>41</v>
      </c>
      <c r="AF1828">
        <v>3.3599999999999998E-2</v>
      </c>
      <c r="AH1828" t="s">
        <v>209</v>
      </c>
      <c r="AJ1828">
        <v>4.3080979223916125E-4</v>
      </c>
      <c r="AK1828">
        <v>4.3080979223916125E-4</v>
      </c>
      <c r="AL1828">
        <v>0</v>
      </c>
      <c r="AQ1828">
        <v>1.4475209019235818E-5</v>
      </c>
    </row>
    <row r="1829" spans="1:43" x14ac:dyDescent="0.2">
      <c r="A1829">
        <v>1827</v>
      </c>
      <c r="B1829">
        <v>151</v>
      </c>
      <c r="C1829">
        <v>17</v>
      </c>
      <c r="D1829">
        <v>4852357.1895804321</v>
      </c>
      <c r="E1829" t="s">
        <v>222</v>
      </c>
      <c r="F1829" t="s">
        <v>61</v>
      </c>
      <c r="G1829" t="s">
        <v>207</v>
      </c>
      <c r="H1829">
        <v>1.1539619656032067E-5</v>
      </c>
      <c r="I1829">
        <v>1.9688393503165123E-8</v>
      </c>
      <c r="J1829">
        <v>0.2</v>
      </c>
      <c r="L1829" s="1">
        <v>43096</v>
      </c>
      <c r="M1829" s="1">
        <v>43024</v>
      </c>
      <c r="N1829" s="1"/>
      <c r="R1829">
        <v>3.412312379441982E-4</v>
      </c>
      <c r="T1829" t="s">
        <v>39</v>
      </c>
      <c r="V1829">
        <v>4817669.9686000003</v>
      </c>
      <c r="W1829" t="s">
        <v>223</v>
      </c>
      <c r="X1829" t="s">
        <v>224</v>
      </c>
      <c r="Y1829">
        <v>4852357.1895804321</v>
      </c>
      <c r="Z1829" t="s">
        <v>31</v>
      </c>
      <c r="AA1829">
        <v>9.0137049040650112E-7</v>
      </c>
      <c r="AB1829">
        <v>99.285146999999995</v>
      </c>
      <c r="AC1829" t="s">
        <v>218</v>
      </c>
      <c r="AE1829" t="s">
        <v>41</v>
      </c>
      <c r="AF1829">
        <v>3.5999999999999997E-2</v>
      </c>
      <c r="AH1829" t="s">
        <v>209</v>
      </c>
      <c r="AJ1829">
        <v>5.7698098280160332E-5</v>
      </c>
      <c r="AK1829">
        <v>5.7698098280160332E-5</v>
      </c>
      <c r="AL1829">
        <v>0</v>
      </c>
      <c r="AQ1829">
        <v>2.0771315380857717E-6</v>
      </c>
    </row>
    <row r="1830" spans="1:43" x14ac:dyDescent="0.2">
      <c r="A1830">
        <v>1828</v>
      </c>
      <c r="B1830">
        <v>151</v>
      </c>
      <c r="C1830">
        <v>17</v>
      </c>
      <c r="D1830">
        <v>19412640.632980864</v>
      </c>
      <c r="E1830" t="s">
        <v>222</v>
      </c>
      <c r="F1830" t="s">
        <v>61</v>
      </c>
      <c r="G1830" t="s">
        <v>207</v>
      </c>
      <c r="H1830">
        <v>5.308225041829842E-5</v>
      </c>
      <c r="I1830">
        <v>7.8753574013477838E-8</v>
      </c>
      <c r="J1830">
        <v>0.23</v>
      </c>
      <c r="L1830" s="1">
        <v>43109</v>
      </c>
      <c r="M1830" s="1">
        <v>43024</v>
      </c>
      <c r="R1830">
        <v>3.412312379441982E-4</v>
      </c>
      <c r="T1830" t="s">
        <v>39</v>
      </c>
      <c r="V1830">
        <v>19270679.874600001</v>
      </c>
      <c r="W1830" t="s">
        <v>223</v>
      </c>
      <c r="X1830" t="s">
        <v>224</v>
      </c>
      <c r="Y1830">
        <v>19412640.632980864</v>
      </c>
      <c r="Z1830" t="s">
        <v>31</v>
      </c>
      <c r="AA1830">
        <v>3.6054819616634243E-6</v>
      </c>
      <c r="AB1830">
        <v>99.268720000000002</v>
      </c>
      <c r="AC1830" t="s">
        <v>218</v>
      </c>
      <c r="AE1830" t="s">
        <v>41</v>
      </c>
      <c r="AF1830">
        <v>3.1199999999999999E-2</v>
      </c>
      <c r="AH1830" t="s">
        <v>209</v>
      </c>
      <c r="AJ1830">
        <v>2.307923931230366E-4</v>
      </c>
      <c r="AK1830">
        <v>2.307923931230366E-4</v>
      </c>
      <c r="AL1830">
        <v>0</v>
      </c>
      <c r="AQ1830">
        <v>7.2007226654387418E-6</v>
      </c>
    </row>
    <row r="1831" spans="1:43" x14ac:dyDescent="0.2">
      <c r="A1831">
        <v>1829</v>
      </c>
      <c r="B1831">
        <v>151</v>
      </c>
      <c r="C1831">
        <v>17</v>
      </c>
      <c r="D1831">
        <v>9705196.1925385781</v>
      </c>
      <c r="E1831" t="s">
        <v>222</v>
      </c>
      <c r="F1831" t="s">
        <v>61</v>
      </c>
      <c r="G1831" t="s">
        <v>207</v>
      </c>
      <c r="H1831">
        <v>2.7695087174764391E-5</v>
      </c>
      <c r="I1831">
        <v>3.9376787006738919E-8</v>
      </c>
      <c r="J1831">
        <v>0.24</v>
      </c>
      <c r="L1831" s="1">
        <v>43111</v>
      </c>
      <c r="M1831" s="1">
        <v>43024</v>
      </c>
      <c r="R1831">
        <v>3.412312379441982E-4</v>
      </c>
      <c r="T1831" t="s">
        <v>39</v>
      </c>
      <c r="V1831">
        <v>9635339.9373000003</v>
      </c>
      <c r="W1831" t="s">
        <v>223</v>
      </c>
      <c r="X1831" t="s">
        <v>224</v>
      </c>
      <c r="Y1831">
        <v>9705196.1925385781</v>
      </c>
      <c r="Z1831" t="s">
        <v>31</v>
      </c>
      <c r="AA1831">
        <v>1.8027409808317121E-6</v>
      </c>
      <c r="AB1831">
        <v>99.280218000000005</v>
      </c>
      <c r="AC1831" t="s">
        <v>218</v>
      </c>
      <c r="AE1831" t="s">
        <v>41</v>
      </c>
      <c r="AF1831">
        <v>0.03</v>
      </c>
      <c r="AH1831" t="s">
        <v>209</v>
      </c>
      <c r="AJ1831">
        <v>1.153961965615183E-4</v>
      </c>
      <c r="AK1831">
        <v>1.153961965615183E-4</v>
      </c>
      <c r="AL1831">
        <v>0</v>
      </c>
      <c r="AQ1831">
        <v>3.4618858968455489E-6</v>
      </c>
    </row>
    <row r="1832" spans="1:43" x14ac:dyDescent="0.2">
      <c r="A1832">
        <v>1830</v>
      </c>
      <c r="B1832">
        <v>151</v>
      </c>
      <c r="C1832">
        <v>17</v>
      </c>
      <c r="D1832">
        <v>48536506.040409654</v>
      </c>
      <c r="E1832" t="s">
        <v>204</v>
      </c>
      <c r="F1832" t="s">
        <v>61</v>
      </c>
      <c r="G1832" t="s">
        <v>207</v>
      </c>
      <c r="H1832">
        <v>1.2137665660907383E-4</v>
      </c>
      <c r="I1832">
        <v>1.9722622282020051E-7</v>
      </c>
      <c r="J1832">
        <v>0.21</v>
      </c>
      <c r="L1832" s="1">
        <v>43102</v>
      </c>
      <c r="M1832" s="1">
        <v>43024</v>
      </c>
      <c r="N1832" s="1"/>
      <c r="R1832">
        <v>3.412312379441982E-4</v>
      </c>
      <c r="T1832" t="s">
        <v>39</v>
      </c>
      <c r="V1832">
        <v>48260456.1184</v>
      </c>
      <c r="W1832" t="s">
        <v>200</v>
      </c>
      <c r="X1832" t="s">
        <v>214</v>
      </c>
      <c r="Y1832">
        <v>48536506.040409654</v>
      </c>
      <c r="Z1832" t="s">
        <v>31</v>
      </c>
      <c r="AA1832">
        <v>9.0293754620399542E-6</v>
      </c>
      <c r="AB1832">
        <v>99.431252999999998</v>
      </c>
      <c r="AC1832" t="s">
        <v>52</v>
      </c>
      <c r="AE1832" t="s">
        <v>41</v>
      </c>
      <c r="AF1832">
        <v>2.64E-2</v>
      </c>
      <c r="AH1832" t="s">
        <v>209</v>
      </c>
      <c r="AJ1832">
        <v>5.7798407909082777E-4</v>
      </c>
      <c r="AK1832">
        <v>5.7798407909082777E-4</v>
      </c>
      <c r="AL1832">
        <v>0</v>
      </c>
      <c r="AQ1832">
        <v>1.5258779687997854E-5</v>
      </c>
    </row>
    <row r="1833" spans="1:43" x14ac:dyDescent="0.2">
      <c r="A1833">
        <v>1831</v>
      </c>
      <c r="B1833">
        <v>151</v>
      </c>
      <c r="C1833">
        <v>17</v>
      </c>
      <c r="D1833">
        <v>14560328.763749333</v>
      </c>
      <c r="E1833" t="s">
        <v>204</v>
      </c>
      <c r="F1833" t="s">
        <v>61</v>
      </c>
      <c r="G1833" t="s">
        <v>207</v>
      </c>
      <c r="H1833">
        <v>3.8142535596395815E-5</v>
      </c>
      <c r="I1833">
        <v>5.9161021090403594E-8</v>
      </c>
      <c r="J1833">
        <v>0.22</v>
      </c>
      <c r="L1833" s="1">
        <v>43103</v>
      </c>
      <c r="M1833" s="1">
        <v>43024</v>
      </c>
      <c r="N1833" s="1"/>
      <c r="R1833">
        <v>3.412312379441982E-4</v>
      </c>
      <c r="T1833" t="s">
        <v>39</v>
      </c>
      <c r="V1833">
        <v>14476461.706900001</v>
      </c>
      <c r="W1833" t="s">
        <v>200</v>
      </c>
      <c r="X1833" t="s">
        <v>214</v>
      </c>
      <c r="Y1833">
        <v>14560328.763749333</v>
      </c>
      <c r="Z1833" t="s">
        <v>31</v>
      </c>
      <c r="AA1833">
        <v>2.7084992274577258E-6</v>
      </c>
      <c r="AB1833">
        <v>99.424002999999999</v>
      </c>
      <c r="AC1833" t="s">
        <v>52</v>
      </c>
      <c r="AE1833" t="s">
        <v>41</v>
      </c>
      <c r="AF1833">
        <v>2.64E-2</v>
      </c>
      <c r="AH1833" t="s">
        <v>209</v>
      </c>
      <c r="AJ1833">
        <v>1.7337516180179917E-4</v>
      </c>
      <c r="AK1833">
        <v>1.7337516180179917E-4</v>
      </c>
      <c r="AL1833">
        <v>0</v>
      </c>
      <c r="AQ1833">
        <v>4.5771042715674982E-6</v>
      </c>
    </row>
    <row r="1834" spans="1:43" x14ac:dyDescent="0.2">
      <c r="A1834">
        <v>1832</v>
      </c>
      <c r="B1834">
        <v>151</v>
      </c>
      <c r="C1834">
        <v>17</v>
      </c>
      <c r="D1834">
        <v>1965856.7105236631</v>
      </c>
      <c r="E1834" t="s">
        <v>204</v>
      </c>
      <c r="F1834" t="s">
        <v>61</v>
      </c>
      <c r="G1834" t="s">
        <v>207</v>
      </c>
      <c r="H1834">
        <v>5.1462851775544187E-6</v>
      </c>
      <c r="I1834">
        <v>7.9821511906853277E-9</v>
      </c>
      <c r="J1834">
        <v>0.22</v>
      </c>
      <c r="L1834" s="1">
        <v>43105</v>
      </c>
      <c r="M1834" s="1">
        <v>43024</v>
      </c>
      <c r="N1834" s="1"/>
      <c r="R1834">
        <v>3.412312379441982E-4</v>
      </c>
      <c r="T1834" t="s">
        <v>39</v>
      </c>
      <c r="V1834">
        <v>1953199.9942000001</v>
      </c>
      <c r="W1834" t="s">
        <v>200</v>
      </c>
      <c r="X1834" t="s">
        <v>214</v>
      </c>
      <c r="Y1834">
        <v>1965856.7105236631</v>
      </c>
      <c r="Z1834" t="s">
        <v>31</v>
      </c>
      <c r="AA1834">
        <v>3.6543741022294262E-7</v>
      </c>
      <c r="AB1834">
        <v>99.356172999999998</v>
      </c>
      <c r="AC1834" t="s">
        <v>52</v>
      </c>
      <c r="AE1834" t="s">
        <v>41</v>
      </c>
      <c r="AF1834">
        <v>2.8799999999999999E-2</v>
      </c>
      <c r="AH1834" t="s">
        <v>209</v>
      </c>
      <c r="AJ1834">
        <v>2.3392205352520086E-5</v>
      </c>
      <c r="AK1834">
        <v>2.3392205352520086E-5</v>
      </c>
      <c r="AL1834">
        <v>0</v>
      </c>
      <c r="AQ1834">
        <v>6.7369551415257841E-7</v>
      </c>
    </row>
    <row r="1835" spans="1:43" x14ac:dyDescent="0.2">
      <c r="A1835">
        <v>1833</v>
      </c>
      <c r="B1835">
        <v>151</v>
      </c>
      <c r="C1835">
        <v>17</v>
      </c>
      <c r="D1835">
        <v>10676494.75953717</v>
      </c>
      <c r="E1835" t="s">
        <v>204</v>
      </c>
      <c r="F1835" t="s">
        <v>61</v>
      </c>
      <c r="G1835" t="s">
        <v>207</v>
      </c>
      <c r="H1835">
        <v>3.0487707230628439E-5</v>
      </c>
      <c r="I1835">
        <v>4.3347325334948438E-8</v>
      </c>
      <c r="J1835">
        <v>0.24</v>
      </c>
      <c r="L1835" s="1">
        <v>43112</v>
      </c>
      <c r="M1835" s="1">
        <v>43024</v>
      </c>
      <c r="N1835" s="1"/>
      <c r="R1835">
        <v>3.412312379441982E-4</v>
      </c>
      <c r="T1835" t="s">
        <v>39</v>
      </c>
      <c r="V1835">
        <v>10606914.5485</v>
      </c>
      <c r="W1835" t="s">
        <v>200</v>
      </c>
      <c r="X1835" t="s">
        <v>214</v>
      </c>
      <c r="Y1835">
        <v>10676494.75953717</v>
      </c>
      <c r="Z1835" t="s">
        <v>31</v>
      </c>
      <c r="AA1835">
        <v>1.9845194524729189E-6</v>
      </c>
      <c r="AB1835">
        <v>99.348286000000002</v>
      </c>
      <c r="AC1835" t="s">
        <v>52</v>
      </c>
      <c r="AE1835" t="s">
        <v>41</v>
      </c>
      <c r="AF1835">
        <v>2.8799999999999999E-2</v>
      </c>
      <c r="AH1835" t="s">
        <v>209</v>
      </c>
      <c r="AJ1835">
        <v>1.2703211346095183E-4</v>
      </c>
      <c r="AK1835">
        <v>1.2703211346095183E-4</v>
      </c>
      <c r="AL1835">
        <v>0</v>
      </c>
      <c r="AQ1835">
        <v>3.6585248676754125E-6</v>
      </c>
    </row>
    <row r="1836" spans="1:43" x14ac:dyDescent="0.2">
      <c r="A1836">
        <v>1834</v>
      </c>
      <c r="B1836">
        <v>151</v>
      </c>
      <c r="C1836">
        <v>17</v>
      </c>
      <c r="D1836">
        <v>58241901.334160373</v>
      </c>
      <c r="E1836" t="s">
        <v>215</v>
      </c>
      <c r="F1836" t="s">
        <v>61</v>
      </c>
      <c r="G1836" t="s">
        <v>207</v>
      </c>
      <c r="H1836">
        <v>1.3877235237363115E-4</v>
      </c>
      <c r="I1836">
        <v>2.3676730796441323E-7</v>
      </c>
      <c r="J1836">
        <v>0.2</v>
      </c>
      <c r="L1836" s="1">
        <v>43096</v>
      </c>
      <c r="M1836" s="1">
        <v>43024</v>
      </c>
      <c r="N1836" s="1"/>
      <c r="R1836">
        <v>3.412312379441982E-4</v>
      </c>
      <c r="T1836" t="s">
        <v>39</v>
      </c>
      <c r="V1836">
        <v>57935999.142999999</v>
      </c>
      <c r="W1836" t="s">
        <v>216</v>
      </c>
      <c r="X1836" t="s">
        <v>217</v>
      </c>
      <c r="Y1836">
        <v>58241901.334160373</v>
      </c>
      <c r="Z1836" t="s">
        <v>31</v>
      </c>
      <c r="AA1836">
        <v>1.0839638310652489E-5</v>
      </c>
      <c r="AB1836">
        <v>99.474772999999999</v>
      </c>
      <c r="AC1836" t="s">
        <v>52</v>
      </c>
      <c r="AE1836" t="s">
        <v>41</v>
      </c>
      <c r="AF1836">
        <v>2.64E-2</v>
      </c>
      <c r="AH1836" t="s">
        <v>209</v>
      </c>
      <c r="AJ1836">
        <v>6.9386176186815574E-4</v>
      </c>
      <c r="AK1836">
        <v>6.9386176186815574E-4</v>
      </c>
      <c r="AL1836">
        <v>0</v>
      </c>
      <c r="AQ1836">
        <v>1.8317950513319313E-5</v>
      </c>
    </row>
    <row r="1837" spans="1:43" x14ac:dyDescent="0.2">
      <c r="A1837">
        <v>1835</v>
      </c>
      <c r="B1837">
        <v>151</v>
      </c>
      <c r="C1837">
        <v>17</v>
      </c>
      <c r="D1837">
        <v>10764712.15312577</v>
      </c>
      <c r="E1837" t="s">
        <v>215</v>
      </c>
      <c r="F1837" t="s">
        <v>61</v>
      </c>
      <c r="G1837" t="s">
        <v>207</v>
      </c>
      <c r="H1837">
        <v>2.6912672072798139E-5</v>
      </c>
      <c r="I1837">
        <v>4.3730687656129336E-8</v>
      </c>
      <c r="J1837">
        <v>0.21</v>
      </c>
      <c r="L1837" s="1">
        <v>43102</v>
      </c>
      <c r="M1837" s="1">
        <v>43024</v>
      </c>
      <c r="R1837">
        <v>3.412312379441982E-4</v>
      </c>
      <c r="T1837" t="s">
        <v>39</v>
      </c>
      <c r="V1837">
        <v>10700721.7523</v>
      </c>
      <c r="W1837" t="s">
        <v>216</v>
      </c>
      <c r="X1837" t="s">
        <v>217</v>
      </c>
      <c r="Y1837">
        <v>10764712.15312577</v>
      </c>
      <c r="Z1837" t="s">
        <v>31</v>
      </c>
      <c r="AA1837">
        <v>2.0020704773135515E-6</v>
      </c>
      <c r="AB1837">
        <v>99.405553999999995</v>
      </c>
      <c r="AC1837" t="s">
        <v>52</v>
      </c>
      <c r="AE1837" t="s">
        <v>41</v>
      </c>
      <c r="AF1837">
        <v>2.76E-2</v>
      </c>
      <c r="AH1837" t="s">
        <v>209</v>
      </c>
      <c r="AJ1837">
        <v>1.2815558129903877E-4</v>
      </c>
      <c r="AK1837">
        <v>1.2815558129903877E-4</v>
      </c>
      <c r="AL1837">
        <v>0</v>
      </c>
      <c r="AQ1837">
        <v>3.5370940438534701E-6</v>
      </c>
    </row>
    <row r="1838" spans="1:43" x14ac:dyDescent="0.2">
      <c r="A1838">
        <v>1836</v>
      </c>
      <c r="B1838">
        <v>151</v>
      </c>
      <c r="C1838">
        <v>17</v>
      </c>
      <c r="D1838">
        <v>2897874.1083588256</v>
      </c>
      <c r="E1838" t="s">
        <v>215</v>
      </c>
      <c r="F1838" t="s">
        <v>61</v>
      </c>
      <c r="G1838" t="s">
        <v>207</v>
      </c>
      <c r="H1838">
        <v>7.931291572398574E-6</v>
      </c>
      <c r="I1838">
        <v>1.1766975833678051E-8</v>
      </c>
      <c r="J1838">
        <v>0.23</v>
      </c>
      <c r="L1838" s="1">
        <v>43108</v>
      </c>
      <c r="M1838" s="1">
        <v>43024</v>
      </c>
      <c r="R1838">
        <v>3.412312379441982E-4</v>
      </c>
      <c r="T1838" t="s">
        <v>39</v>
      </c>
      <c r="V1838">
        <v>2879331.2204999998</v>
      </c>
      <c r="W1838" t="s">
        <v>216</v>
      </c>
      <c r="X1838" t="s">
        <v>217</v>
      </c>
      <c r="Y1838">
        <v>2897874.1083588256</v>
      </c>
      <c r="Z1838" t="s">
        <v>31</v>
      </c>
      <c r="AA1838">
        <v>5.3871357132813995E-7</v>
      </c>
      <c r="AB1838">
        <v>99.360121000000007</v>
      </c>
      <c r="AC1838" t="s">
        <v>52</v>
      </c>
      <c r="AE1838" t="s">
        <v>41</v>
      </c>
      <c r="AF1838">
        <v>2.76E-2</v>
      </c>
      <c r="AH1838" t="s">
        <v>209</v>
      </c>
      <c r="AJ1838">
        <v>3.4483876401732932E-5</v>
      </c>
      <c r="AK1838">
        <v>3.4483876401732932E-5</v>
      </c>
      <c r="AL1838">
        <v>0</v>
      </c>
      <c r="AQ1838">
        <v>9.5175498868782889E-7</v>
      </c>
    </row>
    <row r="1839" spans="1:43" x14ac:dyDescent="0.2">
      <c r="A1839">
        <v>1837</v>
      </c>
      <c r="B1839">
        <v>151</v>
      </c>
      <c r="C1839">
        <v>17</v>
      </c>
      <c r="D1839">
        <v>1</v>
      </c>
      <c r="E1839" t="s">
        <v>215</v>
      </c>
      <c r="F1839" t="s">
        <v>61</v>
      </c>
      <c r="G1839" t="s">
        <v>207</v>
      </c>
      <c r="H1839">
        <v>5.4734521444249103E-5</v>
      </c>
      <c r="I1839">
        <v>8.1204906568279931E-8</v>
      </c>
      <c r="J1839">
        <v>0.23</v>
      </c>
      <c r="L1839" s="1">
        <v>43109</v>
      </c>
      <c r="M1839" s="1">
        <v>43024</v>
      </c>
      <c r="R1839">
        <v>3.412312379441982E-4</v>
      </c>
      <c r="T1839" t="s">
        <v>39</v>
      </c>
      <c r="V1839">
        <v>19870511</v>
      </c>
      <c r="W1839" t="s">
        <v>216</v>
      </c>
      <c r="X1839" t="s">
        <v>217</v>
      </c>
      <c r="Y1839">
        <v>20000000</v>
      </c>
      <c r="Z1839" t="s">
        <v>31</v>
      </c>
      <c r="AA1839">
        <v>3.7177084278154833E-6</v>
      </c>
      <c r="AB1839">
        <v>99.352554999999995</v>
      </c>
      <c r="AC1839" t="s">
        <v>52</v>
      </c>
      <c r="AE1839" t="s">
        <v>41</v>
      </c>
      <c r="AF1839">
        <v>2.76E-2</v>
      </c>
      <c r="AH1839" t="s">
        <v>209</v>
      </c>
      <c r="AJ1839">
        <v>2.3797618019238739E-4</v>
      </c>
      <c r="AK1839">
        <v>2.3797618019238739E-4</v>
      </c>
      <c r="AL1839">
        <v>0</v>
      </c>
      <c r="AQ1839">
        <v>6.5681425733098921E-6</v>
      </c>
    </row>
    <row r="1840" spans="1:43" x14ac:dyDescent="0.2">
      <c r="A1840">
        <v>1838</v>
      </c>
      <c r="B1840">
        <v>151</v>
      </c>
      <c r="C1840">
        <v>17</v>
      </c>
      <c r="D1840">
        <v>24267238.324102905</v>
      </c>
      <c r="E1840" t="s">
        <v>215</v>
      </c>
      <c r="F1840" t="s">
        <v>61</v>
      </c>
      <c r="G1840" t="s">
        <v>207</v>
      </c>
      <c r="H1840">
        <v>6.9314755731296804E-5</v>
      </c>
      <c r="I1840">
        <v>9.8551499608292149E-8</v>
      </c>
      <c r="J1840">
        <v>0.24</v>
      </c>
      <c r="L1840" s="1">
        <v>43110</v>
      </c>
      <c r="M1840" s="1">
        <v>43024</v>
      </c>
      <c r="R1840">
        <v>3.412312379441982E-4</v>
      </c>
      <c r="T1840" t="s">
        <v>39</v>
      </c>
      <c r="V1840">
        <v>24115151.9014</v>
      </c>
      <c r="W1840" t="s">
        <v>216</v>
      </c>
      <c r="X1840" t="s">
        <v>217</v>
      </c>
      <c r="Y1840">
        <v>24267238.324102905</v>
      </c>
      <c r="Z1840" t="s">
        <v>31</v>
      </c>
      <c r="AA1840">
        <v>4.5118670305904734E-6</v>
      </c>
      <c r="AB1840">
        <v>99.373284999999996</v>
      </c>
      <c r="AC1840" t="s">
        <v>52</v>
      </c>
      <c r="AE1840" t="s">
        <v>41</v>
      </c>
      <c r="AF1840">
        <v>2.64E-2</v>
      </c>
      <c r="AH1840" t="s">
        <v>209</v>
      </c>
      <c r="AJ1840">
        <v>2.888114822137367E-4</v>
      </c>
      <c r="AK1840">
        <v>2.888114822137367E-4</v>
      </c>
      <c r="AL1840">
        <v>0</v>
      </c>
      <c r="AQ1840">
        <v>7.6246231304426489E-6</v>
      </c>
    </row>
    <row r="1841" spans="1:43" x14ac:dyDescent="0.2">
      <c r="A1841">
        <v>1839</v>
      </c>
      <c r="B1841">
        <v>151</v>
      </c>
      <c r="C1841">
        <v>17</v>
      </c>
      <c r="D1841">
        <v>4852067.5874780789</v>
      </c>
      <c r="E1841" t="s">
        <v>256</v>
      </c>
      <c r="F1841" t="s">
        <v>61</v>
      </c>
      <c r="G1841" t="s">
        <v>207</v>
      </c>
      <c r="H1841">
        <v>1.327979109030876E-5</v>
      </c>
      <c r="I1841">
        <v>1.9702085014723442E-8</v>
      </c>
      <c r="J1841">
        <v>0.23</v>
      </c>
      <c r="L1841" s="1">
        <v>43108</v>
      </c>
      <c r="M1841" s="1">
        <v>43024</v>
      </c>
      <c r="R1841">
        <v>3.412312379441982E-4</v>
      </c>
      <c r="T1841" t="s">
        <v>39</v>
      </c>
      <c r="V1841">
        <v>4821020.2259</v>
      </c>
      <c r="W1841" t="s">
        <v>248</v>
      </c>
      <c r="X1841" t="s">
        <v>257</v>
      </c>
      <c r="Y1841">
        <v>4852067.5874780789</v>
      </c>
      <c r="Z1841" t="s">
        <v>31</v>
      </c>
      <c r="AA1841">
        <v>9.0199731272624721E-7</v>
      </c>
      <c r="AB1841">
        <v>99.360121000000007</v>
      </c>
      <c r="AC1841" t="s">
        <v>52</v>
      </c>
      <c r="AE1841" t="s">
        <v>41</v>
      </c>
      <c r="AF1841">
        <v>2.76E-2</v>
      </c>
      <c r="AH1841" t="s">
        <v>209</v>
      </c>
      <c r="AJ1841">
        <v>5.7738222131777214E-5</v>
      </c>
      <c r="AK1841">
        <v>5.7738222131777214E-5</v>
      </c>
      <c r="AL1841">
        <v>0</v>
      </c>
      <c r="AQ1841">
        <v>1.5935749308370511E-6</v>
      </c>
    </row>
    <row r="1842" spans="1:43" x14ac:dyDescent="0.2">
      <c r="A1842">
        <v>1840</v>
      </c>
      <c r="B1842">
        <v>152</v>
      </c>
      <c r="C1842">
        <v>17</v>
      </c>
      <c r="D1842">
        <v>11048578.286633089</v>
      </c>
      <c r="E1842" t="s">
        <v>203</v>
      </c>
      <c r="F1842" t="s">
        <v>61</v>
      </c>
      <c r="G1842" t="s">
        <v>207</v>
      </c>
      <c r="H1842">
        <v>7.2898742471791316E-5</v>
      </c>
      <c r="I1842">
        <v>9.0004502513057595E-8</v>
      </c>
      <c r="J1842">
        <v>0.56000000000000005</v>
      </c>
      <c r="L1842" s="1">
        <v>43230</v>
      </c>
      <c r="M1842" s="1">
        <v>43024</v>
      </c>
      <c r="N1842" s="1"/>
      <c r="R1842">
        <v>6.9140453865601146E-4</v>
      </c>
      <c r="T1842" t="s">
        <v>39</v>
      </c>
      <c r="V1842">
        <v>10869449.6756</v>
      </c>
      <c r="W1842" t="s">
        <v>181</v>
      </c>
      <c r="X1842" t="s">
        <v>236</v>
      </c>
      <c r="Y1842">
        <v>11048578.286633089</v>
      </c>
      <c r="Z1842" t="s">
        <v>31</v>
      </c>
      <c r="AA1842">
        <v>4.1205699467529327E-6</v>
      </c>
      <c r="AB1842">
        <v>98.378718000000006</v>
      </c>
      <c r="AC1842" t="s">
        <v>52</v>
      </c>
      <c r="AE1842" t="s">
        <v>41</v>
      </c>
      <c r="AF1842">
        <v>2.8799999999999999E-2</v>
      </c>
      <c r="AH1842" t="s">
        <v>209</v>
      </c>
      <c r="AJ1842">
        <v>1.3017632584248447E-4</v>
      </c>
      <c r="AK1842">
        <v>1.3017632584248447E-4</v>
      </c>
      <c r="AL1842">
        <v>0</v>
      </c>
      <c r="AQ1842">
        <v>3.7490781842635529E-6</v>
      </c>
    </row>
    <row r="1843" spans="1:43" x14ac:dyDescent="0.2">
      <c r="A1843">
        <v>1841</v>
      </c>
      <c r="B1843">
        <v>152</v>
      </c>
      <c r="C1843">
        <v>17</v>
      </c>
      <c r="D1843">
        <v>1</v>
      </c>
      <c r="E1843" t="s">
        <v>206</v>
      </c>
      <c r="F1843" t="s">
        <v>61</v>
      </c>
      <c r="G1843" t="s">
        <v>207</v>
      </c>
      <c r="H1843">
        <v>4.948901543120722E-6</v>
      </c>
      <c r="I1843">
        <v>6.1101660504917959E-9</v>
      </c>
      <c r="J1843">
        <v>0.56000000000000005</v>
      </c>
      <c r="L1843" s="1">
        <v>43229</v>
      </c>
      <c r="M1843" s="1">
        <v>43024</v>
      </c>
      <c r="N1843" s="1"/>
      <c r="R1843">
        <v>6.9140453865601146E-4</v>
      </c>
      <c r="T1843" t="s">
        <v>39</v>
      </c>
      <c r="V1843">
        <v>737898</v>
      </c>
      <c r="W1843" t="s">
        <v>206</v>
      </c>
      <c r="X1843" t="s">
        <v>208</v>
      </c>
      <c r="Y1843">
        <v>750000</v>
      </c>
      <c r="Z1843" t="s">
        <v>31</v>
      </c>
      <c r="AA1843">
        <v>2.7973452321092372E-7</v>
      </c>
      <c r="AB1843">
        <v>98.386399999999995</v>
      </c>
      <c r="AC1843" t="s">
        <v>52</v>
      </c>
      <c r="AE1843" t="s">
        <v>41</v>
      </c>
      <c r="AF1843">
        <v>2.8799999999999999E-2</v>
      </c>
      <c r="AH1843" t="s">
        <v>209</v>
      </c>
      <c r="AJ1843">
        <v>8.8373241841441461E-6</v>
      </c>
      <c r="AK1843">
        <v>8.8373241841441461E-6</v>
      </c>
      <c r="AL1843">
        <v>0</v>
      </c>
      <c r="AQ1843">
        <v>2.5451493650335143E-7</v>
      </c>
    </row>
    <row r="1844" spans="1:43" x14ac:dyDescent="0.2">
      <c r="A1844">
        <v>1842</v>
      </c>
      <c r="B1844">
        <v>152</v>
      </c>
      <c r="C1844">
        <v>17</v>
      </c>
      <c r="D1844">
        <v>9704958.5641132891</v>
      </c>
      <c r="E1844" t="s">
        <v>206</v>
      </c>
      <c r="F1844" t="s">
        <v>61</v>
      </c>
      <c r="G1844" t="s">
        <v>207</v>
      </c>
      <c r="H1844">
        <v>7.0724707868515102E-5</v>
      </c>
      <c r="I1844">
        <v>7.886997421840623E-8</v>
      </c>
      <c r="J1844">
        <v>0.62</v>
      </c>
      <c r="L1844" s="1">
        <v>43251</v>
      </c>
      <c r="M1844" s="1">
        <v>43024</v>
      </c>
      <c r="R1844">
        <v>6.9140453865601146E-4</v>
      </c>
      <c r="T1844" t="s">
        <v>39</v>
      </c>
      <c r="V1844">
        <v>9524781.4470000006</v>
      </c>
      <c r="W1844" t="s">
        <v>206</v>
      </c>
      <c r="X1844" t="s">
        <v>208</v>
      </c>
      <c r="Y1844">
        <v>9704958.5641132891</v>
      </c>
      <c r="Z1844" t="s">
        <v>31</v>
      </c>
      <c r="AA1844">
        <v>3.6108109749108916E-6</v>
      </c>
      <c r="AB1844">
        <v>98.143452999999994</v>
      </c>
      <c r="AC1844" t="s">
        <v>52</v>
      </c>
      <c r="AE1844" t="s">
        <v>41</v>
      </c>
      <c r="AF1844">
        <v>0.03</v>
      </c>
      <c r="AH1844" t="s">
        <v>209</v>
      </c>
      <c r="AJ1844">
        <v>1.1407210946534693E-4</v>
      </c>
      <c r="AK1844">
        <v>1.1407210946534693E-4</v>
      </c>
      <c r="AL1844">
        <v>0</v>
      </c>
      <c r="AQ1844">
        <v>3.4221632839604078E-6</v>
      </c>
    </row>
    <row r="1845" spans="1:43" x14ac:dyDescent="0.2">
      <c r="A1845">
        <v>1843</v>
      </c>
      <c r="B1845">
        <v>152</v>
      </c>
      <c r="C1845">
        <v>17</v>
      </c>
      <c r="D1845">
        <v>19412872.143007487</v>
      </c>
      <c r="E1845" t="s">
        <v>228</v>
      </c>
      <c r="F1845" t="s">
        <v>61</v>
      </c>
      <c r="G1845" t="s">
        <v>207</v>
      </c>
      <c r="H1845">
        <v>1.2337121326091291E-4</v>
      </c>
      <c r="I1845">
        <v>1.579618829409146E-7</v>
      </c>
      <c r="J1845">
        <v>0.54</v>
      </c>
      <c r="L1845" s="1">
        <v>43220</v>
      </c>
      <c r="M1845" s="1">
        <v>43024</v>
      </c>
      <c r="R1845">
        <v>6.9140453865601146E-4</v>
      </c>
      <c r="T1845" t="s">
        <v>39</v>
      </c>
      <c r="V1845">
        <v>19076364.952300001</v>
      </c>
      <c r="W1845" t="s">
        <v>229</v>
      </c>
      <c r="X1845" t="s">
        <v>230</v>
      </c>
      <c r="Y1845">
        <v>19412872.143007487</v>
      </c>
      <c r="Z1845" t="s">
        <v>31</v>
      </c>
      <c r="AA1845">
        <v>7.2317825153736916E-6</v>
      </c>
      <c r="AB1845">
        <v>98.266576999999998</v>
      </c>
      <c r="AC1845" t="s">
        <v>52</v>
      </c>
      <c r="AE1845" t="s">
        <v>41</v>
      </c>
      <c r="AF1845">
        <v>3.2399999999999998E-2</v>
      </c>
      <c r="AH1845" t="s">
        <v>209</v>
      </c>
      <c r="AJ1845">
        <v>2.2846520974243131E-4</v>
      </c>
      <c r="AK1845">
        <v>2.2846520974243131E-4</v>
      </c>
      <c r="AL1845">
        <v>0</v>
      </c>
      <c r="AQ1845">
        <v>7.4022727956547742E-6</v>
      </c>
    </row>
    <row r="1846" spans="1:43" x14ac:dyDescent="0.2">
      <c r="A1846">
        <v>1844</v>
      </c>
      <c r="B1846">
        <v>152</v>
      </c>
      <c r="C1846">
        <v>17</v>
      </c>
      <c r="D1846">
        <v>28982776.947715484</v>
      </c>
      <c r="E1846" t="s">
        <v>254</v>
      </c>
      <c r="F1846" t="s">
        <v>61</v>
      </c>
      <c r="G1846" t="s">
        <v>207</v>
      </c>
      <c r="H1846">
        <v>2.0440286334380374E-4</v>
      </c>
      <c r="I1846">
        <v>2.355417790503173E-7</v>
      </c>
      <c r="J1846">
        <v>0.6</v>
      </c>
      <c r="L1846" s="1">
        <v>43242</v>
      </c>
      <c r="M1846" s="1">
        <v>43024</v>
      </c>
      <c r="N1846" s="1"/>
      <c r="R1846">
        <v>6.9140453865601146E-4</v>
      </c>
      <c r="T1846" t="s">
        <v>39</v>
      </c>
      <c r="V1846">
        <v>28445349.314800002</v>
      </c>
      <c r="W1846" t="s">
        <v>249</v>
      </c>
      <c r="X1846" t="s">
        <v>255</v>
      </c>
      <c r="Y1846">
        <v>28982776.947715484</v>
      </c>
      <c r="Z1846" t="s">
        <v>31</v>
      </c>
      <c r="AA1846">
        <v>1.0783531366318589E-5</v>
      </c>
      <c r="AB1846">
        <v>98.145700000000005</v>
      </c>
      <c r="AC1846" t="s">
        <v>52</v>
      </c>
      <c r="AE1846" t="s">
        <v>41</v>
      </c>
      <c r="AF1846">
        <v>3.1199999999999999E-2</v>
      </c>
      <c r="AH1846" t="s">
        <v>209</v>
      </c>
      <c r="AJ1846">
        <v>3.4067143890633957E-4</v>
      </c>
      <c r="AK1846">
        <v>3.4067143890633957E-4</v>
      </c>
      <c r="AL1846">
        <v>0</v>
      </c>
      <c r="AQ1846">
        <v>1.0628948893877795E-5</v>
      </c>
    </row>
    <row r="1847" spans="1:43" x14ac:dyDescent="0.2">
      <c r="A1847">
        <v>1845</v>
      </c>
      <c r="B1847">
        <v>152</v>
      </c>
      <c r="C1847">
        <v>17</v>
      </c>
      <c r="D1847">
        <v>19414639.434176464</v>
      </c>
      <c r="E1847" t="s">
        <v>254</v>
      </c>
      <c r="F1847" t="s">
        <v>61</v>
      </c>
      <c r="G1847" t="s">
        <v>207</v>
      </c>
      <c r="H1847">
        <v>1.5253403091897237E-4</v>
      </c>
      <c r="I1847">
        <v>1.5740704668190132E-7</v>
      </c>
      <c r="J1847">
        <v>0.67</v>
      </c>
      <c r="L1847" s="1">
        <v>43270</v>
      </c>
      <c r="M1847" s="1">
        <v>43024</v>
      </c>
      <c r="N1847" s="1"/>
      <c r="R1847">
        <v>6.9140453865601146E-4</v>
      </c>
      <c r="T1847" t="s">
        <v>39</v>
      </c>
      <c r="V1847">
        <v>19009359.806699999</v>
      </c>
      <c r="W1847" t="s">
        <v>249</v>
      </c>
      <c r="X1847" t="s">
        <v>255</v>
      </c>
      <c r="Y1847">
        <v>19414639.434176464</v>
      </c>
      <c r="Z1847" t="s">
        <v>31</v>
      </c>
      <c r="AA1847">
        <v>7.2063811015507858E-6</v>
      </c>
      <c r="AB1847">
        <v>97.912504999999996</v>
      </c>
      <c r="AC1847" t="s">
        <v>52</v>
      </c>
      <c r="AE1847" t="s">
        <v>41</v>
      </c>
      <c r="AF1847">
        <v>3.1199999999999999E-2</v>
      </c>
      <c r="AH1847" t="s">
        <v>209</v>
      </c>
      <c r="AJ1847">
        <v>2.2766273271488413E-4</v>
      </c>
      <c r="AK1847">
        <v>2.2766273271488413E-4</v>
      </c>
      <c r="AL1847">
        <v>0</v>
      </c>
      <c r="AQ1847">
        <v>7.1030772607043849E-6</v>
      </c>
    </row>
    <row r="1848" spans="1:43" x14ac:dyDescent="0.2">
      <c r="A1848">
        <v>1846</v>
      </c>
      <c r="B1848">
        <v>152</v>
      </c>
      <c r="C1848">
        <v>17</v>
      </c>
      <c r="D1848">
        <v>7895328.0405056272</v>
      </c>
      <c r="E1848" t="s">
        <v>210</v>
      </c>
      <c r="F1848" t="s">
        <v>61</v>
      </c>
      <c r="G1848" t="s">
        <v>207</v>
      </c>
      <c r="H1848">
        <v>5.1153898120728981E-5</v>
      </c>
      <c r="I1848">
        <v>6.4305522419307693E-8</v>
      </c>
      <c r="J1848">
        <v>0.55000000000000004</v>
      </c>
      <c r="L1848" s="1">
        <v>43224</v>
      </c>
      <c r="M1848" s="1">
        <v>43024</v>
      </c>
      <c r="R1848">
        <v>6.9140453865601146E-4</v>
      </c>
      <c r="T1848" t="s">
        <v>39</v>
      </c>
      <c r="V1848">
        <v>7765896.375</v>
      </c>
      <c r="W1848" t="s">
        <v>211</v>
      </c>
      <c r="X1848" t="s">
        <v>212</v>
      </c>
      <c r="Y1848">
        <v>7895328.0405056272</v>
      </c>
      <c r="Z1848" t="s">
        <v>31</v>
      </c>
      <c r="AA1848">
        <v>2.9440238620596155E-6</v>
      </c>
      <c r="AB1848">
        <v>98.360654999999994</v>
      </c>
      <c r="AC1848" t="s">
        <v>52</v>
      </c>
      <c r="AE1848" t="s">
        <v>41</v>
      </c>
      <c r="AF1848">
        <v>0.03</v>
      </c>
      <c r="AH1848" t="s">
        <v>209</v>
      </c>
      <c r="AJ1848">
        <v>9.3007087492234499E-5</v>
      </c>
      <c r="AK1848">
        <v>9.3007087492234499E-5</v>
      </c>
      <c r="AL1848">
        <v>0</v>
      </c>
      <c r="AQ1848">
        <v>2.790212624767035E-6</v>
      </c>
    </row>
    <row r="1849" spans="1:43" x14ac:dyDescent="0.2">
      <c r="A1849">
        <v>1847</v>
      </c>
      <c r="B1849">
        <v>152</v>
      </c>
      <c r="C1849">
        <v>17</v>
      </c>
      <c r="D1849">
        <v>1</v>
      </c>
      <c r="E1849" t="s">
        <v>210</v>
      </c>
      <c r="F1849" t="s">
        <v>61</v>
      </c>
      <c r="G1849" t="s">
        <v>207</v>
      </c>
      <c r="H1849">
        <v>1.4112882929498952E-3</v>
      </c>
      <c r="I1849">
        <v>1.6262852184960872E-6</v>
      </c>
      <c r="J1849">
        <v>0.6</v>
      </c>
      <c r="L1849" s="1">
        <v>43244</v>
      </c>
      <c r="M1849" s="1">
        <v>43024</v>
      </c>
      <c r="R1849">
        <v>6.9140453865601146E-4</v>
      </c>
      <c r="T1849" t="s">
        <v>39</v>
      </c>
      <c r="V1849">
        <v>196399345</v>
      </c>
      <c r="W1849" t="s">
        <v>211</v>
      </c>
      <c r="X1849" t="s">
        <v>212</v>
      </c>
      <c r="Y1849">
        <v>200000000</v>
      </c>
      <c r="Z1849" t="s">
        <v>31</v>
      </c>
      <c r="AA1849">
        <v>7.4454297385970317E-5</v>
      </c>
      <c r="AB1849">
        <v>98.199672000000007</v>
      </c>
      <c r="AC1849" t="s">
        <v>52</v>
      </c>
      <c r="AE1849" t="s">
        <v>41</v>
      </c>
      <c r="AF1849">
        <v>0.03</v>
      </c>
      <c r="AH1849" t="s">
        <v>209</v>
      </c>
      <c r="AJ1849">
        <v>2.3521471549164921E-3</v>
      </c>
      <c r="AK1849">
        <v>2.3521471549164921E-3</v>
      </c>
      <c r="AL1849">
        <v>0</v>
      </c>
      <c r="AQ1849">
        <v>7.0564414647494763E-5</v>
      </c>
    </row>
    <row r="1850" spans="1:43" x14ac:dyDescent="0.2">
      <c r="A1850">
        <v>1848</v>
      </c>
      <c r="B1850">
        <v>152</v>
      </c>
      <c r="C1850">
        <v>17</v>
      </c>
      <c r="D1850">
        <v>5387211.2327120649</v>
      </c>
      <c r="E1850" t="s">
        <v>259</v>
      </c>
      <c r="F1850" t="s">
        <v>61</v>
      </c>
      <c r="G1850" t="s">
        <v>207</v>
      </c>
      <c r="H1850">
        <v>4.6073817297755567E-5</v>
      </c>
      <c r="I1850">
        <v>4.3637871771063084E-8</v>
      </c>
      <c r="J1850">
        <v>0.73</v>
      </c>
      <c r="L1850" s="1">
        <v>43291</v>
      </c>
      <c r="M1850" s="1">
        <v>43024</v>
      </c>
      <c r="R1850">
        <v>6.9140453865601146E-4</v>
      </c>
      <c r="T1850" t="s">
        <v>39</v>
      </c>
      <c r="V1850">
        <v>5269954.7013999997</v>
      </c>
      <c r="W1850" t="s">
        <v>259</v>
      </c>
      <c r="X1850" t="s">
        <v>260</v>
      </c>
      <c r="Y1850">
        <v>5387211.2327120649</v>
      </c>
      <c r="Z1850" t="s">
        <v>31</v>
      </c>
      <c r="AA1850">
        <v>1.9978211971563753E-6</v>
      </c>
      <c r="AB1850">
        <v>97.823428000000007</v>
      </c>
      <c r="AC1850" t="s">
        <v>52</v>
      </c>
      <c r="AE1850" t="s">
        <v>41</v>
      </c>
      <c r="AF1850">
        <v>0.03</v>
      </c>
      <c r="AH1850" t="s">
        <v>209</v>
      </c>
      <c r="AJ1850">
        <v>6.3114818216103519E-5</v>
      </c>
      <c r="AK1850">
        <v>6.3114818216103519E-5</v>
      </c>
      <c r="AL1850">
        <v>0</v>
      </c>
      <c r="AQ1850">
        <v>1.8934445464831054E-6</v>
      </c>
    </row>
    <row r="1851" spans="1:43" x14ac:dyDescent="0.2">
      <c r="A1851">
        <v>1849</v>
      </c>
      <c r="B1851">
        <v>152</v>
      </c>
      <c r="C1851">
        <v>17</v>
      </c>
      <c r="D1851">
        <v>15501587.873101652</v>
      </c>
      <c r="E1851" t="s">
        <v>222</v>
      </c>
      <c r="F1851" t="s">
        <v>61</v>
      </c>
      <c r="G1851" t="s">
        <v>207</v>
      </c>
      <c r="H1851">
        <v>9.13426430191295E-5</v>
      </c>
      <c r="I1851">
        <v>1.2630943591252396E-7</v>
      </c>
      <c r="J1851">
        <v>0.5</v>
      </c>
      <c r="L1851" s="1">
        <v>43207</v>
      </c>
      <c r="M1851" s="1">
        <v>43024</v>
      </c>
      <c r="R1851">
        <v>6.9140453865601146E-4</v>
      </c>
      <c r="T1851" t="s">
        <v>39</v>
      </c>
      <c r="V1851">
        <v>15253837.5178</v>
      </c>
      <c r="W1851" t="s">
        <v>223</v>
      </c>
      <c r="X1851" t="s">
        <v>224</v>
      </c>
      <c r="Y1851">
        <v>15501587.873101652</v>
      </c>
      <c r="Z1851" t="s">
        <v>31</v>
      </c>
      <c r="AA1851">
        <v>5.7826758782090254E-6</v>
      </c>
      <c r="AB1851">
        <v>98.409223499999996</v>
      </c>
      <c r="AC1851" t="s">
        <v>218</v>
      </c>
      <c r="AE1851" t="s">
        <v>41</v>
      </c>
      <c r="AF1851">
        <v>3.1800000000000002E-2</v>
      </c>
      <c r="AH1851" t="s">
        <v>209</v>
      </c>
      <c r="AJ1851">
        <v>1.82685286038259E-4</v>
      </c>
      <c r="AK1851">
        <v>1.82685286038259E-4</v>
      </c>
      <c r="AL1851">
        <v>0</v>
      </c>
      <c r="AQ1851">
        <v>5.8093920960166365E-6</v>
      </c>
    </row>
    <row r="1852" spans="1:43" x14ac:dyDescent="0.2">
      <c r="A1852">
        <v>1850</v>
      </c>
      <c r="B1852">
        <v>152</v>
      </c>
      <c r="C1852">
        <v>17</v>
      </c>
      <c r="D1852">
        <v>14558098.571482731</v>
      </c>
      <c r="E1852" t="s">
        <v>222</v>
      </c>
      <c r="F1852" t="s">
        <v>61</v>
      </c>
      <c r="G1852" t="s">
        <v>207</v>
      </c>
      <c r="H1852">
        <v>1.1763550870648378E-4</v>
      </c>
      <c r="I1852">
        <v>1.1787496322720529E-7</v>
      </c>
      <c r="J1852">
        <v>0.69</v>
      </c>
      <c r="L1852" s="1">
        <v>43276</v>
      </c>
      <c r="M1852" s="1">
        <v>43024</v>
      </c>
      <c r="R1852">
        <v>6.9140453865601146E-4</v>
      </c>
      <c r="T1852" t="s">
        <v>39</v>
      </c>
      <c r="V1852">
        <v>14235243.182700001</v>
      </c>
      <c r="W1852" t="s">
        <v>223</v>
      </c>
      <c r="X1852" t="s">
        <v>224</v>
      </c>
      <c r="Y1852">
        <v>14558098.571482731</v>
      </c>
      <c r="Z1852" t="s">
        <v>31</v>
      </c>
      <c r="AA1852">
        <v>5.3965303666687505E-6</v>
      </c>
      <c r="AB1852">
        <v>97.782297</v>
      </c>
      <c r="AC1852" t="s">
        <v>218</v>
      </c>
      <c r="AE1852" t="s">
        <v>41</v>
      </c>
      <c r="AF1852">
        <v>3.2399999999999998E-2</v>
      </c>
      <c r="AH1852" t="s">
        <v>209</v>
      </c>
      <c r="AJ1852">
        <v>1.7048624450215043E-4</v>
      </c>
      <c r="AK1852">
        <v>1.7048624450215043E-4</v>
      </c>
      <c r="AL1852">
        <v>0</v>
      </c>
      <c r="AQ1852">
        <v>5.5237543218696735E-6</v>
      </c>
    </row>
    <row r="1853" spans="1:43" x14ac:dyDescent="0.2">
      <c r="A1853">
        <v>1851</v>
      </c>
      <c r="B1853">
        <v>152</v>
      </c>
      <c r="C1853">
        <v>17</v>
      </c>
      <c r="D1853">
        <v>2424484.2558655231</v>
      </c>
      <c r="E1853" t="s">
        <v>222</v>
      </c>
      <c r="F1853" t="s">
        <v>61</v>
      </c>
      <c r="G1853" t="s">
        <v>207</v>
      </c>
      <c r="H1853">
        <v>2.0424645305474729E-5</v>
      </c>
      <c r="I1853">
        <v>1.9613461756450592E-8</v>
      </c>
      <c r="J1853">
        <v>0.72</v>
      </c>
      <c r="L1853" s="1">
        <v>43286</v>
      </c>
      <c r="M1853" s="1">
        <v>43024</v>
      </c>
      <c r="R1853">
        <v>6.9140453865601146E-4</v>
      </c>
      <c r="T1853" t="s">
        <v>39</v>
      </c>
      <c r="V1853">
        <v>2368631.8969999999</v>
      </c>
      <c r="W1853" t="s">
        <v>223</v>
      </c>
      <c r="X1853" t="s">
        <v>224</v>
      </c>
      <c r="Y1853">
        <v>2424484.2558655231</v>
      </c>
      <c r="Z1853" t="s">
        <v>31</v>
      </c>
      <c r="AA1853">
        <v>8.9793997865488287E-7</v>
      </c>
      <c r="AB1853">
        <v>97.69632</v>
      </c>
      <c r="AC1853" t="s">
        <v>218</v>
      </c>
      <c r="AE1853" t="s">
        <v>41</v>
      </c>
      <c r="AF1853">
        <v>3.2399999999999998E-2</v>
      </c>
      <c r="AH1853" t="s">
        <v>209</v>
      </c>
      <c r="AJ1853">
        <v>2.8367562924270458E-5</v>
      </c>
      <c r="AK1853">
        <v>2.8367562924270458E-5</v>
      </c>
      <c r="AL1853">
        <v>0</v>
      </c>
      <c r="AQ1853">
        <v>9.1910903874636285E-7</v>
      </c>
    </row>
    <row r="1854" spans="1:43" x14ac:dyDescent="0.2">
      <c r="A1854">
        <v>1852</v>
      </c>
      <c r="B1854">
        <v>152</v>
      </c>
      <c r="C1854">
        <v>17</v>
      </c>
      <c r="D1854">
        <v>71470251.700554162</v>
      </c>
      <c r="E1854" t="s">
        <v>219</v>
      </c>
      <c r="F1854" t="s">
        <v>61</v>
      </c>
      <c r="G1854" t="s">
        <v>207</v>
      </c>
      <c r="H1854">
        <v>4.2176792449698166E-4</v>
      </c>
      <c r="I1854">
        <v>5.8322451451347812E-7</v>
      </c>
      <c r="J1854">
        <v>0.5</v>
      </c>
      <c r="L1854" s="1">
        <v>43208</v>
      </c>
      <c r="M1854" s="1">
        <v>43024</v>
      </c>
      <c r="N1854" s="1"/>
      <c r="R1854">
        <v>6.9140453865601146E-4</v>
      </c>
      <c r="T1854" t="s">
        <v>39</v>
      </c>
      <c r="V1854">
        <v>70433470.916199997</v>
      </c>
      <c r="W1854" t="s">
        <v>220</v>
      </c>
      <c r="X1854" t="s">
        <v>221</v>
      </c>
      <c r="Y1854">
        <v>71470251.700554162</v>
      </c>
      <c r="Z1854" t="s">
        <v>31</v>
      </c>
      <c r="AA1854">
        <v>2.6701079830591313E-5</v>
      </c>
      <c r="AB1854">
        <v>98.549353499999995</v>
      </c>
      <c r="AC1854" t="s">
        <v>52</v>
      </c>
      <c r="AE1854" t="s">
        <v>41</v>
      </c>
      <c r="AF1854">
        <v>2.8799999999999999E-2</v>
      </c>
      <c r="AH1854" t="s">
        <v>209</v>
      </c>
      <c r="AJ1854">
        <v>8.4353584899396331E-4</v>
      </c>
      <c r="AK1854">
        <v>8.4353584899396331E-4</v>
      </c>
      <c r="AL1854">
        <v>0</v>
      </c>
      <c r="AQ1854">
        <v>2.4293832451026144E-5</v>
      </c>
    </row>
    <row r="1855" spans="1:43" x14ac:dyDescent="0.2">
      <c r="A1855">
        <v>1853</v>
      </c>
      <c r="B1855">
        <v>152</v>
      </c>
      <c r="C1855">
        <v>17</v>
      </c>
      <c r="D1855">
        <v>33905103.877554603</v>
      </c>
      <c r="E1855" t="s">
        <v>219</v>
      </c>
      <c r="F1855" t="s">
        <v>61</v>
      </c>
      <c r="G1855" t="s">
        <v>207</v>
      </c>
      <c r="H1855">
        <v>2.2351236272148529E-4</v>
      </c>
      <c r="I1855">
        <v>2.7595975362743504E-7</v>
      </c>
      <c r="J1855">
        <v>0.56000000000000005</v>
      </c>
      <c r="L1855" s="1">
        <v>43230</v>
      </c>
      <c r="M1855" s="1">
        <v>43024</v>
      </c>
      <c r="R1855">
        <v>6.9140453865601146E-4</v>
      </c>
      <c r="T1855" t="s">
        <v>39</v>
      </c>
      <c r="V1855">
        <v>33326451.1307</v>
      </c>
      <c r="W1855" t="s">
        <v>220</v>
      </c>
      <c r="X1855" t="s">
        <v>221</v>
      </c>
      <c r="Y1855">
        <v>33905103.877554603</v>
      </c>
      <c r="Z1855" t="s">
        <v>31</v>
      </c>
      <c r="AA1855">
        <v>1.2633939809239915E-5</v>
      </c>
      <c r="AB1855">
        <v>98.295724000000007</v>
      </c>
      <c r="AC1855" t="s">
        <v>52</v>
      </c>
      <c r="AE1855" t="s">
        <v>41</v>
      </c>
      <c r="AF1855">
        <v>3.0300000000000001E-2</v>
      </c>
      <c r="AH1855" t="s">
        <v>209</v>
      </c>
      <c r="AJ1855">
        <v>3.9912921914550943E-4</v>
      </c>
      <c r="AK1855">
        <v>3.9912921914550943E-4</v>
      </c>
      <c r="AL1855">
        <v>0</v>
      </c>
      <c r="AQ1855">
        <v>1.2093615340108936E-5</v>
      </c>
    </row>
    <row r="1856" spans="1:43" x14ac:dyDescent="0.2">
      <c r="A1856">
        <v>1854</v>
      </c>
      <c r="B1856">
        <v>152</v>
      </c>
      <c r="C1856">
        <v>17</v>
      </c>
      <c r="D1856">
        <v>2425273.1358489119</v>
      </c>
      <c r="E1856" t="s">
        <v>219</v>
      </c>
      <c r="F1856" t="s">
        <v>61</v>
      </c>
      <c r="G1856" t="s">
        <v>207</v>
      </c>
      <c r="H1856">
        <v>1.7662519376312555E-5</v>
      </c>
      <c r="I1856">
        <v>1.9696687194971364E-8</v>
      </c>
      <c r="J1856">
        <v>0.62</v>
      </c>
      <c r="L1856" s="1">
        <v>43250</v>
      </c>
      <c r="M1856" s="1">
        <v>43024</v>
      </c>
      <c r="R1856">
        <v>6.9140453865601146E-4</v>
      </c>
      <c r="T1856" t="s">
        <v>39</v>
      </c>
      <c r="V1856">
        <v>2378682.6688000001</v>
      </c>
      <c r="W1856" t="s">
        <v>220</v>
      </c>
      <c r="X1856" t="s">
        <v>221</v>
      </c>
      <c r="Y1856">
        <v>2425273.1358489119</v>
      </c>
      <c r="Z1856" t="s">
        <v>31</v>
      </c>
      <c r="AA1856">
        <v>9.0175019071315498E-7</v>
      </c>
      <c r="AB1856">
        <v>98.078959999999995</v>
      </c>
      <c r="AC1856" t="s">
        <v>52</v>
      </c>
      <c r="AE1856" t="s">
        <v>41</v>
      </c>
      <c r="AF1856">
        <v>3.1199999999999999E-2</v>
      </c>
      <c r="AH1856" t="s">
        <v>209</v>
      </c>
      <c r="AJ1856">
        <v>2.8487934477923479E-5</v>
      </c>
      <c r="AK1856">
        <v>2.8487934477923479E-5</v>
      </c>
      <c r="AL1856">
        <v>0</v>
      </c>
      <c r="AQ1856">
        <v>8.8882355571121245E-7</v>
      </c>
    </row>
    <row r="1857" spans="1:43" x14ac:dyDescent="0.2">
      <c r="A1857">
        <v>1855</v>
      </c>
      <c r="B1857">
        <v>152</v>
      </c>
      <c r="C1857">
        <v>17</v>
      </c>
      <c r="D1857">
        <v>14557823.43235446</v>
      </c>
      <c r="E1857" t="s">
        <v>219</v>
      </c>
      <c r="F1857" t="s">
        <v>61</v>
      </c>
      <c r="G1857" t="s">
        <v>207</v>
      </c>
      <c r="H1857">
        <v>1.0768439232655074E-4</v>
      </c>
      <c r="I1857">
        <v>1.1818012316982819E-7</v>
      </c>
      <c r="J1857">
        <v>0.63</v>
      </c>
      <c r="L1857" s="1">
        <v>43255</v>
      </c>
      <c r="M1857" s="1">
        <v>43024</v>
      </c>
      <c r="N1857" s="1"/>
      <c r="R1857">
        <v>6.9140453865601146E-4</v>
      </c>
      <c r="T1857" t="s">
        <v>39</v>
      </c>
      <c r="V1857">
        <v>14272096.012800001</v>
      </c>
      <c r="W1857" t="s">
        <v>220</v>
      </c>
      <c r="X1857" t="s">
        <v>221</v>
      </c>
      <c r="Y1857">
        <v>14557823.43235446</v>
      </c>
      <c r="Z1857" t="s">
        <v>31</v>
      </c>
      <c r="AA1857">
        <v>5.4105011442789297E-6</v>
      </c>
      <c r="AB1857">
        <v>98.037293000000005</v>
      </c>
      <c r="AC1857" t="s">
        <v>52</v>
      </c>
      <c r="AE1857" t="s">
        <v>41</v>
      </c>
      <c r="AF1857">
        <v>3.1199999999999999E-2</v>
      </c>
      <c r="AH1857" t="s">
        <v>209</v>
      </c>
      <c r="AJ1857">
        <v>1.7092760686754086E-4</v>
      </c>
      <c r="AK1857">
        <v>1.7092760686754086E-4</v>
      </c>
      <c r="AL1857">
        <v>0</v>
      </c>
      <c r="AQ1857">
        <v>5.3329413342672749E-6</v>
      </c>
    </row>
    <row r="1858" spans="1:43" x14ac:dyDescent="0.2">
      <c r="A1858">
        <v>1856</v>
      </c>
      <c r="B1858">
        <v>152</v>
      </c>
      <c r="C1858">
        <v>17</v>
      </c>
      <c r="D1858">
        <v>25209519.158720944</v>
      </c>
      <c r="E1858" t="s">
        <v>219</v>
      </c>
      <c r="F1858" t="s">
        <v>61</v>
      </c>
      <c r="G1858" t="s">
        <v>207</v>
      </c>
      <c r="H1858">
        <v>1.9522437845273803E-4</v>
      </c>
      <c r="I1858">
        <v>2.0451366866442714E-7</v>
      </c>
      <c r="J1858">
        <v>0.66</v>
      </c>
      <c r="L1858" s="1">
        <v>43265</v>
      </c>
      <c r="M1858" s="1">
        <v>43024</v>
      </c>
      <c r="N1858" s="1"/>
      <c r="R1858">
        <v>6.9140453865601146E-4</v>
      </c>
      <c r="T1858" t="s">
        <v>39</v>
      </c>
      <c r="V1858">
        <v>24698220.282900002</v>
      </c>
      <c r="W1858" t="s">
        <v>220</v>
      </c>
      <c r="X1858" t="s">
        <v>221</v>
      </c>
      <c r="Y1858">
        <v>25209519.158720944</v>
      </c>
      <c r="Z1858" t="s">
        <v>31</v>
      </c>
      <c r="AA1858">
        <v>9.3630079970340042E-6</v>
      </c>
      <c r="AB1858">
        <v>97.992636000000005</v>
      </c>
      <c r="AC1858" t="s">
        <v>52</v>
      </c>
      <c r="AE1858" t="s">
        <v>41</v>
      </c>
      <c r="AF1858">
        <v>3.0599999999999999E-2</v>
      </c>
      <c r="AH1858" t="s">
        <v>209</v>
      </c>
      <c r="AJ1858">
        <v>2.9579451280717882E-4</v>
      </c>
      <c r="AK1858">
        <v>2.9579451280717882E-4</v>
      </c>
      <c r="AL1858">
        <v>0</v>
      </c>
      <c r="AQ1858">
        <v>9.0513120918996718E-6</v>
      </c>
    </row>
    <row r="1859" spans="1:43" x14ac:dyDescent="0.2">
      <c r="A1859">
        <v>1857</v>
      </c>
      <c r="B1859">
        <v>152</v>
      </c>
      <c r="C1859">
        <v>17</v>
      </c>
      <c r="D1859">
        <v>1</v>
      </c>
      <c r="E1859" t="s">
        <v>219</v>
      </c>
      <c r="F1859" t="s">
        <v>61</v>
      </c>
      <c r="G1859" t="s">
        <v>207</v>
      </c>
      <c r="H1859">
        <v>1.6876075266526795E-4</v>
      </c>
      <c r="I1859">
        <v>1.6205826436079285E-7</v>
      </c>
      <c r="J1859">
        <v>0.72</v>
      </c>
      <c r="L1859" s="1">
        <v>43287</v>
      </c>
      <c r="M1859" s="1">
        <v>43024</v>
      </c>
      <c r="N1859" s="1"/>
      <c r="R1859">
        <v>6.9140453865601146E-4</v>
      </c>
      <c r="T1859" t="s">
        <v>39</v>
      </c>
      <c r="V1859">
        <v>19571067</v>
      </c>
      <c r="W1859" t="s">
        <v>220</v>
      </c>
      <c r="X1859" t="s">
        <v>221</v>
      </c>
      <c r="Y1859">
        <v>20000000</v>
      </c>
      <c r="Z1859" t="s">
        <v>31</v>
      </c>
      <c r="AA1859">
        <v>7.4193223128048099E-6</v>
      </c>
      <c r="AB1859">
        <v>97.855334999999997</v>
      </c>
      <c r="AC1859" t="s">
        <v>52</v>
      </c>
      <c r="AE1859" t="s">
        <v>41</v>
      </c>
      <c r="AF1859">
        <v>0.03</v>
      </c>
      <c r="AH1859" t="s">
        <v>209</v>
      </c>
      <c r="AJ1859">
        <v>2.3438993425731661E-4</v>
      </c>
      <c r="AK1859">
        <v>2.3438993425731661E-4</v>
      </c>
      <c r="AL1859">
        <v>0</v>
      </c>
      <c r="AQ1859">
        <v>7.0316980277194983E-6</v>
      </c>
    </row>
    <row r="1860" spans="1:43" x14ac:dyDescent="0.2">
      <c r="A1860">
        <v>1858</v>
      </c>
      <c r="B1860">
        <v>152</v>
      </c>
      <c r="C1860">
        <v>17</v>
      </c>
      <c r="D1860">
        <v>33973299.73942627</v>
      </c>
      <c r="E1860" t="s">
        <v>219</v>
      </c>
      <c r="F1860" t="s">
        <v>61</v>
      </c>
      <c r="G1860" t="s">
        <v>207</v>
      </c>
      <c r="H1860">
        <v>2.9032655884257447E-4</v>
      </c>
      <c r="I1860">
        <v>2.7497684996731178E-7</v>
      </c>
      <c r="J1860">
        <v>0.73</v>
      </c>
      <c r="L1860" s="1">
        <v>43290</v>
      </c>
      <c r="M1860" s="1">
        <v>43024</v>
      </c>
      <c r="N1860" s="1"/>
      <c r="R1860">
        <v>6.9140453865601146E-4</v>
      </c>
      <c r="T1860" t="s">
        <v>39</v>
      </c>
      <c r="V1860">
        <v>33207750.159400001</v>
      </c>
      <c r="W1860" t="s">
        <v>220</v>
      </c>
      <c r="X1860" t="s">
        <v>221</v>
      </c>
      <c r="Y1860">
        <v>33973299.73942627</v>
      </c>
      <c r="Z1860" t="s">
        <v>31</v>
      </c>
      <c r="AA1860">
        <v>1.2588940690647267E-5</v>
      </c>
      <c r="AB1860">
        <v>97.746613999999994</v>
      </c>
      <c r="AC1860" t="s">
        <v>52</v>
      </c>
      <c r="AE1860" t="s">
        <v>41</v>
      </c>
      <c r="AF1860">
        <v>3.1199999999999999E-2</v>
      </c>
      <c r="AH1860" t="s">
        <v>209</v>
      </c>
      <c r="AJ1860">
        <v>3.9770761485284178E-4</v>
      </c>
      <c r="AK1860">
        <v>3.9770761485284178E-4</v>
      </c>
      <c r="AL1860">
        <v>0</v>
      </c>
      <c r="AQ1860">
        <v>1.2408477583408662E-5</v>
      </c>
    </row>
    <row r="1861" spans="1:43" x14ac:dyDescent="0.2">
      <c r="A1861">
        <v>1859</v>
      </c>
      <c r="B1861">
        <v>152</v>
      </c>
      <c r="C1861">
        <v>17</v>
      </c>
      <c r="D1861">
        <v>14560673.885929026</v>
      </c>
      <c r="E1861" t="s">
        <v>225</v>
      </c>
      <c r="F1861" t="s">
        <v>61</v>
      </c>
      <c r="G1861" t="s">
        <v>207</v>
      </c>
      <c r="H1861">
        <v>9.0910616258246658E-5</v>
      </c>
      <c r="I1861">
        <v>1.1859625036408814E-7</v>
      </c>
      <c r="J1861">
        <v>0.53</v>
      </c>
      <c r="L1861" s="1">
        <v>43216</v>
      </c>
      <c r="M1861" s="1">
        <v>43024</v>
      </c>
      <c r="N1861" s="1"/>
      <c r="R1861">
        <v>6.9140453865601146E-4</v>
      </c>
      <c r="T1861" t="s">
        <v>39</v>
      </c>
      <c r="V1861">
        <v>14322349.872</v>
      </c>
      <c r="W1861" t="s">
        <v>226</v>
      </c>
      <c r="X1861" t="s">
        <v>227</v>
      </c>
      <c r="Y1861">
        <v>14560673.885929026</v>
      </c>
      <c r="Z1861" t="s">
        <v>31</v>
      </c>
      <c r="AA1861">
        <v>5.4295522046461086E-6</v>
      </c>
      <c r="AB1861">
        <v>98.363235000000003</v>
      </c>
      <c r="AC1861" t="s">
        <v>52</v>
      </c>
      <c r="AE1861" t="s">
        <v>41</v>
      </c>
      <c r="AF1861">
        <v>3.1199999999999999E-2</v>
      </c>
      <c r="AH1861" t="s">
        <v>209</v>
      </c>
      <c r="AJ1861">
        <v>1.7152946463820122E-4</v>
      </c>
      <c r="AK1861">
        <v>1.7152946463820122E-4</v>
      </c>
      <c r="AL1861">
        <v>0</v>
      </c>
      <c r="AQ1861">
        <v>5.3517192967118783E-6</v>
      </c>
    </row>
    <row r="1862" spans="1:43" x14ac:dyDescent="0.2">
      <c r="A1862">
        <v>1860</v>
      </c>
      <c r="B1862">
        <v>152</v>
      </c>
      <c r="C1862">
        <v>17</v>
      </c>
      <c r="D1862">
        <v>2426524.0866673607</v>
      </c>
      <c r="E1862" t="s">
        <v>225</v>
      </c>
      <c r="F1862" t="s">
        <v>61</v>
      </c>
      <c r="G1862" t="s">
        <v>207</v>
      </c>
      <c r="H1862">
        <v>9.8700967963135343E-4</v>
      </c>
      <c r="I1862">
        <v>1.2407690403536972E-6</v>
      </c>
      <c r="J1862">
        <v>0.55000000000000004</v>
      </c>
      <c r="L1862" s="1">
        <v>43223</v>
      </c>
      <c r="M1862" s="1">
        <v>43024</v>
      </c>
      <c r="N1862" s="1"/>
      <c r="R1862">
        <v>6.9140453865601146E-4</v>
      </c>
      <c r="T1862" t="s">
        <v>39</v>
      </c>
      <c r="V1862">
        <v>149842244.18340001</v>
      </c>
      <c r="W1862" t="s">
        <v>226</v>
      </c>
      <c r="X1862" t="s">
        <v>227</v>
      </c>
      <c r="Y1862">
        <v>152426523.08666736</v>
      </c>
      <c r="Z1862" t="s">
        <v>31</v>
      </c>
      <c r="AA1862">
        <v>5.6804665053297623E-5</v>
      </c>
      <c r="AB1862">
        <v>98.304574000000002</v>
      </c>
      <c r="AC1862" t="s">
        <v>52</v>
      </c>
      <c r="AE1862" t="s">
        <v>41</v>
      </c>
      <c r="AF1862">
        <v>3.1199999999999999E-2</v>
      </c>
      <c r="AH1862" t="s">
        <v>209</v>
      </c>
      <c r="AJ1862">
        <v>1.7945630538751878E-3</v>
      </c>
      <c r="AK1862">
        <v>1.7945630538751878E-3</v>
      </c>
      <c r="AL1862">
        <v>0</v>
      </c>
      <c r="AQ1862">
        <v>5.5990367280905861E-5</v>
      </c>
    </row>
    <row r="1863" spans="1:43" x14ac:dyDescent="0.2">
      <c r="A1863">
        <v>1861</v>
      </c>
      <c r="B1863">
        <v>152</v>
      </c>
      <c r="C1863">
        <v>17</v>
      </c>
      <c r="D1863">
        <v>9706459.2098852042</v>
      </c>
      <c r="E1863" t="s">
        <v>225</v>
      </c>
      <c r="F1863" t="s">
        <v>61</v>
      </c>
      <c r="G1863" t="s">
        <v>207</v>
      </c>
      <c r="H1863">
        <v>6.2805864561108678E-5</v>
      </c>
      <c r="I1863">
        <v>7.8953199657755057E-8</v>
      </c>
      <c r="J1863">
        <v>0.55000000000000004</v>
      </c>
      <c r="L1863" s="1">
        <v>43224</v>
      </c>
      <c r="M1863" s="1">
        <v>43024</v>
      </c>
      <c r="R1863">
        <v>6.9140453865601146E-4</v>
      </c>
      <c r="T1863" t="s">
        <v>39</v>
      </c>
      <c r="V1863">
        <v>9534832.2189000007</v>
      </c>
      <c r="W1863" t="s">
        <v>226</v>
      </c>
      <c r="X1863" t="s">
        <v>227</v>
      </c>
      <c r="Y1863">
        <v>9706459.2098852042</v>
      </c>
      <c r="Z1863" t="s">
        <v>31</v>
      </c>
      <c r="AA1863">
        <v>3.6146211870070735E-6</v>
      </c>
      <c r="AB1863">
        <v>98.231826999999996</v>
      </c>
      <c r="AC1863" t="s">
        <v>52</v>
      </c>
      <c r="AE1863" t="s">
        <v>41</v>
      </c>
      <c r="AF1863">
        <v>3.2399999999999998E-2</v>
      </c>
      <c r="AH1863" t="s">
        <v>209</v>
      </c>
      <c r="AJ1863">
        <v>1.1419248102019758E-4</v>
      </c>
      <c r="AK1863">
        <v>1.1419248102019758E-4</v>
      </c>
      <c r="AL1863">
        <v>0</v>
      </c>
      <c r="AQ1863">
        <v>3.6998363850544014E-6</v>
      </c>
    </row>
    <row r="1864" spans="1:43" x14ac:dyDescent="0.2">
      <c r="A1864">
        <v>1862</v>
      </c>
      <c r="B1864">
        <v>152</v>
      </c>
      <c r="C1864">
        <v>17</v>
      </c>
      <c r="D1864">
        <v>19413531.730158001</v>
      </c>
      <c r="E1864" t="s">
        <v>225</v>
      </c>
      <c r="F1864" t="s">
        <v>61</v>
      </c>
      <c r="G1864" t="s">
        <v>207</v>
      </c>
      <c r="H1864">
        <v>1.2791804809885609E-4</v>
      </c>
      <c r="I1864">
        <v>1.5793414112779832E-7</v>
      </c>
      <c r="J1864">
        <v>0.56000000000000005</v>
      </c>
      <c r="L1864" s="1">
        <v>43230</v>
      </c>
      <c r="M1864" s="1">
        <v>43024</v>
      </c>
      <c r="R1864">
        <v>6.9140453865601146E-4</v>
      </c>
      <c r="T1864" t="s">
        <v>39</v>
      </c>
      <c r="V1864">
        <v>19073014.695</v>
      </c>
      <c r="W1864" t="s">
        <v>226</v>
      </c>
      <c r="X1864" t="s">
        <v>227</v>
      </c>
      <c r="Y1864">
        <v>19413531.730158001</v>
      </c>
      <c r="Z1864" t="s">
        <v>31</v>
      </c>
      <c r="AA1864">
        <v>7.2305124446749644E-6</v>
      </c>
      <c r="AB1864">
        <v>98.245981</v>
      </c>
      <c r="AC1864" t="s">
        <v>52</v>
      </c>
      <c r="AE1864" t="s">
        <v>41</v>
      </c>
      <c r="AF1864">
        <v>3.1199999999999999E-2</v>
      </c>
      <c r="AH1864" t="s">
        <v>209</v>
      </c>
      <c r="AJ1864">
        <v>2.2842508589081441E-4</v>
      </c>
      <c r="AK1864">
        <v>2.2842508589081441E-4</v>
      </c>
      <c r="AL1864">
        <v>0</v>
      </c>
      <c r="AQ1864">
        <v>7.1268626797934091E-6</v>
      </c>
    </row>
    <row r="1865" spans="1:43" x14ac:dyDescent="0.2">
      <c r="A1865">
        <v>1863</v>
      </c>
      <c r="B1865">
        <v>152</v>
      </c>
      <c r="C1865">
        <v>17</v>
      </c>
      <c r="D1865">
        <v>24267963.147653207</v>
      </c>
      <c r="E1865" t="s">
        <v>204</v>
      </c>
      <c r="F1865" t="s">
        <v>61</v>
      </c>
      <c r="G1865" t="s">
        <v>207</v>
      </c>
      <c r="H1865">
        <v>1.8804684929636211E-4</v>
      </c>
      <c r="I1865">
        <v>1.9699461376282996E-7</v>
      </c>
      <c r="J1865">
        <v>0.66</v>
      </c>
      <c r="L1865" s="1">
        <v>43265</v>
      </c>
      <c r="M1865" s="1">
        <v>43024</v>
      </c>
      <c r="N1865" s="1"/>
      <c r="R1865">
        <v>6.9140453865601146E-4</v>
      </c>
      <c r="T1865" t="s">
        <v>39</v>
      </c>
      <c r="V1865">
        <v>23790176.945300002</v>
      </c>
      <c r="W1865" t="s">
        <v>200</v>
      </c>
      <c r="X1865" t="s">
        <v>214</v>
      </c>
      <c r="Y1865">
        <v>24267963.147653207</v>
      </c>
      <c r="Z1865" t="s">
        <v>31</v>
      </c>
      <c r="AA1865">
        <v>9.0187719778302789E-6</v>
      </c>
      <c r="AB1865">
        <v>98.031205999999997</v>
      </c>
      <c r="AC1865" t="s">
        <v>52</v>
      </c>
      <c r="AE1865" t="s">
        <v>41</v>
      </c>
      <c r="AF1865">
        <v>0.03</v>
      </c>
      <c r="AH1865" t="s">
        <v>209</v>
      </c>
      <c r="AJ1865">
        <v>2.849194686308517E-4</v>
      </c>
      <c r="AK1865">
        <v>2.849194686308517E-4</v>
      </c>
      <c r="AL1865">
        <v>0</v>
      </c>
      <c r="AQ1865">
        <v>8.54758405892555E-6</v>
      </c>
    </row>
    <row r="1866" spans="1:43" x14ac:dyDescent="0.2">
      <c r="A1866">
        <v>1864</v>
      </c>
      <c r="B1866">
        <v>152</v>
      </c>
      <c r="C1866">
        <v>17</v>
      </c>
      <c r="D1866">
        <v>14559509.366032682</v>
      </c>
      <c r="E1866" t="s">
        <v>215</v>
      </c>
      <c r="F1866" t="s">
        <v>61</v>
      </c>
      <c r="G1866" t="s">
        <v>207</v>
      </c>
      <c r="H1866">
        <v>9.095314754096055E-5</v>
      </c>
      <c r="I1866">
        <v>1.186517339903207E-7</v>
      </c>
      <c r="J1866">
        <v>0.53</v>
      </c>
      <c r="L1866" s="1">
        <v>43217</v>
      </c>
      <c r="M1866" s="1">
        <v>43024</v>
      </c>
      <c r="N1866" s="1"/>
      <c r="R1866">
        <v>6.9140453865601146E-4</v>
      </c>
      <c r="T1866" t="s">
        <v>39</v>
      </c>
      <c r="V1866">
        <v>14329050.386600001</v>
      </c>
      <c r="W1866" t="s">
        <v>216</v>
      </c>
      <c r="X1866" t="s">
        <v>217</v>
      </c>
      <c r="Y1866">
        <v>14559509.366032682</v>
      </c>
      <c r="Z1866" t="s">
        <v>31</v>
      </c>
      <c r="AA1866">
        <v>5.4320923460435638E-6</v>
      </c>
      <c r="AB1866">
        <v>98.417124000000001</v>
      </c>
      <c r="AC1866" t="s">
        <v>52</v>
      </c>
      <c r="AE1866" t="s">
        <v>41</v>
      </c>
      <c r="AF1866">
        <v>0.03</v>
      </c>
      <c r="AH1866" t="s">
        <v>209</v>
      </c>
      <c r="AJ1866">
        <v>1.71609712341435E-4</v>
      </c>
      <c r="AK1866">
        <v>1.71609712341435E-4</v>
      </c>
      <c r="AL1866">
        <v>0</v>
      </c>
      <c r="AQ1866">
        <v>5.1482913702430495E-6</v>
      </c>
    </row>
    <row r="1867" spans="1:43" x14ac:dyDescent="0.2">
      <c r="A1867">
        <v>1865</v>
      </c>
      <c r="B1867">
        <v>152</v>
      </c>
      <c r="C1867">
        <v>17</v>
      </c>
      <c r="D1867">
        <v>4853685.2214568388</v>
      </c>
      <c r="E1867" t="s">
        <v>215</v>
      </c>
      <c r="F1867" t="s">
        <v>61</v>
      </c>
      <c r="G1867" t="s">
        <v>207</v>
      </c>
      <c r="H1867">
        <v>3.1447068517003559E-5</v>
      </c>
      <c r="I1867">
        <v>3.953208345469605E-8</v>
      </c>
      <c r="J1867">
        <v>0.55000000000000004</v>
      </c>
      <c r="L1867" s="1">
        <v>43224</v>
      </c>
      <c r="M1867" s="1">
        <v>43024</v>
      </c>
      <c r="N1867" s="1"/>
      <c r="R1867">
        <v>6.9140453865601146E-4</v>
      </c>
      <c r="T1867" t="s">
        <v>39</v>
      </c>
      <c r="V1867">
        <v>4774116.6239999998</v>
      </c>
      <c r="W1867" t="s">
        <v>216</v>
      </c>
      <c r="X1867" t="s">
        <v>217</v>
      </c>
      <c r="Y1867">
        <v>4853685.2214568388</v>
      </c>
      <c r="Z1867" t="s">
        <v>31</v>
      </c>
      <c r="AA1867">
        <v>1.8098507348820364E-6</v>
      </c>
      <c r="AB1867">
        <v>98.360656000000006</v>
      </c>
      <c r="AC1867" t="s">
        <v>52</v>
      </c>
      <c r="AE1867" t="s">
        <v>41</v>
      </c>
      <c r="AF1867">
        <v>0.03</v>
      </c>
      <c r="AH1867" t="s">
        <v>209</v>
      </c>
      <c r="AJ1867">
        <v>5.7176488212733739E-5</v>
      </c>
      <c r="AK1867">
        <v>5.7176488212733739E-5</v>
      </c>
      <c r="AL1867">
        <v>0</v>
      </c>
      <c r="AQ1867">
        <v>1.715294646382012E-6</v>
      </c>
    </row>
    <row r="1868" spans="1:43" x14ac:dyDescent="0.2">
      <c r="A1868">
        <v>1866</v>
      </c>
      <c r="B1868">
        <v>152</v>
      </c>
      <c r="C1868">
        <v>17</v>
      </c>
      <c r="D1868">
        <v>24267865.073069017</v>
      </c>
      <c r="E1868" t="s">
        <v>256</v>
      </c>
      <c r="F1868" t="s">
        <v>61</v>
      </c>
      <c r="G1868" t="s">
        <v>207</v>
      </c>
      <c r="H1868">
        <v>1.6567218481399569E-4</v>
      </c>
      <c r="I1868">
        <v>1.9749396639561065E-7</v>
      </c>
      <c r="J1868">
        <v>0.57999999999999996</v>
      </c>
      <c r="L1868" s="1">
        <v>43234</v>
      </c>
      <c r="M1868" s="1">
        <v>43024</v>
      </c>
      <c r="N1868" s="1"/>
      <c r="R1868">
        <v>6.9140453865601146E-4</v>
      </c>
      <c r="T1868" t="s">
        <v>39</v>
      </c>
      <c r="V1868">
        <v>23850481.576299999</v>
      </c>
      <c r="W1868" t="s">
        <v>248</v>
      </c>
      <c r="X1868" t="s">
        <v>257</v>
      </c>
      <c r="Y1868">
        <v>24267865.073069017</v>
      </c>
      <c r="Z1868" t="s">
        <v>31</v>
      </c>
      <c r="AA1868">
        <v>9.0416332502557287E-6</v>
      </c>
      <c r="AB1868">
        <v>98.280097999999995</v>
      </c>
      <c r="AC1868" t="s">
        <v>52</v>
      </c>
      <c r="AE1868" t="s">
        <v>41</v>
      </c>
      <c r="AF1868">
        <v>0.03</v>
      </c>
      <c r="AH1868" t="s">
        <v>209</v>
      </c>
      <c r="AJ1868">
        <v>2.8564169795516502E-4</v>
      </c>
      <c r="AK1868">
        <v>2.8564169795516502E-4</v>
      </c>
      <c r="AL1868">
        <v>0</v>
      </c>
      <c r="AQ1868">
        <v>8.5692509386549504E-6</v>
      </c>
    </row>
    <row r="1869" spans="1:43" x14ac:dyDescent="0.2">
      <c r="A1869">
        <v>1867</v>
      </c>
      <c r="B1869">
        <v>153</v>
      </c>
      <c r="C1869">
        <v>17</v>
      </c>
      <c r="D1869">
        <v>11624235.560985997</v>
      </c>
      <c r="E1869" t="s">
        <v>215</v>
      </c>
      <c r="F1869" t="s">
        <v>61</v>
      </c>
      <c r="G1869" t="s">
        <v>207</v>
      </c>
      <c r="H1869">
        <v>1.374120342491695E-4</v>
      </c>
      <c r="I1869">
        <v>1.0409655654336765E-7</v>
      </c>
      <c r="J1869">
        <v>1.02</v>
      </c>
      <c r="L1869" s="1">
        <v>43395</v>
      </c>
      <c r="M1869" s="1">
        <v>43024</v>
      </c>
      <c r="N1869" s="1"/>
      <c r="R1869">
        <v>7.7270151958962587E-4</v>
      </c>
      <c r="T1869" t="s">
        <v>39</v>
      </c>
      <c r="V1869">
        <v>11248643.258400001</v>
      </c>
      <c r="W1869" t="s">
        <v>216</v>
      </c>
      <c r="X1869" t="s">
        <v>217</v>
      </c>
      <c r="Y1869">
        <v>11624235.560985997</v>
      </c>
      <c r="Z1869" t="s">
        <v>31</v>
      </c>
      <c r="AA1869">
        <v>4.7657298299142209E-6</v>
      </c>
      <c r="AB1869">
        <v>96.768885999999995</v>
      </c>
      <c r="AC1869" t="s">
        <v>52</v>
      </c>
      <c r="AE1869" t="s">
        <v>41</v>
      </c>
      <c r="AF1869">
        <v>3.2399999999999998E-2</v>
      </c>
      <c r="AH1869" t="s">
        <v>209</v>
      </c>
      <c r="AJ1869">
        <v>1.347176806364407E-4</v>
      </c>
      <c r="AK1869">
        <v>1.347176806364407E-4</v>
      </c>
      <c r="AL1869">
        <v>0</v>
      </c>
      <c r="AQ1869">
        <v>4.3648528526206786E-6</v>
      </c>
    </row>
    <row r="1870" spans="1:43" x14ac:dyDescent="0.2">
      <c r="A1870">
        <v>1868</v>
      </c>
      <c r="B1870">
        <v>154</v>
      </c>
      <c r="C1870">
        <v>17</v>
      </c>
      <c r="D1870">
        <v>1050</v>
      </c>
      <c r="E1870" t="s">
        <v>1180</v>
      </c>
      <c r="F1870" t="s">
        <v>61</v>
      </c>
      <c r="G1870" t="s">
        <v>1181</v>
      </c>
      <c r="H1870">
        <v>7.3561688755336471E-4</v>
      </c>
      <c r="I1870">
        <v>6.7832994890367325E-6</v>
      </c>
      <c r="J1870">
        <v>4.0199999999999996</v>
      </c>
      <c r="L1870" s="1">
        <v>46023</v>
      </c>
      <c r="M1870" s="1">
        <v>43024</v>
      </c>
      <c r="N1870" s="1"/>
      <c r="R1870">
        <v>3.706938272804329E-2</v>
      </c>
      <c r="T1870" t="s">
        <v>32</v>
      </c>
      <c r="V1870">
        <v>15279220</v>
      </c>
      <c r="W1870" t="s">
        <v>220</v>
      </c>
      <c r="X1870" t="s">
        <v>1182</v>
      </c>
      <c r="Y1870">
        <v>1050</v>
      </c>
      <c r="Z1870" t="s">
        <v>31</v>
      </c>
      <c r="AA1870">
        <v>3.1055179723141321E-4</v>
      </c>
      <c r="AB1870">
        <v>104.64</v>
      </c>
      <c r="AC1870" t="s">
        <v>34</v>
      </c>
      <c r="AE1870" t="s">
        <v>41</v>
      </c>
      <c r="AF1870">
        <v>9.6111791297699353E-3</v>
      </c>
      <c r="AH1870" t="s">
        <v>1183</v>
      </c>
      <c r="AJ1870">
        <v>1.8298927551078727E-4</v>
      </c>
      <c r="AK1870">
        <v>1.8298927551078727E-4</v>
      </c>
      <c r="AL1870">
        <v>0</v>
      </c>
      <c r="AN1870" t="s">
        <v>54</v>
      </c>
      <c r="AQ1870">
        <v>1.7587427057609994E-6</v>
      </c>
    </row>
    <row r="1871" spans="1:43" x14ac:dyDescent="0.2">
      <c r="A1871">
        <v>1869</v>
      </c>
      <c r="B1871">
        <v>154</v>
      </c>
      <c r="C1871">
        <v>17</v>
      </c>
      <c r="D1871">
        <v>160</v>
      </c>
      <c r="E1871" t="s">
        <v>228</v>
      </c>
      <c r="F1871" t="s">
        <v>61</v>
      </c>
      <c r="G1871" t="s">
        <v>1184</v>
      </c>
      <c r="H1871">
        <v>5.090091503295362E-5</v>
      </c>
      <c r="I1871">
        <v>7.1743935382668058E-7</v>
      </c>
      <c r="J1871">
        <v>2.63</v>
      </c>
      <c r="L1871" s="1">
        <v>44927</v>
      </c>
      <c r="M1871" s="1">
        <v>43024</v>
      </c>
      <c r="N1871" s="1"/>
      <c r="R1871">
        <v>3.706938272804329E-2</v>
      </c>
      <c r="T1871" t="s">
        <v>32</v>
      </c>
      <c r="V1871">
        <v>1616015</v>
      </c>
      <c r="W1871" t="s">
        <v>229</v>
      </c>
      <c r="X1871" t="s">
        <v>1185</v>
      </c>
      <c r="Y1871">
        <v>160</v>
      </c>
      <c r="Z1871" t="s">
        <v>31</v>
      </c>
      <c r="AA1871">
        <v>3.2845679465504268E-5</v>
      </c>
      <c r="AB1871">
        <v>104.4</v>
      </c>
      <c r="AC1871" t="s">
        <v>42</v>
      </c>
      <c r="AE1871" t="s">
        <v>41</v>
      </c>
      <c r="AF1871">
        <v>9.4111791297699365E-3</v>
      </c>
      <c r="AH1871" t="s">
        <v>1183</v>
      </c>
      <c r="AJ1871">
        <v>1.9353960088575521E-5</v>
      </c>
      <c r="AK1871">
        <v>1.9353960088575521E-5</v>
      </c>
      <c r="AL1871">
        <v>0</v>
      </c>
      <c r="AN1871" t="s">
        <v>142</v>
      </c>
      <c r="AQ1871">
        <v>1.8214358526400225E-7</v>
      </c>
    </row>
    <row r="1872" spans="1:43" x14ac:dyDescent="0.2">
      <c r="A1872">
        <v>1870</v>
      </c>
      <c r="B1872">
        <v>154</v>
      </c>
      <c r="C1872">
        <v>17</v>
      </c>
      <c r="D1872">
        <v>2260</v>
      </c>
      <c r="E1872" t="s">
        <v>1186</v>
      </c>
      <c r="F1872" t="s">
        <v>61</v>
      </c>
      <c r="G1872" t="s">
        <v>1187</v>
      </c>
      <c r="H1872">
        <v>2.0786183490385012E-3</v>
      </c>
      <c r="I1872">
        <v>1.6290295798317475E-5</v>
      </c>
      <c r="J1872">
        <v>4.7300000000000004</v>
      </c>
      <c r="L1872" s="1">
        <v>46569</v>
      </c>
      <c r="M1872" s="1">
        <v>43024</v>
      </c>
      <c r="N1872" s="1"/>
      <c r="R1872">
        <v>3.706938272804329E-2</v>
      </c>
      <c r="T1872" t="s">
        <v>32</v>
      </c>
      <c r="V1872">
        <v>36693502</v>
      </c>
      <c r="W1872" t="s">
        <v>216</v>
      </c>
      <c r="X1872" t="s">
        <v>1188</v>
      </c>
      <c r="Y1872">
        <v>2260</v>
      </c>
      <c r="Z1872" t="s">
        <v>31</v>
      </c>
      <c r="AA1872">
        <v>7.4579939243066436E-4</v>
      </c>
      <c r="AB1872">
        <v>103.7</v>
      </c>
      <c r="AC1872" t="s">
        <v>34</v>
      </c>
      <c r="AE1872" t="s">
        <v>41</v>
      </c>
      <c r="AF1872">
        <v>8.4111791297699356E-3</v>
      </c>
      <c r="AH1872" t="s">
        <v>1183</v>
      </c>
      <c r="AJ1872">
        <v>4.3945419641405937E-4</v>
      </c>
      <c r="AK1872">
        <v>4.3945419641405937E-4</v>
      </c>
      <c r="AL1872">
        <v>0</v>
      </c>
      <c r="AN1872" t="s">
        <v>54</v>
      </c>
      <c r="AQ1872">
        <v>3.6963279653677544E-6</v>
      </c>
    </row>
    <row r="1873" spans="1:43" x14ac:dyDescent="0.2">
      <c r="A1873">
        <v>1871</v>
      </c>
      <c r="B1873">
        <v>154</v>
      </c>
      <c r="C1873">
        <v>17</v>
      </c>
      <c r="D1873">
        <v>1229.9949999999999</v>
      </c>
      <c r="E1873" t="s">
        <v>1186</v>
      </c>
      <c r="F1873" t="s">
        <v>61</v>
      </c>
      <c r="G1873" t="s">
        <v>1189</v>
      </c>
      <c r="H1873">
        <v>1.5244716529005148E-3</v>
      </c>
      <c r="I1873">
        <v>9.760142169157504E-6</v>
      </c>
      <c r="J1873">
        <v>5.79</v>
      </c>
      <c r="L1873" s="1">
        <v>47484</v>
      </c>
      <c r="M1873" s="1">
        <v>43024</v>
      </c>
      <c r="N1873" s="1"/>
      <c r="R1873">
        <v>3.706938272804329E-2</v>
      </c>
      <c r="T1873" t="s">
        <v>32</v>
      </c>
      <c r="V1873">
        <v>21984487</v>
      </c>
      <c r="W1873" t="s">
        <v>216</v>
      </c>
      <c r="X1873" t="s">
        <v>1190</v>
      </c>
      <c r="Y1873">
        <v>1229.9949999999999</v>
      </c>
      <c r="Z1873" t="s">
        <v>31</v>
      </c>
      <c r="AA1873">
        <v>4.4683707342787397E-4</v>
      </c>
      <c r="AB1873">
        <v>107.31</v>
      </c>
      <c r="AC1873" t="s">
        <v>34</v>
      </c>
      <c r="AE1873" t="s">
        <v>41</v>
      </c>
      <c r="AF1873">
        <v>8.6111791297699344E-3</v>
      </c>
      <c r="AH1873" t="s">
        <v>1183</v>
      </c>
      <c r="AJ1873">
        <v>2.6329389514689373E-4</v>
      </c>
      <c r="AK1873">
        <v>2.6329389514689373E-4</v>
      </c>
      <c r="AL1873">
        <v>0</v>
      </c>
      <c r="AN1873" t="s">
        <v>54</v>
      </c>
      <c r="AQ1873">
        <v>2.2672708948847648E-6</v>
      </c>
    </row>
    <row r="1874" spans="1:43" x14ac:dyDescent="0.2">
      <c r="A1874">
        <v>1872</v>
      </c>
      <c r="B1874">
        <v>154</v>
      </c>
      <c r="C1874">
        <v>17</v>
      </c>
      <c r="D1874">
        <v>1060</v>
      </c>
      <c r="E1874" t="s">
        <v>1186</v>
      </c>
      <c r="F1874" t="s">
        <v>61</v>
      </c>
      <c r="G1874" t="s">
        <v>1191</v>
      </c>
      <c r="H1874">
        <v>7.5508961230725256E-4</v>
      </c>
      <c r="I1874">
        <v>6.9976764581468432E-6</v>
      </c>
      <c r="J1874">
        <v>4</v>
      </c>
      <c r="L1874" s="1">
        <v>46023</v>
      </c>
      <c r="M1874" s="1">
        <v>43024</v>
      </c>
      <c r="N1874" s="1"/>
      <c r="R1874">
        <v>3.706938272804329E-2</v>
      </c>
      <c r="T1874" t="s">
        <v>32</v>
      </c>
      <c r="V1874">
        <v>15762099</v>
      </c>
      <c r="W1874" t="s">
        <v>216</v>
      </c>
      <c r="X1874" t="s">
        <v>1192</v>
      </c>
      <c r="Y1874">
        <v>1060</v>
      </c>
      <c r="Z1874" t="s">
        <v>31</v>
      </c>
      <c r="AA1874">
        <v>3.2036636507553799E-4</v>
      </c>
      <c r="AB1874">
        <v>106.02</v>
      </c>
      <c r="AC1874" t="s">
        <v>34</v>
      </c>
      <c r="AE1874" t="s">
        <v>41</v>
      </c>
      <c r="AF1874">
        <v>9.4111791297699365E-3</v>
      </c>
      <c r="AH1874" t="s">
        <v>1183</v>
      </c>
      <c r="AJ1874">
        <v>1.8877240307681314E-4</v>
      </c>
      <c r="AK1874">
        <v>1.8877240307681314E-4</v>
      </c>
      <c r="AL1874">
        <v>0</v>
      </c>
      <c r="AN1874" t="s">
        <v>54</v>
      </c>
      <c r="AQ1874">
        <v>1.7765709001130219E-6</v>
      </c>
    </row>
    <row r="1875" spans="1:43" x14ac:dyDescent="0.2">
      <c r="A1875">
        <v>1873</v>
      </c>
      <c r="B1875">
        <v>154</v>
      </c>
      <c r="C1875">
        <v>17</v>
      </c>
      <c r="D1875">
        <v>20</v>
      </c>
      <c r="E1875" t="s">
        <v>1186</v>
      </c>
      <c r="F1875" t="s">
        <v>61</v>
      </c>
      <c r="G1875" t="s">
        <v>1193</v>
      </c>
      <c r="H1875">
        <v>1.7462239430287747E-5</v>
      </c>
      <c r="I1875">
        <v>1.4546391836630676E-7</v>
      </c>
      <c r="J1875">
        <v>4.45</v>
      </c>
      <c r="L1875" s="1">
        <v>46388</v>
      </c>
      <c r="M1875" s="1">
        <v>43024</v>
      </c>
      <c r="R1875">
        <v>3.706938272804329E-2</v>
      </c>
      <c r="T1875" t="s">
        <v>32</v>
      </c>
      <c r="V1875">
        <v>327654</v>
      </c>
      <c r="W1875" t="s">
        <v>216</v>
      </c>
      <c r="X1875" t="s">
        <v>1194</v>
      </c>
      <c r="Y1875">
        <v>20</v>
      </c>
      <c r="Z1875" t="s">
        <v>31</v>
      </c>
      <c r="AA1875">
        <v>6.6596029489765484E-6</v>
      </c>
      <c r="AB1875">
        <v>106.39</v>
      </c>
      <c r="AC1875" t="s">
        <v>34</v>
      </c>
      <c r="AE1875" t="s">
        <v>41</v>
      </c>
      <c r="AF1875">
        <v>1.0011179129769933E-2</v>
      </c>
      <c r="AH1875" t="s">
        <v>1183</v>
      </c>
      <c r="AJ1875">
        <v>3.9240987483792687E-6</v>
      </c>
      <c r="AK1875">
        <v>3.9240987483792687E-6</v>
      </c>
      <c r="AL1875">
        <v>0</v>
      </c>
      <c r="AN1875" t="s">
        <v>54</v>
      </c>
      <c r="AQ1875">
        <v>3.9284855492930851E-8</v>
      </c>
    </row>
    <row r="1876" spans="1:43" x14ac:dyDescent="0.2">
      <c r="A1876">
        <v>1874</v>
      </c>
      <c r="B1876">
        <v>154</v>
      </c>
      <c r="C1876">
        <v>17</v>
      </c>
      <c r="D1876">
        <v>470</v>
      </c>
      <c r="E1876" t="s">
        <v>210</v>
      </c>
      <c r="F1876" t="s">
        <v>61</v>
      </c>
      <c r="G1876" t="s">
        <v>1195</v>
      </c>
      <c r="H1876">
        <v>1.068085861547349E-3</v>
      </c>
      <c r="I1876">
        <v>4.6199864163489535E-6</v>
      </c>
      <c r="J1876">
        <v>8.57</v>
      </c>
      <c r="L1876" s="1">
        <v>50041</v>
      </c>
      <c r="M1876" s="1">
        <v>43024</v>
      </c>
      <c r="N1876" s="1"/>
      <c r="R1876">
        <v>3.706938272804329E-2</v>
      </c>
      <c r="T1876" t="s">
        <v>32</v>
      </c>
      <c r="V1876">
        <v>10406409</v>
      </c>
      <c r="W1876" t="s">
        <v>211</v>
      </c>
      <c r="X1876" t="s">
        <v>1196</v>
      </c>
      <c r="Y1876">
        <v>470</v>
      </c>
      <c r="Z1876" t="s">
        <v>31</v>
      </c>
      <c r="AA1876">
        <v>2.1151138720923931E-4</v>
      </c>
      <c r="AB1876">
        <v>106.4</v>
      </c>
      <c r="AC1876" t="s">
        <v>42</v>
      </c>
      <c r="AE1876" t="s">
        <v>41</v>
      </c>
      <c r="AF1876">
        <v>1.3811179129769938E-2</v>
      </c>
      <c r="AH1876" t="s">
        <v>1183</v>
      </c>
      <c r="AJ1876">
        <v>1.2463078897868716E-4</v>
      </c>
      <c r="AK1876">
        <v>1.2463078897868716E-4</v>
      </c>
      <c r="AL1876">
        <v>0</v>
      </c>
      <c r="AN1876" t="s">
        <v>142</v>
      </c>
      <c r="AQ1876">
        <v>1.7212981516692053E-6</v>
      </c>
    </row>
    <row r="1877" spans="1:43" x14ac:dyDescent="0.2">
      <c r="A1877">
        <v>1875</v>
      </c>
      <c r="B1877">
        <v>154</v>
      </c>
      <c r="C1877">
        <v>17</v>
      </c>
      <c r="D1877">
        <v>980</v>
      </c>
      <c r="E1877" t="s">
        <v>210</v>
      </c>
      <c r="F1877" t="s">
        <v>61</v>
      </c>
      <c r="G1877" t="s">
        <v>1197</v>
      </c>
      <c r="H1877">
        <v>2.37478574568544E-3</v>
      </c>
      <c r="I1877">
        <v>9.8690405497662831E-6</v>
      </c>
      <c r="J1877">
        <v>8.92</v>
      </c>
      <c r="L1877" s="1">
        <v>50406</v>
      </c>
      <c r="M1877" s="1">
        <v>43024</v>
      </c>
      <c r="N1877" s="1"/>
      <c r="R1877">
        <v>3.706938272804329E-2</v>
      </c>
      <c r="T1877" t="s">
        <v>32</v>
      </c>
      <c r="V1877">
        <v>22229778</v>
      </c>
      <c r="W1877" t="s">
        <v>211</v>
      </c>
      <c r="X1877" t="s">
        <v>1196</v>
      </c>
      <c r="Y1877">
        <v>980</v>
      </c>
      <c r="Z1877" t="s">
        <v>31</v>
      </c>
      <c r="AA1877">
        <v>4.5182263950354333E-4</v>
      </c>
      <c r="AB1877">
        <v>105.59</v>
      </c>
      <c r="AC1877" t="s">
        <v>42</v>
      </c>
      <c r="AE1877" t="s">
        <v>41</v>
      </c>
      <c r="AF1877">
        <v>1.5011179129769937E-2</v>
      </c>
      <c r="AH1877" t="s">
        <v>1183</v>
      </c>
      <c r="AJ1877">
        <v>2.6623158583917488E-4</v>
      </c>
      <c r="AK1877">
        <v>2.6623158583917488E-4</v>
      </c>
      <c r="AL1877">
        <v>0</v>
      </c>
      <c r="AN1877" t="s">
        <v>142</v>
      </c>
      <c r="AQ1877">
        <v>3.996450025034576E-6</v>
      </c>
    </row>
    <row r="1878" spans="1:43" x14ac:dyDescent="0.2">
      <c r="A1878">
        <v>1876</v>
      </c>
      <c r="B1878">
        <v>154</v>
      </c>
      <c r="C1878">
        <v>17</v>
      </c>
      <c r="D1878">
        <v>2840</v>
      </c>
      <c r="E1878" t="s">
        <v>210</v>
      </c>
      <c r="F1878" t="s">
        <v>61</v>
      </c>
      <c r="G1878" t="s">
        <v>1198</v>
      </c>
      <c r="H1878">
        <v>1.5682565802397227E-3</v>
      </c>
      <c r="I1878">
        <v>1.6284118596268519E-5</v>
      </c>
      <c r="J1878">
        <v>3.57</v>
      </c>
      <c r="L1878" s="1">
        <v>45658</v>
      </c>
      <c r="M1878" s="1">
        <v>43024</v>
      </c>
      <c r="N1878" s="1"/>
      <c r="R1878">
        <v>3.706938272804329E-2</v>
      </c>
      <c r="T1878" t="s">
        <v>32</v>
      </c>
      <c r="V1878">
        <v>36679588</v>
      </c>
      <c r="W1878" t="s">
        <v>211</v>
      </c>
      <c r="X1878" t="s">
        <v>1199</v>
      </c>
      <c r="Y1878">
        <v>2840</v>
      </c>
      <c r="Z1878" t="s">
        <v>31</v>
      </c>
      <c r="AA1878">
        <v>7.4551658887742815E-4</v>
      </c>
      <c r="AB1878">
        <v>104.74</v>
      </c>
      <c r="AC1878" t="s">
        <v>42</v>
      </c>
      <c r="AE1878" t="s">
        <v>41</v>
      </c>
      <c r="AF1878">
        <v>5.811179129769934E-3</v>
      </c>
      <c r="AH1878" t="s">
        <v>1183</v>
      </c>
      <c r="AJ1878">
        <v>4.3928755749011842E-4</v>
      </c>
      <c r="AK1878">
        <v>4.3928755749011842E-4</v>
      </c>
      <c r="AL1878">
        <v>0</v>
      </c>
      <c r="AN1878" t="s">
        <v>142</v>
      </c>
      <c r="AQ1878">
        <v>2.5527786860541863E-6</v>
      </c>
    </row>
    <row r="1879" spans="1:43" x14ac:dyDescent="0.2">
      <c r="A1879">
        <v>1877</v>
      </c>
      <c r="B1879">
        <v>154</v>
      </c>
      <c r="C1879">
        <v>17</v>
      </c>
      <c r="D1879">
        <v>1420</v>
      </c>
      <c r="E1879" t="s">
        <v>238</v>
      </c>
      <c r="F1879" t="s">
        <v>61</v>
      </c>
      <c r="G1879" t="s">
        <v>1200</v>
      </c>
      <c r="H1879">
        <v>2.2478002296665554E-4</v>
      </c>
      <c r="I1879">
        <v>4.9014451182172442E-6</v>
      </c>
      <c r="J1879">
        <v>1.7</v>
      </c>
      <c r="L1879" s="1">
        <v>44197</v>
      </c>
      <c r="M1879" s="1">
        <v>43024</v>
      </c>
      <c r="N1879" s="1"/>
      <c r="R1879">
        <v>3.706938272804329E-2</v>
      </c>
      <c r="T1879" t="s">
        <v>32</v>
      </c>
      <c r="V1879">
        <v>11040388</v>
      </c>
      <c r="W1879" t="s">
        <v>213</v>
      </c>
      <c r="X1879" t="s">
        <v>1201</v>
      </c>
      <c r="Y1879">
        <v>1420</v>
      </c>
      <c r="Z1879" t="s">
        <v>31</v>
      </c>
      <c r="AA1879">
        <v>2.2439707887785684E-4</v>
      </c>
      <c r="AB1879">
        <v>102.8</v>
      </c>
      <c r="AC1879" t="s">
        <v>34</v>
      </c>
      <c r="AE1879" t="s">
        <v>41</v>
      </c>
      <c r="AF1879">
        <v>7.4111791297699348E-3</v>
      </c>
      <c r="AH1879" t="s">
        <v>1183</v>
      </c>
      <c r="AJ1879">
        <v>1.3222354292156209E-4</v>
      </c>
      <c r="AK1879">
        <v>1.3222354292156209E-4</v>
      </c>
      <c r="AL1879">
        <v>0</v>
      </c>
      <c r="AN1879" t="s">
        <v>54</v>
      </c>
      <c r="AQ1879">
        <v>9.7993236176452019E-7</v>
      </c>
    </row>
    <row r="1880" spans="1:43" x14ac:dyDescent="0.2">
      <c r="A1880">
        <v>1878</v>
      </c>
      <c r="B1880">
        <v>154</v>
      </c>
      <c r="C1880">
        <v>17</v>
      </c>
      <c r="D1880">
        <v>1030</v>
      </c>
      <c r="E1880" t="s">
        <v>238</v>
      </c>
      <c r="F1880" t="s">
        <v>61</v>
      </c>
      <c r="G1880" t="s">
        <v>1202</v>
      </c>
      <c r="H1880">
        <v>1.1252902049041601E-4</v>
      </c>
      <c r="I1880">
        <v>3.0448038894679244E-6</v>
      </c>
      <c r="J1880">
        <v>1.37</v>
      </c>
      <c r="L1880" s="1">
        <v>43983</v>
      </c>
      <c r="M1880" s="1">
        <v>43024</v>
      </c>
      <c r="N1880" s="1"/>
      <c r="R1880">
        <v>3.706938272804329E-2</v>
      </c>
      <c r="T1880" t="s">
        <v>32</v>
      </c>
      <c r="V1880">
        <v>6858348</v>
      </c>
      <c r="W1880" t="s">
        <v>213</v>
      </c>
      <c r="X1880" t="s">
        <v>1201</v>
      </c>
      <c r="Y1880">
        <v>1030</v>
      </c>
      <c r="Z1880" t="s">
        <v>31</v>
      </c>
      <c r="AA1880">
        <v>1.3939666405997613E-4</v>
      </c>
      <c r="AB1880">
        <v>102.22</v>
      </c>
      <c r="AC1880" t="s">
        <v>34</v>
      </c>
      <c r="AE1880" t="s">
        <v>41</v>
      </c>
      <c r="AF1880">
        <v>7.8111791297699323E-3</v>
      </c>
      <c r="AH1880" t="s">
        <v>1183</v>
      </c>
      <c r="AJ1880">
        <v>8.2137971160887592E-5</v>
      </c>
      <c r="AK1880">
        <v>8.2137971160887592E-5</v>
      </c>
      <c r="AL1880">
        <v>0</v>
      </c>
      <c r="AN1880" t="s">
        <v>54</v>
      </c>
      <c r="AQ1880">
        <v>6.4159440609356978E-7</v>
      </c>
    </row>
    <row r="1881" spans="1:43" x14ac:dyDescent="0.2">
      <c r="A1881">
        <v>1879</v>
      </c>
      <c r="B1881">
        <v>154</v>
      </c>
      <c r="C1881">
        <v>17</v>
      </c>
      <c r="D1881">
        <v>1700</v>
      </c>
      <c r="E1881" t="s">
        <v>238</v>
      </c>
      <c r="F1881" t="s">
        <v>61</v>
      </c>
      <c r="G1881" t="s">
        <v>1203</v>
      </c>
      <c r="H1881">
        <v>3.8655900089643193E-4</v>
      </c>
      <c r="I1881">
        <v>6.7591997883018225E-6</v>
      </c>
      <c r="J1881">
        <v>2.12</v>
      </c>
      <c r="L1881" s="1">
        <v>44562</v>
      </c>
      <c r="M1881" s="1">
        <v>43024</v>
      </c>
      <c r="N1881" s="1"/>
      <c r="R1881">
        <v>3.706938272804329E-2</v>
      </c>
      <c r="T1881" t="s">
        <v>32</v>
      </c>
      <c r="V1881">
        <v>15224936</v>
      </c>
      <c r="W1881" t="s">
        <v>213</v>
      </c>
      <c r="X1881" t="s">
        <v>1204</v>
      </c>
      <c r="Y1881">
        <v>1700</v>
      </c>
      <c r="Z1881" t="s">
        <v>31</v>
      </c>
      <c r="AA1881">
        <v>3.0944846906669606E-4</v>
      </c>
      <c r="AB1881">
        <v>105.46</v>
      </c>
      <c r="AC1881" t="s">
        <v>34</v>
      </c>
      <c r="AE1881" t="s">
        <v>41</v>
      </c>
      <c r="AF1881">
        <v>1.2011179129769935E-2</v>
      </c>
      <c r="AH1881" t="s">
        <v>1183</v>
      </c>
      <c r="AJ1881">
        <v>1.8233915136624146E-4</v>
      </c>
      <c r="AK1881">
        <v>1.8233915136624146E-4</v>
      </c>
      <c r="AL1881">
        <v>0</v>
      </c>
      <c r="AN1881" t="s">
        <v>54</v>
      </c>
      <c r="AQ1881">
        <v>2.1901082094301606E-6</v>
      </c>
    </row>
    <row r="1882" spans="1:43" x14ac:dyDescent="0.2">
      <c r="A1882">
        <v>1880</v>
      </c>
      <c r="B1882">
        <v>154</v>
      </c>
      <c r="C1882">
        <v>17</v>
      </c>
      <c r="D1882">
        <v>270</v>
      </c>
      <c r="E1882" t="s">
        <v>225</v>
      </c>
      <c r="F1882" t="s">
        <v>61</v>
      </c>
      <c r="G1882" t="s">
        <v>1205</v>
      </c>
      <c r="H1882">
        <v>1.4586303178259956E-4</v>
      </c>
      <c r="I1882">
        <v>1.51034987458713E-6</v>
      </c>
      <c r="J1882">
        <v>3.58</v>
      </c>
      <c r="L1882" s="1">
        <v>45658</v>
      </c>
      <c r="M1882" s="1">
        <v>43024</v>
      </c>
      <c r="N1882" s="1"/>
      <c r="R1882">
        <v>3.706938272804329E-2</v>
      </c>
      <c r="T1882" t="s">
        <v>32</v>
      </c>
      <c r="V1882">
        <v>3402027</v>
      </c>
      <c r="W1882" t="s">
        <v>226</v>
      </c>
      <c r="X1882" t="s">
        <v>1206</v>
      </c>
      <c r="Y1882">
        <v>270</v>
      </c>
      <c r="Z1882" t="s">
        <v>31</v>
      </c>
      <c r="AA1882">
        <v>6.9146566322089286E-5</v>
      </c>
      <c r="AB1882">
        <v>103.64</v>
      </c>
      <c r="AC1882" t="s">
        <v>55</v>
      </c>
      <c r="AE1882" t="s">
        <v>41</v>
      </c>
      <c r="AF1882">
        <v>6.0111791297699363E-3</v>
      </c>
      <c r="AH1882" t="s">
        <v>1183</v>
      </c>
      <c r="AJ1882">
        <v>4.0743863626424456E-5</v>
      </c>
      <c r="AK1882">
        <v>4.0743863626424456E-5</v>
      </c>
      <c r="AL1882">
        <v>0</v>
      </c>
      <c r="AN1882" t="s">
        <v>149</v>
      </c>
      <c r="AQ1882">
        <v>2.4491866269735515E-7</v>
      </c>
    </row>
    <row r="1883" spans="1:43" x14ac:dyDescent="0.2">
      <c r="A1883">
        <v>1881</v>
      </c>
      <c r="B1883">
        <v>154</v>
      </c>
      <c r="C1883">
        <v>17</v>
      </c>
      <c r="D1883">
        <v>80</v>
      </c>
      <c r="E1883" t="s">
        <v>215</v>
      </c>
      <c r="F1883" t="s">
        <v>61</v>
      </c>
      <c r="G1883" t="s">
        <v>1207</v>
      </c>
      <c r="H1883">
        <v>1.2112078687842971E-5</v>
      </c>
      <c r="I1883">
        <v>2.6725433363799253E-7</v>
      </c>
      <c r="J1883">
        <v>1.68</v>
      </c>
      <c r="L1883" s="1">
        <v>44197</v>
      </c>
      <c r="M1883" s="1">
        <v>43024</v>
      </c>
      <c r="N1883" s="1"/>
      <c r="R1883">
        <v>3.706938272804329E-2</v>
      </c>
      <c r="T1883" t="s">
        <v>32</v>
      </c>
      <c r="V1883">
        <v>601984</v>
      </c>
      <c r="W1883" t="s">
        <v>216</v>
      </c>
      <c r="X1883" t="s">
        <v>1208</v>
      </c>
      <c r="Y1883">
        <v>80</v>
      </c>
      <c r="Z1883" t="s">
        <v>31</v>
      </c>
      <c r="AA1883">
        <v>1.2235389836952084E-5</v>
      </c>
      <c r="AB1883">
        <v>105.52</v>
      </c>
      <c r="AC1883" t="s">
        <v>33</v>
      </c>
      <c r="AE1883" t="s">
        <v>41</v>
      </c>
      <c r="AF1883">
        <v>1.2211179129769933E-2</v>
      </c>
      <c r="AH1883" t="s">
        <v>1183</v>
      </c>
      <c r="AJ1883">
        <v>7.2095706475255783E-6</v>
      </c>
      <c r="AK1883">
        <v>7.2095706475255783E-6</v>
      </c>
      <c r="AL1883">
        <v>0</v>
      </c>
      <c r="AN1883" t="s">
        <v>148</v>
      </c>
      <c r="AQ1883">
        <v>8.8037358625666244E-8</v>
      </c>
    </row>
    <row r="1884" spans="1:43" x14ac:dyDescent="0.2">
      <c r="A1884">
        <v>1882</v>
      </c>
      <c r="B1884">
        <v>154</v>
      </c>
      <c r="C1884">
        <v>17</v>
      </c>
      <c r="D1884">
        <v>490</v>
      </c>
      <c r="E1884" t="s">
        <v>215</v>
      </c>
      <c r="F1884" t="s">
        <v>61</v>
      </c>
      <c r="G1884" t="s">
        <v>1209</v>
      </c>
      <c r="H1884">
        <v>6.8155195098290402E-5</v>
      </c>
      <c r="I1884">
        <v>1.5128568934149622E-6</v>
      </c>
      <c r="J1884">
        <v>1.67</v>
      </c>
      <c r="L1884" s="1">
        <v>44197</v>
      </c>
      <c r="M1884" s="1">
        <v>43024</v>
      </c>
      <c r="N1884" s="1"/>
      <c r="R1884">
        <v>3.706938272804329E-2</v>
      </c>
      <c r="T1884" t="s">
        <v>32</v>
      </c>
      <c r="V1884">
        <v>3407674</v>
      </c>
      <c r="W1884" t="s">
        <v>216</v>
      </c>
      <c r="X1884" t="s">
        <v>1208</v>
      </c>
      <c r="Y1884">
        <v>490</v>
      </c>
      <c r="Z1884" t="s">
        <v>31</v>
      </c>
      <c r="AA1884">
        <v>6.926134220717804E-5</v>
      </c>
      <c r="AB1884">
        <v>103.78</v>
      </c>
      <c r="AC1884" t="s">
        <v>33</v>
      </c>
      <c r="AE1884" t="s">
        <v>41</v>
      </c>
      <c r="AF1884">
        <v>1.3011179129769936E-2</v>
      </c>
      <c r="AH1884" t="s">
        <v>1183</v>
      </c>
      <c r="AJ1884">
        <v>4.0811494070832579E-5</v>
      </c>
      <c r="AK1884">
        <v>4.0811494070832579E-5</v>
      </c>
      <c r="AL1884">
        <v>0</v>
      </c>
      <c r="AN1884" t="s">
        <v>148</v>
      </c>
      <c r="AQ1884">
        <v>5.3100565990914637E-7</v>
      </c>
    </row>
    <row r="1885" spans="1:43" x14ac:dyDescent="0.2">
      <c r="A1885">
        <v>1883</v>
      </c>
      <c r="B1885">
        <v>156</v>
      </c>
      <c r="C1885">
        <v>17</v>
      </c>
      <c r="D1885">
        <v>1</v>
      </c>
      <c r="E1885" t="s">
        <v>250</v>
      </c>
      <c r="F1885" t="s">
        <v>61</v>
      </c>
      <c r="G1885" t="s">
        <v>231</v>
      </c>
      <c r="H1885">
        <v>1.0310259333801814E-3</v>
      </c>
      <c r="I1885">
        <v>3.091743411180369E-5</v>
      </c>
      <c r="J1885">
        <v>0.25</v>
      </c>
      <c r="L1885" s="1">
        <v>43116</v>
      </c>
      <c r="M1885" s="1">
        <v>43024</v>
      </c>
      <c r="N1885" s="1"/>
      <c r="R1885">
        <v>7.4967644146549245E-3</v>
      </c>
      <c r="T1885" t="s">
        <v>32</v>
      </c>
      <c r="V1885">
        <v>344353996</v>
      </c>
      <c r="W1885" t="s">
        <v>250</v>
      </c>
      <c r="X1885" t="s">
        <v>258</v>
      </c>
      <c r="Y1885">
        <v>13000</v>
      </c>
      <c r="Z1885" t="s">
        <v>31</v>
      </c>
      <c r="AA1885">
        <v>1.4154564080094746E-3</v>
      </c>
      <c r="AB1885">
        <v>99.355076901841414</v>
      </c>
      <c r="AC1885" t="s">
        <v>52</v>
      </c>
      <c r="AE1885" t="s">
        <v>41</v>
      </c>
      <c r="AF1885">
        <v>1.8111791297699339E-3</v>
      </c>
      <c r="AH1885" t="s">
        <v>209</v>
      </c>
      <c r="AJ1885">
        <v>4.1241037335207256E-3</v>
      </c>
      <c r="AK1885">
        <v>4.1241037335207256E-3</v>
      </c>
      <c r="AL1885">
        <v>0</v>
      </c>
      <c r="AQ1885">
        <v>7.4694906111590035E-6</v>
      </c>
    </row>
    <row r="1886" spans="1:43" x14ac:dyDescent="0.2">
      <c r="A1886">
        <v>1884</v>
      </c>
      <c r="B1886">
        <v>156</v>
      </c>
      <c r="C1886">
        <v>17</v>
      </c>
      <c r="D1886">
        <v>29457403.662078999</v>
      </c>
      <c r="E1886" t="s">
        <v>204</v>
      </c>
      <c r="F1886" t="s">
        <v>61</v>
      </c>
      <c r="G1886" t="s">
        <v>231</v>
      </c>
      <c r="H1886">
        <v>1.0849042486130732E-4</v>
      </c>
      <c r="I1886">
        <v>2.6236359884872344E-6</v>
      </c>
      <c r="J1886">
        <v>0.31</v>
      </c>
      <c r="L1886" s="1">
        <v>43137</v>
      </c>
      <c r="M1886" s="1">
        <v>43024</v>
      </c>
      <c r="N1886" s="1"/>
      <c r="R1886">
        <v>7.4967644146549245E-3</v>
      </c>
      <c r="T1886" t="s">
        <v>32</v>
      </c>
      <c r="V1886">
        <v>29221685.519499999</v>
      </c>
      <c r="W1886" t="s">
        <v>200</v>
      </c>
      <c r="X1886" t="s">
        <v>214</v>
      </c>
      <c r="Y1886">
        <v>29457403.662078999</v>
      </c>
      <c r="Z1886" t="s">
        <v>31</v>
      </c>
      <c r="AA1886">
        <v>1.2011483096427881E-4</v>
      </c>
      <c r="AB1886">
        <v>99.199800005326196</v>
      </c>
      <c r="AC1886" t="s">
        <v>52</v>
      </c>
      <c r="AE1886" t="s">
        <v>41</v>
      </c>
      <c r="AF1886">
        <v>2.1111791297699356E-3</v>
      </c>
      <c r="AH1886" t="s">
        <v>209</v>
      </c>
      <c r="AJ1886">
        <v>3.4996911245583007E-4</v>
      </c>
      <c r="AK1886">
        <v>3.4996911245583007E-4</v>
      </c>
      <c r="AL1886">
        <v>0</v>
      </c>
      <c r="AQ1886">
        <v>7.3884748628085602E-7</v>
      </c>
    </row>
    <row r="1887" spans="1:43" x14ac:dyDescent="0.2">
      <c r="A1887">
        <v>1885</v>
      </c>
      <c r="B1887">
        <v>160</v>
      </c>
      <c r="C1887">
        <v>17</v>
      </c>
      <c r="D1887">
        <v>5310</v>
      </c>
      <c r="E1887" t="s">
        <v>238</v>
      </c>
      <c r="F1887" t="s">
        <v>61</v>
      </c>
      <c r="G1887" t="s">
        <v>1210</v>
      </c>
      <c r="H1887">
        <v>1.4671657445926525E-4</v>
      </c>
      <c r="I1887">
        <v>2.3481246927503507E-6</v>
      </c>
      <c r="J1887">
        <v>0.72</v>
      </c>
      <c r="L1887" s="1">
        <v>43466</v>
      </c>
      <c r="M1887" s="1">
        <v>43024</v>
      </c>
      <c r="N1887" s="1"/>
      <c r="R1887">
        <v>1.1523236451036747E-2</v>
      </c>
      <c r="T1887" t="s">
        <v>32</v>
      </c>
      <c r="V1887">
        <v>17014619</v>
      </c>
      <c r="W1887" t="s">
        <v>213</v>
      </c>
      <c r="X1887" t="s">
        <v>1211</v>
      </c>
      <c r="Y1887">
        <v>5310</v>
      </c>
      <c r="Z1887" t="s">
        <v>31</v>
      </c>
      <c r="AA1887">
        <v>1.0750142237352901E-4</v>
      </c>
      <c r="AB1887">
        <v>101.55</v>
      </c>
      <c r="AC1887" t="s">
        <v>34</v>
      </c>
      <c r="AE1887" t="s">
        <v>41</v>
      </c>
      <c r="AF1887">
        <v>3.1111791297699365E-3</v>
      </c>
      <c r="AH1887" t="s">
        <v>1183</v>
      </c>
      <c r="AJ1887">
        <v>2.0377302008231285E-4</v>
      </c>
      <c r="AK1887">
        <v>2.0377302008231285E-4</v>
      </c>
      <c r="AL1887">
        <v>0</v>
      </c>
      <c r="AN1887" t="s">
        <v>54</v>
      </c>
      <c r="AQ1887">
        <v>6.3397436729028186E-7</v>
      </c>
    </row>
    <row r="1888" spans="1:43" x14ac:dyDescent="0.2">
      <c r="A1888">
        <v>1886</v>
      </c>
      <c r="B1888">
        <v>163</v>
      </c>
      <c r="C1888">
        <v>17</v>
      </c>
      <c r="D1888">
        <v>260</v>
      </c>
      <c r="E1888" t="s">
        <v>204</v>
      </c>
      <c r="F1888" t="s">
        <v>61</v>
      </c>
      <c r="G1888" t="s">
        <v>1212</v>
      </c>
      <c r="H1888">
        <v>3.9395230886224451E-7</v>
      </c>
      <c r="I1888">
        <v>1.2241525424434527E-8</v>
      </c>
      <c r="J1888">
        <v>0.21</v>
      </c>
      <c r="L1888" s="1">
        <v>43101</v>
      </c>
      <c r="M1888" s="1">
        <v>43024</v>
      </c>
      <c r="N1888" s="1"/>
      <c r="R1888">
        <v>6.5254607760914752E-3</v>
      </c>
      <c r="T1888" t="s">
        <v>32</v>
      </c>
      <c r="V1888">
        <v>156639</v>
      </c>
      <c r="W1888" t="s">
        <v>200</v>
      </c>
      <c r="X1888" t="s">
        <v>1213</v>
      </c>
      <c r="Y1888">
        <v>260</v>
      </c>
      <c r="Z1888" t="s">
        <v>31</v>
      </c>
      <c r="AA1888">
        <v>5.6043931534446136E-7</v>
      </c>
      <c r="AB1888">
        <v>100.24</v>
      </c>
      <c r="AC1888" t="s">
        <v>42</v>
      </c>
      <c r="AE1888" t="s">
        <v>41</v>
      </c>
      <c r="AF1888">
        <v>2.0311179129769937E-2</v>
      </c>
      <c r="AH1888" t="s">
        <v>1183</v>
      </c>
      <c r="AJ1888">
        <v>1.8759633755344978E-6</v>
      </c>
      <c r="AK1888">
        <v>1.8759633755344978E-6</v>
      </c>
      <c r="AL1888">
        <v>0</v>
      </c>
      <c r="AN1888" t="s">
        <v>142</v>
      </c>
      <c r="AQ1888">
        <v>3.8103028161369057E-8</v>
      </c>
    </row>
    <row r="1889" spans="1:43" x14ac:dyDescent="0.2">
      <c r="A1889">
        <v>1887</v>
      </c>
      <c r="B1889">
        <v>66</v>
      </c>
      <c r="C1889">
        <v>7</v>
      </c>
      <c r="D1889">
        <v>1900000</v>
      </c>
      <c r="E1889" t="s">
        <v>547</v>
      </c>
      <c r="F1889" t="s">
        <v>53</v>
      </c>
      <c r="G1889" t="s">
        <v>548</v>
      </c>
      <c r="H1889">
        <v>1.8898086300420436E-2</v>
      </c>
      <c r="I1889">
        <v>1.9732647371557472E-4</v>
      </c>
      <c r="J1889">
        <v>3.65</v>
      </c>
      <c r="L1889" s="1">
        <v>44727</v>
      </c>
      <c r="M1889" s="1">
        <v>43024</v>
      </c>
      <c r="N1889" s="1"/>
      <c r="R1889">
        <v>3.8111881680094988E-2</v>
      </c>
      <c r="T1889" t="s">
        <v>30</v>
      </c>
      <c r="V1889">
        <v>726863019</v>
      </c>
      <c r="W1889" t="s">
        <v>549</v>
      </c>
      <c r="X1889" t="s">
        <v>550</v>
      </c>
      <c r="Y1889">
        <v>1900000</v>
      </c>
      <c r="Z1889" t="s">
        <v>31</v>
      </c>
      <c r="AA1889">
        <v>2.6876095366916354E-2</v>
      </c>
      <c r="AB1889">
        <v>108.3368</v>
      </c>
      <c r="AC1889" t="s">
        <v>55</v>
      </c>
      <c r="AE1889" t="s">
        <v>551</v>
      </c>
      <c r="AF1889">
        <v>0</v>
      </c>
      <c r="AH1889" t="s">
        <v>237</v>
      </c>
      <c r="AJ1889">
        <v>5.1775578905261469E-3</v>
      </c>
      <c r="AK1889">
        <v>5.1775578905261469E-3</v>
      </c>
      <c r="AL1889">
        <v>0</v>
      </c>
      <c r="AN1889" t="s">
        <v>149</v>
      </c>
      <c r="AQ1889">
        <v>0</v>
      </c>
    </row>
    <row r="1890" spans="1:43" x14ac:dyDescent="0.2">
      <c r="A1890">
        <v>1888</v>
      </c>
      <c r="B1890">
        <v>124</v>
      </c>
      <c r="C1890">
        <v>7</v>
      </c>
      <c r="F1890" t="s">
        <v>53</v>
      </c>
      <c r="G1890" t="s">
        <v>1633</v>
      </c>
      <c r="I1890">
        <v>1.5071378279802113E-6</v>
      </c>
      <c r="J1890">
        <v>2.3789514943582999</v>
      </c>
      <c r="K1890">
        <v>2.3789514943582999</v>
      </c>
      <c r="L1890" s="1"/>
      <c r="M1890" s="1"/>
      <c r="N1890" s="1">
        <v>43021</v>
      </c>
      <c r="R1890">
        <v>-7.2271191775237292E-5</v>
      </c>
      <c r="S1890">
        <v>-7.2271191775237292E-5</v>
      </c>
      <c r="T1890" t="s">
        <v>32</v>
      </c>
      <c r="U1890" t="s">
        <v>32</v>
      </c>
      <c r="W1890" t="s">
        <v>1634</v>
      </c>
      <c r="Z1890" t="s">
        <v>31</v>
      </c>
      <c r="AA1890">
        <v>2.0527392616496269E-4</v>
      </c>
      <c r="AC1890" t="s">
        <v>146</v>
      </c>
      <c r="AD1890" t="s">
        <v>146</v>
      </c>
      <c r="AE1890" t="s">
        <v>35</v>
      </c>
      <c r="AF1890">
        <v>3.77</v>
      </c>
      <c r="AG1890">
        <v>3.77</v>
      </c>
      <c r="AH1890" t="s">
        <v>237</v>
      </c>
      <c r="AI1890" t="s">
        <v>237</v>
      </c>
      <c r="AJ1890">
        <v>-2.0853922440733998E-2</v>
      </c>
      <c r="AK1890">
        <v>0</v>
      </c>
      <c r="AL1890">
        <v>2.0853922440733998E-2</v>
      </c>
      <c r="AM1890" t="s">
        <v>35</v>
      </c>
      <c r="AN1890" t="s">
        <v>146</v>
      </c>
      <c r="AO1890" t="s">
        <v>146</v>
      </c>
      <c r="AP1890" t="s">
        <v>31</v>
      </c>
    </row>
    <row r="1891" spans="1:43" x14ac:dyDescent="0.2">
      <c r="A1891">
        <v>1889</v>
      </c>
      <c r="B1891">
        <v>123</v>
      </c>
      <c r="C1891">
        <v>7</v>
      </c>
      <c r="F1891" t="s">
        <v>53</v>
      </c>
      <c r="G1891" t="s">
        <v>1635</v>
      </c>
      <c r="I1891">
        <v>-3.9649069727145318E-6</v>
      </c>
      <c r="J1891">
        <v>1.2323352931706</v>
      </c>
      <c r="K1891">
        <v>1.2323352931706</v>
      </c>
      <c r="L1891" s="1"/>
      <c r="M1891" s="1"/>
      <c r="N1891" s="1">
        <v>43021</v>
      </c>
      <c r="R1891">
        <v>5.0639619545030578E-4</v>
      </c>
      <c r="S1891">
        <v>5.0639619545030578E-4</v>
      </c>
      <c r="T1891" t="s">
        <v>32</v>
      </c>
      <c r="U1891" t="s">
        <v>32</v>
      </c>
      <c r="AA1891">
        <v>-5.4002494400839549E-4</v>
      </c>
      <c r="AC1891" t="s">
        <v>146</v>
      </c>
      <c r="AD1891" t="s">
        <v>146</v>
      </c>
      <c r="AF1891">
        <v>3.83</v>
      </c>
      <c r="AG1891">
        <v>3.83</v>
      </c>
      <c r="AH1891" t="s">
        <v>237</v>
      </c>
      <c r="AI1891" t="s">
        <v>237</v>
      </c>
      <c r="AJ1891">
        <v>-7.8296539514654002E-3</v>
      </c>
      <c r="AK1891">
        <v>0</v>
      </c>
      <c r="AL1891">
        <v>7.8296539514654002E-3</v>
      </c>
      <c r="AN1891" t="s">
        <v>146</v>
      </c>
      <c r="AO1891" t="s">
        <v>146</v>
      </c>
    </row>
    <row r="1892" spans="1:43" x14ac:dyDescent="0.2">
      <c r="A1892">
        <v>1890</v>
      </c>
      <c r="B1892">
        <v>125</v>
      </c>
      <c r="C1892">
        <v>7</v>
      </c>
      <c r="F1892" t="s">
        <v>53</v>
      </c>
      <c r="G1892" t="s">
        <v>1636</v>
      </c>
      <c r="I1892">
        <v>5.9689707926226826E-5</v>
      </c>
      <c r="J1892">
        <v>4.6154305751948002</v>
      </c>
      <c r="K1892">
        <v>4.6154305751948002</v>
      </c>
      <c r="L1892" s="1"/>
      <c r="M1892" s="1"/>
      <c r="N1892" s="1">
        <v>43021</v>
      </c>
      <c r="R1892">
        <v>-5.390913301407738E-3</v>
      </c>
      <c r="S1892">
        <v>-5.390913301407738E-3</v>
      </c>
      <c r="T1892" t="s">
        <v>32</v>
      </c>
      <c r="U1892" t="s">
        <v>32</v>
      </c>
      <c r="W1892" t="s">
        <v>1634</v>
      </c>
      <c r="Z1892" t="s">
        <v>31</v>
      </c>
      <c r="AA1892">
        <v>8.129807685921444E-3</v>
      </c>
      <c r="AC1892" t="s">
        <v>146</v>
      </c>
      <c r="AD1892" t="s">
        <v>146</v>
      </c>
      <c r="AE1892" t="s">
        <v>35</v>
      </c>
      <c r="AF1892">
        <v>4.07</v>
      </c>
      <c r="AG1892">
        <v>4.07</v>
      </c>
      <c r="AH1892" t="s">
        <v>237</v>
      </c>
      <c r="AI1892" t="s">
        <v>237</v>
      </c>
      <c r="AJ1892">
        <v>-1.1072281186685001E-2</v>
      </c>
      <c r="AK1892">
        <v>0</v>
      </c>
      <c r="AL1892">
        <v>1.1072281186685001E-2</v>
      </c>
      <c r="AM1892" t="s">
        <v>35</v>
      </c>
      <c r="AN1892" t="s">
        <v>146</v>
      </c>
      <c r="AO1892" t="s">
        <v>146</v>
      </c>
      <c r="AP1892" t="s">
        <v>31</v>
      </c>
    </row>
    <row r="1893" spans="1:43" x14ac:dyDescent="0.2">
      <c r="A1893">
        <v>1891</v>
      </c>
      <c r="B1893">
        <v>102</v>
      </c>
      <c r="C1893">
        <v>7</v>
      </c>
      <c r="D1893">
        <v>100000</v>
      </c>
      <c r="E1893" t="s">
        <v>420</v>
      </c>
      <c r="F1893" t="s">
        <v>53</v>
      </c>
      <c r="G1893" t="s">
        <v>779</v>
      </c>
      <c r="H1893">
        <v>0.16969982964823571</v>
      </c>
      <c r="I1893">
        <v>1.7099413741699648E-4</v>
      </c>
      <c r="J1893">
        <v>8.15</v>
      </c>
      <c r="L1893" s="1">
        <v>48458</v>
      </c>
      <c r="M1893" s="1">
        <v>43024</v>
      </c>
      <c r="N1893" s="1"/>
      <c r="R1893">
        <v>8.2121603942518166E-3</v>
      </c>
      <c r="T1893" t="s">
        <v>32</v>
      </c>
      <c r="V1893">
        <v>2923152061</v>
      </c>
      <c r="W1893" t="s">
        <v>421</v>
      </c>
      <c r="X1893" t="s">
        <v>422</v>
      </c>
      <c r="Y1893">
        <v>100000</v>
      </c>
      <c r="Z1893" t="s">
        <v>31</v>
      </c>
      <c r="AA1893">
        <v>2.3289600517703207E-2</v>
      </c>
      <c r="AB1893">
        <v>109.14</v>
      </c>
      <c r="AC1893" t="s">
        <v>34</v>
      </c>
      <c r="AE1893" t="s">
        <v>35</v>
      </c>
      <c r="AF1893">
        <v>3.2111791297699359E-3</v>
      </c>
      <c r="AH1893" t="s">
        <v>237</v>
      </c>
      <c r="AJ1893">
        <v>2.0822064987513583E-2</v>
      </c>
      <c r="AK1893">
        <v>2.0822064987513583E-2</v>
      </c>
      <c r="AL1893">
        <v>0</v>
      </c>
      <c r="AN1893" t="s">
        <v>54</v>
      </c>
      <c r="AQ1893">
        <v>6.6863380526616917E-5</v>
      </c>
    </row>
    <row r="1894" spans="1:43" x14ac:dyDescent="0.2">
      <c r="A1894">
        <v>1892</v>
      </c>
      <c r="B1894">
        <v>90</v>
      </c>
      <c r="C1894">
        <v>7</v>
      </c>
      <c r="D1894">
        <v>70000</v>
      </c>
      <c r="E1894" t="s">
        <v>1731</v>
      </c>
      <c r="F1894" t="s">
        <v>53</v>
      </c>
      <c r="G1894" t="s">
        <v>1732</v>
      </c>
      <c r="H1894">
        <v>8.5783282277678091E-2</v>
      </c>
      <c r="I1894">
        <v>-6.114259417566497E-6</v>
      </c>
      <c r="J1894">
        <v>5.75</v>
      </c>
      <c r="K1894">
        <v>5.7605946209734</v>
      </c>
      <c r="L1894" s="1">
        <v>45823</v>
      </c>
      <c r="M1894" s="1">
        <v>43024</v>
      </c>
      <c r="N1894" s="1">
        <v>43021</v>
      </c>
      <c r="R1894">
        <v>1.2063470945976875E-3</v>
      </c>
      <c r="S1894">
        <v>1.2063470945976875E-3</v>
      </c>
      <c r="T1894" t="s">
        <v>32</v>
      </c>
      <c r="U1894" t="s">
        <v>32</v>
      </c>
      <c r="V1894">
        <v>2094413482</v>
      </c>
      <c r="W1894" t="s">
        <v>1733</v>
      </c>
      <c r="X1894" t="s">
        <v>1734</v>
      </c>
      <c r="Y1894">
        <v>70000</v>
      </c>
      <c r="Z1894" t="s">
        <v>31</v>
      </c>
      <c r="AA1894">
        <v>-8.3276924839514562E-4</v>
      </c>
      <c r="AB1894">
        <v>110.45</v>
      </c>
      <c r="AC1894" t="s">
        <v>55</v>
      </c>
      <c r="AD1894" t="s">
        <v>55</v>
      </c>
      <c r="AE1894" t="s">
        <v>1708</v>
      </c>
      <c r="AF1894">
        <v>6.8111791297699349E-3</v>
      </c>
      <c r="AG1894">
        <v>3.04</v>
      </c>
      <c r="AH1894" t="s">
        <v>237</v>
      </c>
      <c r="AI1894" t="s">
        <v>237</v>
      </c>
      <c r="AJ1894">
        <v>-5.0684081264402436E-3</v>
      </c>
      <c r="AK1894">
        <v>1.4918831700465755E-2</v>
      </c>
      <c r="AL1894">
        <v>1.9987239826905999E-2</v>
      </c>
      <c r="AM1894" t="s">
        <v>1708</v>
      </c>
      <c r="AN1894" t="s">
        <v>149</v>
      </c>
      <c r="AO1894" t="s">
        <v>55</v>
      </c>
      <c r="AP1894" t="s">
        <v>31</v>
      </c>
      <c r="AQ1894">
        <v>1.0161483511876247E-4</v>
      </c>
    </row>
    <row r="1895" spans="1:43" x14ac:dyDescent="0.2">
      <c r="A1895">
        <v>1893</v>
      </c>
      <c r="B1895">
        <v>91</v>
      </c>
      <c r="C1895">
        <v>7</v>
      </c>
      <c r="F1895" t="s">
        <v>53</v>
      </c>
      <c r="G1895" t="s">
        <v>1637</v>
      </c>
      <c r="I1895">
        <v>-1.579348799188841E-4</v>
      </c>
      <c r="J1895">
        <v>10.496205054566</v>
      </c>
      <c r="K1895">
        <v>10.496205054566</v>
      </c>
      <c r="L1895" s="1"/>
      <c r="M1895" s="1"/>
      <c r="N1895" s="1">
        <v>43021</v>
      </c>
      <c r="R1895">
        <v>6.3056678853169604E-3</v>
      </c>
      <c r="S1895">
        <v>6.3056678853169604E-3</v>
      </c>
      <c r="T1895" t="s">
        <v>32</v>
      </c>
      <c r="U1895" t="s">
        <v>32</v>
      </c>
      <c r="AA1895">
        <v>-2.1510914448208605E-2</v>
      </c>
      <c r="AC1895" t="s">
        <v>55</v>
      </c>
      <c r="AD1895" t="s">
        <v>55</v>
      </c>
      <c r="AF1895">
        <v>3.54</v>
      </c>
      <c r="AG1895">
        <v>3.54</v>
      </c>
      <c r="AH1895" t="s">
        <v>237</v>
      </c>
      <c r="AI1895" t="s">
        <v>237</v>
      </c>
      <c r="AJ1895">
        <v>-2.5046495120150999E-2</v>
      </c>
      <c r="AK1895">
        <v>0</v>
      </c>
      <c r="AL1895">
        <v>2.5046495120150999E-2</v>
      </c>
      <c r="AN1895" t="s">
        <v>55</v>
      </c>
      <c r="AO1895" t="s">
        <v>55</v>
      </c>
    </row>
    <row r="1896" spans="1:43" x14ac:dyDescent="0.2">
      <c r="A1896">
        <v>1894</v>
      </c>
      <c r="B1896">
        <v>98</v>
      </c>
      <c r="C1896">
        <v>7</v>
      </c>
      <c r="D1896">
        <v>30000</v>
      </c>
      <c r="E1896" t="s">
        <v>780</v>
      </c>
      <c r="F1896" t="s">
        <v>53</v>
      </c>
      <c r="G1896" t="s">
        <v>781</v>
      </c>
      <c r="H1896">
        <v>2.4026435276657074E-2</v>
      </c>
      <c r="I1896">
        <v>1.8042153633985167E-5</v>
      </c>
      <c r="J1896">
        <v>3.85</v>
      </c>
      <c r="L1896" s="1">
        <v>45656</v>
      </c>
      <c r="M1896" s="1">
        <v>43024</v>
      </c>
      <c r="N1896" s="1"/>
      <c r="R1896">
        <v>2.8910777104887092E-3</v>
      </c>
      <c r="T1896" t="s">
        <v>32</v>
      </c>
      <c r="V1896">
        <v>876105126</v>
      </c>
      <c r="W1896" t="s">
        <v>1711</v>
      </c>
      <c r="X1896" t="s">
        <v>783</v>
      </c>
      <c r="Y1896">
        <v>30000</v>
      </c>
      <c r="Z1896" t="s">
        <v>31</v>
      </c>
      <c r="AA1896">
        <v>2.457362322252197E-3</v>
      </c>
      <c r="AB1896">
        <v>115</v>
      </c>
      <c r="AC1896" t="s">
        <v>42</v>
      </c>
      <c r="AE1896" t="s">
        <v>1708</v>
      </c>
      <c r="AF1896">
        <v>-4.9888208702300665E-3</v>
      </c>
      <c r="AH1896" t="s">
        <v>237</v>
      </c>
      <c r="AJ1896">
        <v>6.2406325393914476E-3</v>
      </c>
      <c r="AK1896">
        <v>6.2406325393914476E-3</v>
      </c>
      <c r="AL1896">
        <v>0</v>
      </c>
      <c r="AN1896" t="s">
        <v>142</v>
      </c>
      <c r="AQ1896">
        <v>-3.113339785595291E-5</v>
      </c>
    </row>
    <row r="1897" spans="1:43" x14ac:dyDescent="0.2">
      <c r="A1897">
        <v>1895</v>
      </c>
      <c r="B1897">
        <v>102</v>
      </c>
      <c r="C1897">
        <v>7</v>
      </c>
      <c r="D1897">
        <v>12500</v>
      </c>
      <c r="E1897" t="s">
        <v>454</v>
      </c>
      <c r="F1897" t="s">
        <v>53</v>
      </c>
      <c r="G1897" t="s">
        <v>792</v>
      </c>
      <c r="H1897">
        <v>2.1610912793984943E-2</v>
      </c>
      <c r="I1897">
        <v>2.177574013869853E-5</v>
      </c>
      <c r="J1897">
        <v>8.15</v>
      </c>
      <c r="L1897" s="1">
        <v>48533</v>
      </c>
      <c r="M1897" s="1">
        <v>43024</v>
      </c>
      <c r="N1897" s="1"/>
      <c r="R1897">
        <v>8.2121603942518166E-3</v>
      </c>
      <c r="T1897" t="s">
        <v>32</v>
      </c>
      <c r="V1897">
        <v>372257205</v>
      </c>
      <c r="W1897" t="s">
        <v>456</v>
      </c>
      <c r="X1897" t="s">
        <v>457</v>
      </c>
      <c r="Y1897">
        <v>12500</v>
      </c>
      <c r="Z1897" t="s">
        <v>31</v>
      </c>
      <c r="AA1897">
        <v>2.9658811493100596E-3</v>
      </c>
      <c r="AB1897">
        <v>109.86</v>
      </c>
      <c r="AC1897" t="s">
        <v>34</v>
      </c>
      <c r="AE1897" t="s">
        <v>177</v>
      </c>
      <c r="AF1897">
        <v>4.3111791297699362E-3</v>
      </c>
      <c r="AH1897" t="s">
        <v>237</v>
      </c>
      <c r="AJ1897">
        <v>2.6516457415932445E-3</v>
      </c>
      <c r="AK1897">
        <v>2.6516457415932445E-3</v>
      </c>
      <c r="AL1897">
        <v>0</v>
      </c>
      <c r="AN1897" t="s">
        <v>54</v>
      </c>
      <c r="AQ1897">
        <v>1.1431719780700121E-5</v>
      </c>
    </row>
    <row r="1898" spans="1:43" x14ac:dyDescent="0.2">
      <c r="A1898">
        <v>1896</v>
      </c>
      <c r="B1898">
        <v>102</v>
      </c>
      <c r="C1898">
        <v>7</v>
      </c>
      <c r="D1898">
        <v>25000</v>
      </c>
      <c r="E1898" t="s">
        <v>454</v>
      </c>
      <c r="F1898" t="s">
        <v>53</v>
      </c>
      <c r="G1898" t="s">
        <v>793</v>
      </c>
      <c r="H1898">
        <v>3.7805782205105214E-2</v>
      </c>
      <c r="I1898">
        <v>3.8234870356955066E-5</v>
      </c>
      <c r="J1898">
        <v>8.1199999999999992</v>
      </c>
      <c r="L1898" s="1">
        <v>46341</v>
      </c>
      <c r="M1898" s="1">
        <v>43024</v>
      </c>
      <c r="N1898" s="1"/>
      <c r="R1898">
        <v>8.2121603942518166E-3</v>
      </c>
      <c r="T1898" t="s">
        <v>32</v>
      </c>
      <c r="V1898">
        <v>653626737</v>
      </c>
      <c r="W1898" t="s">
        <v>456</v>
      </c>
      <c r="X1898" t="s">
        <v>457</v>
      </c>
      <c r="Y1898">
        <v>25000</v>
      </c>
      <c r="Z1898" t="s">
        <v>31</v>
      </c>
      <c r="AA1898">
        <v>5.2076338400309638E-3</v>
      </c>
      <c r="AB1898">
        <v>97.09</v>
      </c>
      <c r="AC1898" t="s">
        <v>34</v>
      </c>
      <c r="AE1898" t="s">
        <v>177</v>
      </c>
      <c r="AF1898">
        <v>4.1111791297699339E-3</v>
      </c>
      <c r="AH1898" t="s">
        <v>237</v>
      </c>
      <c r="AJ1898">
        <v>4.6558845080178837E-3</v>
      </c>
      <c r="AK1898">
        <v>4.6558845080178837E-3</v>
      </c>
      <c r="AL1898">
        <v>0</v>
      </c>
      <c r="AN1898" t="s">
        <v>54</v>
      </c>
      <c r="AQ1898">
        <v>1.914117521998228E-5</v>
      </c>
    </row>
    <row r="1899" spans="1:43" x14ac:dyDescent="0.2">
      <c r="A1899">
        <v>1897</v>
      </c>
      <c r="B1899">
        <v>90</v>
      </c>
      <c r="C1899">
        <v>7</v>
      </c>
      <c r="D1899">
        <v>120000</v>
      </c>
      <c r="E1899" t="s">
        <v>1025</v>
      </c>
      <c r="F1899" t="s">
        <v>53</v>
      </c>
      <c r="G1899" t="s">
        <v>1026</v>
      </c>
      <c r="H1899">
        <v>0.1341718754104845</v>
      </c>
      <c r="I1899">
        <v>-1.053930245477314E-6</v>
      </c>
      <c r="J1899">
        <v>5.72</v>
      </c>
      <c r="K1899">
        <v>5.7270956590128002</v>
      </c>
      <c r="L1899" s="1">
        <v>47102</v>
      </c>
      <c r="M1899" s="1">
        <v>43024</v>
      </c>
      <c r="N1899" s="1">
        <v>43021</v>
      </c>
      <c r="R1899">
        <v>1.2063470945976875E-3</v>
      </c>
      <c r="S1899">
        <v>1.2063470945976875E-3</v>
      </c>
      <c r="T1899" t="s">
        <v>32</v>
      </c>
      <c r="U1899" t="s">
        <v>32</v>
      </c>
      <c r="V1899">
        <v>3293010167</v>
      </c>
      <c r="W1899" t="s">
        <v>782</v>
      </c>
      <c r="X1899" t="s">
        <v>1027</v>
      </c>
      <c r="Y1899">
        <v>120000</v>
      </c>
      <c r="Z1899" t="s">
        <v>31</v>
      </c>
      <c r="AA1899">
        <v>-1.4354652598897659E-4</v>
      </c>
      <c r="AB1899">
        <v>116.26</v>
      </c>
      <c r="AC1899" t="s">
        <v>55</v>
      </c>
      <c r="AD1899" t="s">
        <v>55</v>
      </c>
      <c r="AE1899" t="s">
        <v>1708</v>
      </c>
      <c r="AF1899">
        <v>1.3111791297699335E-3</v>
      </c>
      <c r="AG1899">
        <v>2.4900000000000002</v>
      </c>
      <c r="AH1899" t="s">
        <v>237</v>
      </c>
      <c r="AI1899" t="s">
        <v>237</v>
      </c>
      <c r="AJ1899">
        <v>-8.7365423284647276E-4</v>
      </c>
      <c r="AK1899">
        <v>2.3456621575259528E-2</v>
      </c>
      <c r="AL1899">
        <v>2.4330275808106001E-2</v>
      </c>
      <c r="AM1899" t="s">
        <v>1708</v>
      </c>
      <c r="AN1899" t="s">
        <v>149</v>
      </c>
      <c r="AO1899" t="s">
        <v>55</v>
      </c>
      <c r="AP1899" t="s">
        <v>31</v>
      </c>
      <c r="AQ1899">
        <v>3.0755832664391436E-5</v>
      </c>
    </row>
    <row r="1900" spans="1:43" x14ac:dyDescent="0.2">
      <c r="A1900">
        <v>1898</v>
      </c>
      <c r="B1900">
        <v>102</v>
      </c>
      <c r="C1900">
        <v>7</v>
      </c>
      <c r="D1900">
        <v>46000</v>
      </c>
      <c r="E1900" t="s">
        <v>794</v>
      </c>
      <c r="F1900" t="s">
        <v>53</v>
      </c>
      <c r="G1900" t="s">
        <v>795</v>
      </c>
      <c r="H1900">
        <v>7.6809660012164813E-2</v>
      </c>
      <c r="I1900">
        <v>8.3546125542761248E-5</v>
      </c>
      <c r="J1900">
        <v>7.55</v>
      </c>
      <c r="L1900" s="1">
        <v>48563</v>
      </c>
      <c r="M1900" s="1">
        <v>43024</v>
      </c>
      <c r="N1900" s="1"/>
      <c r="R1900">
        <v>8.2121603942518166E-3</v>
      </c>
      <c r="T1900" t="s">
        <v>32</v>
      </c>
      <c r="V1900">
        <v>1428224574</v>
      </c>
      <c r="W1900" t="s">
        <v>796</v>
      </c>
      <c r="X1900" t="s">
        <v>797</v>
      </c>
      <c r="Y1900">
        <v>46000</v>
      </c>
      <c r="Z1900" t="s">
        <v>31</v>
      </c>
      <c r="AA1900">
        <v>1.1379079529187328E-2</v>
      </c>
      <c r="AB1900">
        <v>114.66</v>
      </c>
      <c r="AC1900" t="s">
        <v>34</v>
      </c>
      <c r="AE1900" t="s">
        <v>38</v>
      </c>
      <c r="AF1900">
        <v>4.2111791297699333E-3</v>
      </c>
      <c r="AH1900" t="s">
        <v>237</v>
      </c>
      <c r="AJ1900">
        <v>1.0173464902273485E-2</v>
      </c>
      <c r="AK1900">
        <v>1.0173464902273485E-2</v>
      </c>
      <c r="AL1900">
        <v>0</v>
      </c>
      <c r="AN1900" t="s">
        <v>54</v>
      </c>
      <c r="AQ1900">
        <v>4.2842283073901017E-5</v>
      </c>
    </row>
    <row r="1901" spans="1:43" x14ac:dyDescent="0.2">
      <c r="A1901">
        <v>1899</v>
      </c>
      <c r="B1901">
        <v>102</v>
      </c>
      <c r="C1901">
        <v>7</v>
      </c>
      <c r="D1901">
        <v>24500</v>
      </c>
      <c r="E1901" t="s">
        <v>320</v>
      </c>
      <c r="F1901" t="s">
        <v>53</v>
      </c>
      <c r="G1901" t="s">
        <v>798</v>
      </c>
      <c r="H1901">
        <v>1.6719336280225348E-2</v>
      </c>
      <c r="I1901">
        <v>2.5332448564325479E-5</v>
      </c>
      <c r="J1901">
        <v>5.42</v>
      </c>
      <c r="L1901" s="1">
        <v>47240</v>
      </c>
      <c r="M1901" s="1">
        <v>43024</v>
      </c>
      <c r="N1901" s="1"/>
      <c r="R1901">
        <v>8.2121603942518166E-3</v>
      </c>
      <c r="T1901" t="s">
        <v>32</v>
      </c>
      <c r="V1901">
        <v>433059287</v>
      </c>
      <c r="W1901" t="s">
        <v>321</v>
      </c>
      <c r="X1901" t="s">
        <v>799</v>
      </c>
      <c r="Y1901">
        <v>24500</v>
      </c>
      <c r="Z1901" t="s">
        <v>31</v>
      </c>
      <c r="AA1901">
        <v>3.4503089761471636E-3</v>
      </c>
      <c r="AB1901">
        <v>103.45</v>
      </c>
      <c r="AC1901" t="s">
        <v>34</v>
      </c>
      <c r="AE1901" t="s">
        <v>40</v>
      </c>
      <c r="AF1901">
        <v>2.4111791297699338E-3</v>
      </c>
      <c r="AH1901" t="s">
        <v>237</v>
      </c>
      <c r="AJ1901">
        <v>3.0847483911854885E-3</v>
      </c>
      <c r="AK1901">
        <v>3.0847483911854885E-3</v>
      </c>
      <c r="AL1901">
        <v>0</v>
      </c>
      <c r="AN1901" t="s">
        <v>54</v>
      </c>
      <c r="AQ1901">
        <v>7.4378809414178293E-6</v>
      </c>
    </row>
    <row r="1902" spans="1:43" x14ac:dyDescent="0.2">
      <c r="A1902">
        <v>1900</v>
      </c>
      <c r="B1902">
        <v>107</v>
      </c>
      <c r="C1902">
        <v>7</v>
      </c>
      <c r="D1902">
        <v>300000000</v>
      </c>
      <c r="E1902" t="s">
        <v>320</v>
      </c>
      <c r="F1902" t="s">
        <v>53</v>
      </c>
      <c r="G1902" t="s">
        <v>528</v>
      </c>
      <c r="H1902">
        <v>2.4300036536874037E-3</v>
      </c>
      <c r="I1902">
        <v>4.0936292552881809E-6</v>
      </c>
      <c r="J1902">
        <v>1.42</v>
      </c>
      <c r="L1902" s="1">
        <v>43931</v>
      </c>
      <c r="M1902" s="1">
        <v>43024</v>
      </c>
      <c r="N1902" s="1"/>
      <c r="R1902">
        <v>2.3921583548602333E-3</v>
      </c>
      <c r="T1902" t="s">
        <v>39</v>
      </c>
      <c r="V1902">
        <v>240240483</v>
      </c>
      <c r="W1902" t="s">
        <v>321</v>
      </c>
      <c r="X1902" t="s">
        <v>529</v>
      </c>
      <c r="Y1902">
        <v>300000000</v>
      </c>
      <c r="Z1902" t="s">
        <v>31</v>
      </c>
      <c r="AA1902">
        <v>5.5755706870081324E-4</v>
      </c>
      <c r="AB1902">
        <v>103.34</v>
      </c>
      <c r="AC1902" t="s">
        <v>34</v>
      </c>
      <c r="AE1902" t="s">
        <v>40</v>
      </c>
      <c r="AF1902">
        <v>4.0399999999999998E-2</v>
      </c>
      <c r="AH1902" t="s">
        <v>237</v>
      </c>
      <c r="AJ1902">
        <v>1.7112701786531014E-3</v>
      </c>
      <c r="AK1902">
        <v>1.7112701786531014E-3</v>
      </c>
      <c r="AL1902">
        <v>0</v>
      </c>
      <c r="AN1902" t="s">
        <v>54</v>
      </c>
      <c r="AQ1902">
        <v>6.9135315217585291E-5</v>
      </c>
    </row>
    <row r="1903" spans="1:43" x14ac:dyDescent="0.2">
      <c r="A1903">
        <v>1901</v>
      </c>
      <c r="B1903">
        <v>102</v>
      </c>
      <c r="C1903">
        <v>7</v>
      </c>
      <c r="D1903">
        <v>20000</v>
      </c>
      <c r="E1903" t="s">
        <v>320</v>
      </c>
      <c r="F1903" t="s">
        <v>53</v>
      </c>
      <c r="G1903" t="s">
        <v>1081</v>
      </c>
      <c r="H1903">
        <v>4.6323452029687573E-2</v>
      </c>
      <c r="I1903">
        <v>3.4489176616792773E-5</v>
      </c>
      <c r="J1903">
        <v>11.03</v>
      </c>
      <c r="L1903" s="1">
        <v>49044</v>
      </c>
      <c r="M1903" s="1">
        <v>43024</v>
      </c>
      <c r="N1903" s="1"/>
      <c r="R1903">
        <v>8.2121603942518166E-3</v>
      </c>
      <c r="T1903" t="s">
        <v>32</v>
      </c>
      <c r="V1903">
        <v>589593943</v>
      </c>
      <c r="W1903" t="s">
        <v>321</v>
      </c>
      <c r="X1903" t="s">
        <v>529</v>
      </c>
      <c r="Y1903">
        <v>20000</v>
      </c>
      <c r="Z1903" t="s">
        <v>31</v>
      </c>
      <c r="AA1903">
        <v>4.6974659934146601E-3</v>
      </c>
      <c r="AB1903">
        <v>108.46</v>
      </c>
      <c r="AC1903" t="s">
        <v>34</v>
      </c>
      <c r="AE1903" t="s">
        <v>40</v>
      </c>
      <c r="AF1903">
        <v>6.7111791297699355E-3</v>
      </c>
      <c r="AH1903" t="s">
        <v>237</v>
      </c>
      <c r="AJ1903">
        <v>4.1997689963452021E-3</v>
      </c>
      <c r="AK1903">
        <v>4.1997689963452021E-3</v>
      </c>
      <c r="AL1903">
        <v>0</v>
      </c>
      <c r="AN1903" t="s">
        <v>54</v>
      </c>
      <c r="AQ1903">
        <v>2.818540203812675E-5</v>
      </c>
    </row>
    <row r="1904" spans="1:43" x14ac:dyDescent="0.2">
      <c r="A1904">
        <v>1902</v>
      </c>
      <c r="B1904">
        <v>99</v>
      </c>
      <c r="C1904">
        <v>7</v>
      </c>
      <c r="D1904">
        <v>36000</v>
      </c>
      <c r="E1904" t="s">
        <v>320</v>
      </c>
      <c r="F1904" t="s">
        <v>53</v>
      </c>
      <c r="G1904" t="s">
        <v>800</v>
      </c>
      <c r="H1904">
        <v>2.853173364881112E-2</v>
      </c>
      <c r="I1904">
        <v>1.8821932386776929E-5</v>
      </c>
      <c r="J1904">
        <v>4.12</v>
      </c>
      <c r="L1904" s="1">
        <v>45261</v>
      </c>
      <c r="M1904" s="1">
        <v>43024</v>
      </c>
      <c r="N1904" s="1"/>
      <c r="R1904">
        <v>2.7178986874059861E-3</v>
      </c>
      <c r="T1904" t="s">
        <v>32</v>
      </c>
      <c r="V1904">
        <v>972206578</v>
      </c>
      <c r="W1904" t="s">
        <v>321</v>
      </c>
      <c r="X1904" t="s">
        <v>529</v>
      </c>
      <c r="Y1904">
        <v>36000</v>
      </c>
      <c r="Z1904" t="s">
        <v>31</v>
      </c>
      <c r="AA1904">
        <v>2.5635690958822491E-3</v>
      </c>
      <c r="AB1904">
        <v>100.36</v>
      </c>
      <c r="AC1904" t="s">
        <v>34</v>
      </c>
      <c r="AE1904" t="s">
        <v>40</v>
      </c>
      <c r="AF1904">
        <v>5.1117912976993488E-4</v>
      </c>
      <c r="AH1904" t="s">
        <v>237</v>
      </c>
      <c r="AJ1904">
        <v>6.9251780700997859E-3</v>
      </c>
      <c r="AK1904">
        <v>6.9251780700997859E-3</v>
      </c>
      <c r="AL1904">
        <v>0</v>
      </c>
      <c r="AN1904" t="s">
        <v>54</v>
      </c>
      <c r="AQ1904">
        <v>3.5400064993754456E-6</v>
      </c>
    </row>
    <row r="1905" spans="1:43" x14ac:dyDescent="0.2">
      <c r="A1905">
        <v>1903</v>
      </c>
      <c r="B1905">
        <v>99</v>
      </c>
      <c r="C1905">
        <v>7</v>
      </c>
      <c r="D1905">
        <v>40000</v>
      </c>
      <c r="E1905" t="s">
        <v>505</v>
      </c>
      <c r="F1905" t="s">
        <v>53</v>
      </c>
      <c r="G1905" t="s">
        <v>807</v>
      </c>
      <c r="H1905">
        <v>3.4513017667044336E-2</v>
      </c>
      <c r="I1905">
        <v>2.0798865945826922E-5</v>
      </c>
      <c r="J1905">
        <v>4.51</v>
      </c>
      <c r="L1905" s="1">
        <v>44774</v>
      </c>
      <c r="M1905" s="1">
        <v>43024</v>
      </c>
      <c r="N1905" s="1"/>
      <c r="R1905">
        <v>2.7178986874059861E-3</v>
      </c>
      <c r="T1905" t="s">
        <v>32</v>
      </c>
      <c r="V1905">
        <v>1074320844</v>
      </c>
      <c r="W1905" t="s">
        <v>206</v>
      </c>
      <c r="X1905" t="s">
        <v>507</v>
      </c>
      <c r="Y1905">
        <v>40000</v>
      </c>
      <c r="Z1905" t="s">
        <v>31</v>
      </c>
      <c r="AA1905">
        <v>2.8328297473631525E-3</v>
      </c>
      <c r="AB1905">
        <v>100.2</v>
      </c>
      <c r="AC1905" t="s">
        <v>36</v>
      </c>
      <c r="AE1905" t="s">
        <v>41</v>
      </c>
      <c r="AF1905">
        <v>2.1111791297699356E-3</v>
      </c>
      <c r="AH1905" t="s">
        <v>237</v>
      </c>
      <c r="AJ1905">
        <v>7.6525538064399863E-3</v>
      </c>
      <c r="AK1905">
        <v>7.6525538064399863E-3</v>
      </c>
      <c r="AL1905">
        <v>0</v>
      </c>
      <c r="AN1905" t="s">
        <v>150</v>
      </c>
      <c r="AQ1905">
        <v>1.6155911885597577E-5</v>
      </c>
    </row>
    <row r="1906" spans="1:43" x14ac:dyDescent="0.2">
      <c r="A1906">
        <v>1904</v>
      </c>
      <c r="B1906">
        <v>107</v>
      </c>
      <c r="C1906">
        <v>7</v>
      </c>
      <c r="D1906">
        <v>1325000000</v>
      </c>
      <c r="E1906" t="s">
        <v>809</v>
      </c>
      <c r="F1906" t="s">
        <v>53</v>
      </c>
      <c r="G1906" t="s">
        <v>810</v>
      </c>
      <c r="H1906">
        <v>6.7611067649820077E-3</v>
      </c>
      <c r="I1906">
        <v>1.4975590774031252E-5</v>
      </c>
      <c r="J1906">
        <v>1.08</v>
      </c>
      <c r="L1906" s="1">
        <v>44013</v>
      </c>
      <c r="M1906" s="1">
        <v>43024</v>
      </c>
      <c r="N1906" s="1"/>
      <c r="R1906">
        <v>2.3921583548602333E-3</v>
      </c>
      <c r="T1906" t="s">
        <v>39</v>
      </c>
      <c r="V1906">
        <v>878863946</v>
      </c>
      <c r="W1906" t="s">
        <v>811</v>
      </c>
      <c r="X1906" t="s">
        <v>507</v>
      </c>
      <c r="Y1906">
        <v>1325000000</v>
      </c>
      <c r="Z1906" t="s">
        <v>31</v>
      </c>
      <c r="AA1906">
        <v>2.0396928918869589E-3</v>
      </c>
      <c r="AB1906">
        <v>100.22</v>
      </c>
      <c r="AC1906" t="s">
        <v>33</v>
      </c>
      <c r="AE1906" t="s">
        <v>41</v>
      </c>
      <c r="AF1906">
        <v>6.7799999999999999E-2</v>
      </c>
      <c r="AH1906" t="s">
        <v>237</v>
      </c>
      <c r="AJ1906">
        <v>6.2602840416500069E-3</v>
      </c>
      <c r="AK1906">
        <v>6.2602840416500069E-3</v>
      </c>
      <c r="AL1906">
        <v>0</v>
      </c>
      <c r="AN1906" t="s">
        <v>148</v>
      </c>
      <c r="AQ1906">
        <v>4.2444725802387044E-4</v>
      </c>
    </row>
    <row r="1907" spans="1:43" x14ac:dyDescent="0.2">
      <c r="A1907">
        <v>1905</v>
      </c>
      <c r="B1907">
        <v>107</v>
      </c>
      <c r="C1907">
        <v>7</v>
      </c>
      <c r="D1907">
        <v>1670000000</v>
      </c>
      <c r="E1907" t="s">
        <v>809</v>
      </c>
      <c r="F1907" t="s">
        <v>53</v>
      </c>
      <c r="G1907" t="s">
        <v>812</v>
      </c>
      <c r="H1907">
        <v>1.7326763765637555E-2</v>
      </c>
      <c r="I1907">
        <v>2.8585077727351338E-5</v>
      </c>
      <c r="J1907">
        <v>1.45</v>
      </c>
      <c r="L1907" s="1">
        <v>43922</v>
      </c>
      <c r="M1907" s="1">
        <v>43024</v>
      </c>
      <c r="N1907" s="1"/>
      <c r="R1907">
        <v>2.3921583548602333E-3</v>
      </c>
      <c r="T1907" t="s">
        <v>39</v>
      </c>
      <c r="V1907">
        <v>1677556137</v>
      </c>
      <c r="W1907" t="s">
        <v>811</v>
      </c>
      <c r="X1907" t="s">
        <v>507</v>
      </c>
      <c r="Y1907">
        <v>1670000000</v>
      </c>
      <c r="Z1907" t="s">
        <v>31</v>
      </c>
      <c r="AA1907">
        <v>3.8933208535331656E-3</v>
      </c>
      <c r="AB1907">
        <v>100.22</v>
      </c>
      <c r="AC1907" t="s">
        <v>33</v>
      </c>
      <c r="AE1907" t="s">
        <v>41</v>
      </c>
      <c r="AF1907">
        <v>5.6399999999999999E-2</v>
      </c>
      <c r="AH1907" t="s">
        <v>237</v>
      </c>
      <c r="AJ1907">
        <v>1.1949492252163832E-2</v>
      </c>
      <c r="AK1907">
        <v>1.1949492252163832E-2</v>
      </c>
      <c r="AL1907">
        <v>0</v>
      </c>
      <c r="AN1907" t="s">
        <v>148</v>
      </c>
      <c r="AQ1907">
        <v>6.7395136302204016E-4</v>
      </c>
    </row>
    <row r="1908" spans="1:43" x14ac:dyDescent="0.2">
      <c r="A1908">
        <v>1906</v>
      </c>
      <c r="B1908">
        <v>125</v>
      </c>
      <c r="C1908">
        <v>7</v>
      </c>
      <c r="F1908" t="s">
        <v>53</v>
      </c>
      <c r="G1908" t="s">
        <v>1638</v>
      </c>
      <c r="I1908">
        <v>4.3915589111539657E-5</v>
      </c>
      <c r="J1908">
        <v>3.6665378682985001</v>
      </c>
      <c r="K1908">
        <v>3.6665378682985001</v>
      </c>
      <c r="L1908" s="1"/>
      <c r="M1908" s="1"/>
      <c r="N1908" s="1">
        <v>43021</v>
      </c>
      <c r="R1908">
        <v>-5.390913301407738E-3</v>
      </c>
      <c r="S1908">
        <v>-5.390913301407738E-3</v>
      </c>
      <c r="T1908" t="s">
        <v>32</v>
      </c>
      <c r="U1908" t="s">
        <v>32</v>
      </c>
      <c r="AA1908">
        <v>5.9813543455770743E-3</v>
      </c>
      <c r="AC1908" t="s">
        <v>54</v>
      </c>
      <c r="AD1908" t="s">
        <v>54</v>
      </c>
      <c r="AF1908">
        <v>3.89</v>
      </c>
      <c r="AG1908">
        <v>3.89</v>
      </c>
      <c r="AH1908" t="s">
        <v>237</v>
      </c>
      <c r="AI1908" t="s">
        <v>237</v>
      </c>
      <c r="AJ1908">
        <v>-8.1462243327252003E-3</v>
      </c>
      <c r="AK1908">
        <v>0</v>
      </c>
      <c r="AL1908">
        <v>8.1462243327252003E-3</v>
      </c>
      <c r="AN1908" t="s">
        <v>54</v>
      </c>
      <c r="AO1908" t="s">
        <v>54</v>
      </c>
    </row>
    <row r="1909" spans="1:43" x14ac:dyDescent="0.2">
      <c r="A1909">
        <v>1907</v>
      </c>
      <c r="B1909">
        <v>104</v>
      </c>
      <c r="C1909">
        <v>7</v>
      </c>
      <c r="D1909">
        <v>210000000</v>
      </c>
      <c r="E1909" t="s">
        <v>440</v>
      </c>
      <c r="F1909" t="s">
        <v>53</v>
      </c>
      <c r="G1909" t="s">
        <v>522</v>
      </c>
      <c r="H1909">
        <v>3.9333292349919588E-4</v>
      </c>
      <c r="I1909">
        <v>1.5030152449204314E-7</v>
      </c>
      <c r="J1909">
        <v>0.65</v>
      </c>
      <c r="L1909" s="1">
        <v>43358</v>
      </c>
      <c r="M1909" s="1">
        <v>43024</v>
      </c>
      <c r="N1909" s="1"/>
      <c r="R1909">
        <v>2.4837989673149691E-4</v>
      </c>
      <c r="T1909" t="s">
        <v>39</v>
      </c>
      <c r="V1909">
        <v>84952185</v>
      </c>
      <c r="W1909" t="s">
        <v>442</v>
      </c>
      <c r="X1909" t="s">
        <v>443</v>
      </c>
      <c r="Y1909">
        <v>210000000</v>
      </c>
      <c r="Z1909" t="s">
        <v>31</v>
      </c>
      <c r="AA1909">
        <v>2.0471242555439392E-5</v>
      </c>
      <c r="AB1909">
        <v>100.7</v>
      </c>
      <c r="AC1909" t="s">
        <v>34</v>
      </c>
      <c r="AE1909" t="s">
        <v>41</v>
      </c>
      <c r="AF1909">
        <v>4.1000000000000002E-2</v>
      </c>
      <c r="AH1909" t="s">
        <v>237</v>
      </c>
      <c r="AJ1909">
        <v>6.0512757461414751E-4</v>
      </c>
      <c r="AK1909">
        <v>6.0512757461414751E-4</v>
      </c>
      <c r="AL1909">
        <v>0</v>
      </c>
      <c r="AN1909" t="s">
        <v>54</v>
      </c>
      <c r="AQ1909">
        <v>2.4810230559180049E-5</v>
      </c>
    </row>
    <row r="1910" spans="1:43" x14ac:dyDescent="0.2">
      <c r="A1910">
        <v>1908</v>
      </c>
      <c r="B1910">
        <v>93</v>
      </c>
      <c r="C1910">
        <v>7</v>
      </c>
      <c r="D1910">
        <v>11500</v>
      </c>
      <c r="E1910" t="s">
        <v>440</v>
      </c>
      <c r="F1910" t="s">
        <v>53</v>
      </c>
      <c r="G1910" t="s">
        <v>441</v>
      </c>
      <c r="H1910">
        <v>1.5201840835490149E-3</v>
      </c>
      <c r="I1910">
        <v>1.6763637338120937E-6</v>
      </c>
      <c r="J1910">
        <v>0.85</v>
      </c>
      <c r="L1910" s="1">
        <v>43617</v>
      </c>
      <c r="M1910" s="1">
        <v>43024</v>
      </c>
      <c r="N1910" s="1"/>
      <c r="R1910">
        <v>9.3732672849309998E-4</v>
      </c>
      <c r="T1910" t="s">
        <v>32</v>
      </c>
      <c r="V1910">
        <v>251075806</v>
      </c>
      <c r="W1910" t="s">
        <v>442</v>
      </c>
      <c r="X1910" t="s">
        <v>443</v>
      </c>
      <c r="Y1910">
        <v>11500</v>
      </c>
      <c r="Z1910" t="s">
        <v>31</v>
      </c>
      <c r="AA1910">
        <v>2.2832269148292061E-4</v>
      </c>
      <c r="AB1910">
        <v>100.95</v>
      </c>
      <c r="AC1910" t="s">
        <v>34</v>
      </c>
      <c r="AE1910" t="s">
        <v>41</v>
      </c>
      <c r="AF1910">
        <v>2.4111791297699338E-3</v>
      </c>
      <c r="AH1910" t="s">
        <v>237</v>
      </c>
      <c r="AJ1910">
        <v>1.7884518629988412E-3</v>
      </c>
      <c r="AK1910">
        <v>1.7884518629988412E-3</v>
      </c>
      <c r="AL1910">
        <v>0</v>
      </c>
      <c r="AN1910" t="s">
        <v>54</v>
      </c>
      <c r="AQ1910">
        <v>4.3122778066609631E-6</v>
      </c>
    </row>
    <row r="1911" spans="1:43" x14ac:dyDescent="0.2">
      <c r="A1911">
        <v>1909</v>
      </c>
      <c r="B1911">
        <v>96</v>
      </c>
      <c r="C1911">
        <v>7</v>
      </c>
      <c r="D1911">
        <v>30000</v>
      </c>
      <c r="E1911" t="s">
        <v>440</v>
      </c>
      <c r="F1911" t="s">
        <v>53</v>
      </c>
      <c r="G1911" t="s">
        <v>821</v>
      </c>
      <c r="H1911">
        <v>1.7675440554558414E-2</v>
      </c>
      <c r="I1911">
        <v>1.1039528515534057E-5</v>
      </c>
      <c r="J1911">
        <v>2.93</v>
      </c>
      <c r="L1911" s="1">
        <v>44166</v>
      </c>
      <c r="M1911" s="1">
        <v>43024</v>
      </c>
      <c r="N1911" s="1"/>
      <c r="R1911">
        <v>1.8299865539800056E-3</v>
      </c>
      <c r="T1911" t="s">
        <v>32</v>
      </c>
      <c r="V1911">
        <v>846896303</v>
      </c>
      <c r="W1911" t="s">
        <v>442</v>
      </c>
      <c r="X1911" t="s">
        <v>443</v>
      </c>
      <c r="Y1911">
        <v>30000</v>
      </c>
      <c r="Z1911" t="s">
        <v>31</v>
      </c>
      <c r="AA1911">
        <v>1.5035966315241954E-3</v>
      </c>
      <c r="AB1911">
        <v>104.34</v>
      </c>
      <c r="AC1911" t="s">
        <v>34</v>
      </c>
      <c r="AE1911" t="s">
        <v>41</v>
      </c>
      <c r="AF1911">
        <v>1.4111791297699364E-3</v>
      </c>
      <c r="AH1911" t="s">
        <v>237</v>
      </c>
      <c r="AJ1911">
        <v>6.0325735681086732E-3</v>
      </c>
      <c r="AK1911">
        <v>6.0325735681086732E-3</v>
      </c>
      <c r="AL1911">
        <v>0</v>
      </c>
      <c r="AN1911" t="s">
        <v>54</v>
      </c>
      <c r="AQ1911">
        <v>8.513041918116718E-6</v>
      </c>
    </row>
    <row r="1912" spans="1:43" x14ac:dyDescent="0.2">
      <c r="A1912">
        <v>1910</v>
      </c>
      <c r="B1912">
        <v>107</v>
      </c>
      <c r="C1912">
        <v>7</v>
      </c>
      <c r="D1912">
        <v>1390000000</v>
      </c>
      <c r="E1912" t="s">
        <v>440</v>
      </c>
      <c r="F1912" t="s">
        <v>53</v>
      </c>
      <c r="G1912" t="s">
        <v>532</v>
      </c>
      <c r="H1912">
        <v>1.2561459463607197E-2</v>
      </c>
      <c r="I1912">
        <v>2.4233064681537178E-5</v>
      </c>
      <c r="J1912">
        <v>1.24</v>
      </c>
      <c r="L1912" s="1">
        <v>43862</v>
      </c>
      <c r="M1912" s="1">
        <v>43024</v>
      </c>
      <c r="N1912" s="1"/>
      <c r="R1912">
        <v>2.3921583548602333E-3</v>
      </c>
      <c r="T1912" t="s">
        <v>39</v>
      </c>
      <c r="V1912">
        <v>1422152032</v>
      </c>
      <c r="W1912" t="s">
        <v>442</v>
      </c>
      <c r="X1912" t="s">
        <v>443</v>
      </c>
      <c r="Y1912">
        <v>1390000000</v>
      </c>
      <c r="Z1912" t="s">
        <v>31</v>
      </c>
      <c r="AA1912">
        <v>3.3005716118578781E-3</v>
      </c>
      <c r="AB1912">
        <v>101.18</v>
      </c>
      <c r="AC1912" t="s">
        <v>34</v>
      </c>
      <c r="AE1912" t="s">
        <v>41</v>
      </c>
      <c r="AF1912">
        <v>4.4999999999999998E-2</v>
      </c>
      <c r="AH1912" t="s">
        <v>237</v>
      </c>
      <c r="AJ1912">
        <v>1.0130209244844514E-2</v>
      </c>
      <c r="AK1912">
        <v>1.0130209244844514E-2</v>
      </c>
      <c r="AL1912">
        <v>0</v>
      </c>
      <c r="AN1912" t="s">
        <v>54</v>
      </c>
      <c r="AQ1912">
        <v>4.5585941601800311E-4</v>
      </c>
    </row>
    <row r="1913" spans="1:43" x14ac:dyDescent="0.2">
      <c r="A1913">
        <v>1911</v>
      </c>
      <c r="B1913">
        <v>107</v>
      </c>
      <c r="C1913">
        <v>7</v>
      </c>
      <c r="D1913">
        <v>750000000</v>
      </c>
      <c r="E1913" t="s">
        <v>440</v>
      </c>
      <c r="F1913" t="s">
        <v>53</v>
      </c>
      <c r="G1913" t="s">
        <v>822</v>
      </c>
      <c r="H1913">
        <v>8.8931784997475193E-3</v>
      </c>
      <c r="I1913">
        <v>1.3051467024192899E-5</v>
      </c>
      <c r="J1913">
        <v>1.63</v>
      </c>
      <c r="L1913" s="1">
        <v>44014</v>
      </c>
      <c r="M1913" s="1">
        <v>43024</v>
      </c>
      <c r="N1913" s="1"/>
      <c r="R1913">
        <v>2.3921583548602333E-3</v>
      </c>
      <c r="T1913" t="s">
        <v>39</v>
      </c>
      <c r="V1913">
        <v>765943994</v>
      </c>
      <c r="W1913" t="s">
        <v>442</v>
      </c>
      <c r="X1913" t="s">
        <v>443</v>
      </c>
      <c r="Y1913">
        <v>750000000</v>
      </c>
      <c r="Z1913" t="s">
        <v>31</v>
      </c>
      <c r="AA1913">
        <v>1.7776249978802836E-3</v>
      </c>
      <c r="AB1913">
        <v>100.66</v>
      </c>
      <c r="AC1913" t="s">
        <v>34</v>
      </c>
      <c r="AE1913" t="s">
        <v>41</v>
      </c>
      <c r="AF1913">
        <v>4.6699999999999998E-2</v>
      </c>
      <c r="AH1913" t="s">
        <v>237</v>
      </c>
      <c r="AJ1913">
        <v>5.455937729906454E-3</v>
      </c>
      <c r="AK1913">
        <v>5.455937729906454E-3</v>
      </c>
      <c r="AL1913">
        <v>0</v>
      </c>
      <c r="AN1913" t="s">
        <v>54</v>
      </c>
      <c r="AQ1913">
        <v>2.5479229198663138E-4</v>
      </c>
    </row>
    <row r="1914" spans="1:43" x14ac:dyDescent="0.2">
      <c r="A1914">
        <v>1912</v>
      </c>
      <c r="B1914">
        <v>99</v>
      </c>
      <c r="C1914">
        <v>7</v>
      </c>
      <c r="D1914">
        <v>20000</v>
      </c>
      <c r="E1914" t="s">
        <v>440</v>
      </c>
      <c r="F1914" t="s">
        <v>53</v>
      </c>
      <c r="G1914" t="s">
        <v>823</v>
      </c>
      <c r="H1914">
        <v>1.8816606779349272E-2</v>
      </c>
      <c r="I1914">
        <v>1.029006657284265E-5</v>
      </c>
      <c r="J1914">
        <v>4.97</v>
      </c>
      <c r="L1914" s="1">
        <v>45417</v>
      </c>
      <c r="M1914" s="1">
        <v>43024</v>
      </c>
      <c r="N1914" s="1"/>
      <c r="R1914">
        <v>2.7178986874059861E-3</v>
      </c>
      <c r="T1914" t="s">
        <v>32</v>
      </c>
      <c r="V1914">
        <v>531511335</v>
      </c>
      <c r="W1914" t="s">
        <v>442</v>
      </c>
      <c r="X1914" t="s">
        <v>443</v>
      </c>
      <c r="Y1914">
        <v>20000</v>
      </c>
      <c r="Z1914" t="s">
        <v>31</v>
      </c>
      <c r="AA1914">
        <v>1.4015190427122547E-3</v>
      </c>
      <c r="AB1914">
        <v>98.69</v>
      </c>
      <c r="AC1914" t="s">
        <v>34</v>
      </c>
      <c r="AE1914" t="s">
        <v>41</v>
      </c>
      <c r="AF1914">
        <v>1.6111791297699352E-3</v>
      </c>
      <c r="AH1914" t="s">
        <v>237</v>
      </c>
      <c r="AJ1914">
        <v>3.7860375813580029E-3</v>
      </c>
      <c r="AK1914">
        <v>3.7860375813580029E-3</v>
      </c>
      <c r="AL1914">
        <v>0</v>
      </c>
      <c r="AN1914" t="s">
        <v>54</v>
      </c>
      <c r="AQ1914">
        <v>6.099984735608657E-6</v>
      </c>
    </row>
    <row r="1915" spans="1:43" x14ac:dyDescent="0.2">
      <c r="A1915">
        <v>1913</v>
      </c>
      <c r="B1915">
        <v>89</v>
      </c>
      <c r="C1915">
        <v>7</v>
      </c>
      <c r="D1915">
        <v>40000</v>
      </c>
      <c r="E1915" t="s">
        <v>325</v>
      </c>
      <c r="F1915" t="s">
        <v>53</v>
      </c>
      <c r="G1915" t="s">
        <v>824</v>
      </c>
      <c r="H1915">
        <v>2.79300298124125E-2</v>
      </c>
      <c r="I1915">
        <v>-2.0300545329197705E-5</v>
      </c>
      <c r="J1915">
        <v>3.33</v>
      </c>
      <c r="K1915">
        <v>3.3439106901761</v>
      </c>
      <c r="L1915" s="1">
        <v>44378</v>
      </c>
      <c r="M1915" s="1">
        <v>43024</v>
      </c>
      <c r="N1915" s="1">
        <v>43021</v>
      </c>
      <c r="R1915">
        <v>1.6066850024159633E-3</v>
      </c>
      <c r="S1915">
        <v>1.6066850024159633E-3</v>
      </c>
      <c r="T1915" t="s">
        <v>32</v>
      </c>
      <c r="U1915" t="s">
        <v>32</v>
      </c>
      <c r="V1915">
        <v>1177483353</v>
      </c>
      <c r="W1915" t="s">
        <v>325</v>
      </c>
      <c r="X1915" t="s">
        <v>825</v>
      </c>
      <c r="Y1915">
        <v>40000</v>
      </c>
      <c r="Z1915" t="s">
        <v>31</v>
      </c>
      <c r="AA1915">
        <v>-2.7649578994369999E-3</v>
      </c>
      <c r="AB1915">
        <v>108.46</v>
      </c>
      <c r="AC1915" t="s">
        <v>142</v>
      </c>
      <c r="AD1915" t="s">
        <v>142</v>
      </c>
      <c r="AE1915" t="s">
        <v>44</v>
      </c>
      <c r="AF1915">
        <v>1.3211179129769934E-2</v>
      </c>
      <c r="AG1915">
        <v>3.71</v>
      </c>
      <c r="AH1915" t="s">
        <v>237</v>
      </c>
      <c r="AI1915" t="s">
        <v>237</v>
      </c>
      <c r="AJ1915">
        <v>-1.2635049993416187E-2</v>
      </c>
      <c r="AK1915">
        <v>8.387396340063814E-3</v>
      </c>
      <c r="AL1915">
        <v>2.1022446333480001E-2</v>
      </c>
      <c r="AM1915" t="s">
        <v>44</v>
      </c>
      <c r="AN1915" t="s">
        <v>146</v>
      </c>
      <c r="AO1915" t="s">
        <v>142</v>
      </c>
      <c r="AP1915" t="s">
        <v>31</v>
      </c>
      <c r="AQ1915">
        <v>1.1080739548095979E-4</v>
      </c>
    </row>
    <row r="1916" spans="1:43" x14ac:dyDescent="0.2">
      <c r="A1916">
        <v>1914</v>
      </c>
      <c r="B1916">
        <v>89</v>
      </c>
      <c r="C1916">
        <v>7</v>
      </c>
      <c r="D1916">
        <v>66000</v>
      </c>
      <c r="E1916" t="s">
        <v>325</v>
      </c>
      <c r="F1916" t="s">
        <v>53</v>
      </c>
      <c r="G1916" t="s">
        <v>826</v>
      </c>
      <c r="H1916">
        <v>4.8303792513124673E-2</v>
      </c>
      <c r="I1916">
        <v>-1.156231357766608E-5</v>
      </c>
      <c r="J1916">
        <v>3.5</v>
      </c>
      <c r="K1916">
        <v>3.5138663573689</v>
      </c>
      <c r="L1916" s="1">
        <v>44440</v>
      </c>
      <c r="M1916" s="1">
        <v>43024</v>
      </c>
      <c r="N1916" s="1">
        <v>43021</v>
      </c>
      <c r="R1916">
        <v>1.6066850024159633E-3</v>
      </c>
      <c r="S1916">
        <v>1.6066850024159633E-3</v>
      </c>
      <c r="T1916" t="s">
        <v>32</v>
      </c>
      <c r="U1916" t="s">
        <v>32</v>
      </c>
      <c r="V1916">
        <v>1937495917</v>
      </c>
      <c r="W1916" t="s">
        <v>325</v>
      </c>
      <c r="X1916" t="s">
        <v>825</v>
      </c>
      <c r="Y1916">
        <v>66000</v>
      </c>
      <c r="Z1916" t="s">
        <v>31</v>
      </c>
      <c r="AA1916">
        <v>-1.5748005653993416E-3</v>
      </c>
      <c r="AB1916">
        <v>109.28</v>
      </c>
      <c r="AC1916" t="s">
        <v>142</v>
      </c>
      <c r="AD1916" t="s">
        <v>142</v>
      </c>
      <c r="AE1916" t="s">
        <v>44</v>
      </c>
      <c r="AF1916">
        <v>1.2211179129769933E-2</v>
      </c>
      <c r="AG1916">
        <v>3.59</v>
      </c>
      <c r="AH1916" t="s">
        <v>237</v>
      </c>
      <c r="AI1916" t="s">
        <v>237</v>
      </c>
      <c r="AJ1916">
        <v>-7.1963786058125232E-3</v>
      </c>
      <c r="AK1916">
        <v>1.3801083575178478E-2</v>
      </c>
      <c r="AL1916">
        <v>2.0997462180991001E-2</v>
      </c>
      <c r="AM1916" t="s">
        <v>44</v>
      </c>
      <c r="AN1916" t="s">
        <v>146</v>
      </c>
      <c r="AO1916" t="s">
        <v>142</v>
      </c>
      <c r="AP1916" t="s">
        <v>31</v>
      </c>
      <c r="AQ1916">
        <v>1.6852750372143004E-4</v>
      </c>
    </row>
    <row r="1917" spans="1:43" x14ac:dyDescent="0.2">
      <c r="A1917">
        <v>1915</v>
      </c>
      <c r="B1917">
        <v>91</v>
      </c>
      <c r="C1917">
        <v>7</v>
      </c>
      <c r="D1917">
        <v>65000</v>
      </c>
      <c r="E1917" t="s">
        <v>598</v>
      </c>
      <c r="F1917" t="s">
        <v>53</v>
      </c>
      <c r="G1917" t="s">
        <v>1051</v>
      </c>
      <c r="H1917">
        <v>0.15674135116899765</v>
      </c>
      <c r="I1917">
        <v>-6.371338030883895E-5</v>
      </c>
      <c r="J1917">
        <v>12.15</v>
      </c>
      <c r="K1917">
        <v>12.158666658689</v>
      </c>
      <c r="L1917" s="1">
        <v>53865</v>
      </c>
      <c r="M1917" s="1">
        <v>43024</v>
      </c>
      <c r="N1917" s="1">
        <v>43021</v>
      </c>
      <c r="R1917">
        <v>6.3056678853169604E-3</v>
      </c>
      <c r="S1917">
        <v>6.3056678853169604E-3</v>
      </c>
      <c r="T1917" t="s">
        <v>32</v>
      </c>
      <c r="U1917" t="s">
        <v>32</v>
      </c>
      <c r="V1917">
        <v>1811068673</v>
      </c>
      <c r="W1917" t="s">
        <v>600</v>
      </c>
      <c r="X1917" t="s">
        <v>601</v>
      </c>
      <c r="Y1917">
        <v>65000</v>
      </c>
      <c r="Z1917" t="s">
        <v>31</v>
      </c>
      <c r="AA1917">
        <v>-8.6778365471485708E-3</v>
      </c>
      <c r="AB1917">
        <v>103.42</v>
      </c>
      <c r="AC1917" t="s">
        <v>142</v>
      </c>
      <c r="AD1917" t="s">
        <v>142</v>
      </c>
      <c r="AE1917" t="s">
        <v>89</v>
      </c>
      <c r="AF1917">
        <v>7.0111791297699337E-3</v>
      </c>
      <c r="AG1917">
        <v>3.07</v>
      </c>
      <c r="AH1917" t="s">
        <v>237</v>
      </c>
      <c r="AI1917" t="s">
        <v>237</v>
      </c>
      <c r="AJ1917">
        <v>-1.0104144631086345E-2</v>
      </c>
      <c r="AK1917">
        <v>1.2900522729958654E-2</v>
      </c>
      <c r="AL1917">
        <v>2.3004667361044999E-2</v>
      </c>
      <c r="AM1917" t="s">
        <v>89</v>
      </c>
      <c r="AN1917" t="s">
        <v>146</v>
      </c>
      <c r="AO1917" t="s">
        <v>142</v>
      </c>
      <c r="AP1917" t="s">
        <v>31</v>
      </c>
      <c r="AQ1917">
        <v>9.0447875727408758E-5</v>
      </c>
    </row>
    <row r="1918" spans="1:43" x14ac:dyDescent="0.2">
      <c r="A1918">
        <v>1916</v>
      </c>
      <c r="B1918">
        <v>102</v>
      </c>
      <c r="C1918">
        <v>7</v>
      </c>
      <c r="D1918">
        <v>10000</v>
      </c>
      <c r="E1918" t="s">
        <v>326</v>
      </c>
      <c r="F1918" t="s">
        <v>53</v>
      </c>
      <c r="G1918" t="s">
        <v>827</v>
      </c>
      <c r="H1918">
        <v>1.8518358293675017E-2</v>
      </c>
      <c r="I1918">
        <v>1.7479968798377313E-5</v>
      </c>
      <c r="J1918">
        <v>8.6999999999999993</v>
      </c>
      <c r="L1918" s="1">
        <v>46880</v>
      </c>
      <c r="M1918" s="1">
        <v>43024</v>
      </c>
      <c r="N1918" s="1"/>
      <c r="R1918">
        <v>8.2121603942518166E-3</v>
      </c>
      <c r="T1918" t="s">
        <v>32</v>
      </c>
      <c r="V1918">
        <v>298820811</v>
      </c>
      <c r="W1918" t="s">
        <v>327</v>
      </c>
      <c r="X1918" t="s">
        <v>435</v>
      </c>
      <c r="Y1918">
        <v>10000</v>
      </c>
      <c r="Z1918" t="s">
        <v>31</v>
      </c>
      <c r="AA1918">
        <v>2.3807920933765245E-3</v>
      </c>
      <c r="AB1918">
        <v>110.15</v>
      </c>
      <c r="AC1918" t="s">
        <v>34</v>
      </c>
      <c r="AE1918" t="s">
        <v>35</v>
      </c>
      <c r="AF1918">
        <v>4.8111791297699366E-3</v>
      </c>
      <c r="AH1918" t="s">
        <v>237</v>
      </c>
      <c r="AJ1918">
        <v>2.1285469303074732E-3</v>
      </c>
      <c r="AK1918">
        <v>2.1285469303074732E-3</v>
      </c>
      <c r="AL1918">
        <v>0</v>
      </c>
      <c r="AN1918" t="s">
        <v>54</v>
      </c>
      <c r="AQ1918">
        <v>1.0240820567831179E-5</v>
      </c>
    </row>
    <row r="1919" spans="1:43" x14ac:dyDescent="0.2">
      <c r="A1919">
        <v>1917</v>
      </c>
      <c r="B1919">
        <v>102</v>
      </c>
      <c r="C1919">
        <v>7</v>
      </c>
      <c r="D1919">
        <v>36000</v>
      </c>
      <c r="E1919" t="s">
        <v>326</v>
      </c>
      <c r="F1919" t="s">
        <v>53</v>
      </c>
      <c r="G1919" t="s">
        <v>828</v>
      </c>
      <c r="H1919">
        <v>4.7153856906207964E-2</v>
      </c>
      <c r="I1919">
        <v>6.6535229574120021E-5</v>
      </c>
      <c r="J1919">
        <v>5.82</v>
      </c>
      <c r="L1919" s="1">
        <v>47406</v>
      </c>
      <c r="M1919" s="1">
        <v>43024</v>
      </c>
      <c r="N1919" s="1"/>
      <c r="R1919">
        <v>8.2121603942518166E-3</v>
      </c>
      <c r="T1919" t="s">
        <v>32</v>
      </c>
      <c r="V1919">
        <v>1137422583</v>
      </c>
      <c r="W1919" t="s">
        <v>327</v>
      </c>
      <c r="X1919" t="s">
        <v>435</v>
      </c>
      <c r="Y1919">
        <v>36000</v>
      </c>
      <c r="Z1919" t="s">
        <v>31</v>
      </c>
      <c r="AA1919">
        <v>9.0621757011237879E-3</v>
      </c>
      <c r="AB1919">
        <v>118.48</v>
      </c>
      <c r="AC1919" t="s">
        <v>34</v>
      </c>
      <c r="AE1919" t="s">
        <v>35</v>
      </c>
      <c r="AF1919">
        <v>2.211179129769935E-3</v>
      </c>
      <c r="AH1919" t="s">
        <v>237</v>
      </c>
      <c r="AJ1919">
        <v>8.1020372691078969E-3</v>
      </c>
      <c r="AK1919">
        <v>8.1020372691078969E-3</v>
      </c>
      <c r="AL1919">
        <v>0</v>
      </c>
      <c r="AN1919" t="s">
        <v>54</v>
      </c>
      <c r="AQ1919">
        <v>1.791505571806958E-5</v>
      </c>
    </row>
    <row r="1920" spans="1:43" x14ac:dyDescent="0.2">
      <c r="A1920">
        <v>1918</v>
      </c>
      <c r="B1920">
        <v>112</v>
      </c>
      <c r="C1920">
        <v>7</v>
      </c>
      <c r="D1920">
        <v>2040000000</v>
      </c>
      <c r="E1920" t="s">
        <v>326</v>
      </c>
      <c r="F1920" t="s">
        <v>53</v>
      </c>
      <c r="G1920" t="s">
        <v>830</v>
      </c>
      <c r="H1920">
        <v>0.13473598357320493</v>
      </c>
      <c r="I1920">
        <v>1.4810048865610021E-5</v>
      </c>
      <c r="J1920">
        <v>8.8800000000000008</v>
      </c>
      <c r="L1920" s="1">
        <v>48000</v>
      </c>
      <c r="M1920" s="1">
        <v>43024</v>
      </c>
      <c r="N1920" s="1"/>
      <c r="R1920">
        <v>9.76081002556849E-4</v>
      </c>
      <c r="T1920" t="s">
        <v>39</v>
      </c>
      <c r="V1920">
        <v>2130091412</v>
      </c>
      <c r="W1920" t="s">
        <v>327</v>
      </c>
      <c r="X1920" t="s">
        <v>435</v>
      </c>
      <c r="Y1920">
        <v>2040000000</v>
      </c>
      <c r="Z1920" t="s">
        <v>31</v>
      </c>
      <c r="AA1920">
        <v>2.0171458913037362E-3</v>
      </c>
      <c r="AB1920">
        <v>101.8</v>
      </c>
      <c r="AC1920" t="s">
        <v>34</v>
      </c>
      <c r="AE1920" t="s">
        <v>35</v>
      </c>
      <c r="AF1920">
        <v>6.7799999999999999E-2</v>
      </c>
      <c r="AH1920" t="s">
        <v>237</v>
      </c>
      <c r="AJ1920">
        <v>1.5172971123108661E-2</v>
      </c>
      <c r="AK1920">
        <v>1.5172971123108661E-2</v>
      </c>
      <c r="AL1920">
        <v>0</v>
      </c>
      <c r="AN1920" t="s">
        <v>54</v>
      </c>
      <c r="AQ1920">
        <v>1.0287274421467672E-3</v>
      </c>
    </row>
    <row r="1921" spans="1:43" x14ac:dyDescent="0.2">
      <c r="A1921">
        <v>1919</v>
      </c>
      <c r="B1921">
        <v>102</v>
      </c>
      <c r="C1921">
        <v>7</v>
      </c>
      <c r="D1921">
        <v>35000</v>
      </c>
      <c r="E1921" t="s">
        <v>831</v>
      </c>
      <c r="F1921" t="s">
        <v>53</v>
      </c>
      <c r="G1921" t="s">
        <v>832</v>
      </c>
      <c r="H1921">
        <v>6.7989934098868457E-2</v>
      </c>
      <c r="I1921">
        <v>6.0361539893461474E-5</v>
      </c>
      <c r="J1921">
        <v>9.25</v>
      </c>
      <c r="L1921" s="1">
        <v>49035</v>
      </c>
      <c r="M1921" s="1">
        <v>43024</v>
      </c>
      <c r="N1921" s="1"/>
      <c r="R1921">
        <v>8.2121603942518166E-3</v>
      </c>
      <c r="T1921" t="s">
        <v>32</v>
      </c>
      <c r="V1921">
        <v>1031883095</v>
      </c>
      <c r="W1921" t="s">
        <v>833</v>
      </c>
      <c r="X1921" t="s">
        <v>834</v>
      </c>
      <c r="Y1921">
        <v>35000</v>
      </c>
      <c r="Z1921" t="s">
        <v>31</v>
      </c>
      <c r="AA1921">
        <v>8.2213119817310751E-3</v>
      </c>
      <c r="AB1921">
        <v>110.41</v>
      </c>
      <c r="AC1921" t="s">
        <v>34</v>
      </c>
      <c r="AE1921" t="s">
        <v>41</v>
      </c>
      <c r="AF1921">
        <v>4.2111791297699333E-3</v>
      </c>
      <c r="AH1921" t="s">
        <v>237</v>
      </c>
      <c r="AJ1921">
        <v>7.3502631458236172E-3</v>
      </c>
      <c r="AK1921">
        <v>7.3502631458236172E-3</v>
      </c>
      <c r="AL1921">
        <v>0</v>
      </c>
      <c r="AN1921" t="s">
        <v>54</v>
      </c>
      <c r="AQ1921">
        <v>3.095327475800951E-5</v>
      </c>
    </row>
    <row r="1922" spans="1:43" x14ac:dyDescent="0.2">
      <c r="A1922">
        <v>1920</v>
      </c>
      <c r="B1922">
        <v>102</v>
      </c>
      <c r="C1922">
        <v>7</v>
      </c>
      <c r="D1922">
        <v>12500</v>
      </c>
      <c r="E1922" t="s">
        <v>837</v>
      </c>
      <c r="F1922" t="s">
        <v>53</v>
      </c>
      <c r="G1922" t="s">
        <v>838</v>
      </c>
      <c r="H1922">
        <v>2.0990965965045242E-2</v>
      </c>
      <c r="I1922">
        <v>2.2711617830728906E-5</v>
      </c>
      <c r="J1922">
        <v>7.59</v>
      </c>
      <c r="L1922" s="1">
        <v>47341</v>
      </c>
      <c r="M1922" s="1">
        <v>43024</v>
      </c>
      <c r="N1922" s="1"/>
      <c r="R1922">
        <v>8.2121603942518166E-3</v>
      </c>
      <c r="T1922" t="s">
        <v>32</v>
      </c>
      <c r="V1922">
        <v>388256074</v>
      </c>
      <c r="W1922" t="s">
        <v>839</v>
      </c>
      <c r="X1922" t="s">
        <v>840</v>
      </c>
      <c r="Y1922">
        <v>12500</v>
      </c>
      <c r="Z1922" t="s">
        <v>31</v>
      </c>
      <c r="AA1922">
        <v>3.0933487801310154E-3</v>
      </c>
      <c r="AB1922">
        <v>115.55</v>
      </c>
      <c r="AC1922" t="s">
        <v>34</v>
      </c>
      <c r="AE1922" t="s">
        <v>178</v>
      </c>
      <c r="AF1922">
        <v>2.9111791297699342E-3</v>
      </c>
      <c r="AH1922" t="s">
        <v>237</v>
      </c>
      <c r="AJ1922">
        <v>2.7656081640375814E-3</v>
      </c>
      <c r="AK1922">
        <v>2.7656081640375814E-3</v>
      </c>
      <c r="AL1922">
        <v>0</v>
      </c>
      <c r="AN1922" t="s">
        <v>54</v>
      </c>
      <c r="AQ1922">
        <v>8.0511807682675521E-6</v>
      </c>
    </row>
    <row r="1923" spans="1:43" x14ac:dyDescent="0.2">
      <c r="A1923">
        <v>1921</v>
      </c>
      <c r="B1923">
        <v>102</v>
      </c>
      <c r="C1923">
        <v>7</v>
      </c>
      <c r="D1923">
        <v>78000</v>
      </c>
      <c r="E1923" t="s">
        <v>841</v>
      </c>
      <c r="F1923" t="s">
        <v>53</v>
      </c>
      <c r="G1923" t="s">
        <v>842</v>
      </c>
      <c r="H1923">
        <v>0.12323884402142557</v>
      </c>
      <c r="I1923">
        <v>1.425432611135392E-4</v>
      </c>
      <c r="J1923">
        <v>7.1</v>
      </c>
      <c r="L1923" s="1">
        <v>47922</v>
      </c>
      <c r="M1923" s="1">
        <v>43024</v>
      </c>
      <c r="N1923" s="1"/>
      <c r="R1923">
        <v>8.2121603942518166E-3</v>
      </c>
      <c r="T1923" t="s">
        <v>32</v>
      </c>
      <c r="V1923">
        <v>2436783119</v>
      </c>
      <c r="W1923" t="s">
        <v>843</v>
      </c>
      <c r="X1923" t="s">
        <v>844</v>
      </c>
      <c r="Y1923">
        <v>78000</v>
      </c>
      <c r="Z1923" t="s">
        <v>31</v>
      </c>
      <c r="AA1923">
        <v>1.9414558054286879E-2</v>
      </c>
      <c r="AB1923">
        <v>114.18</v>
      </c>
      <c r="AC1923" t="s">
        <v>34</v>
      </c>
      <c r="AE1923" t="s">
        <v>41</v>
      </c>
      <c r="AF1923">
        <v>1.7111791297699346E-3</v>
      </c>
      <c r="AH1923" t="s">
        <v>237</v>
      </c>
      <c r="AJ1923">
        <v>1.7357583664989518E-2</v>
      </c>
      <c r="AK1923">
        <v>1.7357583664989518E-2</v>
      </c>
      <c r="AL1923">
        <v>0</v>
      </c>
      <c r="AN1923" t="s">
        <v>54</v>
      </c>
      <c r="AQ1923">
        <v>2.9701934910765594E-5</v>
      </c>
    </row>
    <row r="1924" spans="1:43" x14ac:dyDescent="0.2">
      <c r="A1924">
        <v>1922</v>
      </c>
      <c r="B1924">
        <v>127</v>
      </c>
      <c r="C1924">
        <v>7</v>
      </c>
      <c r="F1924" t="s">
        <v>53</v>
      </c>
      <c r="G1924" t="s">
        <v>1639</v>
      </c>
      <c r="I1924">
        <v>2.5453228841214523E-6</v>
      </c>
      <c r="J1924">
        <v>10.057534246575001</v>
      </c>
      <c r="K1924">
        <v>10.057534246575001</v>
      </c>
      <c r="L1924" s="1"/>
      <c r="M1924" s="1"/>
      <c r="N1924" s="1">
        <v>43021</v>
      </c>
      <c r="R1924">
        <v>-2.3546926447499776E-2</v>
      </c>
      <c r="S1924">
        <v>-2.3546926447499776E-2</v>
      </c>
      <c r="T1924" t="s">
        <v>32</v>
      </c>
      <c r="U1924" t="s">
        <v>32</v>
      </c>
      <c r="AA1924">
        <v>3.4667593904225E-4</v>
      </c>
      <c r="AC1924" t="s">
        <v>148</v>
      </c>
      <c r="AD1924" t="s">
        <v>148</v>
      </c>
      <c r="AF1924">
        <v>9.94</v>
      </c>
      <c r="AG1924">
        <v>9.94</v>
      </c>
      <c r="AH1924" t="s">
        <v>237</v>
      </c>
      <c r="AI1924" t="s">
        <v>237</v>
      </c>
      <c r="AJ1924">
        <v>-1.080957589007E-4</v>
      </c>
      <c r="AK1924">
        <v>0</v>
      </c>
      <c r="AL1924">
        <v>1.080957589007E-4</v>
      </c>
      <c r="AN1924" t="s">
        <v>148</v>
      </c>
      <c r="AO1924" t="s">
        <v>148</v>
      </c>
    </row>
    <row r="1925" spans="1:43" x14ac:dyDescent="0.2">
      <c r="A1925">
        <v>1923</v>
      </c>
      <c r="B1925">
        <v>110</v>
      </c>
      <c r="C1925">
        <v>7</v>
      </c>
      <c r="D1925">
        <v>1135000000</v>
      </c>
      <c r="E1925" t="s">
        <v>848</v>
      </c>
      <c r="F1925" t="s">
        <v>53</v>
      </c>
      <c r="G1925" t="s">
        <v>849</v>
      </c>
      <c r="H1925">
        <v>2.6143619273732228E-2</v>
      </c>
      <c r="I1925">
        <v>2.6436779204836656E-5</v>
      </c>
      <c r="J1925">
        <v>3.16</v>
      </c>
      <c r="L1925" s="1">
        <v>44621</v>
      </c>
      <c r="M1925" s="1">
        <v>43024</v>
      </c>
      <c r="N1925" s="1"/>
      <c r="R1925">
        <v>3.1954344734212367E-3</v>
      </c>
      <c r="T1925" t="s">
        <v>39</v>
      </c>
      <c r="V1925">
        <v>1161465296</v>
      </c>
      <c r="W1925" t="s">
        <v>850</v>
      </c>
      <c r="X1925" t="s">
        <v>851</v>
      </c>
      <c r="Y1925">
        <v>1135000000</v>
      </c>
      <c r="Z1925" t="s">
        <v>31</v>
      </c>
      <c r="AA1925">
        <v>3.6007200945952994E-3</v>
      </c>
      <c r="AB1925">
        <v>101.59</v>
      </c>
      <c r="AC1925" t="s">
        <v>33</v>
      </c>
      <c r="AE1925" t="s">
        <v>41</v>
      </c>
      <c r="AF1925">
        <v>5.4699999999999999E-2</v>
      </c>
      <c r="AH1925" t="s">
        <v>237</v>
      </c>
      <c r="AJ1925">
        <v>8.2732972385228566E-3</v>
      </c>
      <c r="AK1925">
        <v>8.2732972385228566E-3</v>
      </c>
      <c r="AL1925">
        <v>0</v>
      </c>
      <c r="AN1925" t="s">
        <v>148</v>
      </c>
      <c r="AQ1925">
        <v>4.5254935894720026E-4</v>
      </c>
    </row>
    <row r="1926" spans="1:43" x14ac:dyDescent="0.2">
      <c r="A1926">
        <v>1924</v>
      </c>
      <c r="B1926">
        <v>102</v>
      </c>
      <c r="C1926">
        <v>7</v>
      </c>
      <c r="D1926">
        <v>15000</v>
      </c>
      <c r="E1926" t="s">
        <v>242</v>
      </c>
      <c r="F1926" t="s">
        <v>53</v>
      </c>
      <c r="G1926" t="s">
        <v>1091</v>
      </c>
      <c r="H1926">
        <v>3.281658738355403E-2</v>
      </c>
      <c r="I1926">
        <v>2.7003514948469566E-5</v>
      </c>
      <c r="J1926">
        <v>9.98</v>
      </c>
      <c r="L1926" s="1">
        <v>47566</v>
      </c>
      <c r="M1926" s="1">
        <v>43024</v>
      </c>
      <c r="N1926" s="1"/>
      <c r="R1926">
        <v>8.2121603942518166E-3</v>
      </c>
      <c r="T1926" t="s">
        <v>32</v>
      </c>
      <c r="V1926">
        <v>461626238</v>
      </c>
      <c r="W1926" t="s">
        <v>243</v>
      </c>
      <c r="X1926" t="s">
        <v>1092</v>
      </c>
      <c r="Y1926">
        <v>15000</v>
      </c>
      <c r="Z1926" t="s">
        <v>31</v>
      </c>
      <c r="AA1926">
        <v>3.6779101624402916E-3</v>
      </c>
      <c r="AB1926">
        <v>115.14</v>
      </c>
      <c r="AC1926" t="s">
        <v>33</v>
      </c>
      <c r="AE1926" t="s">
        <v>177</v>
      </c>
      <c r="AF1926">
        <v>4.6111791297699344E-3</v>
      </c>
      <c r="AH1926" t="s">
        <v>237</v>
      </c>
      <c r="AJ1926">
        <v>3.288235208772949E-3</v>
      </c>
      <c r="AK1926">
        <v>3.288235208772949E-3</v>
      </c>
      <c r="AL1926">
        <v>0</v>
      </c>
      <c r="AN1926" t="s">
        <v>148</v>
      </c>
      <c r="AQ1926">
        <v>1.5162641568468505E-5</v>
      </c>
    </row>
    <row r="1927" spans="1:43" x14ac:dyDescent="0.2">
      <c r="A1927">
        <v>1925</v>
      </c>
      <c r="B1927">
        <v>99</v>
      </c>
      <c r="C1927">
        <v>7</v>
      </c>
      <c r="F1927" t="s">
        <v>53</v>
      </c>
      <c r="G1927" t="s">
        <v>858</v>
      </c>
      <c r="I1927">
        <v>-7.1724798530550528E-5</v>
      </c>
      <c r="J1927">
        <v>4.7889857674030001</v>
      </c>
      <c r="K1927">
        <v>4.7889857674030001</v>
      </c>
      <c r="L1927" s="1"/>
      <c r="M1927" s="1"/>
      <c r="N1927" s="1">
        <v>43021</v>
      </c>
      <c r="R1927">
        <v>2.7178986874059861E-3</v>
      </c>
      <c r="S1927">
        <v>2.7178986874059861E-3</v>
      </c>
      <c r="T1927" t="s">
        <v>32</v>
      </c>
      <c r="U1927" t="s">
        <v>32</v>
      </c>
      <c r="W1927" t="s">
        <v>331</v>
      </c>
      <c r="Z1927" t="s">
        <v>31</v>
      </c>
      <c r="AA1927">
        <v>-9.7690010325653959E-3</v>
      </c>
      <c r="AC1927" t="s">
        <v>34</v>
      </c>
      <c r="AD1927" t="s">
        <v>34</v>
      </c>
      <c r="AE1927" t="s">
        <v>175</v>
      </c>
      <c r="AF1927">
        <v>2.34</v>
      </c>
      <c r="AG1927">
        <v>2.34</v>
      </c>
      <c r="AH1927" t="s">
        <v>237</v>
      </c>
      <c r="AI1927" t="s">
        <v>237</v>
      </c>
      <c r="AJ1927">
        <v>-2.6389798436160999E-2</v>
      </c>
      <c r="AK1927">
        <v>0</v>
      </c>
      <c r="AL1927">
        <v>2.6389798436160999E-2</v>
      </c>
      <c r="AM1927" t="s">
        <v>175</v>
      </c>
      <c r="AN1927" t="s">
        <v>34</v>
      </c>
      <c r="AO1927" t="s">
        <v>34</v>
      </c>
      <c r="AP1927" t="s">
        <v>31</v>
      </c>
    </row>
    <row r="1928" spans="1:43" x14ac:dyDescent="0.2">
      <c r="A1928">
        <v>1926</v>
      </c>
      <c r="B1928">
        <v>102</v>
      </c>
      <c r="C1928">
        <v>7</v>
      </c>
      <c r="D1928">
        <v>15000</v>
      </c>
      <c r="E1928" t="s">
        <v>251</v>
      </c>
      <c r="F1928" t="s">
        <v>53</v>
      </c>
      <c r="G1928" t="s">
        <v>861</v>
      </c>
      <c r="H1928">
        <v>1.8125882826004091E-2</v>
      </c>
      <c r="I1928">
        <v>2.0731567834896933E-5</v>
      </c>
      <c r="J1928">
        <v>7.18</v>
      </c>
      <c r="L1928" s="1">
        <v>49135</v>
      </c>
      <c r="M1928" s="1">
        <v>43024</v>
      </c>
      <c r="N1928" s="1"/>
      <c r="R1928">
        <v>8.2121603942518166E-3</v>
      </c>
      <c r="T1928" t="s">
        <v>32</v>
      </c>
      <c r="V1928">
        <v>354407035</v>
      </c>
      <c r="W1928" t="s">
        <v>251</v>
      </c>
      <c r="X1928" t="s">
        <v>862</v>
      </c>
      <c r="Y1928">
        <v>15000</v>
      </c>
      <c r="Z1928" t="s">
        <v>31</v>
      </c>
      <c r="AA1928">
        <v>2.8236636663335245E-3</v>
      </c>
      <c r="AB1928">
        <v>108.37</v>
      </c>
      <c r="AC1928" t="s">
        <v>34</v>
      </c>
      <c r="AE1928" t="s">
        <v>41</v>
      </c>
      <c r="AF1928">
        <v>3.1111791297699365E-3</v>
      </c>
      <c r="AH1928" t="s">
        <v>237</v>
      </c>
      <c r="AJ1928">
        <v>2.5244962153209041E-3</v>
      </c>
      <c r="AK1928">
        <v>2.5244962153209041E-3</v>
      </c>
      <c r="AL1928">
        <v>0</v>
      </c>
      <c r="AN1928" t="s">
        <v>54</v>
      </c>
      <c r="AQ1928">
        <v>7.8541599382895881E-6</v>
      </c>
    </row>
    <row r="1929" spans="1:43" x14ac:dyDescent="0.2">
      <c r="A1929">
        <v>1927</v>
      </c>
      <c r="B1929">
        <v>102</v>
      </c>
      <c r="C1929">
        <v>7</v>
      </c>
      <c r="D1929">
        <v>75000</v>
      </c>
      <c r="E1929" t="s">
        <v>251</v>
      </c>
      <c r="F1929" t="s">
        <v>53</v>
      </c>
      <c r="G1929" t="s">
        <v>863</v>
      </c>
      <c r="H1929">
        <v>0.12053894584483521</v>
      </c>
      <c r="I1929">
        <v>1.139108351014753E-4</v>
      </c>
      <c r="J1929">
        <v>8.69</v>
      </c>
      <c r="L1929" s="1">
        <v>50895</v>
      </c>
      <c r="M1929" s="1">
        <v>43024</v>
      </c>
      <c r="N1929" s="1"/>
      <c r="R1929">
        <v>8.2121603942518166E-3</v>
      </c>
      <c r="T1929" t="s">
        <v>32</v>
      </c>
      <c r="V1929">
        <v>1947310577</v>
      </c>
      <c r="W1929" t="s">
        <v>251</v>
      </c>
      <c r="X1929" t="s">
        <v>862</v>
      </c>
      <c r="Y1929">
        <v>75000</v>
      </c>
      <c r="Z1929" t="s">
        <v>31</v>
      </c>
      <c r="AA1929">
        <v>1.5514788309272333E-2</v>
      </c>
      <c r="AB1929">
        <v>108.83</v>
      </c>
      <c r="AC1929" t="s">
        <v>34</v>
      </c>
      <c r="AE1929" t="s">
        <v>41</v>
      </c>
      <c r="AF1929">
        <v>4.1111791297699339E-3</v>
      </c>
      <c r="AH1929" t="s">
        <v>237</v>
      </c>
      <c r="AJ1929">
        <v>1.3870994918853305E-2</v>
      </c>
      <c r="AK1929">
        <v>1.3870994918853305E-2</v>
      </c>
      <c r="AL1929">
        <v>0</v>
      </c>
      <c r="AN1929" t="s">
        <v>54</v>
      </c>
      <c r="AQ1929">
        <v>5.7026144819534503E-5</v>
      </c>
    </row>
    <row r="1930" spans="1:43" x14ac:dyDescent="0.2">
      <c r="A1930">
        <v>1928</v>
      </c>
      <c r="B1930">
        <v>102</v>
      </c>
      <c r="C1930">
        <v>7</v>
      </c>
      <c r="D1930">
        <v>20000</v>
      </c>
      <c r="E1930" t="s">
        <v>251</v>
      </c>
      <c r="F1930" t="s">
        <v>53</v>
      </c>
      <c r="G1930" t="s">
        <v>1094</v>
      </c>
      <c r="H1930">
        <v>4.7506382740185253E-2</v>
      </c>
      <c r="I1930">
        <v>3.3033872549798257E-5</v>
      </c>
      <c r="J1930">
        <v>11.81</v>
      </c>
      <c r="L1930" s="1">
        <v>51196</v>
      </c>
      <c r="M1930" s="1">
        <v>43024</v>
      </c>
      <c r="N1930" s="1"/>
      <c r="R1930">
        <v>8.2121603942518166E-3</v>
      </c>
      <c r="T1930" t="s">
        <v>32</v>
      </c>
      <c r="V1930">
        <v>564715458</v>
      </c>
      <c r="W1930" t="s">
        <v>251</v>
      </c>
      <c r="X1930" t="s">
        <v>862</v>
      </c>
      <c r="Y1930">
        <v>20000</v>
      </c>
      <c r="Z1930" t="s">
        <v>31</v>
      </c>
      <c r="AA1930">
        <v>4.4992518858196348E-3</v>
      </c>
      <c r="AB1930">
        <v>105.46</v>
      </c>
      <c r="AC1930" t="s">
        <v>34</v>
      </c>
      <c r="AE1930" t="s">
        <v>41</v>
      </c>
      <c r="AF1930">
        <v>6.7111791297699355E-3</v>
      </c>
      <c r="AH1930" t="s">
        <v>237</v>
      </c>
      <c r="AJ1930">
        <v>4.0225556934957874E-3</v>
      </c>
      <c r="AK1930">
        <v>4.0225556934957874E-3</v>
      </c>
      <c r="AL1930">
        <v>0</v>
      </c>
      <c r="AN1930" t="s">
        <v>54</v>
      </c>
      <c r="AQ1930">
        <v>2.6996091818526158E-5</v>
      </c>
    </row>
    <row r="1931" spans="1:43" x14ac:dyDescent="0.2">
      <c r="A1931">
        <v>1929</v>
      </c>
      <c r="B1931">
        <v>96</v>
      </c>
      <c r="C1931">
        <v>7</v>
      </c>
      <c r="D1931">
        <v>30000</v>
      </c>
      <c r="E1931" t="s">
        <v>462</v>
      </c>
      <c r="F1931" t="s">
        <v>53</v>
      </c>
      <c r="G1931" t="s">
        <v>465</v>
      </c>
      <c r="H1931">
        <v>1.5248931907248764E-2</v>
      </c>
      <c r="I1931">
        <v>1.0732823212623816E-5</v>
      </c>
      <c r="J1931">
        <v>2.6</v>
      </c>
      <c r="L1931" s="1">
        <v>44013</v>
      </c>
      <c r="M1931" s="1">
        <v>43024</v>
      </c>
      <c r="N1931" s="1"/>
      <c r="R1931">
        <v>1.8299865539800056E-3</v>
      </c>
      <c r="T1931" t="s">
        <v>32</v>
      </c>
      <c r="V1931">
        <v>823367437</v>
      </c>
      <c r="W1931" t="s">
        <v>220</v>
      </c>
      <c r="X1931" t="s">
        <v>464</v>
      </c>
      <c r="Y1931">
        <v>30000</v>
      </c>
      <c r="Z1931" t="s">
        <v>31</v>
      </c>
      <c r="AA1931">
        <v>1.4618230123268237E-3</v>
      </c>
      <c r="AB1931">
        <v>102.05</v>
      </c>
      <c r="AC1931" t="s">
        <v>33</v>
      </c>
      <c r="AE1931" t="s">
        <v>41</v>
      </c>
      <c r="AF1931">
        <v>-1.388820870230064E-3</v>
      </c>
      <c r="AH1931" t="s">
        <v>237</v>
      </c>
      <c r="AJ1931">
        <v>5.8649738104802939E-3</v>
      </c>
      <c r="AK1931">
        <v>5.8649738104802939E-3</v>
      </c>
      <c r="AL1931">
        <v>0</v>
      </c>
      <c r="AN1931" t="s">
        <v>148</v>
      </c>
      <c r="AQ1931">
        <v>-8.1453980313477758E-6</v>
      </c>
    </row>
    <row r="1932" spans="1:43" x14ac:dyDescent="0.2">
      <c r="A1932">
        <v>1930</v>
      </c>
      <c r="B1932">
        <v>95</v>
      </c>
      <c r="C1932">
        <v>7</v>
      </c>
      <c r="D1932">
        <v>45000</v>
      </c>
      <c r="E1932" t="s">
        <v>450</v>
      </c>
      <c r="F1932" t="s">
        <v>53</v>
      </c>
      <c r="G1932" t="s">
        <v>451</v>
      </c>
      <c r="H1932">
        <v>1.1399281301155324E-2</v>
      </c>
      <c r="I1932">
        <v>1.0276958505485258E-5</v>
      </c>
      <c r="J1932">
        <v>2.1800000000000002</v>
      </c>
      <c r="L1932" s="1">
        <v>44377</v>
      </c>
      <c r="M1932" s="1">
        <v>43024</v>
      </c>
      <c r="N1932" s="1"/>
      <c r="R1932">
        <v>1.9653668463894499E-3</v>
      </c>
      <c r="T1932" t="s">
        <v>32</v>
      </c>
      <c r="V1932">
        <v>734088782</v>
      </c>
      <c r="W1932" t="s">
        <v>452</v>
      </c>
      <c r="X1932" t="s">
        <v>453</v>
      </c>
      <c r="Y1932">
        <v>45000</v>
      </c>
      <c r="Z1932" t="s">
        <v>31</v>
      </c>
      <c r="AA1932">
        <v>1.3997337086831217E-3</v>
      </c>
      <c r="AB1932">
        <v>101.75</v>
      </c>
      <c r="AC1932" t="s">
        <v>42</v>
      </c>
      <c r="AE1932" t="s">
        <v>176</v>
      </c>
      <c r="AF1932">
        <v>-2.2888208702300655E-3</v>
      </c>
      <c r="AH1932" t="s">
        <v>237</v>
      </c>
      <c r="AJ1932">
        <v>5.2290281197960196E-3</v>
      </c>
      <c r="AK1932">
        <v>5.2290281197960196E-3</v>
      </c>
      <c r="AL1932">
        <v>0</v>
      </c>
      <c r="AN1932" t="s">
        <v>142</v>
      </c>
      <c r="AQ1932">
        <v>-1.1968308691609009E-5</v>
      </c>
    </row>
    <row r="1933" spans="1:43" x14ac:dyDescent="0.2">
      <c r="A1933">
        <v>1931</v>
      </c>
      <c r="B1933">
        <v>125</v>
      </c>
      <c r="C1933">
        <v>7</v>
      </c>
      <c r="D1933">
        <v>69000</v>
      </c>
      <c r="E1933" t="s">
        <v>393</v>
      </c>
      <c r="F1933" t="s">
        <v>53</v>
      </c>
      <c r="G1933" t="s">
        <v>1135</v>
      </c>
      <c r="H1933">
        <v>4.3282127440496067E-2</v>
      </c>
      <c r="I1933">
        <v>-7.2462793954097859E-5</v>
      </c>
      <c r="J1933">
        <v>3.22</v>
      </c>
      <c r="L1933" s="1">
        <v>44280</v>
      </c>
      <c r="M1933" s="1">
        <v>43024</v>
      </c>
      <c r="N1933" s="1"/>
      <c r="R1933">
        <v>-5.390913301407738E-3</v>
      </c>
      <c r="T1933" t="s">
        <v>32</v>
      </c>
      <c r="V1933">
        <v>1887036662</v>
      </c>
      <c r="W1933" t="s">
        <v>394</v>
      </c>
      <c r="X1933" t="s">
        <v>1136</v>
      </c>
      <c r="Y1933">
        <v>69000</v>
      </c>
      <c r="Z1933" t="s">
        <v>31</v>
      </c>
      <c r="AA1933">
        <v>-9.8695168681252766E-3</v>
      </c>
      <c r="AB1933">
        <v>102.32</v>
      </c>
      <c r="AC1933" t="s">
        <v>154</v>
      </c>
      <c r="AE1933" t="s">
        <v>35</v>
      </c>
      <c r="AF1933">
        <v>1.4011179129769936E-2</v>
      </c>
      <c r="AH1933" t="s">
        <v>237</v>
      </c>
      <c r="AJ1933">
        <v>1.3441654484626107E-2</v>
      </c>
      <c r="AK1933">
        <v>1.3441654484626107E-2</v>
      </c>
      <c r="AL1933">
        <v>0</v>
      </c>
      <c r="AN1933" t="s">
        <v>603</v>
      </c>
      <c r="AQ1933">
        <v>1.8833342878457179E-4</v>
      </c>
    </row>
    <row r="1934" spans="1:43" x14ac:dyDescent="0.2">
      <c r="A1934">
        <v>1932</v>
      </c>
      <c r="B1934">
        <v>125</v>
      </c>
      <c r="C1934">
        <v>7</v>
      </c>
      <c r="D1934">
        <v>72500</v>
      </c>
      <c r="E1934" t="s">
        <v>393</v>
      </c>
      <c r="F1934" t="s">
        <v>53</v>
      </c>
      <c r="G1934" t="s">
        <v>1137</v>
      </c>
      <c r="H1934">
        <v>4.547759765071327E-2</v>
      </c>
      <c r="I1934">
        <v>-7.6138442885496718E-5</v>
      </c>
      <c r="J1934">
        <v>3.22</v>
      </c>
      <c r="L1934" s="1">
        <v>44280</v>
      </c>
      <c r="M1934" s="1">
        <v>43024</v>
      </c>
      <c r="N1934" s="1"/>
      <c r="R1934">
        <v>-5.390913301407738E-3</v>
      </c>
      <c r="T1934" t="s">
        <v>32</v>
      </c>
      <c r="V1934">
        <v>1982755912</v>
      </c>
      <c r="W1934" t="s">
        <v>394</v>
      </c>
      <c r="X1934" t="s">
        <v>1136</v>
      </c>
      <c r="Y1934">
        <v>72500</v>
      </c>
      <c r="Z1934" t="s">
        <v>31</v>
      </c>
      <c r="AA1934">
        <v>-1.0370144530270454E-2</v>
      </c>
      <c r="AB1934">
        <v>102.32</v>
      </c>
      <c r="AC1934" t="s">
        <v>154</v>
      </c>
      <c r="AE1934" t="s">
        <v>35</v>
      </c>
      <c r="AF1934">
        <v>1.4011179129769936E-2</v>
      </c>
      <c r="AH1934" t="s">
        <v>237</v>
      </c>
      <c r="AJ1934">
        <v>1.4123477531277412E-2</v>
      </c>
      <c r="AK1934">
        <v>1.4123477531277412E-2</v>
      </c>
      <c r="AL1934">
        <v>0</v>
      </c>
      <c r="AN1934" t="s">
        <v>603</v>
      </c>
      <c r="AQ1934">
        <v>1.9788657362600868E-4</v>
      </c>
    </row>
    <row r="1935" spans="1:43" x14ac:dyDescent="0.2">
      <c r="A1935">
        <v>1933</v>
      </c>
      <c r="B1935">
        <v>123</v>
      </c>
      <c r="C1935">
        <v>7</v>
      </c>
      <c r="D1935">
        <v>40000</v>
      </c>
      <c r="E1935" t="s">
        <v>393</v>
      </c>
      <c r="F1935" t="s">
        <v>53</v>
      </c>
      <c r="G1935" t="s">
        <v>1735</v>
      </c>
      <c r="H1935">
        <v>1.4444592035549575E-2</v>
      </c>
      <c r="I1935">
        <v>3.8498349745442593E-6</v>
      </c>
      <c r="J1935">
        <v>1.9</v>
      </c>
      <c r="L1935" s="1">
        <v>43733</v>
      </c>
      <c r="M1935" s="1">
        <v>43024</v>
      </c>
      <c r="N1935" s="1"/>
      <c r="R1935">
        <v>5.0639619545030578E-4</v>
      </c>
      <c r="T1935" t="s">
        <v>32</v>
      </c>
      <c r="V1935">
        <v>1067282257</v>
      </c>
      <c r="W1935" t="s">
        <v>394</v>
      </c>
      <c r="X1935" t="s">
        <v>1136</v>
      </c>
      <c r="Y1935">
        <v>40000</v>
      </c>
      <c r="Z1935" t="s">
        <v>31</v>
      </c>
      <c r="AA1935">
        <v>5.2435200393780143E-4</v>
      </c>
      <c r="AB1935">
        <v>99.91</v>
      </c>
      <c r="AC1935" t="s">
        <v>154</v>
      </c>
      <c r="AE1935" t="s">
        <v>35</v>
      </c>
      <c r="AF1935">
        <v>6.9111791297699343E-3</v>
      </c>
      <c r="AH1935" t="s">
        <v>237</v>
      </c>
      <c r="AJ1935">
        <v>7.6024168608155663E-3</v>
      </c>
      <c r="AK1935">
        <v>7.6024168608155663E-3</v>
      </c>
      <c r="AL1935">
        <v>0</v>
      </c>
      <c r="AN1935" t="s">
        <v>603</v>
      </c>
      <c r="AQ1935">
        <v>5.2541664744279604E-5</v>
      </c>
    </row>
    <row r="1936" spans="1:43" x14ac:dyDescent="0.2">
      <c r="A1936">
        <v>1934</v>
      </c>
      <c r="B1936">
        <v>102</v>
      </c>
      <c r="C1936">
        <v>7</v>
      </c>
      <c r="D1936">
        <v>3000</v>
      </c>
      <c r="E1936" t="s">
        <v>332</v>
      </c>
      <c r="F1936" t="s">
        <v>53</v>
      </c>
      <c r="G1936" t="s">
        <v>1093</v>
      </c>
      <c r="H1936">
        <v>6.6717385214328786E-3</v>
      </c>
      <c r="I1936">
        <v>4.8529129182033008E-6</v>
      </c>
      <c r="J1936">
        <v>11.29</v>
      </c>
      <c r="L1936" s="1">
        <v>50649</v>
      </c>
      <c r="M1936" s="1">
        <v>43024</v>
      </c>
      <c r="N1936" s="1"/>
      <c r="R1936">
        <v>8.2121603942518166E-3</v>
      </c>
      <c r="T1936" t="s">
        <v>32</v>
      </c>
      <c r="V1936">
        <v>82960753</v>
      </c>
      <c r="W1936" t="s">
        <v>333</v>
      </c>
      <c r="X1936" t="s">
        <v>437</v>
      </c>
      <c r="Y1936">
        <v>3000</v>
      </c>
      <c r="Z1936" t="s">
        <v>31</v>
      </c>
      <c r="AA1936">
        <v>6.6097238723765732E-4</v>
      </c>
      <c r="AB1936">
        <v>103.31</v>
      </c>
      <c r="AC1936" t="s">
        <v>34</v>
      </c>
      <c r="AE1936" t="s">
        <v>35</v>
      </c>
      <c r="AF1936">
        <v>6.4111791297699339E-3</v>
      </c>
      <c r="AH1936" t="s">
        <v>237</v>
      </c>
      <c r="AJ1936">
        <v>5.9094229596393967E-4</v>
      </c>
      <c r="AK1936">
        <v>5.9094229596393967E-4</v>
      </c>
      <c r="AL1936">
        <v>0</v>
      </c>
      <c r="AN1936" t="s">
        <v>54</v>
      </c>
      <c r="AQ1936">
        <v>3.7886369147823373E-6</v>
      </c>
    </row>
    <row r="1937" spans="1:43" x14ac:dyDescent="0.2">
      <c r="A1937">
        <v>1935</v>
      </c>
      <c r="B1937">
        <v>90</v>
      </c>
      <c r="C1937">
        <v>7</v>
      </c>
      <c r="D1937">
        <v>31000</v>
      </c>
      <c r="E1937" t="s">
        <v>1030</v>
      </c>
      <c r="F1937" t="s">
        <v>53</v>
      </c>
      <c r="G1937" t="s">
        <v>1031</v>
      </c>
      <c r="H1937">
        <v>4.3120644959701609E-2</v>
      </c>
      <c r="I1937">
        <v>-2.699071159546923E-5</v>
      </c>
      <c r="J1937">
        <v>6.14</v>
      </c>
      <c r="K1937">
        <v>6.1499367940036</v>
      </c>
      <c r="L1937" s="1">
        <v>47596</v>
      </c>
      <c r="M1937" s="1">
        <v>43024</v>
      </c>
      <c r="N1937" s="1">
        <v>43021</v>
      </c>
      <c r="R1937">
        <v>1.2063470945976875E-3</v>
      </c>
      <c r="S1937">
        <v>1.2063470945976875E-3</v>
      </c>
      <c r="T1937" t="s">
        <v>32</v>
      </c>
      <c r="U1937" t="s">
        <v>32</v>
      </c>
      <c r="V1937">
        <v>985926380</v>
      </c>
      <c r="W1937" t="s">
        <v>1032</v>
      </c>
      <c r="X1937" t="s">
        <v>1033</v>
      </c>
      <c r="Y1937">
        <v>31000</v>
      </c>
      <c r="Z1937" t="s">
        <v>31</v>
      </c>
      <c r="AA1937">
        <v>-3.6761663308612137E-3</v>
      </c>
      <c r="AB1937">
        <v>116.43</v>
      </c>
      <c r="AC1937" t="s">
        <v>55</v>
      </c>
      <c r="AD1937" t="s">
        <v>55</v>
      </c>
      <c r="AE1937" t="s">
        <v>35</v>
      </c>
      <c r="AF1937">
        <v>1.5111791297699358E-3</v>
      </c>
      <c r="AG1937">
        <v>2.5099999999999998</v>
      </c>
      <c r="AH1937" t="s">
        <v>237</v>
      </c>
      <c r="AI1937" t="s">
        <v>237</v>
      </c>
      <c r="AJ1937">
        <v>-2.2373918515110724E-2</v>
      </c>
      <c r="AK1937">
        <v>7.0229063452282754E-3</v>
      </c>
      <c r="AL1937">
        <v>2.9396824860339E-2</v>
      </c>
      <c r="AM1937" t="s">
        <v>35</v>
      </c>
      <c r="AN1937" t="s">
        <v>149</v>
      </c>
      <c r="AO1937" t="s">
        <v>55</v>
      </c>
      <c r="AP1937" t="s">
        <v>31</v>
      </c>
      <c r="AQ1937">
        <v>1.0612869499237826E-5</v>
      </c>
    </row>
    <row r="1938" spans="1:43" x14ac:dyDescent="0.2">
      <c r="A1938">
        <v>1936</v>
      </c>
      <c r="B1938">
        <v>91</v>
      </c>
      <c r="C1938">
        <v>7</v>
      </c>
      <c r="D1938">
        <v>43500</v>
      </c>
      <c r="E1938" t="s">
        <v>1030</v>
      </c>
      <c r="F1938" t="s">
        <v>53</v>
      </c>
      <c r="G1938" t="s">
        <v>1052</v>
      </c>
      <c r="H1938">
        <v>0.10099904099171692</v>
      </c>
      <c r="I1938">
        <v>5.5816512640603032E-5</v>
      </c>
      <c r="J1938">
        <v>11.41</v>
      </c>
      <c r="L1938" s="1">
        <v>49444</v>
      </c>
      <c r="M1938" s="1">
        <v>43024</v>
      </c>
      <c r="N1938" s="1"/>
      <c r="R1938">
        <v>6.3056678853169604E-3</v>
      </c>
      <c r="T1938" t="s">
        <v>32</v>
      </c>
      <c r="V1938">
        <v>1242679734</v>
      </c>
      <c r="W1938" t="s">
        <v>1032</v>
      </c>
      <c r="X1938" t="s">
        <v>1033</v>
      </c>
      <c r="Y1938">
        <v>43500</v>
      </c>
      <c r="Z1938" t="s">
        <v>31</v>
      </c>
      <c r="AA1938">
        <v>7.6022739804280804E-3</v>
      </c>
      <c r="AB1938">
        <v>105.48</v>
      </c>
      <c r="AC1938" t="s">
        <v>55</v>
      </c>
      <c r="AE1938" t="s">
        <v>35</v>
      </c>
      <c r="AF1938">
        <v>9.5111791297699325E-3</v>
      </c>
      <c r="AH1938" t="s">
        <v>237</v>
      </c>
      <c r="AJ1938">
        <v>8.8518002622013075E-3</v>
      </c>
      <c r="AK1938">
        <v>8.8518002622013075E-3</v>
      </c>
      <c r="AL1938">
        <v>0</v>
      </c>
      <c r="AN1938" t="s">
        <v>149</v>
      </c>
      <c r="AQ1938">
        <v>8.4191057914741085E-5</v>
      </c>
    </row>
    <row r="1939" spans="1:43" x14ac:dyDescent="0.2">
      <c r="A1939">
        <v>1937</v>
      </c>
      <c r="B1939">
        <v>102</v>
      </c>
      <c r="C1939">
        <v>7</v>
      </c>
      <c r="D1939">
        <v>73500</v>
      </c>
      <c r="E1939" t="s">
        <v>879</v>
      </c>
      <c r="F1939" t="s">
        <v>53</v>
      </c>
      <c r="G1939" t="s">
        <v>880</v>
      </c>
      <c r="H1939">
        <v>0.10264575194348761</v>
      </c>
      <c r="I1939">
        <v>1.1872441954204303E-4</v>
      </c>
      <c r="J1939">
        <v>7.1</v>
      </c>
      <c r="L1939" s="1">
        <v>45901</v>
      </c>
      <c r="M1939" s="1">
        <v>43024</v>
      </c>
      <c r="N1939" s="1"/>
      <c r="R1939">
        <v>8.2121603942518166E-3</v>
      </c>
      <c r="T1939" t="s">
        <v>32</v>
      </c>
      <c r="V1939">
        <v>2029599008</v>
      </c>
      <c r="W1939" t="s">
        <v>879</v>
      </c>
      <c r="X1939" t="s">
        <v>881</v>
      </c>
      <c r="Y1939">
        <v>73500</v>
      </c>
      <c r="Z1939" t="s">
        <v>31</v>
      </c>
      <c r="AA1939">
        <v>1.6170404112085882E-2</v>
      </c>
      <c r="AB1939">
        <v>103.21</v>
      </c>
      <c r="AC1939" t="s">
        <v>34</v>
      </c>
      <c r="AE1939" t="s">
        <v>175</v>
      </c>
      <c r="AF1939">
        <v>8.1117912976993653E-4</v>
      </c>
      <c r="AH1939" t="s">
        <v>237</v>
      </c>
      <c r="AJ1939">
        <v>1.4457148161054595E-2</v>
      </c>
      <c r="AK1939">
        <v>1.4457148161054595E-2</v>
      </c>
      <c r="AL1939">
        <v>0</v>
      </c>
      <c r="AN1939" t="s">
        <v>54</v>
      </c>
      <c r="AQ1939">
        <v>1.1727336864239304E-5</v>
      </c>
    </row>
    <row r="1940" spans="1:43" x14ac:dyDescent="0.2">
      <c r="A1940">
        <v>1938</v>
      </c>
      <c r="B1940">
        <v>125</v>
      </c>
      <c r="C1940">
        <v>7</v>
      </c>
      <c r="D1940">
        <v>5000</v>
      </c>
      <c r="E1940" t="s">
        <v>1121</v>
      </c>
      <c r="F1940" t="s">
        <v>53</v>
      </c>
      <c r="G1940" t="s">
        <v>1122</v>
      </c>
      <c r="H1940">
        <v>2.9191030285313502E-3</v>
      </c>
      <c r="I1940">
        <v>1.0157230972276517E-4</v>
      </c>
      <c r="J1940">
        <v>3.06</v>
      </c>
      <c r="K1940">
        <v>3.0756322691263001</v>
      </c>
      <c r="L1940" s="1">
        <v>45463</v>
      </c>
      <c r="M1940" s="1">
        <v>43024</v>
      </c>
      <c r="N1940" s="1">
        <v>43021</v>
      </c>
      <c r="R1940">
        <v>-5.390913301407738E-3</v>
      </c>
      <c r="S1940">
        <v>-5.390913301407738E-3</v>
      </c>
      <c r="T1940" t="s">
        <v>32</v>
      </c>
      <c r="U1940" t="s">
        <v>32</v>
      </c>
      <c r="V1940">
        <v>133923135</v>
      </c>
      <c r="W1940" t="s">
        <v>1123</v>
      </c>
      <c r="X1940" t="s">
        <v>1124</v>
      </c>
      <c r="Y1940">
        <v>5000</v>
      </c>
      <c r="Z1940" t="s">
        <v>31</v>
      </c>
      <c r="AA1940">
        <v>1.3834266793222166E-2</v>
      </c>
      <c r="AB1940">
        <v>98.97</v>
      </c>
      <c r="AC1940" t="s">
        <v>146</v>
      </c>
      <c r="AD1940" t="s">
        <v>146</v>
      </c>
      <c r="AE1940" t="s">
        <v>165</v>
      </c>
      <c r="AF1940">
        <v>2.7411179129769932E-2</v>
      </c>
      <c r="AG1940">
        <v>5.0999999999999996</v>
      </c>
      <c r="AH1940" t="s">
        <v>237</v>
      </c>
      <c r="AI1940" t="s">
        <v>237</v>
      </c>
      <c r="AJ1940">
        <v>-1.884139180948086E-2</v>
      </c>
      <c r="AK1940">
        <v>9.5395523808214052E-4</v>
      </c>
      <c r="AL1940">
        <v>1.9795347047563E-2</v>
      </c>
      <c r="AM1940" t="s">
        <v>165</v>
      </c>
      <c r="AN1940" t="s">
        <v>154</v>
      </c>
      <c r="AO1940" t="s">
        <v>146</v>
      </c>
      <c r="AP1940" t="s">
        <v>31</v>
      </c>
      <c r="AQ1940">
        <v>2.6149037912851877E-5</v>
      </c>
    </row>
    <row r="1941" spans="1:43" x14ac:dyDescent="0.2">
      <c r="A1941">
        <v>1939</v>
      </c>
      <c r="B1941">
        <v>125</v>
      </c>
      <c r="C1941">
        <v>7</v>
      </c>
      <c r="F1941" t="s">
        <v>53</v>
      </c>
      <c r="G1941" t="s">
        <v>1640</v>
      </c>
      <c r="I1941">
        <v>5.2242764073357467E-5</v>
      </c>
      <c r="J1941">
        <v>3.0831034714979002</v>
      </c>
      <c r="K1941">
        <v>3.0831034714979002</v>
      </c>
      <c r="L1941" s="1"/>
      <c r="M1941" s="1"/>
      <c r="N1941" s="1">
        <v>43021</v>
      </c>
      <c r="R1941">
        <v>-5.390913301407738E-3</v>
      </c>
      <c r="S1941">
        <v>-5.390913301407738E-3</v>
      </c>
      <c r="T1941" t="s">
        <v>32</v>
      </c>
      <c r="U1941" t="s">
        <v>32</v>
      </c>
      <c r="W1941" t="s">
        <v>1123</v>
      </c>
      <c r="Z1941" t="s">
        <v>31</v>
      </c>
      <c r="AA1941">
        <v>7.1155252664713503E-3</v>
      </c>
      <c r="AC1941" t="s">
        <v>146</v>
      </c>
      <c r="AD1941" t="s">
        <v>146</v>
      </c>
      <c r="AE1941" t="s">
        <v>165</v>
      </c>
      <c r="AF1941">
        <v>5.28</v>
      </c>
      <c r="AG1941">
        <v>5.28</v>
      </c>
      <c r="AH1941" t="s">
        <v>237</v>
      </c>
      <c r="AI1941" t="s">
        <v>237</v>
      </c>
      <c r="AJ1941">
        <v>-9.6908930180188996E-3</v>
      </c>
      <c r="AK1941">
        <v>0</v>
      </c>
      <c r="AL1941">
        <v>9.6908930180188996E-3</v>
      </c>
      <c r="AM1941" t="s">
        <v>165</v>
      </c>
      <c r="AN1941" t="s">
        <v>146</v>
      </c>
      <c r="AO1941" t="s">
        <v>146</v>
      </c>
      <c r="AP1941" t="s">
        <v>31</v>
      </c>
    </row>
    <row r="1942" spans="1:43" x14ac:dyDescent="0.2">
      <c r="A1942">
        <v>1940</v>
      </c>
      <c r="B1942">
        <v>123</v>
      </c>
      <c r="C1942">
        <v>7</v>
      </c>
      <c r="F1942" t="s">
        <v>53</v>
      </c>
      <c r="G1942" t="s">
        <v>1641</v>
      </c>
      <c r="I1942">
        <v>-4.0793768555549369E-6</v>
      </c>
      <c r="J1942">
        <v>1.7950164826916</v>
      </c>
      <c r="K1942">
        <v>1.7950164826916</v>
      </c>
      <c r="L1942" s="1"/>
      <c r="M1942" s="1"/>
      <c r="N1942" s="1">
        <v>43021</v>
      </c>
      <c r="R1942">
        <v>5.0639619545030578E-4</v>
      </c>
      <c r="S1942">
        <v>5.0639619545030578E-4</v>
      </c>
      <c r="T1942" t="s">
        <v>32</v>
      </c>
      <c r="U1942" t="s">
        <v>32</v>
      </c>
      <c r="AA1942">
        <v>-5.5561587527032505E-4</v>
      </c>
      <c r="AC1942" t="s">
        <v>146</v>
      </c>
      <c r="AD1942" t="s">
        <v>146</v>
      </c>
      <c r="AF1942">
        <v>5.24</v>
      </c>
      <c r="AG1942">
        <v>5.24</v>
      </c>
      <c r="AH1942" t="s">
        <v>237</v>
      </c>
      <c r="AI1942" t="s">
        <v>237</v>
      </c>
      <c r="AJ1942">
        <v>-8.055702021867301E-3</v>
      </c>
      <c r="AK1942">
        <v>0</v>
      </c>
      <c r="AL1942">
        <v>8.055702021867301E-3</v>
      </c>
      <c r="AN1942" t="s">
        <v>146</v>
      </c>
      <c r="AO1942" t="s">
        <v>146</v>
      </c>
    </row>
    <row r="1943" spans="1:43" x14ac:dyDescent="0.2">
      <c r="A1943">
        <v>1941</v>
      </c>
      <c r="B1943">
        <v>102</v>
      </c>
      <c r="C1943">
        <v>7</v>
      </c>
      <c r="D1943">
        <v>35000</v>
      </c>
      <c r="E1943" t="s">
        <v>348</v>
      </c>
      <c r="F1943" t="s">
        <v>53</v>
      </c>
      <c r="G1943" t="s">
        <v>1053</v>
      </c>
      <c r="H1943">
        <v>9.5685042687673222E-2</v>
      </c>
      <c r="I1943">
        <v>5.8948305917629741E-5</v>
      </c>
      <c r="J1943">
        <v>13.33</v>
      </c>
      <c r="L1943" s="1">
        <v>49459</v>
      </c>
      <c r="M1943" s="1">
        <v>43024</v>
      </c>
      <c r="N1943" s="1"/>
      <c r="R1943">
        <v>8.2121603942518166E-3</v>
      </c>
      <c r="T1943" t="s">
        <v>32</v>
      </c>
      <c r="V1943">
        <v>1007723800</v>
      </c>
      <c r="W1943" t="s">
        <v>348</v>
      </c>
      <c r="X1943" t="s">
        <v>647</v>
      </c>
      <c r="Y1943">
        <v>35000</v>
      </c>
      <c r="Z1943" t="s">
        <v>31</v>
      </c>
      <c r="AA1943">
        <v>8.0288278695132328E-3</v>
      </c>
      <c r="AB1943">
        <v>106.59</v>
      </c>
      <c r="AC1943" t="s">
        <v>34</v>
      </c>
      <c r="AE1943" t="s">
        <v>58</v>
      </c>
      <c r="AF1943">
        <v>6.4111791297699339E-3</v>
      </c>
      <c r="AH1943" t="s">
        <v>237</v>
      </c>
      <c r="AJ1943">
        <v>7.178172744761682E-3</v>
      </c>
      <c r="AK1943">
        <v>7.178172744761682E-3</v>
      </c>
      <c r="AL1943">
        <v>0</v>
      </c>
      <c r="AN1943" t="s">
        <v>54</v>
      </c>
      <c r="AQ1943">
        <v>4.6020551291099458E-5</v>
      </c>
    </row>
    <row r="1944" spans="1:43" x14ac:dyDescent="0.2">
      <c r="A1944">
        <v>1942</v>
      </c>
      <c r="B1944">
        <v>87</v>
      </c>
      <c r="C1944">
        <v>7</v>
      </c>
      <c r="D1944">
        <v>10000</v>
      </c>
      <c r="E1944" t="s">
        <v>1007</v>
      </c>
      <c r="F1944" t="s">
        <v>53</v>
      </c>
      <c r="G1944" t="s">
        <v>1008</v>
      </c>
      <c r="H1944">
        <v>2.1290303214905495E-3</v>
      </c>
      <c r="I1944">
        <v>3.6435485127057768E-6</v>
      </c>
      <c r="J1944">
        <v>1.89</v>
      </c>
      <c r="K1944">
        <v>1.9029918226925</v>
      </c>
      <c r="L1944" s="1">
        <v>44287</v>
      </c>
      <c r="M1944" s="1">
        <v>43024</v>
      </c>
      <c r="N1944" s="1">
        <v>43021</v>
      </c>
      <c r="R1944">
        <v>-9.7806149595923409E-4</v>
      </c>
      <c r="S1944">
        <v>-9.7806149595923409E-4</v>
      </c>
      <c r="T1944" t="s">
        <v>32</v>
      </c>
      <c r="U1944" t="s">
        <v>32</v>
      </c>
      <c r="V1944">
        <v>158142155</v>
      </c>
      <c r="W1944" t="s">
        <v>1009</v>
      </c>
      <c r="X1944" t="s">
        <v>1010</v>
      </c>
      <c r="Y1944">
        <v>10000</v>
      </c>
      <c r="Z1944" t="s">
        <v>31</v>
      </c>
      <c r="AA1944">
        <v>4.9625554776098785E-4</v>
      </c>
      <c r="AB1944">
        <v>101.53</v>
      </c>
      <c r="AC1944" t="s">
        <v>142</v>
      </c>
      <c r="AD1944" t="s">
        <v>142</v>
      </c>
      <c r="AE1944" t="s">
        <v>41</v>
      </c>
      <c r="AF1944">
        <v>6.1111791297699357E-3</v>
      </c>
      <c r="AG1944">
        <v>2.99</v>
      </c>
      <c r="AH1944" t="s">
        <v>237</v>
      </c>
      <c r="AI1944" t="s">
        <v>237</v>
      </c>
      <c r="AJ1944">
        <v>-3.72527548396368E-3</v>
      </c>
      <c r="AK1944">
        <v>1.1264710695717195E-3</v>
      </c>
      <c r="AL1944">
        <v>4.8517465535353995E-3</v>
      </c>
      <c r="AM1944" t="s">
        <v>41</v>
      </c>
      <c r="AN1944" t="s">
        <v>146</v>
      </c>
      <c r="AO1944" t="s">
        <v>142</v>
      </c>
      <c r="AP1944" t="s">
        <v>31</v>
      </c>
      <c r="AQ1944">
        <v>6.8840664906563092E-6</v>
      </c>
    </row>
    <row r="1945" spans="1:43" x14ac:dyDescent="0.2">
      <c r="A1945">
        <v>1943</v>
      </c>
      <c r="B1945">
        <v>107</v>
      </c>
      <c r="C1945">
        <v>7</v>
      </c>
      <c r="D1945">
        <v>600000000</v>
      </c>
      <c r="E1945" t="s">
        <v>488</v>
      </c>
      <c r="F1945" t="s">
        <v>53</v>
      </c>
      <c r="G1945" t="s">
        <v>904</v>
      </c>
      <c r="H1945">
        <v>7.1492142797219011E-3</v>
      </c>
      <c r="I1945">
        <v>1.0556822635754833E-5</v>
      </c>
      <c r="J1945">
        <v>1.62</v>
      </c>
      <c r="L1945" s="1">
        <v>43641</v>
      </c>
      <c r="M1945" s="1">
        <v>43024</v>
      </c>
      <c r="N1945" s="1"/>
      <c r="R1945">
        <v>2.3921583548602333E-3</v>
      </c>
      <c r="T1945" t="s">
        <v>39</v>
      </c>
      <c r="V1945">
        <v>619542223</v>
      </c>
      <c r="W1945" t="s">
        <v>490</v>
      </c>
      <c r="X1945" t="s">
        <v>491</v>
      </c>
      <c r="Y1945">
        <v>600000000</v>
      </c>
      <c r="Z1945" t="s">
        <v>31</v>
      </c>
      <c r="AA1945">
        <v>1.4378515289293087E-3</v>
      </c>
      <c r="AB1945">
        <v>101.7</v>
      </c>
      <c r="AC1945" t="s">
        <v>33</v>
      </c>
      <c r="AE1945" t="s">
        <v>41</v>
      </c>
      <c r="AF1945">
        <v>3.9100000000000003E-2</v>
      </c>
      <c r="AH1945" t="s">
        <v>237</v>
      </c>
      <c r="AJ1945">
        <v>4.4130952343962348E-3</v>
      </c>
      <c r="AK1945">
        <v>4.4130952343962348E-3</v>
      </c>
      <c r="AL1945">
        <v>0</v>
      </c>
      <c r="AN1945" t="s">
        <v>148</v>
      </c>
      <c r="AQ1945">
        <v>1.725520236648928E-4</v>
      </c>
    </row>
    <row r="1946" spans="1:43" x14ac:dyDescent="0.2">
      <c r="A1946">
        <v>1944</v>
      </c>
      <c r="B1946">
        <v>107</v>
      </c>
      <c r="C1946">
        <v>7</v>
      </c>
      <c r="D1946">
        <v>400000000</v>
      </c>
      <c r="E1946" t="s">
        <v>488</v>
      </c>
      <c r="F1946" t="s">
        <v>53</v>
      </c>
      <c r="G1946" t="s">
        <v>531</v>
      </c>
      <c r="H1946">
        <v>6.8225173135638209E-3</v>
      </c>
      <c r="I1946">
        <v>7.0045243746009819E-6</v>
      </c>
      <c r="J1946">
        <v>2.33</v>
      </c>
      <c r="L1946" s="1">
        <v>43922</v>
      </c>
      <c r="M1946" s="1">
        <v>43024</v>
      </c>
      <c r="N1946" s="1"/>
      <c r="R1946">
        <v>2.3921583548602333E-3</v>
      </c>
      <c r="T1946" t="s">
        <v>39</v>
      </c>
      <c r="V1946">
        <v>411070523</v>
      </c>
      <c r="W1946" t="s">
        <v>490</v>
      </c>
      <c r="X1946" t="s">
        <v>491</v>
      </c>
      <c r="Y1946">
        <v>400000000</v>
      </c>
      <c r="Z1946" t="s">
        <v>31</v>
      </c>
      <c r="AA1946">
        <v>9.5402437162595206E-4</v>
      </c>
      <c r="AB1946">
        <v>102.54</v>
      </c>
      <c r="AC1946" t="s">
        <v>33</v>
      </c>
      <c r="AE1946" t="s">
        <v>41</v>
      </c>
      <c r="AF1946">
        <v>4.1700000000000001E-2</v>
      </c>
      <c r="AH1946" t="s">
        <v>237</v>
      </c>
      <c r="AJ1946">
        <v>2.9281190186969189E-3</v>
      </c>
      <c r="AK1946">
        <v>2.9281190186969189E-3</v>
      </c>
      <c r="AL1946">
        <v>0</v>
      </c>
      <c r="AN1946" t="s">
        <v>148</v>
      </c>
      <c r="AQ1946">
        <v>1.2210256307966153E-4</v>
      </c>
    </row>
    <row r="1947" spans="1:43" x14ac:dyDescent="0.2">
      <c r="A1947">
        <v>1945</v>
      </c>
      <c r="B1947">
        <v>110</v>
      </c>
      <c r="C1947">
        <v>7</v>
      </c>
      <c r="D1947">
        <v>900000000</v>
      </c>
      <c r="E1947" t="s">
        <v>488</v>
      </c>
      <c r="F1947" t="s">
        <v>53</v>
      </c>
      <c r="G1947" t="s">
        <v>537</v>
      </c>
      <c r="H1947">
        <v>2.3945131038549394E-2</v>
      </c>
      <c r="I1947">
        <v>2.0848800324569374E-5</v>
      </c>
      <c r="J1947">
        <v>3.67</v>
      </c>
      <c r="L1947" s="1">
        <v>44484</v>
      </c>
      <c r="M1947" s="1">
        <v>43024</v>
      </c>
      <c r="N1947" s="1"/>
      <c r="R1947">
        <v>3.1954344734212367E-3</v>
      </c>
      <c r="T1947" t="s">
        <v>39</v>
      </c>
      <c r="V1947">
        <v>915964757</v>
      </c>
      <c r="W1947" t="s">
        <v>490</v>
      </c>
      <c r="X1947" t="s">
        <v>491</v>
      </c>
      <c r="Y1947">
        <v>900000000</v>
      </c>
      <c r="Z1947" t="s">
        <v>31</v>
      </c>
      <c r="AA1947">
        <v>2.8396308678610752E-3</v>
      </c>
      <c r="AB1947">
        <v>101.75</v>
      </c>
      <c r="AC1947" t="s">
        <v>33</v>
      </c>
      <c r="AE1947" t="s">
        <v>41</v>
      </c>
      <c r="AF1947">
        <v>4.5999999999999999E-2</v>
      </c>
      <c r="AH1947" t="s">
        <v>237</v>
      </c>
      <c r="AJ1947">
        <v>6.5245588660897535E-3</v>
      </c>
      <c r="AK1947">
        <v>6.5245588660897535E-3</v>
      </c>
      <c r="AL1947">
        <v>0</v>
      </c>
      <c r="AN1947" t="s">
        <v>148</v>
      </c>
      <c r="AQ1947">
        <v>3.0012970784012863E-4</v>
      </c>
    </row>
    <row r="1948" spans="1:43" x14ac:dyDescent="0.2">
      <c r="A1948">
        <v>1946</v>
      </c>
      <c r="B1948">
        <v>99</v>
      </c>
      <c r="C1948">
        <v>7</v>
      </c>
      <c r="D1948">
        <v>24000</v>
      </c>
      <c r="E1948" t="s">
        <v>488</v>
      </c>
      <c r="F1948" t="s">
        <v>53</v>
      </c>
      <c r="G1948" t="s">
        <v>512</v>
      </c>
      <c r="H1948">
        <v>1.508612567230797E-2</v>
      </c>
      <c r="I1948">
        <v>1.2733714646834653E-5</v>
      </c>
      <c r="J1948">
        <v>3.22</v>
      </c>
      <c r="L1948" s="1">
        <v>44256</v>
      </c>
      <c r="M1948" s="1">
        <v>43024</v>
      </c>
      <c r="N1948" s="1"/>
      <c r="R1948">
        <v>2.7178986874059861E-3</v>
      </c>
      <c r="T1948" t="s">
        <v>32</v>
      </c>
      <c r="V1948">
        <v>657732739</v>
      </c>
      <c r="W1948" t="s">
        <v>490</v>
      </c>
      <c r="X1948" t="s">
        <v>491</v>
      </c>
      <c r="Y1948">
        <v>24000</v>
      </c>
      <c r="Z1948" t="s">
        <v>31</v>
      </c>
      <c r="AA1948">
        <v>1.7343467542866031E-3</v>
      </c>
      <c r="AB1948">
        <v>102.42</v>
      </c>
      <c r="AC1948" t="s">
        <v>33</v>
      </c>
      <c r="AE1948" t="s">
        <v>41</v>
      </c>
      <c r="AF1948">
        <v>-1.1888208702300652E-3</v>
      </c>
      <c r="AH1948" t="s">
        <v>237</v>
      </c>
      <c r="AJ1948">
        <v>4.6851321963689348E-3</v>
      </c>
      <c r="AK1948">
        <v>4.6851321963689348E-3</v>
      </c>
      <c r="AL1948">
        <v>0</v>
      </c>
      <c r="AN1948" t="s">
        <v>148</v>
      </c>
      <c r="AQ1948">
        <v>-5.569782934830214E-6</v>
      </c>
    </row>
    <row r="1949" spans="1:43" x14ac:dyDescent="0.2">
      <c r="A1949">
        <v>1947</v>
      </c>
      <c r="B1949">
        <v>99</v>
      </c>
      <c r="C1949">
        <v>7</v>
      </c>
      <c r="D1949">
        <v>19000</v>
      </c>
      <c r="E1949" t="s">
        <v>488</v>
      </c>
      <c r="F1949" t="s">
        <v>53</v>
      </c>
      <c r="G1949" t="s">
        <v>905</v>
      </c>
      <c r="H1949">
        <v>1.500830681598481E-2</v>
      </c>
      <c r="I1949">
        <v>9.6890872673043768E-6</v>
      </c>
      <c r="J1949">
        <v>4.21</v>
      </c>
      <c r="L1949" s="1">
        <v>44621</v>
      </c>
      <c r="M1949" s="1">
        <v>43024</v>
      </c>
      <c r="N1949" s="1"/>
      <c r="R1949">
        <v>2.7178986874059861E-3</v>
      </c>
      <c r="T1949" t="s">
        <v>32</v>
      </c>
      <c r="V1949">
        <v>500469037</v>
      </c>
      <c r="W1949" t="s">
        <v>490</v>
      </c>
      <c r="X1949" t="s">
        <v>491</v>
      </c>
      <c r="Y1949">
        <v>19000</v>
      </c>
      <c r="Z1949" t="s">
        <v>31</v>
      </c>
      <c r="AA1949">
        <v>1.3196649618833886E-3</v>
      </c>
      <c r="AB1949">
        <v>98.57</v>
      </c>
      <c r="AC1949" t="s">
        <v>33</v>
      </c>
      <c r="AE1949" t="s">
        <v>41</v>
      </c>
      <c r="AF1949">
        <v>-1.0888208702300659E-3</v>
      </c>
      <c r="AH1949" t="s">
        <v>237</v>
      </c>
      <c r="AJ1949">
        <v>3.5649184836068432E-3</v>
      </c>
      <c r="AK1949">
        <v>3.5649184836068432E-3</v>
      </c>
      <c r="AL1949">
        <v>0</v>
      </c>
      <c r="AN1949" t="s">
        <v>148</v>
      </c>
      <c r="AQ1949">
        <v>-3.8815576456200499E-6</v>
      </c>
    </row>
    <row r="1950" spans="1:43" x14ac:dyDescent="0.2">
      <c r="A1950">
        <v>1948</v>
      </c>
      <c r="B1950">
        <v>91</v>
      </c>
      <c r="C1950">
        <v>7</v>
      </c>
      <c r="D1950">
        <v>30000</v>
      </c>
      <c r="E1950" t="s">
        <v>1013</v>
      </c>
      <c r="F1950" t="s">
        <v>53</v>
      </c>
      <c r="G1950" t="s">
        <v>1054</v>
      </c>
      <c r="H1950">
        <v>6.9442986212944938E-2</v>
      </c>
      <c r="I1950">
        <v>-3.7848121449686361E-5</v>
      </c>
      <c r="J1950">
        <v>8.4700000000000006</v>
      </c>
      <c r="K1950">
        <v>8.4843491103950992</v>
      </c>
      <c r="L1950" s="1">
        <v>47178</v>
      </c>
      <c r="M1950" s="1">
        <v>43024</v>
      </c>
      <c r="N1950" s="1">
        <v>43021</v>
      </c>
      <c r="R1950">
        <v>6.3056678853169604E-3</v>
      </c>
      <c r="S1950">
        <v>6.3056678853169604E-3</v>
      </c>
      <c r="T1950" t="s">
        <v>32</v>
      </c>
      <c r="U1950" t="s">
        <v>32</v>
      </c>
      <c r="V1950">
        <v>1150992750</v>
      </c>
      <c r="W1950" t="s">
        <v>1015</v>
      </c>
      <c r="X1950" t="s">
        <v>1016</v>
      </c>
      <c r="Y1950">
        <v>30000</v>
      </c>
      <c r="Z1950" t="s">
        <v>31</v>
      </c>
      <c r="AA1950">
        <v>-5.1549581887659103E-3</v>
      </c>
      <c r="AB1950">
        <v>142.61000000000001</v>
      </c>
      <c r="AC1950" t="s">
        <v>55</v>
      </c>
      <c r="AD1950" t="s">
        <v>55</v>
      </c>
      <c r="AE1950" t="s">
        <v>178</v>
      </c>
      <c r="AF1950">
        <v>5.6111791297699352E-3</v>
      </c>
      <c r="AG1950">
        <v>2.92</v>
      </c>
      <c r="AH1950" t="s">
        <v>237</v>
      </c>
      <c r="AI1950" t="s">
        <v>237</v>
      </c>
      <c r="AJ1950">
        <v>-6.0022383255891841E-3</v>
      </c>
      <c r="AK1950">
        <v>8.1986996709498151E-3</v>
      </c>
      <c r="AL1950">
        <v>1.4200937996538999E-2</v>
      </c>
      <c r="AM1950" t="s">
        <v>178</v>
      </c>
      <c r="AN1950" t="s">
        <v>149</v>
      </c>
      <c r="AO1950" t="s">
        <v>55</v>
      </c>
      <c r="AP1950" t="s">
        <v>31</v>
      </c>
      <c r="AQ1950">
        <v>4.6004372484885237E-5</v>
      </c>
    </row>
    <row r="1951" spans="1:43" x14ac:dyDescent="0.2">
      <c r="A1951">
        <v>1949</v>
      </c>
      <c r="B1951">
        <v>89</v>
      </c>
      <c r="C1951">
        <v>7</v>
      </c>
      <c r="D1951">
        <v>10000</v>
      </c>
      <c r="E1951" t="s">
        <v>1013</v>
      </c>
      <c r="F1951" t="s">
        <v>53</v>
      </c>
      <c r="G1951" t="s">
        <v>1014</v>
      </c>
      <c r="H1951">
        <v>6.9777743576167868E-3</v>
      </c>
      <c r="I1951">
        <v>2.8382494710444491E-6</v>
      </c>
      <c r="J1951">
        <v>3.95</v>
      </c>
      <c r="L1951" s="1">
        <v>45992</v>
      </c>
      <c r="M1951" s="1">
        <v>43024</v>
      </c>
      <c r="N1951" s="1"/>
      <c r="R1951">
        <v>1.6066850024159633E-3</v>
      </c>
      <c r="T1951" t="s">
        <v>32</v>
      </c>
      <c r="V1951">
        <v>247997576</v>
      </c>
      <c r="W1951" t="s">
        <v>1015</v>
      </c>
      <c r="X1951" t="s">
        <v>1016</v>
      </c>
      <c r="Y1951">
        <v>10000</v>
      </c>
      <c r="Z1951" t="s">
        <v>31</v>
      </c>
      <c r="AA1951">
        <v>3.8657288108660782E-4</v>
      </c>
      <c r="AB1951">
        <v>119.8</v>
      </c>
      <c r="AC1951" t="s">
        <v>55</v>
      </c>
      <c r="AE1951" t="s">
        <v>178</v>
      </c>
      <c r="AF1951">
        <v>-8.8820870230064963E-5</v>
      </c>
      <c r="AH1951" t="s">
        <v>237</v>
      </c>
      <c r="AJ1951">
        <v>1.7665251538270346E-3</v>
      </c>
      <c r="AK1951">
        <v>1.7665251538270346E-3</v>
      </c>
      <c r="AL1951">
        <v>0</v>
      </c>
      <c r="AN1951" t="s">
        <v>149</v>
      </c>
      <c r="AQ1951">
        <v>-1.5690430144621658E-7</v>
      </c>
    </row>
    <row r="1952" spans="1:43" x14ac:dyDescent="0.2">
      <c r="A1952">
        <v>1950</v>
      </c>
      <c r="B1952">
        <v>91</v>
      </c>
      <c r="C1952">
        <v>7</v>
      </c>
      <c r="D1952">
        <v>5000</v>
      </c>
      <c r="E1952" t="s">
        <v>1013</v>
      </c>
      <c r="F1952" t="s">
        <v>53</v>
      </c>
      <c r="G1952" t="s">
        <v>1055</v>
      </c>
      <c r="H1952">
        <v>7.941316657386125E-3</v>
      </c>
      <c r="I1952">
        <v>6.0844842543878875E-6</v>
      </c>
      <c r="J1952">
        <v>8.23</v>
      </c>
      <c r="L1952" s="1">
        <v>46997</v>
      </c>
      <c r="M1952" s="1">
        <v>43024</v>
      </c>
      <c r="N1952" s="1"/>
      <c r="R1952">
        <v>6.3056678853169604E-3</v>
      </c>
      <c r="T1952" t="s">
        <v>32</v>
      </c>
      <c r="V1952">
        <v>135462875</v>
      </c>
      <c r="W1952" t="s">
        <v>1015</v>
      </c>
      <c r="X1952" t="s">
        <v>1016</v>
      </c>
      <c r="Y1952">
        <v>5000</v>
      </c>
      <c r="Z1952" t="s">
        <v>31</v>
      </c>
      <c r="AA1952">
        <v>8.2871383651813982E-4</v>
      </c>
      <c r="AB1952">
        <v>101.19</v>
      </c>
      <c r="AC1952" t="s">
        <v>55</v>
      </c>
      <c r="AE1952" t="s">
        <v>178</v>
      </c>
      <c r="AF1952">
        <v>9.911179129769937E-3</v>
      </c>
      <c r="AH1952" t="s">
        <v>237</v>
      </c>
      <c r="AJ1952">
        <v>9.6492304463986929E-4</v>
      </c>
      <c r="AK1952">
        <v>9.6492304463986929E-4</v>
      </c>
      <c r="AL1952">
        <v>0</v>
      </c>
      <c r="AN1952" t="s">
        <v>149</v>
      </c>
      <c r="AQ1952">
        <v>9.5635251418687378E-6</v>
      </c>
    </row>
    <row r="1953" spans="1:43" x14ac:dyDescent="0.2">
      <c r="A1953">
        <v>1951</v>
      </c>
      <c r="B1953">
        <v>90</v>
      </c>
      <c r="C1953">
        <v>7</v>
      </c>
      <c r="D1953">
        <v>9000</v>
      </c>
      <c r="E1953" t="s">
        <v>316</v>
      </c>
      <c r="F1953" t="s">
        <v>53</v>
      </c>
      <c r="G1953" t="s">
        <v>906</v>
      </c>
      <c r="H1953">
        <v>9.4086239403719379E-3</v>
      </c>
      <c r="I1953">
        <v>-2.8730749141157116E-5</v>
      </c>
      <c r="J1953">
        <v>5.15</v>
      </c>
      <c r="K1953">
        <v>5.1618283683498003</v>
      </c>
      <c r="L1953" s="1">
        <v>47088</v>
      </c>
      <c r="M1953" s="1">
        <v>43024</v>
      </c>
      <c r="N1953" s="1">
        <v>43021</v>
      </c>
      <c r="R1953">
        <v>1.2063470945976875E-3</v>
      </c>
      <c r="S1953">
        <v>1.2063470945976875E-3</v>
      </c>
      <c r="T1953" t="s">
        <v>32</v>
      </c>
      <c r="U1953" t="s">
        <v>32</v>
      </c>
      <c r="V1953">
        <v>256475858</v>
      </c>
      <c r="W1953" t="s">
        <v>317</v>
      </c>
      <c r="X1953" t="s">
        <v>541</v>
      </c>
      <c r="Y1953">
        <v>9000</v>
      </c>
      <c r="Z1953" t="s">
        <v>31</v>
      </c>
      <c r="AA1953">
        <v>-3.9131614696246526E-3</v>
      </c>
      <c r="AB1953">
        <v>105.29</v>
      </c>
      <c r="AC1953" t="s">
        <v>142</v>
      </c>
      <c r="AD1953" t="s">
        <v>55</v>
      </c>
      <c r="AE1953" t="s">
        <v>41</v>
      </c>
      <c r="AF1953">
        <v>6.9111791297699343E-3</v>
      </c>
      <c r="AG1953">
        <v>3.05</v>
      </c>
      <c r="AH1953" t="s">
        <v>237</v>
      </c>
      <c r="AI1953" t="s">
        <v>237</v>
      </c>
      <c r="AJ1953">
        <v>-2.3816320584531866E-2</v>
      </c>
      <c r="AK1953">
        <v>1.8269172699751336E-3</v>
      </c>
      <c r="AL1953">
        <v>2.5643237854506999E-2</v>
      </c>
      <c r="AM1953" t="s">
        <v>41</v>
      </c>
      <c r="AN1953" t="s">
        <v>146</v>
      </c>
      <c r="AO1953" t="s">
        <v>55</v>
      </c>
      <c r="AP1953" t="s">
        <v>31</v>
      </c>
      <c r="AQ1953">
        <v>1.2626152508068409E-5</v>
      </c>
    </row>
    <row r="1954" spans="1:43" x14ac:dyDescent="0.2">
      <c r="A1954">
        <v>1952</v>
      </c>
      <c r="B1954">
        <v>90</v>
      </c>
      <c r="C1954">
        <v>7</v>
      </c>
      <c r="D1954">
        <v>9000</v>
      </c>
      <c r="E1954" t="s">
        <v>316</v>
      </c>
      <c r="F1954" t="s">
        <v>53</v>
      </c>
      <c r="G1954" t="s">
        <v>906</v>
      </c>
      <c r="H1954">
        <v>9.4086239403719379E-3</v>
      </c>
      <c r="I1954">
        <v>-2.8730749141157116E-5</v>
      </c>
      <c r="J1954">
        <v>5.15</v>
      </c>
      <c r="K1954">
        <v>5.1618283683498003</v>
      </c>
      <c r="L1954" s="1">
        <v>47088</v>
      </c>
      <c r="M1954" s="1">
        <v>43024</v>
      </c>
      <c r="N1954" s="1">
        <v>43021</v>
      </c>
      <c r="R1954">
        <v>1.2063470945976875E-3</v>
      </c>
      <c r="S1954">
        <v>1.2063470945976875E-3</v>
      </c>
      <c r="T1954" t="s">
        <v>32</v>
      </c>
      <c r="U1954" t="s">
        <v>32</v>
      </c>
      <c r="V1954">
        <v>256475858</v>
      </c>
      <c r="W1954" t="s">
        <v>317</v>
      </c>
      <c r="X1954" t="s">
        <v>541</v>
      </c>
      <c r="Y1954">
        <v>9000</v>
      </c>
      <c r="Z1954" t="s">
        <v>31</v>
      </c>
      <c r="AA1954">
        <v>-3.9131614696246526E-3</v>
      </c>
      <c r="AB1954">
        <v>105.29</v>
      </c>
      <c r="AC1954" t="s">
        <v>142</v>
      </c>
      <c r="AD1954" t="s">
        <v>55</v>
      </c>
      <c r="AE1954" t="s">
        <v>41</v>
      </c>
      <c r="AF1954">
        <v>6.9111791297699343E-3</v>
      </c>
      <c r="AG1954">
        <v>3.05</v>
      </c>
      <c r="AH1954" t="s">
        <v>237</v>
      </c>
      <c r="AI1954" t="s">
        <v>237</v>
      </c>
      <c r="AJ1954">
        <v>-2.3816320584531866E-2</v>
      </c>
      <c r="AK1954">
        <v>1.8269172699751336E-3</v>
      </c>
      <c r="AL1954">
        <v>2.5643237854506999E-2</v>
      </c>
      <c r="AM1954" t="s">
        <v>175</v>
      </c>
      <c r="AN1954" t="s">
        <v>146</v>
      </c>
      <c r="AO1954" t="s">
        <v>55</v>
      </c>
      <c r="AP1954" t="s">
        <v>31</v>
      </c>
      <c r="AQ1954">
        <v>1.2626152508068409E-5</v>
      </c>
    </row>
    <row r="1955" spans="1:43" x14ac:dyDescent="0.2">
      <c r="A1955">
        <v>1953</v>
      </c>
      <c r="B1955">
        <v>87</v>
      </c>
      <c r="C1955">
        <v>7</v>
      </c>
      <c r="D1955">
        <v>370000000</v>
      </c>
      <c r="E1955" t="s">
        <v>1098</v>
      </c>
      <c r="F1955" t="s">
        <v>53</v>
      </c>
      <c r="G1955" t="s">
        <v>1099</v>
      </c>
      <c r="H1955">
        <v>3.2551898474162869E-4</v>
      </c>
      <c r="I1955">
        <v>1.0065590999472552E-5</v>
      </c>
      <c r="J1955">
        <v>0.12</v>
      </c>
      <c r="K1955">
        <v>0.13424657534247</v>
      </c>
      <c r="L1955" s="1">
        <v>43070</v>
      </c>
      <c r="M1955" s="1">
        <v>43024</v>
      </c>
      <c r="N1955" s="1">
        <v>43021</v>
      </c>
      <c r="R1955">
        <v>-9.7806149595923409E-4</v>
      </c>
      <c r="S1955">
        <v>-9.7806149595923409E-4</v>
      </c>
      <c r="T1955" t="s">
        <v>39</v>
      </c>
      <c r="U1955" t="s">
        <v>39</v>
      </c>
      <c r="V1955">
        <v>380822576</v>
      </c>
      <c r="W1955" t="s">
        <v>1100</v>
      </c>
      <c r="X1955" t="s">
        <v>1101</v>
      </c>
      <c r="Y1955">
        <v>370000000</v>
      </c>
      <c r="Z1955" t="s">
        <v>31</v>
      </c>
      <c r="AA1955">
        <v>1.3709452083765033E-3</v>
      </c>
      <c r="AB1955">
        <v>100.24</v>
      </c>
      <c r="AC1955" t="s">
        <v>150</v>
      </c>
      <c r="AD1955" t="s">
        <v>150</v>
      </c>
      <c r="AE1955" t="s">
        <v>41</v>
      </c>
      <c r="AF1955">
        <v>5.1700000000000003E-2</v>
      </c>
      <c r="AG1955">
        <v>5.19</v>
      </c>
      <c r="AH1955" t="s">
        <v>237</v>
      </c>
      <c r="AI1955" t="s">
        <v>237</v>
      </c>
      <c r="AJ1955">
        <v>-1.0291368222813761E-2</v>
      </c>
      <c r="AK1955">
        <v>2.7126582061802393E-3</v>
      </c>
      <c r="AL1955">
        <v>1.3004026428994E-2</v>
      </c>
      <c r="AM1955" t="s">
        <v>41</v>
      </c>
      <c r="AN1955" t="s">
        <v>144</v>
      </c>
      <c r="AO1955" t="s">
        <v>150</v>
      </c>
      <c r="AP1955" t="s">
        <v>31</v>
      </c>
      <c r="AQ1955">
        <v>1.4024442925951837E-4</v>
      </c>
    </row>
    <row r="1956" spans="1:43" x14ac:dyDescent="0.2">
      <c r="A1956">
        <v>1954</v>
      </c>
      <c r="B1956">
        <v>87</v>
      </c>
      <c r="C1956">
        <v>7</v>
      </c>
      <c r="D1956">
        <v>240000000</v>
      </c>
      <c r="E1956" t="s">
        <v>1098</v>
      </c>
      <c r="F1956" t="s">
        <v>53</v>
      </c>
      <c r="G1956" t="s">
        <v>1102</v>
      </c>
      <c r="H1956">
        <v>9.6605035513763264E-5</v>
      </c>
      <c r="I1956">
        <v>-2.0996814567063607E-7</v>
      </c>
      <c r="J1956">
        <v>0.45</v>
      </c>
      <c r="L1956" s="1">
        <v>43191</v>
      </c>
      <c r="M1956" s="1">
        <v>43024</v>
      </c>
      <c r="N1956" s="1"/>
      <c r="R1956">
        <v>-9.7806149595923409E-4</v>
      </c>
      <c r="T1956" t="s">
        <v>39</v>
      </c>
      <c r="V1956">
        <v>30138030</v>
      </c>
      <c r="W1956" t="s">
        <v>1100</v>
      </c>
      <c r="X1956" t="s">
        <v>1101</v>
      </c>
      <c r="Y1956">
        <v>240000000</v>
      </c>
      <c r="Z1956" t="s">
        <v>31</v>
      </c>
      <c r="AA1956">
        <v>-2.8597905799464939E-5</v>
      </c>
      <c r="AB1956">
        <v>100.22</v>
      </c>
      <c r="AC1956" t="s">
        <v>150</v>
      </c>
      <c r="AE1956" t="s">
        <v>41</v>
      </c>
      <c r="AF1956">
        <v>5.5100000000000003E-2</v>
      </c>
      <c r="AH1956" t="s">
        <v>237</v>
      </c>
      <c r="AJ1956">
        <v>2.1467785669725169E-4</v>
      </c>
      <c r="AK1956">
        <v>2.1467785669725169E-4</v>
      </c>
      <c r="AL1956">
        <v>0</v>
      </c>
      <c r="AN1956" t="s">
        <v>144</v>
      </c>
      <c r="AQ1956">
        <v>1.1828749904018569E-5</v>
      </c>
    </row>
    <row r="1957" spans="1:43" x14ac:dyDescent="0.2">
      <c r="A1957">
        <v>1955</v>
      </c>
      <c r="B1957">
        <v>87</v>
      </c>
      <c r="C1957">
        <v>7</v>
      </c>
      <c r="D1957">
        <v>75000</v>
      </c>
      <c r="E1957" t="s">
        <v>1098</v>
      </c>
      <c r="F1957" t="s">
        <v>53</v>
      </c>
      <c r="G1957" t="s">
        <v>1103</v>
      </c>
      <c r="H1957">
        <v>1.9370185536706098E-3</v>
      </c>
      <c r="I1957">
        <v>-3.5083764153775343E-6</v>
      </c>
      <c r="J1957">
        <v>0.54</v>
      </c>
      <c r="L1957" s="1">
        <v>43313</v>
      </c>
      <c r="M1957" s="1">
        <v>43024</v>
      </c>
      <c r="N1957" s="1"/>
      <c r="R1957">
        <v>-9.7806149595923409E-4</v>
      </c>
      <c r="T1957" t="s">
        <v>32</v>
      </c>
      <c r="V1957">
        <v>503579023</v>
      </c>
      <c r="W1957" t="s">
        <v>1100</v>
      </c>
      <c r="X1957" t="s">
        <v>1101</v>
      </c>
      <c r="Y1957">
        <v>75000</v>
      </c>
      <c r="Z1957" t="s">
        <v>31</v>
      </c>
      <c r="AA1957">
        <v>-4.7784495079275546E-4</v>
      </c>
      <c r="AB1957">
        <v>99.98</v>
      </c>
      <c r="AC1957" t="s">
        <v>150</v>
      </c>
      <c r="AE1957" t="s">
        <v>41</v>
      </c>
      <c r="AF1957">
        <v>1.3611179129769932E-2</v>
      </c>
      <c r="AH1957" t="s">
        <v>237</v>
      </c>
      <c r="AJ1957">
        <v>3.5870713956863143E-3</v>
      </c>
      <c r="AK1957">
        <v>3.5870713956863143E-3</v>
      </c>
      <c r="AL1957">
        <v>0</v>
      </c>
      <c r="AN1957" t="s">
        <v>144</v>
      </c>
      <c r="AQ1957">
        <v>4.8824271317960265E-5</v>
      </c>
    </row>
    <row r="1958" spans="1:43" x14ac:dyDescent="0.2">
      <c r="A1958">
        <v>1956</v>
      </c>
      <c r="B1958">
        <v>87</v>
      </c>
      <c r="C1958">
        <v>7</v>
      </c>
      <c r="D1958">
        <v>3000</v>
      </c>
      <c r="E1958" t="s">
        <v>1098</v>
      </c>
      <c r="F1958" t="s">
        <v>53</v>
      </c>
      <c r="G1958" t="s">
        <v>1104</v>
      </c>
      <c r="H1958">
        <v>3.1128664397671177E-4</v>
      </c>
      <c r="I1958">
        <v>5.4761247225737332E-6</v>
      </c>
      <c r="J1958">
        <v>1.1000000000000001</v>
      </c>
      <c r="K1958">
        <v>1.1148855808834</v>
      </c>
      <c r="L1958" s="1">
        <v>43709</v>
      </c>
      <c r="M1958" s="1">
        <v>43024</v>
      </c>
      <c r="N1958" s="1">
        <v>43021</v>
      </c>
      <c r="R1958">
        <v>-9.7806149595923409E-4</v>
      </c>
      <c r="S1958">
        <v>-9.7806149595923409E-4</v>
      </c>
      <c r="T1958" t="s">
        <v>32</v>
      </c>
      <c r="U1958" t="s">
        <v>32</v>
      </c>
      <c r="V1958">
        <v>39727882</v>
      </c>
      <c r="W1958" t="s">
        <v>1100</v>
      </c>
      <c r="X1958" t="s">
        <v>1101</v>
      </c>
      <c r="Y1958">
        <v>3000</v>
      </c>
      <c r="Z1958" t="s">
        <v>31</v>
      </c>
      <c r="AA1958">
        <v>7.458545602814547E-4</v>
      </c>
      <c r="AB1958">
        <v>99.04</v>
      </c>
      <c r="AC1958" t="s">
        <v>150</v>
      </c>
      <c r="AD1958" t="s">
        <v>150</v>
      </c>
      <c r="AE1958" t="s">
        <v>41</v>
      </c>
      <c r="AF1958">
        <v>1.0411179129769937E-2</v>
      </c>
      <c r="AG1958">
        <v>3.39</v>
      </c>
      <c r="AH1958" t="s">
        <v>237</v>
      </c>
      <c r="AI1958" t="s">
        <v>237</v>
      </c>
      <c r="AJ1958">
        <v>-5.5989574737353529E-3</v>
      </c>
      <c r="AK1958">
        <v>2.8298785816064704E-4</v>
      </c>
      <c r="AL1958">
        <v>5.8819453318959998E-3</v>
      </c>
      <c r="AM1958" t="s">
        <v>41</v>
      </c>
      <c r="AN1958" t="s">
        <v>144</v>
      </c>
      <c r="AO1958" t="s">
        <v>150</v>
      </c>
      <c r="AP1958" t="s">
        <v>31</v>
      </c>
      <c r="AQ1958">
        <v>2.9462372828604239E-6</v>
      </c>
    </row>
    <row r="1959" spans="1:43" x14ac:dyDescent="0.2">
      <c r="A1959">
        <v>1957</v>
      </c>
      <c r="B1959">
        <v>88</v>
      </c>
      <c r="C1959">
        <v>7</v>
      </c>
      <c r="D1959">
        <v>60000</v>
      </c>
      <c r="E1959" t="s">
        <v>1098</v>
      </c>
      <c r="F1959" t="s">
        <v>53</v>
      </c>
      <c r="G1959" t="s">
        <v>1114</v>
      </c>
      <c r="H1959">
        <v>3.276168474711786E-2</v>
      </c>
      <c r="I1959">
        <v>2.7744527420448802E-6</v>
      </c>
      <c r="J1959">
        <v>2.79</v>
      </c>
      <c r="K1959">
        <v>2.8048478595484001</v>
      </c>
      <c r="L1959" s="1">
        <v>44566</v>
      </c>
      <c r="M1959" s="1">
        <v>43024</v>
      </c>
      <c r="N1959" s="1">
        <v>43021</v>
      </c>
      <c r="R1959">
        <v>-7.9394588966687685E-4</v>
      </c>
      <c r="S1959">
        <v>-7.9394588966687685E-4</v>
      </c>
      <c r="T1959" t="s">
        <v>32</v>
      </c>
      <c r="U1959" t="s">
        <v>32</v>
      </c>
      <c r="V1959">
        <v>1648502590</v>
      </c>
      <c r="W1959" t="s">
        <v>1100</v>
      </c>
      <c r="X1959" t="s">
        <v>1115</v>
      </c>
      <c r="Y1959">
        <v>60000</v>
      </c>
      <c r="Z1959" t="s">
        <v>31</v>
      </c>
      <c r="AA1959">
        <v>3.7788369235078133E-4</v>
      </c>
      <c r="AB1959">
        <v>101.92</v>
      </c>
      <c r="AC1959" t="s">
        <v>150</v>
      </c>
      <c r="AD1959" t="s">
        <v>150</v>
      </c>
      <c r="AE1959" t="s">
        <v>41</v>
      </c>
      <c r="AF1959">
        <v>9.3111791297699337E-3</v>
      </c>
      <c r="AG1959">
        <v>3.3</v>
      </c>
      <c r="AH1959" t="s">
        <v>237</v>
      </c>
      <c r="AI1959" t="s">
        <v>237</v>
      </c>
      <c r="AJ1959">
        <v>-3.4945111224254626E-3</v>
      </c>
      <c r="AK1959">
        <v>1.1742539335884537E-2</v>
      </c>
      <c r="AL1959">
        <v>1.523705045831E-2</v>
      </c>
      <c r="AM1959" t="s">
        <v>41</v>
      </c>
      <c r="AN1959" t="s">
        <v>144</v>
      </c>
      <c r="AO1959" t="s">
        <v>150</v>
      </c>
      <c r="AP1959" t="s">
        <v>31</v>
      </c>
      <c r="AQ1959">
        <v>1.093368871947906E-4</v>
      </c>
    </row>
    <row r="1960" spans="1:43" x14ac:dyDescent="0.2">
      <c r="A1960">
        <v>1958</v>
      </c>
      <c r="B1960">
        <v>125</v>
      </c>
      <c r="C1960">
        <v>7</v>
      </c>
      <c r="F1960" t="s">
        <v>53</v>
      </c>
      <c r="G1960" t="s">
        <v>1642</v>
      </c>
      <c r="I1960">
        <v>8.2813557617511486E-5</v>
      </c>
      <c r="J1960">
        <v>3.1161151844609001</v>
      </c>
      <c r="K1960">
        <v>3.1161151844609001</v>
      </c>
      <c r="L1960" s="1"/>
      <c r="M1960" s="1"/>
      <c r="N1960" s="1">
        <v>43021</v>
      </c>
      <c r="R1960">
        <v>-5.390913301407738E-3</v>
      </c>
      <c r="S1960">
        <v>-5.390913301407738E-3</v>
      </c>
      <c r="T1960" t="s">
        <v>32</v>
      </c>
      <c r="U1960" t="s">
        <v>32</v>
      </c>
      <c r="AA1960">
        <v>1.1279302925212051E-2</v>
      </c>
      <c r="AC1960" t="s">
        <v>148</v>
      </c>
      <c r="AD1960" t="s">
        <v>148</v>
      </c>
      <c r="AF1960">
        <v>4.29</v>
      </c>
      <c r="AG1960">
        <v>4.29</v>
      </c>
      <c r="AH1960" t="s">
        <v>237</v>
      </c>
      <c r="AI1960" t="s">
        <v>237</v>
      </c>
      <c r="AJ1960">
        <v>-1.5361693462198E-2</v>
      </c>
      <c r="AK1960">
        <v>0</v>
      </c>
      <c r="AL1960">
        <v>1.5361693462198E-2</v>
      </c>
      <c r="AN1960" t="s">
        <v>148</v>
      </c>
      <c r="AO1960" t="s">
        <v>148</v>
      </c>
    </row>
    <row r="1961" spans="1:43" x14ac:dyDescent="0.2">
      <c r="A1961">
        <v>1959</v>
      </c>
      <c r="B1961">
        <v>99</v>
      </c>
      <c r="C1961">
        <v>7</v>
      </c>
      <c r="D1961">
        <v>54000</v>
      </c>
      <c r="E1961" t="s">
        <v>911</v>
      </c>
      <c r="F1961" t="s">
        <v>53</v>
      </c>
      <c r="G1961" t="s">
        <v>912</v>
      </c>
      <c r="H1961">
        <v>3.69109471705628E-2</v>
      </c>
      <c r="I1961">
        <v>2.7944349544786723E-5</v>
      </c>
      <c r="J1961">
        <v>3.59</v>
      </c>
      <c r="L1961" s="1">
        <v>44392</v>
      </c>
      <c r="M1961" s="1">
        <v>43024</v>
      </c>
      <c r="N1961" s="1"/>
      <c r="R1961">
        <v>2.7178986874059861E-3</v>
      </c>
      <c r="T1961" t="s">
        <v>32</v>
      </c>
      <c r="V1961">
        <v>1443405485</v>
      </c>
      <c r="W1961" t="s">
        <v>913</v>
      </c>
      <c r="X1961" t="s">
        <v>914</v>
      </c>
      <c r="Y1961">
        <v>54000</v>
      </c>
      <c r="Z1961" t="s">
        <v>31</v>
      </c>
      <c r="AA1961">
        <v>3.8060529293939098E-3</v>
      </c>
      <c r="AB1961">
        <v>99.68</v>
      </c>
      <c r="AC1961" t="s">
        <v>34</v>
      </c>
      <c r="AE1961" t="s">
        <v>176</v>
      </c>
      <c r="AF1961">
        <v>3.1117912976993609E-4</v>
      </c>
      <c r="AH1961" t="s">
        <v>237</v>
      </c>
      <c r="AJ1961">
        <v>1.0281600883165126E-2</v>
      </c>
      <c r="AK1961">
        <v>1.0281600883165126E-2</v>
      </c>
      <c r="AL1961">
        <v>0</v>
      </c>
      <c r="AN1961" t="s">
        <v>54</v>
      </c>
      <c r="AQ1961">
        <v>3.1994196154651303E-6</v>
      </c>
    </row>
    <row r="1962" spans="1:43" x14ac:dyDescent="0.2">
      <c r="A1962">
        <v>1960</v>
      </c>
      <c r="B1962">
        <v>125</v>
      </c>
      <c r="C1962">
        <v>7</v>
      </c>
      <c r="F1962" t="s">
        <v>53</v>
      </c>
      <c r="G1962" t="s">
        <v>1643</v>
      </c>
      <c r="I1962">
        <v>4.0190491462017268E-5</v>
      </c>
      <c r="J1962">
        <v>3.1786423484973998</v>
      </c>
      <c r="K1962">
        <v>3.1786423484973998</v>
      </c>
      <c r="L1962" s="1"/>
      <c r="M1962" s="1"/>
      <c r="N1962" s="1">
        <v>43021</v>
      </c>
      <c r="R1962">
        <v>-5.390913301407738E-3</v>
      </c>
      <c r="S1962">
        <v>-5.390913301407738E-3</v>
      </c>
      <c r="T1962" t="s">
        <v>32</v>
      </c>
      <c r="U1962" t="s">
        <v>32</v>
      </c>
      <c r="AA1962">
        <v>5.4739917104754789E-3</v>
      </c>
      <c r="AC1962" t="s">
        <v>54</v>
      </c>
      <c r="AD1962" t="s">
        <v>54</v>
      </c>
      <c r="AF1962">
        <v>5.62</v>
      </c>
      <c r="AG1962">
        <v>5.62</v>
      </c>
      <c r="AH1962" t="s">
        <v>237</v>
      </c>
      <c r="AI1962" t="s">
        <v>237</v>
      </c>
      <c r="AJ1962">
        <v>-7.4552286811071997E-3</v>
      </c>
      <c r="AK1962">
        <v>0</v>
      </c>
      <c r="AL1962">
        <v>7.4552286811071997E-3</v>
      </c>
      <c r="AN1962" t="s">
        <v>54</v>
      </c>
      <c r="AO1962" t="s">
        <v>54</v>
      </c>
    </row>
    <row r="1963" spans="1:43" x14ac:dyDescent="0.2">
      <c r="A1963">
        <v>1961</v>
      </c>
      <c r="B1963">
        <v>89</v>
      </c>
      <c r="C1963">
        <v>7</v>
      </c>
      <c r="D1963">
        <v>1500000000</v>
      </c>
      <c r="E1963" t="s">
        <v>915</v>
      </c>
      <c r="F1963" t="s">
        <v>53</v>
      </c>
      <c r="G1963" t="s">
        <v>916</v>
      </c>
      <c r="H1963">
        <v>4.4985151541024199E-2</v>
      </c>
      <c r="I1963">
        <v>-1.3911843243032747E-5</v>
      </c>
      <c r="J1963">
        <v>4.16</v>
      </c>
      <c r="K1963">
        <v>4.1716994053466996</v>
      </c>
      <c r="L1963" s="1">
        <v>44713</v>
      </c>
      <c r="M1963" s="1">
        <v>43024</v>
      </c>
      <c r="N1963" s="1">
        <v>43021</v>
      </c>
      <c r="R1963">
        <v>1.6066850024159633E-3</v>
      </c>
      <c r="S1963">
        <v>1.6066850024159633E-3</v>
      </c>
      <c r="T1963" t="s">
        <v>39</v>
      </c>
      <c r="U1963" t="s">
        <v>39</v>
      </c>
      <c r="V1963">
        <v>1518110791</v>
      </c>
      <c r="W1963" t="s">
        <v>223</v>
      </c>
      <c r="X1963" t="s">
        <v>917</v>
      </c>
      <c r="Y1963">
        <v>1500000000</v>
      </c>
      <c r="Z1963" t="s">
        <v>31</v>
      </c>
      <c r="AA1963">
        <v>-1.8948092401847236E-3</v>
      </c>
      <c r="AB1963">
        <v>99.55</v>
      </c>
      <c r="AC1963" t="s">
        <v>142</v>
      </c>
      <c r="AD1963" t="s">
        <v>142</v>
      </c>
      <c r="AE1963" t="s">
        <v>41</v>
      </c>
      <c r="AF1963">
        <v>4.6100000000000002E-2</v>
      </c>
      <c r="AG1963">
        <v>4.6100000000000003</v>
      </c>
      <c r="AH1963" t="s">
        <v>237</v>
      </c>
      <c r="AI1963" t="s">
        <v>237</v>
      </c>
      <c r="AJ1963">
        <v>-8.6587247793522594E-3</v>
      </c>
      <c r="AK1963">
        <v>1.081373835120774E-2</v>
      </c>
      <c r="AL1963">
        <v>1.9472463130559999E-2</v>
      </c>
      <c r="AM1963" t="s">
        <v>41</v>
      </c>
      <c r="AN1963" t="s">
        <v>146</v>
      </c>
      <c r="AO1963" t="s">
        <v>142</v>
      </c>
      <c r="AP1963" t="s">
        <v>31</v>
      </c>
      <c r="AQ1963">
        <v>4.985133379906768E-4</v>
      </c>
    </row>
    <row r="1964" spans="1:43" x14ac:dyDescent="0.2">
      <c r="A1964">
        <v>1962</v>
      </c>
      <c r="B1964">
        <v>125</v>
      </c>
      <c r="C1964">
        <v>7</v>
      </c>
      <c r="D1964">
        <v>145000</v>
      </c>
      <c r="E1964" t="s">
        <v>354</v>
      </c>
      <c r="F1964" t="s">
        <v>53</v>
      </c>
      <c r="G1964" t="s">
        <v>1126</v>
      </c>
      <c r="H1964">
        <v>0.12309459886101574</v>
      </c>
      <c r="I1964">
        <v>-9.8212623847853558E-5</v>
      </c>
      <c r="J1964">
        <v>4.1100000000000003</v>
      </c>
      <c r="K1964">
        <v>4.1197103586889998</v>
      </c>
      <c r="L1964" s="1">
        <v>44713</v>
      </c>
      <c r="M1964" s="1">
        <v>43024</v>
      </c>
      <c r="N1964" s="1">
        <v>43021</v>
      </c>
      <c r="R1964">
        <v>-5.390913301407738E-3</v>
      </c>
      <c r="S1964">
        <v>-5.390913301407738E-3</v>
      </c>
      <c r="T1964" t="s">
        <v>32</v>
      </c>
      <c r="U1964" t="s">
        <v>32</v>
      </c>
      <c r="V1964">
        <v>4204600965</v>
      </c>
      <c r="W1964" t="s">
        <v>355</v>
      </c>
      <c r="X1964" t="s">
        <v>1006</v>
      </c>
      <c r="Y1964">
        <v>145000</v>
      </c>
      <c r="Z1964" t="s">
        <v>31</v>
      </c>
      <c r="AA1964">
        <v>-1.3376673667085642E-2</v>
      </c>
      <c r="AB1964">
        <v>106.67</v>
      </c>
      <c r="AC1964" t="s">
        <v>146</v>
      </c>
      <c r="AD1964" t="s">
        <v>146</v>
      </c>
      <c r="AE1964" t="s">
        <v>57</v>
      </c>
      <c r="AF1964">
        <v>1.3111179129769938E-2</v>
      </c>
      <c r="AG1964">
        <v>3.68</v>
      </c>
      <c r="AH1964" t="s">
        <v>237</v>
      </c>
      <c r="AI1964" t="s">
        <v>237</v>
      </c>
      <c r="AJ1964">
        <v>1.8218179064799118E-2</v>
      </c>
      <c r="AK1964">
        <v>2.9950024053775118E-2</v>
      </c>
      <c r="AL1964">
        <v>1.1731844988975998E-2</v>
      </c>
      <c r="AM1964" t="s">
        <v>57</v>
      </c>
      <c r="AN1964" t="s">
        <v>154</v>
      </c>
      <c r="AO1964" t="s">
        <v>146</v>
      </c>
      <c r="AP1964" t="s">
        <v>31</v>
      </c>
      <c r="AQ1964">
        <v>3.9268013030996401E-4</v>
      </c>
    </row>
    <row r="1965" spans="1:43" x14ac:dyDescent="0.2">
      <c r="A1965">
        <v>1963</v>
      </c>
      <c r="B1965">
        <v>127</v>
      </c>
      <c r="C1965">
        <v>7</v>
      </c>
      <c r="D1965">
        <v>50000</v>
      </c>
      <c r="E1965" t="s">
        <v>354</v>
      </c>
      <c r="F1965" t="s">
        <v>53</v>
      </c>
      <c r="G1965" t="s">
        <v>1143</v>
      </c>
      <c r="H1965">
        <v>8.4059258891138092E-2</v>
      </c>
      <c r="I1965">
        <v>3.5231005018942553E-5</v>
      </c>
      <c r="J1965">
        <v>7.85</v>
      </c>
      <c r="K1965">
        <v>7.8632461953568002</v>
      </c>
      <c r="L1965" s="1">
        <v>46753</v>
      </c>
      <c r="M1965" s="1">
        <v>43024</v>
      </c>
      <c r="N1965" s="1">
        <v>43021</v>
      </c>
      <c r="R1965">
        <v>-2.3546926447499776E-2</v>
      </c>
      <c r="S1965">
        <v>-2.3546926447499776E-2</v>
      </c>
      <c r="T1965" t="s">
        <v>32</v>
      </c>
      <c r="U1965" t="s">
        <v>32</v>
      </c>
      <c r="V1965">
        <v>1503292567</v>
      </c>
      <c r="W1965" t="s">
        <v>355</v>
      </c>
      <c r="X1965" t="s">
        <v>1006</v>
      </c>
      <c r="Y1965">
        <v>50000</v>
      </c>
      <c r="Z1965" t="s">
        <v>31</v>
      </c>
      <c r="AA1965">
        <v>4.7985038851209826E-3</v>
      </c>
      <c r="AB1965">
        <v>110.39</v>
      </c>
      <c r="AC1965" t="s">
        <v>146</v>
      </c>
      <c r="AD1965" t="s">
        <v>146</v>
      </c>
      <c r="AE1965" t="s">
        <v>57</v>
      </c>
      <c r="AF1965">
        <v>2.1311179129769937E-2</v>
      </c>
      <c r="AG1965">
        <v>4.45</v>
      </c>
      <c r="AH1965" t="s">
        <v>237</v>
      </c>
      <c r="AI1965" t="s">
        <v>237</v>
      </c>
      <c r="AJ1965">
        <v>-1.496203977937146E-3</v>
      </c>
      <c r="AK1965">
        <v>1.0708185846004853E-2</v>
      </c>
      <c r="AL1965">
        <v>1.2204389823941999E-2</v>
      </c>
      <c r="AM1965" t="s">
        <v>57</v>
      </c>
      <c r="AN1965" t="s">
        <v>154</v>
      </c>
      <c r="AO1965" t="s">
        <v>146</v>
      </c>
      <c r="AP1965" t="s">
        <v>31</v>
      </c>
      <c r="AQ1965">
        <v>2.2820406671907647E-4</v>
      </c>
    </row>
    <row r="1966" spans="1:43" x14ac:dyDescent="0.2">
      <c r="A1966">
        <v>1964</v>
      </c>
      <c r="B1966">
        <v>125</v>
      </c>
      <c r="C1966">
        <v>7</v>
      </c>
      <c r="F1966" t="s">
        <v>53</v>
      </c>
      <c r="G1966" t="s">
        <v>1644</v>
      </c>
      <c r="I1966">
        <v>4.680156580883456E-5</v>
      </c>
      <c r="J1966">
        <v>4.1197103586889998</v>
      </c>
      <c r="K1966">
        <v>4.1197103586889998</v>
      </c>
      <c r="L1966" s="1"/>
      <c r="M1966" s="1"/>
      <c r="N1966" s="1">
        <v>43021</v>
      </c>
      <c r="R1966">
        <v>-5.390913301407738E-3</v>
      </c>
      <c r="S1966">
        <v>-5.390913301407738E-3</v>
      </c>
      <c r="T1966" t="s">
        <v>32</v>
      </c>
      <c r="U1966" t="s">
        <v>32</v>
      </c>
      <c r="AA1966">
        <v>6.37442773042353E-3</v>
      </c>
      <c r="AC1966" t="s">
        <v>146</v>
      </c>
      <c r="AD1966" t="s">
        <v>146</v>
      </c>
      <c r="AF1966">
        <v>3.68</v>
      </c>
      <c r="AG1966">
        <v>3.68</v>
      </c>
      <c r="AH1966" t="s">
        <v>237</v>
      </c>
      <c r="AI1966" t="s">
        <v>237</v>
      </c>
      <c r="AJ1966">
        <v>-8.6815652918426998E-3</v>
      </c>
      <c r="AK1966">
        <v>0</v>
      </c>
      <c r="AL1966">
        <v>8.6815652918426998E-3</v>
      </c>
      <c r="AN1966" t="s">
        <v>146</v>
      </c>
      <c r="AO1966" t="s">
        <v>146</v>
      </c>
    </row>
    <row r="1967" spans="1:43" x14ac:dyDescent="0.2">
      <c r="A1967">
        <v>1965</v>
      </c>
      <c r="B1967">
        <v>127</v>
      </c>
      <c r="C1967">
        <v>7</v>
      </c>
      <c r="F1967" t="s">
        <v>53</v>
      </c>
      <c r="G1967" t="s">
        <v>1645</v>
      </c>
      <c r="I1967">
        <v>2.1265814344551874E-4</v>
      </c>
      <c r="J1967">
        <v>7.8632461953568002</v>
      </c>
      <c r="K1967">
        <v>7.8632461953568002</v>
      </c>
      <c r="L1967" s="1"/>
      <c r="M1967" s="1"/>
      <c r="N1967" s="1">
        <v>43021</v>
      </c>
      <c r="R1967">
        <v>-2.3546926447499776E-2</v>
      </c>
      <c r="S1967">
        <v>-2.3546926447499776E-2</v>
      </c>
      <c r="T1967" t="s">
        <v>32</v>
      </c>
      <c r="U1967" t="s">
        <v>32</v>
      </c>
      <c r="AA1967">
        <v>2.896428662700026E-2</v>
      </c>
      <c r="AC1967" t="s">
        <v>146</v>
      </c>
      <c r="AD1967" t="s">
        <v>146</v>
      </c>
      <c r="AF1967">
        <v>4.45</v>
      </c>
      <c r="AG1967">
        <v>4.45</v>
      </c>
      <c r="AH1967" t="s">
        <v>237</v>
      </c>
      <c r="AI1967" t="s">
        <v>237</v>
      </c>
      <c r="AJ1967">
        <v>-9.0312484697168995E-3</v>
      </c>
      <c r="AK1967">
        <v>0</v>
      </c>
      <c r="AL1967">
        <v>9.0312484697168995E-3</v>
      </c>
      <c r="AN1967" t="s">
        <v>146</v>
      </c>
      <c r="AO1967" t="s">
        <v>146</v>
      </c>
    </row>
    <row r="1968" spans="1:43" x14ac:dyDescent="0.2">
      <c r="A1968">
        <v>1966</v>
      </c>
      <c r="B1968">
        <v>91</v>
      </c>
      <c r="C1968">
        <v>7</v>
      </c>
      <c r="D1968">
        <v>10000</v>
      </c>
      <c r="E1968" t="s">
        <v>1056</v>
      </c>
      <c r="F1968" t="s">
        <v>53</v>
      </c>
      <c r="G1968" t="s">
        <v>1057</v>
      </c>
      <c r="H1968">
        <v>1.9667839193000122E-2</v>
      </c>
      <c r="I1968">
        <v>1.3054617049776749E-5</v>
      </c>
      <c r="J1968">
        <v>9.5</v>
      </c>
      <c r="L1968" s="1">
        <v>49278</v>
      </c>
      <c r="M1968" s="1">
        <v>43024</v>
      </c>
      <c r="N1968" s="1"/>
      <c r="R1968">
        <v>6.3056678853169604E-3</v>
      </c>
      <c r="T1968" t="s">
        <v>32</v>
      </c>
      <c r="V1968">
        <v>290643526</v>
      </c>
      <c r="W1968" t="s">
        <v>1056</v>
      </c>
      <c r="X1968" t="s">
        <v>1058</v>
      </c>
      <c r="Y1968">
        <v>10000</v>
      </c>
      <c r="Z1968" t="s">
        <v>31</v>
      </c>
      <c r="AA1968">
        <v>1.7780540350307765E-3</v>
      </c>
      <c r="AB1968">
        <v>107.42</v>
      </c>
      <c r="AC1968" t="s">
        <v>142</v>
      </c>
      <c r="AE1968" t="s">
        <v>40</v>
      </c>
      <c r="AF1968">
        <v>8.0111791297699381E-3</v>
      </c>
      <c r="AH1968" t="s">
        <v>237</v>
      </c>
      <c r="AJ1968">
        <v>2.0702988624210655E-3</v>
      </c>
      <c r="AK1968">
        <v>2.0702988624210655E-3</v>
      </c>
      <c r="AL1968">
        <v>0</v>
      </c>
      <c r="AN1968" t="s">
        <v>146</v>
      </c>
      <c r="AQ1968">
        <v>1.6585535039014085E-5</v>
      </c>
    </row>
    <row r="1969" spans="1:43" x14ac:dyDescent="0.2">
      <c r="A1969">
        <v>1967</v>
      </c>
      <c r="B1969">
        <v>125</v>
      </c>
      <c r="C1969">
        <v>7</v>
      </c>
      <c r="D1969">
        <v>1000</v>
      </c>
      <c r="E1969" t="s">
        <v>356</v>
      </c>
      <c r="F1969" t="s">
        <v>53</v>
      </c>
      <c r="G1969" t="s">
        <v>1646</v>
      </c>
      <c r="H1969">
        <v>3.5722730142703958E-4</v>
      </c>
      <c r="I1969">
        <v>3.7751906955042147E-5</v>
      </c>
      <c r="J1969">
        <v>4.18</v>
      </c>
      <c r="K1969">
        <v>3.8786082127692998</v>
      </c>
      <c r="L1969" s="1">
        <v>46310</v>
      </c>
      <c r="M1969" s="1">
        <v>43024</v>
      </c>
      <c r="N1969" s="1">
        <v>43021</v>
      </c>
      <c r="R1969">
        <v>-5.390913301407738E-3</v>
      </c>
      <c r="S1969">
        <v>-5.390913301407738E-3</v>
      </c>
      <c r="T1969" t="s">
        <v>32</v>
      </c>
      <c r="U1969" t="s">
        <v>32</v>
      </c>
      <c r="V1969">
        <v>11997644</v>
      </c>
      <c r="W1969" t="s">
        <v>357</v>
      </c>
      <c r="X1969" t="s">
        <v>1106</v>
      </c>
      <c r="Y1969">
        <v>1000</v>
      </c>
      <c r="Z1969" t="s">
        <v>31</v>
      </c>
      <c r="AA1969">
        <v>5.1418536626217657E-3</v>
      </c>
      <c r="AB1969">
        <v>99.99</v>
      </c>
      <c r="AC1969" t="s">
        <v>54</v>
      </c>
      <c r="AD1969" t="s">
        <v>146</v>
      </c>
      <c r="AE1969" t="s">
        <v>177</v>
      </c>
      <c r="AF1969">
        <v>2.3911179129769936E-2</v>
      </c>
      <c r="AG1969">
        <v>4.79</v>
      </c>
      <c r="AH1969" t="s">
        <v>237</v>
      </c>
      <c r="AI1969" t="s">
        <v>237</v>
      </c>
      <c r="AJ1969">
        <v>-7.0028777767922792E-3</v>
      </c>
      <c r="AK1969">
        <v>8.5461076896420953E-5</v>
      </c>
      <c r="AL1969">
        <v>7.0883388536887E-3</v>
      </c>
      <c r="AM1969" t="s">
        <v>177</v>
      </c>
      <c r="AN1969" t="s">
        <v>154</v>
      </c>
      <c r="AO1969" t="s">
        <v>146</v>
      </c>
      <c r="AP1969" t="s">
        <v>31</v>
      </c>
      <c r="AQ1969">
        <v>2.0434751182933645E-6</v>
      </c>
    </row>
    <row r="1970" spans="1:43" x14ac:dyDescent="0.2">
      <c r="A1970">
        <v>1968</v>
      </c>
      <c r="B1970">
        <v>125</v>
      </c>
      <c r="C1970">
        <v>7</v>
      </c>
      <c r="F1970" t="s">
        <v>53</v>
      </c>
      <c r="G1970" t="s">
        <v>1647</v>
      </c>
      <c r="I1970">
        <v>4.3155046255679675E-5</v>
      </c>
      <c r="J1970">
        <v>4.5534669341632004</v>
      </c>
      <c r="K1970">
        <v>4.5534669341632004</v>
      </c>
      <c r="L1970" s="1"/>
      <c r="M1970" s="1"/>
      <c r="N1970" s="1">
        <v>43021</v>
      </c>
      <c r="R1970">
        <v>-5.390913301407738E-3</v>
      </c>
      <c r="S1970">
        <v>-5.390913301407738E-3</v>
      </c>
      <c r="T1970" t="s">
        <v>32</v>
      </c>
      <c r="U1970" t="s">
        <v>32</v>
      </c>
      <c r="AA1970">
        <v>5.8777675234957024E-3</v>
      </c>
      <c r="AC1970" t="s">
        <v>146</v>
      </c>
      <c r="AD1970" t="s">
        <v>146</v>
      </c>
      <c r="AF1970">
        <v>4.59</v>
      </c>
      <c r="AG1970">
        <v>4.59</v>
      </c>
      <c r="AH1970" t="s">
        <v>237</v>
      </c>
      <c r="AI1970" t="s">
        <v>237</v>
      </c>
      <c r="AJ1970">
        <v>-8.0051456669523006E-3</v>
      </c>
      <c r="AK1970">
        <v>0</v>
      </c>
      <c r="AL1970">
        <v>8.0051456669523006E-3</v>
      </c>
      <c r="AN1970" t="s">
        <v>146</v>
      </c>
      <c r="AO1970" t="s">
        <v>146</v>
      </c>
    </row>
    <row r="1971" spans="1:43" x14ac:dyDescent="0.2">
      <c r="A1971">
        <v>1969</v>
      </c>
      <c r="B1971">
        <v>126</v>
      </c>
      <c r="C1971">
        <v>7</v>
      </c>
      <c r="F1971" t="s">
        <v>53</v>
      </c>
      <c r="G1971" t="s">
        <v>1648</v>
      </c>
      <c r="I1971">
        <v>2.6109273251041874E-3</v>
      </c>
      <c r="J1971">
        <v>5.7444869739828999</v>
      </c>
      <c r="K1971">
        <v>5.7444869739828999</v>
      </c>
      <c r="L1971" s="1"/>
      <c r="M1971" s="1"/>
      <c r="N1971" s="1">
        <v>43021</v>
      </c>
      <c r="R1971">
        <v>-0.1333174408272868</v>
      </c>
      <c r="S1971">
        <v>-0.1333174408272868</v>
      </c>
      <c r="T1971" t="s">
        <v>32</v>
      </c>
      <c r="U1971" t="s">
        <v>32</v>
      </c>
      <c r="AA1971">
        <v>0.35561134025398344</v>
      </c>
      <c r="AC1971" t="s">
        <v>146</v>
      </c>
      <c r="AD1971" t="s">
        <v>146</v>
      </c>
      <c r="AF1971">
        <v>3.9</v>
      </c>
      <c r="AG1971">
        <v>3.9</v>
      </c>
      <c r="AH1971" t="s">
        <v>237</v>
      </c>
      <c r="AI1971" t="s">
        <v>237</v>
      </c>
      <c r="AJ1971">
        <v>-1.9584289264048E-2</v>
      </c>
      <c r="AK1971">
        <v>0</v>
      </c>
      <c r="AL1971">
        <v>1.9584289264048E-2</v>
      </c>
      <c r="AN1971" t="s">
        <v>146</v>
      </c>
      <c r="AO1971" t="s">
        <v>146</v>
      </c>
    </row>
    <row r="1972" spans="1:43" x14ac:dyDescent="0.2">
      <c r="A1972">
        <v>1970</v>
      </c>
      <c r="B1972">
        <v>127</v>
      </c>
      <c r="C1972">
        <v>7</v>
      </c>
      <c r="F1972" t="s">
        <v>53</v>
      </c>
      <c r="G1972" t="s">
        <v>1649</v>
      </c>
      <c r="I1972">
        <v>1.3753855112362019E-4</v>
      </c>
      <c r="J1972">
        <v>8.3750734864468992</v>
      </c>
      <c r="K1972">
        <v>8.3750734864468992</v>
      </c>
      <c r="L1972" s="1"/>
      <c r="M1972" s="1"/>
      <c r="N1972" s="1">
        <v>43021</v>
      </c>
      <c r="R1972">
        <v>-2.3546926447499776E-2</v>
      </c>
      <c r="S1972">
        <v>-2.3546926447499776E-2</v>
      </c>
      <c r="T1972" t="s">
        <v>32</v>
      </c>
      <c r="U1972" t="s">
        <v>32</v>
      </c>
      <c r="AA1972">
        <v>1.8732910729221411E-2</v>
      </c>
      <c r="AC1972" t="s">
        <v>146</v>
      </c>
      <c r="AD1972" t="s">
        <v>146</v>
      </c>
      <c r="AF1972">
        <v>4</v>
      </c>
      <c r="AG1972">
        <v>4</v>
      </c>
      <c r="AH1972" t="s">
        <v>237</v>
      </c>
      <c r="AI1972" t="s">
        <v>237</v>
      </c>
      <c r="AJ1972">
        <v>-5.8410405039602993E-3</v>
      </c>
      <c r="AK1972">
        <v>0</v>
      </c>
      <c r="AL1972">
        <v>5.8410405039602993E-3</v>
      </c>
      <c r="AN1972" t="s">
        <v>146</v>
      </c>
      <c r="AO1972" t="s">
        <v>146</v>
      </c>
    </row>
    <row r="1973" spans="1:43" x14ac:dyDescent="0.2">
      <c r="A1973">
        <v>1971</v>
      </c>
      <c r="B1973">
        <v>125</v>
      </c>
      <c r="C1973">
        <v>7</v>
      </c>
      <c r="D1973">
        <v>43000</v>
      </c>
      <c r="E1973" t="s">
        <v>1127</v>
      </c>
      <c r="F1973" t="s">
        <v>53</v>
      </c>
      <c r="G1973" t="s">
        <v>1128</v>
      </c>
      <c r="H1973">
        <v>2.4732811946734743E-2</v>
      </c>
      <c r="I1973">
        <v>-3.5650386338200139E-5</v>
      </c>
      <c r="J1973">
        <v>3.74</v>
      </c>
      <c r="L1973" s="1">
        <v>45627</v>
      </c>
      <c r="M1973" s="1">
        <v>43024</v>
      </c>
      <c r="N1973" s="1"/>
      <c r="R1973">
        <v>-5.390913301407738E-3</v>
      </c>
      <c r="T1973" t="s">
        <v>32</v>
      </c>
      <c r="V1973">
        <v>928387968</v>
      </c>
      <c r="W1973" t="s">
        <v>1129</v>
      </c>
      <c r="X1973" t="s">
        <v>1130</v>
      </c>
      <c r="Y1973">
        <v>43000</v>
      </c>
      <c r="Z1973" t="s">
        <v>31</v>
      </c>
      <c r="AA1973">
        <v>-4.8556241088762424E-3</v>
      </c>
      <c r="AB1973">
        <v>100.37</v>
      </c>
      <c r="AC1973" t="s">
        <v>148</v>
      </c>
      <c r="AE1973" t="s">
        <v>551</v>
      </c>
      <c r="AF1973">
        <v>4.0311179129769933E-2</v>
      </c>
      <c r="AH1973" t="s">
        <v>237</v>
      </c>
      <c r="AJ1973">
        <v>6.6130513226563478E-3</v>
      </c>
      <c r="AK1973">
        <v>6.6130513226563478E-3</v>
      </c>
      <c r="AL1973">
        <v>0</v>
      </c>
      <c r="AN1973" t="s">
        <v>144</v>
      </c>
      <c r="AQ1973">
        <v>2.6657989646196203E-4</v>
      </c>
    </row>
    <row r="1974" spans="1:43" x14ac:dyDescent="0.2">
      <c r="A1974">
        <v>1972</v>
      </c>
      <c r="B1974">
        <v>102</v>
      </c>
      <c r="C1974">
        <v>7</v>
      </c>
      <c r="D1974">
        <v>20000</v>
      </c>
      <c r="E1974" t="s">
        <v>513</v>
      </c>
      <c r="F1974" t="s">
        <v>53</v>
      </c>
      <c r="G1974" t="s">
        <v>928</v>
      </c>
      <c r="H1974">
        <v>3.463165737354254E-2</v>
      </c>
      <c r="I1974">
        <v>4.1217496387000713E-5</v>
      </c>
      <c r="J1974">
        <v>6.9</v>
      </c>
      <c r="L1974" s="1">
        <v>46174</v>
      </c>
      <c r="M1974" s="1">
        <v>43024</v>
      </c>
      <c r="N1974" s="1"/>
      <c r="R1974">
        <v>8.2121603942518166E-3</v>
      </c>
      <c r="T1974" t="s">
        <v>32</v>
      </c>
      <c r="V1974">
        <v>704614856</v>
      </c>
      <c r="W1974" t="s">
        <v>515</v>
      </c>
      <c r="X1974" t="s">
        <v>516</v>
      </c>
      <c r="Y1974">
        <v>20000</v>
      </c>
      <c r="Z1974" t="s">
        <v>31</v>
      </c>
      <c r="AA1974">
        <v>5.6138709764777337E-3</v>
      </c>
      <c r="AB1974">
        <v>129.05000000000001</v>
      </c>
      <c r="AC1974" t="s">
        <v>34</v>
      </c>
      <c r="AE1974" t="s">
        <v>175</v>
      </c>
      <c r="AF1974">
        <v>1.9111791297699333E-3</v>
      </c>
      <c r="AH1974" t="s">
        <v>237</v>
      </c>
      <c r="AJ1974">
        <v>5.0190807787742807E-3</v>
      </c>
      <c r="AK1974">
        <v>5.0190807787742807E-3</v>
      </c>
      <c r="AL1974">
        <v>0</v>
      </c>
      <c r="AN1974" t="s">
        <v>54</v>
      </c>
      <c r="AQ1974">
        <v>9.5923624350228293E-6</v>
      </c>
    </row>
    <row r="1975" spans="1:43" x14ac:dyDescent="0.2">
      <c r="A1975">
        <v>1973</v>
      </c>
      <c r="B1975">
        <v>91</v>
      </c>
      <c r="C1975">
        <v>7</v>
      </c>
      <c r="D1975">
        <v>500</v>
      </c>
      <c r="E1975" t="s">
        <v>1059</v>
      </c>
      <c r="F1975" t="s">
        <v>53</v>
      </c>
      <c r="G1975" t="s">
        <v>1060</v>
      </c>
      <c r="H1975">
        <v>8.7844008278777444E-4</v>
      </c>
      <c r="I1975">
        <v>6.4259297206613011E-7</v>
      </c>
      <c r="J1975">
        <v>8.6199999999999992</v>
      </c>
      <c r="L1975" s="1">
        <v>46905</v>
      </c>
      <c r="M1975" s="1">
        <v>43024</v>
      </c>
      <c r="N1975" s="1"/>
      <c r="R1975">
        <v>6.3056678853169604E-3</v>
      </c>
      <c r="T1975" t="s">
        <v>32</v>
      </c>
      <c r="V1975">
        <v>14306470</v>
      </c>
      <c r="W1975" t="s">
        <v>1059</v>
      </c>
      <c r="X1975" t="s">
        <v>1061</v>
      </c>
      <c r="Y1975">
        <v>500</v>
      </c>
      <c r="Z1975" t="s">
        <v>31</v>
      </c>
      <c r="AA1975">
        <v>8.7521910639587938E-5</v>
      </c>
      <c r="AB1975">
        <v>105.66</v>
      </c>
      <c r="AC1975" t="s">
        <v>142</v>
      </c>
      <c r="AE1975" t="s">
        <v>177</v>
      </c>
      <c r="AF1975">
        <v>1.2211179129769933E-2</v>
      </c>
      <c r="AH1975" t="s">
        <v>237</v>
      </c>
      <c r="AJ1975">
        <v>1.019072021795562E-4</v>
      </c>
      <c r="AK1975">
        <v>1.019072021795562E-4</v>
      </c>
      <c r="AL1975">
        <v>0</v>
      </c>
      <c r="AN1975" t="s">
        <v>146</v>
      </c>
      <c r="AQ1975">
        <v>1.2444071004282419E-6</v>
      </c>
    </row>
    <row r="1976" spans="1:43" x14ac:dyDescent="0.2">
      <c r="A1976">
        <v>1974</v>
      </c>
      <c r="B1976">
        <v>125</v>
      </c>
      <c r="C1976">
        <v>7</v>
      </c>
      <c r="D1976">
        <v>87000</v>
      </c>
      <c r="E1976" t="s">
        <v>1131</v>
      </c>
      <c r="F1976" t="s">
        <v>53</v>
      </c>
      <c r="G1976" t="s">
        <v>1132</v>
      </c>
      <c r="H1976">
        <v>6.274600295088896E-2</v>
      </c>
      <c r="I1976">
        <v>-2.5788565157147746E-5</v>
      </c>
      <c r="J1976">
        <v>3.72</v>
      </c>
      <c r="K1976">
        <v>3.7291321876953001</v>
      </c>
      <c r="L1976" s="1">
        <v>45704</v>
      </c>
      <c r="M1976" s="1">
        <v>43024</v>
      </c>
      <c r="N1976" s="1">
        <v>43021</v>
      </c>
      <c r="R1976">
        <v>-5.390913301407738E-3</v>
      </c>
      <c r="S1976">
        <v>-5.390913301407738E-3</v>
      </c>
      <c r="T1976" t="s">
        <v>32</v>
      </c>
      <c r="U1976" t="s">
        <v>32</v>
      </c>
      <c r="V1976">
        <v>2367940229</v>
      </c>
      <c r="W1976" t="s">
        <v>1133</v>
      </c>
      <c r="X1976" t="s">
        <v>1134</v>
      </c>
      <c r="Y1976">
        <v>87000</v>
      </c>
      <c r="Z1976" t="s">
        <v>31</v>
      </c>
      <c r="AA1976">
        <v>-3.5124325869141291E-3</v>
      </c>
      <c r="AB1976">
        <v>101.38</v>
      </c>
      <c r="AC1976" t="s">
        <v>148</v>
      </c>
      <c r="AD1976" t="s">
        <v>148</v>
      </c>
      <c r="AE1976" t="s">
        <v>57</v>
      </c>
      <c r="AF1976">
        <v>1.4511179129769937E-2</v>
      </c>
      <c r="AG1976">
        <v>3.81</v>
      </c>
      <c r="AH1976" t="s">
        <v>237</v>
      </c>
      <c r="AI1976" t="s">
        <v>237</v>
      </c>
      <c r="AJ1976">
        <v>4.7837098679389886E-3</v>
      </c>
      <c r="AK1976">
        <v>1.6867205094324988E-2</v>
      </c>
      <c r="AL1976">
        <v>1.2083495226386E-2</v>
      </c>
      <c r="AM1976" t="s">
        <v>57</v>
      </c>
      <c r="AN1976" t="s">
        <v>144</v>
      </c>
      <c r="AO1976" t="s">
        <v>148</v>
      </c>
      <c r="AP1976" t="s">
        <v>31</v>
      </c>
      <c r="AQ1976">
        <v>2.4476303454231795E-4</v>
      </c>
    </row>
    <row r="1977" spans="1:43" x14ac:dyDescent="0.2">
      <c r="A1977">
        <v>1975</v>
      </c>
      <c r="B1977">
        <v>102</v>
      </c>
      <c r="C1977">
        <v>7</v>
      </c>
      <c r="D1977">
        <v>75000</v>
      </c>
      <c r="E1977" t="s">
        <v>929</v>
      </c>
      <c r="F1977" t="s">
        <v>53</v>
      </c>
      <c r="G1977" t="s">
        <v>930</v>
      </c>
      <c r="H1977">
        <v>0.13665520851594312</v>
      </c>
      <c r="I1977">
        <v>1.3359934417176805E-4</v>
      </c>
      <c r="J1977">
        <v>8.4</v>
      </c>
      <c r="L1977" s="1">
        <v>46736</v>
      </c>
      <c r="M1977" s="1">
        <v>43024</v>
      </c>
      <c r="N1977" s="1"/>
      <c r="R1977">
        <v>8.2121603942518166E-3</v>
      </c>
      <c r="T1977" t="s">
        <v>32</v>
      </c>
      <c r="V1977">
        <v>2283886478</v>
      </c>
      <c r="W1977" t="s">
        <v>931</v>
      </c>
      <c r="X1977" t="s">
        <v>932</v>
      </c>
      <c r="Y1977">
        <v>75000</v>
      </c>
      <c r="Z1977" t="s">
        <v>31</v>
      </c>
      <c r="AA1977">
        <v>1.8196386157963939E-2</v>
      </c>
      <c r="AB1977">
        <v>112.62</v>
      </c>
      <c r="AC1977" t="s">
        <v>34</v>
      </c>
      <c r="AE1977" t="s">
        <v>178</v>
      </c>
      <c r="AF1977">
        <v>4.1111791297699339E-3</v>
      </c>
      <c r="AH1977" t="s">
        <v>237</v>
      </c>
      <c r="AJ1977">
        <v>1.6268477204278941E-2</v>
      </c>
      <c r="AK1977">
        <v>1.6268477204278941E-2</v>
      </c>
      <c r="AL1977">
        <v>0</v>
      </c>
      <c r="AN1977" t="s">
        <v>54</v>
      </c>
      <c r="AQ1977">
        <v>6.688262395536951E-5</v>
      </c>
    </row>
    <row r="1978" spans="1:43" x14ac:dyDescent="0.2">
      <c r="A1978">
        <v>1976</v>
      </c>
      <c r="B1978">
        <v>102</v>
      </c>
      <c r="C1978">
        <v>7</v>
      </c>
      <c r="D1978">
        <v>35000</v>
      </c>
      <c r="E1978" t="s">
        <v>929</v>
      </c>
      <c r="F1978" t="s">
        <v>53</v>
      </c>
      <c r="G1978" t="s">
        <v>1095</v>
      </c>
      <c r="H1978">
        <v>8.5231030195317276E-2</v>
      </c>
      <c r="I1978">
        <v>6.6281334330612238E-5</v>
      </c>
      <c r="J1978">
        <v>10.56</v>
      </c>
      <c r="L1978" s="1">
        <v>48061</v>
      </c>
      <c r="M1978" s="1">
        <v>43024</v>
      </c>
      <c r="N1978" s="1"/>
      <c r="R1978">
        <v>8.2121603942518166E-3</v>
      </c>
      <c r="T1978" t="s">
        <v>32</v>
      </c>
      <c r="V1978">
        <v>1133082233</v>
      </c>
      <c r="W1978" t="s">
        <v>931</v>
      </c>
      <c r="X1978" t="s">
        <v>1096</v>
      </c>
      <c r="Y1978">
        <v>35000</v>
      </c>
      <c r="Z1978" t="s">
        <v>31</v>
      </c>
      <c r="AA1978">
        <v>9.0275948734769244E-3</v>
      </c>
      <c r="AB1978">
        <v>120.25</v>
      </c>
      <c r="AC1978" t="s">
        <v>34</v>
      </c>
      <c r="AE1978" t="s">
        <v>178</v>
      </c>
      <c r="AF1978">
        <v>5.9111791297699334E-3</v>
      </c>
      <c r="AH1978" t="s">
        <v>237</v>
      </c>
      <c r="AJ1978">
        <v>8.0711202836474694E-3</v>
      </c>
      <c r="AK1978">
        <v>8.0711202836474694E-3</v>
      </c>
      <c r="AL1978">
        <v>0</v>
      </c>
      <c r="AN1978" t="s">
        <v>54</v>
      </c>
      <c r="AQ1978">
        <v>4.7709837774559707E-5</v>
      </c>
    </row>
    <row r="1979" spans="1:43" x14ac:dyDescent="0.2">
      <c r="A1979">
        <v>1977</v>
      </c>
      <c r="B1979">
        <v>123</v>
      </c>
      <c r="C1979">
        <v>7</v>
      </c>
      <c r="F1979" t="s">
        <v>53</v>
      </c>
      <c r="G1979" t="s">
        <v>1650</v>
      </c>
      <c r="I1979">
        <v>-3.4569763564033197E-6</v>
      </c>
      <c r="J1979">
        <v>0.15890410958904</v>
      </c>
      <c r="K1979">
        <v>0.15890410958904</v>
      </c>
      <c r="L1979" s="1"/>
      <c r="M1979" s="1"/>
      <c r="N1979" s="1">
        <v>43021</v>
      </c>
      <c r="R1979">
        <v>5.0639619545030578E-4</v>
      </c>
      <c r="S1979">
        <v>5.0639619545030578E-4</v>
      </c>
      <c r="T1979" t="s">
        <v>32</v>
      </c>
      <c r="U1979" t="s">
        <v>32</v>
      </c>
      <c r="W1979" t="s">
        <v>1651</v>
      </c>
      <c r="Z1979" t="s">
        <v>31</v>
      </c>
      <c r="AA1979">
        <v>-4.708442029415203E-4</v>
      </c>
      <c r="AC1979" t="s">
        <v>146</v>
      </c>
      <c r="AD1979" t="s">
        <v>146</v>
      </c>
      <c r="AE1979" t="s">
        <v>41</v>
      </c>
      <c r="AF1979">
        <v>9.8000000000000007</v>
      </c>
      <c r="AG1979">
        <v>9.8000000000000007</v>
      </c>
      <c r="AH1979" t="s">
        <v>237</v>
      </c>
      <c r="AI1979" t="s">
        <v>237</v>
      </c>
      <c r="AJ1979">
        <v>-6.8266238717083006E-3</v>
      </c>
      <c r="AK1979">
        <v>0</v>
      </c>
      <c r="AL1979">
        <v>6.8266238717083006E-3</v>
      </c>
      <c r="AM1979" t="s">
        <v>41</v>
      </c>
      <c r="AN1979" t="s">
        <v>146</v>
      </c>
      <c r="AO1979" t="s">
        <v>146</v>
      </c>
      <c r="AP1979" t="s">
        <v>31</v>
      </c>
    </row>
    <row r="1980" spans="1:43" x14ac:dyDescent="0.2">
      <c r="A1980">
        <v>1978</v>
      </c>
      <c r="B1980">
        <v>102</v>
      </c>
      <c r="C1980">
        <v>7</v>
      </c>
      <c r="D1980">
        <v>10000</v>
      </c>
      <c r="E1980" t="s">
        <v>359</v>
      </c>
      <c r="F1980" t="s">
        <v>53</v>
      </c>
      <c r="G1980" t="s">
        <v>1097</v>
      </c>
      <c r="H1980">
        <v>2.2342407062211352E-2</v>
      </c>
      <c r="I1980">
        <v>1.8311320398058299E-5</v>
      </c>
      <c r="J1980">
        <v>10.02</v>
      </c>
      <c r="L1980" s="1">
        <v>48549</v>
      </c>
      <c r="M1980" s="1">
        <v>43024</v>
      </c>
      <c r="N1980" s="1"/>
      <c r="R1980">
        <v>8.2121603942518166E-3</v>
      </c>
      <c r="T1980" t="s">
        <v>32</v>
      </c>
      <c r="V1980">
        <v>313032802</v>
      </c>
      <c r="W1980" t="s">
        <v>360</v>
      </c>
      <c r="X1980" t="s">
        <v>445</v>
      </c>
      <c r="Y1980">
        <v>10000</v>
      </c>
      <c r="Z1980" t="s">
        <v>31</v>
      </c>
      <c r="AA1980">
        <v>2.4940231487729256E-3</v>
      </c>
      <c r="AB1980">
        <v>113.46</v>
      </c>
      <c r="AC1980" t="s">
        <v>33</v>
      </c>
      <c r="AE1980" t="s">
        <v>38</v>
      </c>
      <c r="AF1980">
        <v>3.2111791297699359E-3</v>
      </c>
      <c r="AH1980" t="s">
        <v>237</v>
      </c>
      <c r="AJ1980">
        <v>2.2297811439332686E-3</v>
      </c>
      <c r="AK1980">
        <v>2.2297811439332686E-3</v>
      </c>
      <c r="AL1980">
        <v>0</v>
      </c>
      <c r="AN1980" t="s">
        <v>148</v>
      </c>
      <c r="AQ1980">
        <v>7.160226673353046E-6</v>
      </c>
    </row>
    <row r="1981" spans="1:43" x14ac:dyDescent="0.2">
      <c r="A1981">
        <v>1979</v>
      </c>
      <c r="B1981">
        <v>91</v>
      </c>
      <c r="C1981">
        <v>7</v>
      </c>
      <c r="F1981" t="s">
        <v>53</v>
      </c>
      <c r="G1981" t="s">
        <v>1652</v>
      </c>
      <c r="I1981">
        <v>-6.9428586862418281E-5</v>
      </c>
      <c r="J1981">
        <v>8.1027834012145998</v>
      </c>
      <c r="K1981">
        <v>8.1027834012145998</v>
      </c>
      <c r="L1981" s="1"/>
      <c r="M1981" s="1"/>
      <c r="N1981" s="1">
        <v>43021</v>
      </c>
      <c r="R1981">
        <v>6.3056678853169604E-3</v>
      </c>
      <c r="S1981">
        <v>6.3056678853169604E-3</v>
      </c>
      <c r="T1981" t="s">
        <v>32</v>
      </c>
      <c r="U1981" t="s">
        <v>32</v>
      </c>
      <c r="AA1981">
        <v>-9.4562543310543687E-3</v>
      </c>
      <c r="AC1981" t="s">
        <v>150</v>
      </c>
      <c r="AD1981" t="s">
        <v>150</v>
      </c>
      <c r="AF1981">
        <v>2.99</v>
      </c>
      <c r="AG1981">
        <v>2.99</v>
      </c>
      <c r="AH1981" t="s">
        <v>237</v>
      </c>
      <c r="AI1981" t="s">
        <v>237</v>
      </c>
      <c r="AJ1981">
        <v>-1.1010504854543E-2</v>
      </c>
      <c r="AK1981">
        <v>0</v>
      </c>
      <c r="AL1981">
        <v>1.1010504854543E-2</v>
      </c>
      <c r="AN1981" t="s">
        <v>150</v>
      </c>
      <c r="AO1981" t="s">
        <v>150</v>
      </c>
    </row>
    <row r="1982" spans="1:43" x14ac:dyDescent="0.2">
      <c r="A1982">
        <v>1980</v>
      </c>
      <c r="B1982">
        <v>89</v>
      </c>
      <c r="C1982">
        <v>7</v>
      </c>
      <c r="D1982">
        <v>40000</v>
      </c>
      <c r="E1982" t="s">
        <v>1017</v>
      </c>
      <c r="F1982" t="s">
        <v>53</v>
      </c>
      <c r="G1982" t="s">
        <v>1018</v>
      </c>
      <c r="H1982">
        <v>3.4404764327901488E-2</v>
      </c>
      <c r="I1982">
        <v>-6.8808646650550771E-6</v>
      </c>
      <c r="J1982">
        <v>4.4800000000000004</v>
      </c>
      <c r="K1982">
        <v>4.4864859464456002</v>
      </c>
      <c r="L1982" s="1">
        <v>44742</v>
      </c>
      <c r="M1982" s="1">
        <v>43024</v>
      </c>
      <c r="N1982" s="1">
        <v>43021</v>
      </c>
      <c r="R1982">
        <v>1.6066850024159633E-3</v>
      </c>
      <c r="S1982">
        <v>1.6066850024159633E-3</v>
      </c>
      <c r="T1982" t="s">
        <v>32</v>
      </c>
      <c r="U1982" t="s">
        <v>32</v>
      </c>
      <c r="V1982">
        <v>1078122683</v>
      </c>
      <c r="W1982" t="s">
        <v>1019</v>
      </c>
      <c r="X1982" t="s">
        <v>1020</v>
      </c>
      <c r="Y1982">
        <v>40000</v>
      </c>
      <c r="Z1982" t="s">
        <v>31</v>
      </c>
      <c r="AA1982">
        <v>-9.3718177527169204E-4</v>
      </c>
      <c r="AB1982">
        <v>100.39</v>
      </c>
      <c r="AC1982" t="s">
        <v>150</v>
      </c>
      <c r="AD1982" t="s">
        <v>150</v>
      </c>
      <c r="AE1982" t="s">
        <v>40</v>
      </c>
      <c r="AF1982">
        <v>-4.8882087023006601E-4</v>
      </c>
      <c r="AG1982">
        <v>2.3199999999999998</v>
      </c>
      <c r="AH1982" t="s">
        <v>237</v>
      </c>
      <c r="AI1982" t="s">
        <v>237</v>
      </c>
      <c r="AJ1982">
        <v>-4.2826469748011332E-3</v>
      </c>
      <c r="AK1982">
        <v>7.6796348946208664E-3</v>
      </c>
      <c r="AL1982">
        <v>1.1962281869422E-2</v>
      </c>
      <c r="AM1982" t="s">
        <v>40</v>
      </c>
      <c r="AN1982" t="s">
        <v>144</v>
      </c>
      <c r="AO1982" t="s">
        <v>150</v>
      </c>
      <c r="AP1982" t="s">
        <v>31</v>
      </c>
      <c r="AQ1982">
        <v>-3.7539658122377533E-6</v>
      </c>
    </row>
    <row r="1983" spans="1:43" x14ac:dyDescent="0.2">
      <c r="A1983">
        <v>1981</v>
      </c>
      <c r="B1983">
        <v>91</v>
      </c>
      <c r="C1983">
        <v>7</v>
      </c>
      <c r="D1983">
        <v>116000</v>
      </c>
      <c r="E1983" t="s">
        <v>1062</v>
      </c>
      <c r="F1983" t="s">
        <v>53</v>
      </c>
      <c r="G1983" t="s">
        <v>1063</v>
      </c>
      <c r="H1983">
        <v>0.22360949593545976</v>
      </c>
      <c r="I1983">
        <v>1.4984136210118406E-4</v>
      </c>
      <c r="J1983">
        <v>9.41</v>
      </c>
      <c r="L1983" s="1">
        <v>49263</v>
      </c>
      <c r="M1983" s="1">
        <v>43024</v>
      </c>
      <c r="N1983" s="1"/>
      <c r="R1983">
        <v>6.3056678853169604E-3</v>
      </c>
      <c r="T1983" t="s">
        <v>32</v>
      </c>
      <c r="V1983">
        <v>3336016802</v>
      </c>
      <c r="W1983" t="s">
        <v>1064</v>
      </c>
      <c r="X1983" t="s">
        <v>1065</v>
      </c>
      <c r="Y1983">
        <v>116000</v>
      </c>
      <c r="Z1983" t="s">
        <v>31</v>
      </c>
      <c r="AA1983">
        <v>2.0408567902271343E-2</v>
      </c>
      <c r="AB1983">
        <v>106.1</v>
      </c>
      <c r="AC1983" t="s">
        <v>55</v>
      </c>
      <c r="AE1983" t="s">
        <v>176</v>
      </c>
      <c r="AF1983">
        <v>9.8111791297699341E-3</v>
      </c>
      <c r="AH1983" t="s">
        <v>237</v>
      </c>
      <c r="AJ1983">
        <v>2.3762964498986159E-2</v>
      </c>
      <c r="AK1983">
        <v>2.3762964498986159E-2</v>
      </c>
      <c r="AL1983">
        <v>0</v>
      </c>
      <c r="AN1983" t="s">
        <v>149</v>
      </c>
      <c r="AQ1983">
        <v>2.3314270135391685E-4</v>
      </c>
    </row>
    <row r="1984" spans="1:43" x14ac:dyDescent="0.2">
      <c r="A1984">
        <v>1982</v>
      </c>
      <c r="B1984">
        <v>90</v>
      </c>
      <c r="C1984">
        <v>7</v>
      </c>
      <c r="D1984">
        <v>4500</v>
      </c>
      <c r="E1984" t="s">
        <v>1036</v>
      </c>
      <c r="F1984" t="s">
        <v>53</v>
      </c>
      <c r="G1984" t="s">
        <v>1037</v>
      </c>
      <c r="H1984">
        <v>6.1316630050589557E-3</v>
      </c>
      <c r="I1984">
        <v>1.1258620778089798E-6</v>
      </c>
      <c r="J1984">
        <v>6.57</v>
      </c>
      <c r="L1984" s="1">
        <v>47741</v>
      </c>
      <c r="M1984" s="1">
        <v>43024</v>
      </c>
      <c r="N1984" s="1"/>
      <c r="R1984">
        <v>1.2063470945976875E-3</v>
      </c>
      <c r="T1984" t="s">
        <v>32</v>
      </c>
      <c r="V1984">
        <v>131020882</v>
      </c>
      <c r="W1984" t="s">
        <v>1038</v>
      </c>
      <c r="X1984" t="s">
        <v>1039</v>
      </c>
      <c r="Y1984">
        <v>4500</v>
      </c>
      <c r="Z1984" t="s">
        <v>31</v>
      </c>
      <c r="AA1984">
        <v>1.5334372526619805E-4</v>
      </c>
      <c r="AB1984">
        <v>108.81</v>
      </c>
      <c r="AC1984" t="s">
        <v>142</v>
      </c>
      <c r="AE1984" t="s">
        <v>35</v>
      </c>
      <c r="AF1984">
        <v>6.9111791297699343E-3</v>
      </c>
      <c r="AH1984" t="s">
        <v>237</v>
      </c>
      <c r="AJ1984">
        <v>9.3328204034382888E-4</v>
      </c>
      <c r="AK1984">
        <v>9.3328204034382888E-4</v>
      </c>
      <c r="AL1984">
        <v>0</v>
      </c>
      <c r="AN1984" t="s">
        <v>146</v>
      </c>
      <c r="AQ1984">
        <v>6.4500793594133721E-6</v>
      </c>
    </row>
    <row r="1985" spans="1:43" x14ac:dyDescent="0.2">
      <c r="A1985">
        <v>1983</v>
      </c>
      <c r="B1985">
        <v>87</v>
      </c>
      <c r="C1985">
        <v>7</v>
      </c>
      <c r="F1985" t="s">
        <v>53</v>
      </c>
      <c r="G1985" t="s">
        <v>401</v>
      </c>
      <c r="I1985">
        <v>9.9771636200570779E-6</v>
      </c>
      <c r="J1985">
        <v>1.4413423384449999</v>
      </c>
      <c r="K1985">
        <v>1.4413423384449999</v>
      </c>
      <c r="L1985" s="1"/>
      <c r="M1985" s="1"/>
      <c r="N1985" s="1">
        <v>43021</v>
      </c>
      <c r="R1985">
        <v>-9.7806149595923409E-4</v>
      </c>
      <c r="S1985">
        <v>-9.7806149595923409E-4</v>
      </c>
      <c r="T1985" t="s">
        <v>32</v>
      </c>
      <c r="U1985" t="s">
        <v>32</v>
      </c>
      <c r="W1985" t="s">
        <v>226</v>
      </c>
      <c r="Z1985" t="s">
        <v>31</v>
      </c>
      <c r="AA1985">
        <v>1.3589012963890913E-3</v>
      </c>
      <c r="AC1985" t="s">
        <v>142</v>
      </c>
      <c r="AD1985" t="s">
        <v>142</v>
      </c>
      <c r="AE1985" t="s">
        <v>41</v>
      </c>
      <c r="AF1985">
        <v>1.87</v>
      </c>
      <c r="AG1985">
        <v>1.87</v>
      </c>
      <c r="AH1985" t="s">
        <v>237</v>
      </c>
      <c r="AI1985" t="s">
        <v>237</v>
      </c>
      <c r="AJ1985">
        <v>-1.0200957364415999E-2</v>
      </c>
      <c r="AK1985">
        <v>0</v>
      </c>
      <c r="AL1985">
        <v>1.0200957364415999E-2</v>
      </c>
      <c r="AM1985" t="s">
        <v>41</v>
      </c>
      <c r="AN1985" t="s">
        <v>142</v>
      </c>
      <c r="AO1985" t="s">
        <v>142</v>
      </c>
      <c r="AP1985" t="s">
        <v>31</v>
      </c>
    </row>
    <row r="1986" spans="1:43" x14ac:dyDescent="0.2">
      <c r="A1986">
        <v>1984</v>
      </c>
      <c r="B1986">
        <v>88</v>
      </c>
      <c r="C1986">
        <v>7</v>
      </c>
      <c r="F1986" t="s">
        <v>53</v>
      </c>
      <c r="G1986" t="s">
        <v>405</v>
      </c>
      <c r="I1986">
        <v>7.2901141183843637E-6</v>
      </c>
      <c r="J1986">
        <v>2.3209791034535998</v>
      </c>
      <c r="K1986">
        <v>2.3209791034535998</v>
      </c>
      <c r="L1986" s="1"/>
      <c r="M1986" s="1"/>
      <c r="N1986" s="1">
        <v>43021</v>
      </c>
      <c r="R1986">
        <v>-7.9394588966687685E-4</v>
      </c>
      <c r="S1986">
        <v>-7.9394588966687685E-4</v>
      </c>
      <c r="T1986" t="s">
        <v>32</v>
      </c>
      <c r="U1986" t="s">
        <v>32</v>
      </c>
      <c r="W1986" t="s">
        <v>226</v>
      </c>
      <c r="Z1986" t="s">
        <v>31</v>
      </c>
      <c r="AA1986">
        <v>9.9292202709613917E-4</v>
      </c>
      <c r="AC1986" t="s">
        <v>142</v>
      </c>
      <c r="AD1986" t="s">
        <v>142</v>
      </c>
      <c r="AE1986" t="s">
        <v>41</v>
      </c>
      <c r="AF1986">
        <v>2.14</v>
      </c>
      <c r="AG1986">
        <v>2.14</v>
      </c>
      <c r="AH1986" t="s">
        <v>237</v>
      </c>
      <c r="AI1986" t="s">
        <v>237</v>
      </c>
      <c r="AJ1986">
        <v>-9.1821296807054996E-3</v>
      </c>
      <c r="AK1986">
        <v>0</v>
      </c>
      <c r="AL1986">
        <v>9.1821296807054996E-3</v>
      </c>
      <c r="AM1986" t="s">
        <v>41</v>
      </c>
      <c r="AN1986" t="s">
        <v>142</v>
      </c>
      <c r="AO1986" t="s">
        <v>142</v>
      </c>
      <c r="AP1986" t="s">
        <v>31</v>
      </c>
    </row>
    <row r="1987" spans="1:43" x14ac:dyDescent="0.2">
      <c r="A1987">
        <v>1985</v>
      </c>
      <c r="B1987">
        <v>88</v>
      </c>
      <c r="C1987">
        <v>7</v>
      </c>
      <c r="F1987" t="s">
        <v>53</v>
      </c>
      <c r="G1987" t="s">
        <v>406</v>
      </c>
      <c r="I1987">
        <v>5.5757733309564134E-6</v>
      </c>
      <c r="J1987">
        <v>2.2610051718372</v>
      </c>
      <c r="K1987">
        <v>2.2610051718372</v>
      </c>
      <c r="L1987" s="1"/>
      <c r="M1987" s="1"/>
      <c r="N1987" s="1">
        <v>43021</v>
      </c>
      <c r="R1987">
        <v>-7.9394588966687685E-4</v>
      </c>
      <c r="S1987">
        <v>-7.9394588966687685E-4</v>
      </c>
      <c r="T1987" t="s">
        <v>39</v>
      </c>
      <c r="U1987" t="s">
        <v>39</v>
      </c>
      <c r="W1987" t="s">
        <v>226</v>
      </c>
      <c r="Z1987" t="s">
        <v>31</v>
      </c>
      <c r="AA1987">
        <v>7.5942681671337022E-4</v>
      </c>
      <c r="AC1987" t="s">
        <v>142</v>
      </c>
      <c r="AD1987" t="s">
        <v>142</v>
      </c>
      <c r="AE1987" t="s">
        <v>41</v>
      </c>
      <c r="AF1987">
        <v>4.22</v>
      </c>
      <c r="AG1987">
        <v>4.22</v>
      </c>
      <c r="AH1987" t="s">
        <v>237</v>
      </c>
      <c r="AI1987" t="s">
        <v>237</v>
      </c>
      <c r="AJ1987">
        <v>-7.0228631491446999E-3</v>
      </c>
      <c r="AK1987">
        <v>0</v>
      </c>
      <c r="AL1987">
        <v>7.0228631491446999E-3</v>
      </c>
      <c r="AM1987" t="s">
        <v>41</v>
      </c>
      <c r="AN1987" t="s">
        <v>142</v>
      </c>
      <c r="AO1987" t="s">
        <v>142</v>
      </c>
      <c r="AP1987" t="s">
        <v>31</v>
      </c>
    </row>
    <row r="1988" spans="1:43" x14ac:dyDescent="0.2">
      <c r="A1988">
        <v>1986</v>
      </c>
      <c r="B1988">
        <v>88</v>
      </c>
      <c r="C1988">
        <v>7</v>
      </c>
      <c r="F1988" t="s">
        <v>53</v>
      </c>
      <c r="G1988" t="s">
        <v>1721</v>
      </c>
      <c r="I1988">
        <v>5.2319275338992352E-6</v>
      </c>
      <c r="J1988">
        <v>2.6131350611455999</v>
      </c>
      <c r="K1988">
        <v>2.6131350611455999</v>
      </c>
      <c r="L1988" s="1"/>
      <c r="M1988" s="1"/>
      <c r="N1988" s="1">
        <v>43021</v>
      </c>
      <c r="R1988">
        <v>-7.9394588966687685E-4</v>
      </c>
      <c r="S1988">
        <v>-7.9394588966687685E-4</v>
      </c>
      <c r="T1988" t="s">
        <v>39</v>
      </c>
      <c r="U1988" t="s">
        <v>39</v>
      </c>
      <c r="AA1988">
        <v>7.125946189893976E-4</v>
      </c>
      <c r="AC1988" t="s">
        <v>142</v>
      </c>
      <c r="AD1988" t="s">
        <v>142</v>
      </c>
      <c r="AF1988">
        <v>4.46</v>
      </c>
      <c r="AG1988">
        <v>4.46</v>
      </c>
      <c r="AH1988" t="s">
        <v>237</v>
      </c>
      <c r="AI1988" t="s">
        <v>237</v>
      </c>
      <c r="AJ1988">
        <v>-6.5897784748208E-3</v>
      </c>
      <c r="AK1988">
        <v>0</v>
      </c>
      <c r="AL1988">
        <v>6.5897784748208E-3</v>
      </c>
      <c r="AN1988" t="s">
        <v>142</v>
      </c>
      <c r="AO1988" t="s">
        <v>142</v>
      </c>
    </row>
    <row r="1989" spans="1:43" x14ac:dyDescent="0.2">
      <c r="A1989">
        <v>1987</v>
      </c>
      <c r="B1989">
        <v>89</v>
      </c>
      <c r="C1989">
        <v>7</v>
      </c>
      <c r="F1989" t="s">
        <v>53</v>
      </c>
      <c r="G1989" t="s">
        <v>1722</v>
      </c>
      <c r="I1989">
        <v>-1.5819082386658235E-5</v>
      </c>
      <c r="J1989">
        <v>4.5483000196674999</v>
      </c>
      <c r="K1989">
        <v>4.5483000196674999</v>
      </c>
      <c r="L1989" s="1"/>
      <c r="M1989" s="1"/>
      <c r="N1989" s="1">
        <v>43021</v>
      </c>
      <c r="R1989">
        <v>1.6066850024159633E-3</v>
      </c>
      <c r="S1989">
        <v>1.6066850024159633E-3</v>
      </c>
      <c r="T1989" t="s">
        <v>32</v>
      </c>
      <c r="U1989" t="s">
        <v>32</v>
      </c>
      <c r="AA1989">
        <v>-2.1545774311750475E-3</v>
      </c>
      <c r="AC1989" t="s">
        <v>142</v>
      </c>
      <c r="AD1989" t="s">
        <v>142</v>
      </c>
      <c r="AF1989">
        <v>2.29</v>
      </c>
      <c r="AG1989">
        <v>2.29</v>
      </c>
      <c r="AH1989" t="s">
        <v>237</v>
      </c>
      <c r="AI1989" t="s">
        <v>237</v>
      </c>
      <c r="AJ1989">
        <v>-9.8457895373836E-3</v>
      </c>
      <c r="AK1989">
        <v>0</v>
      </c>
      <c r="AL1989">
        <v>9.8457895373836E-3</v>
      </c>
      <c r="AN1989" t="s">
        <v>142</v>
      </c>
      <c r="AO1989" t="s">
        <v>142</v>
      </c>
    </row>
    <row r="1990" spans="1:43" x14ac:dyDescent="0.2">
      <c r="A1990">
        <v>1988</v>
      </c>
      <c r="B1990">
        <v>89</v>
      </c>
      <c r="C1990">
        <v>7</v>
      </c>
      <c r="F1990" t="s">
        <v>53</v>
      </c>
      <c r="G1990" t="s">
        <v>1022</v>
      </c>
      <c r="I1990">
        <v>-3.1731920773931342E-5</v>
      </c>
      <c r="J1990">
        <v>3.8328750995504999</v>
      </c>
      <c r="K1990">
        <v>3.8328750995504999</v>
      </c>
      <c r="L1990" s="1"/>
      <c r="M1990" s="1"/>
      <c r="N1990" s="1">
        <v>43021</v>
      </c>
      <c r="R1990">
        <v>1.6066850024159633E-3</v>
      </c>
      <c r="S1990">
        <v>1.6066850024159633E-3</v>
      </c>
      <c r="T1990" t="s">
        <v>32</v>
      </c>
      <c r="U1990" t="s">
        <v>32</v>
      </c>
      <c r="W1990" t="s">
        <v>1023</v>
      </c>
      <c r="Z1990" t="s">
        <v>31</v>
      </c>
      <c r="AA1990">
        <v>-4.3219245387462685E-3</v>
      </c>
      <c r="AC1990" t="s">
        <v>55</v>
      </c>
      <c r="AD1990" t="s">
        <v>55</v>
      </c>
      <c r="AE1990" t="s">
        <v>35</v>
      </c>
      <c r="AF1990">
        <v>2.4</v>
      </c>
      <c r="AG1990">
        <v>2.4</v>
      </c>
      <c r="AH1990" t="s">
        <v>237</v>
      </c>
      <c r="AI1990" t="s">
        <v>237</v>
      </c>
      <c r="AJ1990">
        <v>-1.9749932766047001E-2</v>
      </c>
      <c r="AK1990">
        <v>0</v>
      </c>
      <c r="AL1990">
        <v>1.9749932766047001E-2</v>
      </c>
      <c r="AM1990" t="s">
        <v>35</v>
      </c>
      <c r="AN1990" t="s">
        <v>55</v>
      </c>
      <c r="AO1990" t="s">
        <v>55</v>
      </c>
      <c r="AP1990" t="s">
        <v>31</v>
      </c>
    </row>
    <row r="1991" spans="1:43" x14ac:dyDescent="0.2">
      <c r="A1991">
        <v>1989</v>
      </c>
      <c r="B1991">
        <v>91</v>
      </c>
      <c r="C1991">
        <v>7</v>
      </c>
      <c r="D1991">
        <v>60500</v>
      </c>
      <c r="E1991" t="s">
        <v>1021</v>
      </c>
      <c r="F1991" t="s">
        <v>53</v>
      </c>
      <c r="G1991" t="s">
        <v>1066</v>
      </c>
      <c r="H1991">
        <v>0.13149905987513649</v>
      </c>
      <c r="I1991">
        <v>-5.1570881302051975E-5</v>
      </c>
      <c r="J1991">
        <v>12.01</v>
      </c>
      <c r="K1991">
        <v>11.84738403505</v>
      </c>
      <c r="L1991" s="1">
        <v>50328</v>
      </c>
      <c r="M1991" s="1">
        <v>43024</v>
      </c>
      <c r="N1991" s="1">
        <v>43021</v>
      </c>
      <c r="R1991">
        <v>6.3056678853169604E-3</v>
      </c>
      <c r="S1991">
        <v>6.3056678853169604E-3</v>
      </c>
      <c r="T1991" t="s">
        <v>32</v>
      </c>
      <c r="U1991" t="s">
        <v>32</v>
      </c>
      <c r="V1991">
        <v>1537118150</v>
      </c>
      <c r="W1991" t="s">
        <v>1023</v>
      </c>
      <c r="X1991" t="s">
        <v>1024</v>
      </c>
      <c r="Y1991">
        <v>60500</v>
      </c>
      <c r="Z1991" t="s">
        <v>31</v>
      </c>
      <c r="AA1991">
        <v>-7.0240140510881444E-3</v>
      </c>
      <c r="AB1991">
        <v>95.29</v>
      </c>
      <c r="AC1991" t="s">
        <v>142</v>
      </c>
      <c r="AD1991" t="s">
        <v>55</v>
      </c>
      <c r="AE1991" t="s">
        <v>35</v>
      </c>
      <c r="AF1991">
        <v>8.5111791297699316E-3</v>
      </c>
      <c r="AG1991">
        <v>3.2</v>
      </c>
      <c r="AH1991" t="s">
        <v>237</v>
      </c>
      <c r="AI1991" t="s">
        <v>237</v>
      </c>
      <c r="AJ1991">
        <v>-8.178496273509292E-3</v>
      </c>
      <c r="AK1991">
        <v>1.0949130713999708E-2</v>
      </c>
      <c r="AL1991">
        <v>1.9127626987509E-2</v>
      </c>
      <c r="AM1991" t="s">
        <v>35</v>
      </c>
      <c r="AN1991" t="s">
        <v>146</v>
      </c>
      <c r="AO1991" t="s">
        <v>55</v>
      </c>
      <c r="AP1991" t="s">
        <v>31</v>
      </c>
      <c r="AQ1991">
        <v>9.3190012822117263E-5</v>
      </c>
    </row>
    <row r="1992" spans="1:43" x14ac:dyDescent="0.2">
      <c r="A1992">
        <v>1990</v>
      </c>
      <c r="B1992">
        <v>90</v>
      </c>
      <c r="C1992">
        <v>7</v>
      </c>
      <c r="D1992">
        <v>80000</v>
      </c>
      <c r="E1992" t="s">
        <v>1034</v>
      </c>
      <c r="F1992" t="s">
        <v>53</v>
      </c>
      <c r="G1992" t="s">
        <v>1035</v>
      </c>
      <c r="H1992">
        <v>0.11185623866830592</v>
      </c>
      <c r="I1992">
        <v>7.4951074999301428E-6</v>
      </c>
      <c r="J1992">
        <v>6.28</v>
      </c>
      <c r="K1992">
        <v>6.2723110062523997</v>
      </c>
      <c r="L1992" s="1">
        <v>47644</v>
      </c>
      <c r="M1992" s="1">
        <v>43024</v>
      </c>
      <c r="N1992" s="1">
        <v>43021</v>
      </c>
      <c r="R1992">
        <v>1.2063470945976875E-3</v>
      </c>
      <c r="S1992">
        <v>1.2063470945976875E-3</v>
      </c>
      <c r="T1992" t="s">
        <v>32</v>
      </c>
      <c r="U1992" t="s">
        <v>32</v>
      </c>
      <c r="V1992">
        <v>2500507594</v>
      </c>
      <c r="W1992" t="s">
        <v>1023</v>
      </c>
      <c r="X1992" t="s">
        <v>1024</v>
      </c>
      <c r="Y1992">
        <v>80000</v>
      </c>
      <c r="Z1992" t="s">
        <v>31</v>
      </c>
      <c r="AA1992">
        <v>1.0208423642322109E-3</v>
      </c>
      <c r="AB1992">
        <v>115.24</v>
      </c>
      <c r="AC1992" t="s">
        <v>55</v>
      </c>
      <c r="AD1992" t="s">
        <v>55</v>
      </c>
      <c r="AE1992" t="s">
        <v>35</v>
      </c>
      <c r="AF1992">
        <v>2.4111791297699338E-3</v>
      </c>
      <c r="AG1992">
        <v>2.75</v>
      </c>
      <c r="AH1992" t="s">
        <v>237</v>
      </c>
      <c r="AI1992" t="s">
        <v>237</v>
      </c>
      <c r="AJ1992">
        <v>6.2130605142541786E-3</v>
      </c>
      <c r="AK1992">
        <v>1.7811502972660178E-2</v>
      </c>
      <c r="AL1992">
        <v>1.1598442458405999E-2</v>
      </c>
      <c r="AM1992" t="s">
        <v>35</v>
      </c>
      <c r="AN1992" t="s">
        <v>149</v>
      </c>
      <c r="AO1992" t="s">
        <v>55</v>
      </c>
      <c r="AP1992" t="s">
        <v>31</v>
      </c>
      <c r="AQ1992">
        <v>4.2946724237513357E-5</v>
      </c>
    </row>
    <row r="1993" spans="1:43" x14ac:dyDescent="0.2">
      <c r="A1993">
        <v>1991</v>
      </c>
      <c r="B1993">
        <v>126</v>
      </c>
      <c r="C1993">
        <v>7</v>
      </c>
      <c r="F1993" t="s">
        <v>53</v>
      </c>
      <c r="G1993" t="s">
        <v>1653</v>
      </c>
      <c r="I1993">
        <v>8.6586558205106853E-4</v>
      </c>
      <c r="J1993">
        <v>5.0118610019645002</v>
      </c>
      <c r="K1993">
        <v>5.0118610019645002</v>
      </c>
      <c r="L1993" s="1"/>
      <c r="M1993" s="1"/>
      <c r="N1993" s="1">
        <v>43021</v>
      </c>
      <c r="R1993">
        <v>-0.1333174408272868</v>
      </c>
      <c r="S1993">
        <v>-0.1333174408272868</v>
      </c>
      <c r="T1993" t="s">
        <v>32</v>
      </c>
      <c r="U1993" t="s">
        <v>32</v>
      </c>
      <c r="W1993" t="s">
        <v>362</v>
      </c>
      <c r="Z1993" t="s">
        <v>31</v>
      </c>
      <c r="AA1993">
        <v>0.11793189996228215</v>
      </c>
      <c r="AC1993" t="s">
        <v>54</v>
      </c>
      <c r="AD1993" t="s">
        <v>54</v>
      </c>
      <c r="AE1993" t="s">
        <v>44</v>
      </c>
      <c r="AF1993">
        <v>3.98</v>
      </c>
      <c r="AG1993">
        <v>3.98</v>
      </c>
      <c r="AH1993" t="s">
        <v>237</v>
      </c>
      <c r="AI1993" t="s">
        <v>237</v>
      </c>
      <c r="AJ1993">
        <v>-6.4947660011925997E-3</v>
      </c>
      <c r="AK1993">
        <v>0</v>
      </c>
      <c r="AL1993">
        <v>6.4947660011925997E-3</v>
      </c>
      <c r="AM1993" t="s">
        <v>44</v>
      </c>
      <c r="AN1993" t="s">
        <v>54</v>
      </c>
      <c r="AO1993" t="s">
        <v>54</v>
      </c>
      <c r="AP1993" t="s">
        <v>31</v>
      </c>
    </row>
    <row r="1994" spans="1:43" x14ac:dyDescent="0.2">
      <c r="A1994">
        <v>1992</v>
      </c>
      <c r="B1994">
        <v>126</v>
      </c>
      <c r="C1994">
        <v>7</v>
      </c>
      <c r="F1994" t="s">
        <v>53</v>
      </c>
      <c r="G1994" t="s">
        <v>1654</v>
      </c>
      <c r="I1994">
        <v>1.0091390874366764E-3</v>
      </c>
      <c r="J1994">
        <v>5.7706258365418996</v>
      </c>
      <c r="K1994">
        <v>5.7706258365418996</v>
      </c>
      <c r="L1994" s="1"/>
      <c r="M1994" s="1"/>
      <c r="N1994" s="1">
        <v>43021</v>
      </c>
      <c r="R1994">
        <v>-0.1333174408272868</v>
      </c>
      <c r="S1994">
        <v>-0.1333174408272868</v>
      </c>
      <c r="T1994" t="s">
        <v>32</v>
      </c>
      <c r="U1994" t="s">
        <v>32</v>
      </c>
      <c r="AA1994">
        <v>0.1374459181362768</v>
      </c>
      <c r="AC1994" t="s">
        <v>54</v>
      </c>
      <c r="AD1994" t="s">
        <v>54</v>
      </c>
      <c r="AF1994">
        <v>4.25</v>
      </c>
      <c r="AG1994">
        <v>4.25</v>
      </c>
      <c r="AH1994" t="s">
        <v>237</v>
      </c>
      <c r="AI1994" t="s">
        <v>237</v>
      </c>
      <c r="AJ1994">
        <v>-7.5694453866994001E-3</v>
      </c>
      <c r="AK1994">
        <v>0</v>
      </c>
      <c r="AL1994">
        <v>7.5694453866994001E-3</v>
      </c>
      <c r="AN1994" t="s">
        <v>54</v>
      </c>
      <c r="AO1994" t="s">
        <v>54</v>
      </c>
    </row>
    <row r="1995" spans="1:43" x14ac:dyDescent="0.2">
      <c r="A1995">
        <v>1993</v>
      </c>
      <c r="B1995">
        <v>123</v>
      </c>
      <c r="C1995">
        <v>7</v>
      </c>
      <c r="D1995">
        <v>69000</v>
      </c>
      <c r="E1995" t="s">
        <v>361</v>
      </c>
      <c r="F1995" t="s">
        <v>53</v>
      </c>
      <c r="G1995" t="s">
        <v>1107</v>
      </c>
      <c r="H1995">
        <v>2.054646715341529E-2</v>
      </c>
      <c r="I1995">
        <v>1.7248215874415397E-6</v>
      </c>
      <c r="J1995">
        <v>1.49</v>
      </c>
      <c r="K1995">
        <v>1.4965251111222</v>
      </c>
      <c r="L1995" s="1">
        <v>43595</v>
      </c>
      <c r="M1995" s="1">
        <v>43024</v>
      </c>
      <c r="N1995" s="1">
        <v>43021</v>
      </c>
      <c r="R1995">
        <v>5.0639619545030578E-4</v>
      </c>
      <c r="S1995">
        <v>5.0639619545030578E-4</v>
      </c>
      <c r="T1995" t="s">
        <v>32</v>
      </c>
      <c r="U1995" t="s">
        <v>32</v>
      </c>
      <c r="V1995">
        <v>1935880298</v>
      </c>
      <c r="W1995" t="s">
        <v>362</v>
      </c>
      <c r="X1995" t="s">
        <v>1108</v>
      </c>
      <c r="Y1995">
        <v>69000</v>
      </c>
      <c r="Z1995" t="s">
        <v>31</v>
      </c>
      <c r="AA1995">
        <v>2.3492270754208496E-4</v>
      </c>
      <c r="AB1995">
        <v>102.81</v>
      </c>
      <c r="AC1995" t="s">
        <v>54</v>
      </c>
      <c r="AD1995" t="s">
        <v>54</v>
      </c>
      <c r="AE1995" t="s">
        <v>44</v>
      </c>
      <c r="AF1995">
        <v>1.1911179129769932E-2</v>
      </c>
      <c r="AG1995">
        <v>3.56</v>
      </c>
      <c r="AH1995" t="s">
        <v>237</v>
      </c>
      <c r="AI1995" t="s">
        <v>237</v>
      </c>
      <c r="AJ1995">
        <v>3.406071378375515E-3</v>
      </c>
      <c r="AK1995">
        <v>1.3789575270748516E-2</v>
      </c>
      <c r="AL1995">
        <v>1.0383503892373001E-2</v>
      </c>
      <c r="AM1995" t="s">
        <v>44</v>
      </c>
      <c r="AN1995" t="s">
        <v>154</v>
      </c>
      <c r="AO1995" t="s">
        <v>54</v>
      </c>
      <c r="AP1995" t="s">
        <v>31</v>
      </c>
      <c r="AQ1995">
        <v>1.6425010117333128E-4</v>
      </c>
    </row>
    <row r="1996" spans="1:43" x14ac:dyDescent="0.2">
      <c r="A1996">
        <v>1994</v>
      </c>
      <c r="B1996">
        <v>145</v>
      </c>
      <c r="C1996">
        <v>7</v>
      </c>
      <c r="D1996">
        <v>200000000</v>
      </c>
      <c r="E1996" t="s">
        <v>524</v>
      </c>
      <c r="F1996" t="s">
        <v>53</v>
      </c>
      <c r="G1996" t="s">
        <v>525</v>
      </c>
      <c r="H1996">
        <v>1.4122394209110545E-3</v>
      </c>
      <c r="I1996">
        <v>4.7564837380253908E-7</v>
      </c>
      <c r="J1996">
        <v>0.98</v>
      </c>
      <c r="L1996" s="1">
        <v>43388</v>
      </c>
      <c r="M1996" s="1">
        <v>43024</v>
      </c>
      <c r="N1996" s="1"/>
      <c r="R1996">
        <v>3.3006825855758798E-4</v>
      </c>
      <c r="T1996" t="s">
        <v>39</v>
      </c>
      <c r="V1996">
        <v>202306513</v>
      </c>
      <c r="W1996" t="s">
        <v>526</v>
      </c>
      <c r="X1996" t="s">
        <v>527</v>
      </c>
      <c r="Y1996">
        <v>200000000</v>
      </c>
      <c r="Z1996" t="s">
        <v>31</v>
      </c>
      <c r="AA1996">
        <v>6.478386206739744E-5</v>
      </c>
      <c r="AB1996">
        <v>101.14</v>
      </c>
      <c r="AC1996" t="s">
        <v>42</v>
      </c>
      <c r="AE1996" t="s">
        <v>41</v>
      </c>
      <c r="AF1996">
        <v>3.6999999999999998E-2</v>
      </c>
      <c r="AH1996" t="s">
        <v>237</v>
      </c>
      <c r="AJ1996">
        <v>1.4410606335827087E-3</v>
      </c>
      <c r="AK1996">
        <v>1.4410606335827087E-3</v>
      </c>
      <c r="AL1996">
        <v>0</v>
      </c>
      <c r="AN1996" t="s">
        <v>142</v>
      </c>
      <c r="AQ1996">
        <v>5.3319243442560221E-5</v>
      </c>
    </row>
    <row r="1997" spans="1:43" x14ac:dyDescent="0.2">
      <c r="A1997">
        <v>1995</v>
      </c>
      <c r="B1997">
        <v>127</v>
      </c>
      <c r="C1997">
        <v>7</v>
      </c>
      <c r="F1997" t="s">
        <v>53</v>
      </c>
      <c r="G1997" t="s">
        <v>1655</v>
      </c>
      <c r="I1997">
        <v>2.3218339146289554E-6</v>
      </c>
      <c r="J1997">
        <v>8.4712328767122997</v>
      </c>
      <c r="K1997">
        <v>8.4712328767122997</v>
      </c>
      <c r="L1997" s="1"/>
      <c r="M1997" s="1"/>
      <c r="N1997" s="1">
        <v>43021</v>
      </c>
      <c r="R1997">
        <v>-2.3546926447499776E-2</v>
      </c>
      <c r="S1997">
        <v>-2.3546926447499776E-2</v>
      </c>
      <c r="T1997" t="s">
        <v>32</v>
      </c>
      <c r="U1997" t="s">
        <v>32</v>
      </c>
      <c r="AA1997">
        <v>3.1623648130282904E-4</v>
      </c>
      <c r="AC1997" t="s">
        <v>54</v>
      </c>
      <c r="AD1997" t="s">
        <v>54</v>
      </c>
      <c r="AF1997">
        <v>5.43</v>
      </c>
      <c r="AG1997">
        <v>5.43</v>
      </c>
      <c r="AH1997" t="s">
        <v>237</v>
      </c>
      <c r="AI1997" t="s">
        <v>237</v>
      </c>
      <c r="AJ1997">
        <v>-9.8604542712005998E-5</v>
      </c>
      <c r="AK1997">
        <v>0</v>
      </c>
      <c r="AL1997">
        <v>9.8604542712005998E-5</v>
      </c>
      <c r="AN1997" t="s">
        <v>54</v>
      </c>
      <c r="AO1997" t="s">
        <v>54</v>
      </c>
    </row>
    <row r="1998" spans="1:43" x14ac:dyDescent="0.2">
      <c r="A1998">
        <v>1996</v>
      </c>
      <c r="B1998">
        <v>126</v>
      </c>
      <c r="C1998">
        <v>7</v>
      </c>
      <c r="F1998" t="s">
        <v>53</v>
      </c>
      <c r="G1998" t="s">
        <v>1656</v>
      </c>
      <c r="I1998">
        <v>3.2470143450401745E-4</v>
      </c>
      <c r="J1998">
        <v>6.0896414216077002</v>
      </c>
      <c r="K1998">
        <v>6.0896414216077002</v>
      </c>
      <c r="L1998" s="1"/>
      <c r="M1998" s="1"/>
      <c r="N1998" s="1">
        <v>43021</v>
      </c>
      <c r="R1998">
        <v>-0.1333174408272868</v>
      </c>
      <c r="S1998">
        <v>-0.1333174408272868</v>
      </c>
      <c r="T1998" t="s">
        <v>32</v>
      </c>
      <c r="U1998" t="s">
        <v>32</v>
      </c>
      <c r="AA1998">
        <v>4.4224713264187469E-2</v>
      </c>
      <c r="AC1998" t="s">
        <v>148</v>
      </c>
      <c r="AD1998" t="s">
        <v>148</v>
      </c>
      <c r="AF1998">
        <v>5.07</v>
      </c>
      <c r="AG1998">
        <v>5.07</v>
      </c>
      <c r="AH1998" t="s">
        <v>237</v>
      </c>
      <c r="AI1998" t="s">
        <v>237</v>
      </c>
      <c r="AJ1998">
        <v>-2.4355510613549001E-3</v>
      </c>
      <c r="AK1998">
        <v>0</v>
      </c>
      <c r="AL1998">
        <v>2.4355510613549001E-3</v>
      </c>
      <c r="AN1998" t="s">
        <v>148</v>
      </c>
      <c r="AO1998" t="s">
        <v>148</v>
      </c>
    </row>
    <row r="1999" spans="1:43" x14ac:dyDescent="0.2">
      <c r="A1999">
        <v>1997</v>
      </c>
      <c r="B1999">
        <v>127</v>
      </c>
      <c r="C1999">
        <v>7</v>
      </c>
      <c r="F1999" t="s">
        <v>53</v>
      </c>
      <c r="G1999" t="s">
        <v>1657</v>
      </c>
      <c r="I1999">
        <v>6.1955918794586958E-6</v>
      </c>
      <c r="J1999">
        <v>8.4712328767122997</v>
      </c>
      <c r="K1999">
        <v>8.4712328767122997</v>
      </c>
      <c r="L1999" s="1"/>
      <c r="M1999" s="1"/>
      <c r="N1999" s="1">
        <v>43021</v>
      </c>
      <c r="R1999">
        <v>-2.3546926447499776E-2</v>
      </c>
      <c r="S1999">
        <v>-2.3546926447499776E-2</v>
      </c>
      <c r="T1999" t="s">
        <v>32</v>
      </c>
      <c r="U1999" t="s">
        <v>32</v>
      </c>
      <c r="AA1999">
        <v>8.4384682435888355E-4</v>
      </c>
      <c r="AC1999" t="s">
        <v>54</v>
      </c>
      <c r="AD1999" t="s">
        <v>54</v>
      </c>
      <c r="AF1999">
        <v>5.59</v>
      </c>
      <c r="AG1999">
        <v>5.59</v>
      </c>
      <c r="AH1999" t="s">
        <v>237</v>
      </c>
      <c r="AI1999" t="s">
        <v>237</v>
      </c>
      <c r="AJ1999">
        <v>-2.6311679756899E-4</v>
      </c>
      <c r="AK1999">
        <v>0</v>
      </c>
      <c r="AL1999">
        <v>2.6311679756899E-4</v>
      </c>
      <c r="AN1999" t="s">
        <v>54</v>
      </c>
      <c r="AO1999" t="s">
        <v>54</v>
      </c>
    </row>
    <row r="2000" spans="1:43" x14ac:dyDescent="0.2">
      <c r="A2000">
        <v>1998</v>
      </c>
      <c r="B2000">
        <v>91</v>
      </c>
      <c r="C2000">
        <v>7</v>
      </c>
      <c r="F2000" t="s">
        <v>53</v>
      </c>
      <c r="G2000" t="s">
        <v>1658</v>
      </c>
      <c r="I2000">
        <v>-1.1435003336489353E-4</v>
      </c>
      <c r="J2000">
        <v>13.703149390878</v>
      </c>
      <c r="K2000">
        <v>13.703149390878</v>
      </c>
      <c r="L2000" s="1"/>
      <c r="M2000" s="1"/>
      <c r="N2000" s="1">
        <v>43021</v>
      </c>
      <c r="R2000">
        <v>6.3056678853169604E-3</v>
      </c>
      <c r="S2000">
        <v>6.3056678853169604E-3</v>
      </c>
      <c r="T2000" t="s">
        <v>32</v>
      </c>
      <c r="U2000" t="s">
        <v>32</v>
      </c>
      <c r="AA2000">
        <v>-1.5574607623885062E-2</v>
      </c>
      <c r="AC2000" t="s">
        <v>142</v>
      </c>
      <c r="AD2000" t="s">
        <v>142</v>
      </c>
      <c r="AF2000">
        <v>3.17</v>
      </c>
      <c r="AG2000">
        <v>3.17</v>
      </c>
      <c r="AH2000" t="s">
        <v>237</v>
      </c>
      <c r="AI2000" t="s">
        <v>237</v>
      </c>
      <c r="AJ2000">
        <v>-1.8134483998302999E-2</v>
      </c>
      <c r="AK2000">
        <v>0</v>
      </c>
      <c r="AL2000">
        <v>1.8134483998302999E-2</v>
      </c>
      <c r="AN2000" t="s">
        <v>142</v>
      </c>
      <c r="AO2000" t="s">
        <v>142</v>
      </c>
    </row>
    <row r="2001" spans="1:43" x14ac:dyDescent="0.2">
      <c r="A2001">
        <v>1999</v>
      </c>
      <c r="B2001">
        <v>91</v>
      </c>
      <c r="C2001">
        <v>7</v>
      </c>
      <c r="D2001">
        <v>40000</v>
      </c>
      <c r="E2001" t="s">
        <v>1067</v>
      </c>
      <c r="F2001" t="s">
        <v>53</v>
      </c>
      <c r="G2001" t="s">
        <v>1068</v>
      </c>
      <c r="H2001">
        <v>8.3799232434751167E-2</v>
      </c>
      <c r="I2001">
        <v>-5.7933294149865526E-5</v>
      </c>
      <c r="J2001">
        <v>10.37</v>
      </c>
      <c r="K2001">
        <v>10.381733228714999</v>
      </c>
      <c r="L2001" s="1">
        <v>49628</v>
      </c>
      <c r="M2001" s="1">
        <v>43024</v>
      </c>
      <c r="N2001" s="1">
        <v>43021</v>
      </c>
      <c r="R2001">
        <v>6.3056678853169604E-3</v>
      </c>
      <c r="S2001">
        <v>6.3056678853169604E-3</v>
      </c>
      <c r="T2001" t="s">
        <v>32</v>
      </c>
      <c r="U2001" t="s">
        <v>32</v>
      </c>
      <c r="V2001">
        <v>1134459234</v>
      </c>
      <c r="W2001" t="s">
        <v>1069</v>
      </c>
      <c r="X2001" t="s">
        <v>1070</v>
      </c>
      <c r="Y2001">
        <v>40000</v>
      </c>
      <c r="Z2001" t="s">
        <v>31</v>
      </c>
      <c r="AA2001">
        <v>-7.8905820854817694E-3</v>
      </c>
      <c r="AB2001">
        <v>104.89</v>
      </c>
      <c r="AC2001" t="s">
        <v>142</v>
      </c>
      <c r="AD2001" t="s">
        <v>142</v>
      </c>
      <c r="AE2001" t="s">
        <v>38</v>
      </c>
      <c r="AF2001">
        <v>5.6111791297699352E-3</v>
      </c>
      <c r="AG2001">
        <v>2.92</v>
      </c>
      <c r="AH2001" t="s">
        <v>237</v>
      </c>
      <c r="AI2001" t="s">
        <v>237</v>
      </c>
      <c r="AJ2001">
        <v>-9.1874953142974565E-3</v>
      </c>
      <c r="AK2001">
        <v>8.0809288750965449E-3</v>
      </c>
      <c r="AL2001">
        <v>1.7268424189394001E-2</v>
      </c>
      <c r="AM2001" t="s">
        <v>38</v>
      </c>
      <c r="AN2001" t="s">
        <v>146</v>
      </c>
      <c r="AO2001" t="s">
        <v>142</v>
      </c>
      <c r="AP2001" t="s">
        <v>31</v>
      </c>
      <c r="AQ2001">
        <v>4.5343539453096975E-5</v>
      </c>
    </row>
    <row r="2002" spans="1:43" x14ac:dyDescent="0.2">
      <c r="A2002">
        <v>2000</v>
      </c>
      <c r="B2002">
        <v>91</v>
      </c>
      <c r="C2002">
        <v>7</v>
      </c>
      <c r="D2002">
        <v>20000</v>
      </c>
      <c r="E2002" t="s">
        <v>1067</v>
      </c>
      <c r="F2002" t="s">
        <v>53</v>
      </c>
      <c r="G2002" t="s">
        <v>1071</v>
      </c>
      <c r="H2002">
        <v>6.5386283586545163E-2</v>
      </c>
      <c r="I2002">
        <v>-1.9387540578726963E-5</v>
      </c>
      <c r="J2002">
        <v>15.04</v>
      </c>
      <c r="K2002">
        <v>14.781635657154</v>
      </c>
      <c r="L2002" s="1">
        <v>51789</v>
      </c>
      <c r="M2002" s="1">
        <v>43024</v>
      </c>
      <c r="N2002" s="1">
        <v>43021</v>
      </c>
      <c r="R2002">
        <v>6.3056678853169604E-3</v>
      </c>
      <c r="S2002">
        <v>6.3056678853169604E-3</v>
      </c>
      <c r="T2002" t="s">
        <v>32</v>
      </c>
      <c r="U2002" t="s">
        <v>32</v>
      </c>
      <c r="V2002">
        <v>610332403</v>
      </c>
      <c r="W2002" t="s">
        <v>1069</v>
      </c>
      <c r="X2002" t="s">
        <v>1070</v>
      </c>
      <c r="Y2002">
        <v>20000</v>
      </c>
      <c r="Z2002" t="s">
        <v>31</v>
      </c>
      <c r="AA2002">
        <v>-2.6406055898757991E-3</v>
      </c>
      <c r="AB2002">
        <v>114.45</v>
      </c>
      <c r="AC2002" t="s">
        <v>142</v>
      </c>
      <c r="AD2002" t="s">
        <v>142</v>
      </c>
      <c r="AE2002" t="s">
        <v>38</v>
      </c>
      <c r="AF2002">
        <v>8.9111791297699361E-3</v>
      </c>
      <c r="AG2002">
        <v>3.25</v>
      </c>
      <c r="AH2002" t="s">
        <v>237</v>
      </c>
      <c r="AI2002" t="s">
        <v>237</v>
      </c>
      <c r="AJ2002">
        <v>-3.0746212663486051E-3</v>
      </c>
      <c r="AK2002">
        <v>4.347492259743695E-3</v>
      </c>
      <c r="AL2002">
        <v>7.4221135260923001E-3</v>
      </c>
      <c r="AM2002" t="s">
        <v>38</v>
      </c>
      <c r="AN2002" t="s">
        <v>146</v>
      </c>
      <c r="AO2002" t="s">
        <v>142</v>
      </c>
      <c r="AP2002" t="s">
        <v>31</v>
      </c>
      <c r="AQ2002">
        <v>3.874128229186435E-5</v>
      </c>
    </row>
    <row r="2003" spans="1:43" x14ac:dyDescent="0.2">
      <c r="A2003">
        <v>2001</v>
      </c>
      <c r="B2003">
        <v>90</v>
      </c>
      <c r="C2003">
        <v>7</v>
      </c>
      <c r="D2003">
        <v>10000</v>
      </c>
      <c r="E2003" t="s">
        <v>363</v>
      </c>
      <c r="F2003" t="s">
        <v>53</v>
      </c>
      <c r="G2003" t="s">
        <v>946</v>
      </c>
      <c r="H2003">
        <v>1.3503834332870893E-2</v>
      </c>
      <c r="I2003">
        <v>2.6618155740828928E-6</v>
      </c>
      <c r="J2003">
        <v>6.12</v>
      </c>
      <c r="L2003" s="1">
        <v>47557</v>
      </c>
      <c r="M2003" s="1">
        <v>43024</v>
      </c>
      <c r="N2003" s="1"/>
      <c r="R2003">
        <v>1.2063470945976875E-3</v>
      </c>
      <c r="T2003" t="s">
        <v>32</v>
      </c>
      <c r="V2003">
        <v>309765673</v>
      </c>
      <c r="W2003" t="s">
        <v>364</v>
      </c>
      <c r="X2003" t="s">
        <v>404</v>
      </c>
      <c r="Y2003">
        <v>10000</v>
      </c>
      <c r="Z2003" t="s">
        <v>31</v>
      </c>
      <c r="AA2003">
        <v>3.6254237898819015E-4</v>
      </c>
      <c r="AB2003">
        <v>115.67</v>
      </c>
      <c r="AC2003" t="s">
        <v>142</v>
      </c>
      <c r="AE2003" t="s">
        <v>44</v>
      </c>
      <c r="AF2003">
        <v>4.1111791297699339E-3</v>
      </c>
      <c r="AH2003" t="s">
        <v>237</v>
      </c>
      <c r="AJ2003">
        <v>2.2065088779200806E-3</v>
      </c>
      <c r="AK2003">
        <v>2.2065088779200806E-3</v>
      </c>
      <c r="AL2003">
        <v>0</v>
      </c>
      <c r="AN2003" t="s">
        <v>146</v>
      </c>
      <c r="AQ2003">
        <v>9.0713532485571113E-6</v>
      </c>
    </row>
    <row r="2004" spans="1:43" x14ac:dyDescent="0.2">
      <c r="A2004">
        <v>2002</v>
      </c>
      <c r="B2004">
        <v>91</v>
      </c>
      <c r="C2004">
        <v>7</v>
      </c>
      <c r="D2004">
        <v>57500</v>
      </c>
      <c r="E2004" t="s">
        <v>363</v>
      </c>
      <c r="F2004" t="s">
        <v>53</v>
      </c>
      <c r="G2004" t="s">
        <v>947</v>
      </c>
      <c r="H2004">
        <v>0.10311932877583063</v>
      </c>
      <c r="I2004">
        <v>-6.1729971150314725E-5</v>
      </c>
      <c r="J2004">
        <v>8.49</v>
      </c>
      <c r="K2004">
        <v>8.5018904072697001</v>
      </c>
      <c r="L2004" s="1">
        <v>48653</v>
      </c>
      <c r="M2004" s="1">
        <v>43024</v>
      </c>
      <c r="N2004" s="1">
        <v>43021</v>
      </c>
      <c r="R2004">
        <v>6.3056678853169604E-3</v>
      </c>
      <c r="S2004">
        <v>6.3056678853169604E-3</v>
      </c>
      <c r="T2004" t="s">
        <v>32</v>
      </c>
      <c r="U2004" t="s">
        <v>32</v>
      </c>
      <c r="V2004">
        <v>1705139823</v>
      </c>
      <c r="W2004" t="s">
        <v>364</v>
      </c>
      <c r="X2004" t="s">
        <v>404</v>
      </c>
      <c r="Y2004">
        <v>57500</v>
      </c>
      <c r="Z2004" t="s">
        <v>31</v>
      </c>
      <c r="AA2004">
        <v>-8.4076939114830305E-3</v>
      </c>
      <c r="AB2004">
        <v>110.86</v>
      </c>
      <c r="AC2004" t="s">
        <v>142</v>
      </c>
      <c r="AD2004" t="s">
        <v>142</v>
      </c>
      <c r="AE2004" t="s">
        <v>44</v>
      </c>
      <c r="AF2004">
        <v>3.7111791297699363E-3</v>
      </c>
      <c r="AG2004">
        <v>2.74</v>
      </c>
      <c r="AH2004" t="s">
        <v>237</v>
      </c>
      <c r="AI2004" t="s">
        <v>237</v>
      </c>
      <c r="AJ2004">
        <v>-9.7896007644258931E-3</v>
      </c>
      <c r="AK2004">
        <v>1.2145975120828108E-2</v>
      </c>
      <c r="AL2004">
        <v>2.1935575885254001E-2</v>
      </c>
      <c r="AM2004" t="s">
        <v>44</v>
      </c>
      <c r="AN2004" t="s">
        <v>146</v>
      </c>
      <c r="AO2004" t="s">
        <v>142</v>
      </c>
      <c r="AP2004" t="s">
        <v>31</v>
      </c>
      <c r="AQ2004">
        <v>4.5075889379122152E-5</v>
      </c>
    </row>
    <row r="2005" spans="1:43" x14ac:dyDescent="0.2">
      <c r="A2005">
        <v>2003</v>
      </c>
      <c r="B2005">
        <v>102</v>
      </c>
      <c r="C2005">
        <v>7</v>
      </c>
      <c r="D2005">
        <v>73000</v>
      </c>
      <c r="E2005" t="s">
        <v>367</v>
      </c>
      <c r="F2005" t="s">
        <v>53</v>
      </c>
      <c r="G2005" t="s">
        <v>956</v>
      </c>
      <c r="H2005">
        <v>0.106292645857225</v>
      </c>
      <c r="I2005">
        <v>1.3047716838698618E-4</v>
      </c>
      <c r="J2005">
        <v>6.69</v>
      </c>
      <c r="L2005" s="1">
        <v>47818</v>
      </c>
      <c r="M2005" s="1">
        <v>43024</v>
      </c>
      <c r="N2005" s="1"/>
      <c r="R2005">
        <v>8.2121603942518166E-3</v>
      </c>
      <c r="T2005" t="s">
        <v>32</v>
      </c>
      <c r="V2005">
        <v>2230512750</v>
      </c>
      <c r="W2005" t="s">
        <v>368</v>
      </c>
      <c r="X2005" t="s">
        <v>957</v>
      </c>
      <c r="Y2005">
        <v>73000</v>
      </c>
      <c r="Z2005" t="s">
        <v>31</v>
      </c>
      <c r="AA2005">
        <v>1.7771142182515288E-2</v>
      </c>
      <c r="AB2005">
        <v>112.73</v>
      </c>
      <c r="AC2005" t="s">
        <v>34</v>
      </c>
      <c r="AE2005" t="s">
        <v>179</v>
      </c>
      <c r="AF2005">
        <v>2.5111791297699367E-3</v>
      </c>
      <c r="AH2005" t="s">
        <v>237</v>
      </c>
      <c r="AJ2005">
        <v>1.5888287871035127E-2</v>
      </c>
      <c r="AK2005">
        <v>1.5888287871035127E-2</v>
      </c>
      <c r="AL2005">
        <v>0</v>
      </c>
      <c r="AN2005" t="s">
        <v>54</v>
      </c>
      <c r="AQ2005">
        <v>3.989833690952023E-5</v>
      </c>
    </row>
    <row r="2006" spans="1:43" x14ac:dyDescent="0.2">
      <c r="A2006">
        <v>2004</v>
      </c>
      <c r="B2006">
        <v>90</v>
      </c>
      <c r="C2006">
        <v>7</v>
      </c>
      <c r="D2006">
        <v>105000</v>
      </c>
      <c r="E2006" t="s">
        <v>369</v>
      </c>
      <c r="F2006" t="s">
        <v>53</v>
      </c>
      <c r="G2006" t="s">
        <v>959</v>
      </c>
      <c r="H2006">
        <v>0.13682945374758634</v>
      </c>
      <c r="I2006">
        <v>-3.8439809691358267E-6</v>
      </c>
      <c r="J2006">
        <v>5.98</v>
      </c>
      <c r="K2006">
        <v>5.9899486520404004</v>
      </c>
      <c r="L2006" s="1">
        <v>47488</v>
      </c>
      <c r="M2006" s="1">
        <v>43024</v>
      </c>
      <c r="N2006" s="1">
        <v>43021</v>
      </c>
      <c r="R2006">
        <v>1.2063470945976875E-3</v>
      </c>
      <c r="S2006">
        <v>1.2063470945976875E-3</v>
      </c>
      <c r="T2006" t="s">
        <v>32</v>
      </c>
      <c r="U2006" t="s">
        <v>32</v>
      </c>
      <c r="V2006">
        <v>3212225455</v>
      </c>
      <c r="W2006" t="s">
        <v>371</v>
      </c>
      <c r="X2006" t="s">
        <v>739</v>
      </c>
      <c r="Y2006">
        <v>105000</v>
      </c>
      <c r="Z2006" t="s">
        <v>31</v>
      </c>
      <c r="AA2006">
        <v>-5.2355468158833164E-4</v>
      </c>
      <c r="AB2006">
        <v>113.2</v>
      </c>
      <c r="AC2006" t="s">
        <v>142</v>
      </c>
      <c r="AD2006" t="s">
        <v>142</v>
      </c>
      <c r="AE2006" t="s">
        <v>177</v>
      </c>
      <c r="AF2006">
        <v>3.4111791297699347E-3</v>
      </c>
      <c r="AG2006">
        <v>2.7</v>
      </c>
      <c r="AH2006" t="s">
        <v>237</v>
      </c>
      <c r="AI2006" t="s">
        <v>237</v>
      </c>
      <c r="AJ2006">
        <v>-3.1864634866284325E-3</v>
      </c>
      <c r="AK2006">
        <v>2.2881179556452566E-2</v>
      </c>
      <c r="AL2006">
        <v>2.6067643043080999E-2</v>
      </c>
      <c r="AM2006" t="s">
        <v>177</v>
      </c>
      <c r="AN2006" t="s">
        <v>146</v>
      </c>
      <c r="AO2006" t="s">
        <v>142</v>
      </c>
      <c r="AP2006" t="s">
        <v>31</v>
      </c>
      <c r="AQ2006">
        <v>7.8051802167489485E-5</v>
      </c>
    </row>
    <row r="2007" spans="1:43" x14ac:dyDescent="0.2">
      <c r="A2007">
        <v>2005</v>
      </c>
      <c r="B2007">
        <v>91</v>
      </c>
      <c r="C2007">
        <v>7</v>
      </c>
      <c r="D2007">
        <v>25000</v>
      </c>
      <c r="E2007" t="s">
        <v>369</v>
      </c>
      <c r="F2007" t="s">
        <v>53</v>
      </c>
      <c r="G2007" t="s">
        <v>1631</v>
      </c>
      <c r="H2007">
        <v>6.0378220818182039E-2</v>
      </c>
      <c r="I2007">
        <v>-6.8219659969729059E-5</v>
      </c>
      <c r="J2007">
        <v>11.82</v>
      </c>
      <c r="K2007">
        <v>11.832440513058</v>
      </c>
      <c r="L2007" s="1">
        <v>48611</v>
      </c>
      <c r="M2007" s="1">
        <v>43024</v>
      </c>
      <c r="N2007" s="1">
        <v>43021</v>
      </c>
      <c r="R2007">
        <v>6.3056678853169604E-3</v>
      </c>
      <c r="S2007">
        <v>6.3056678853169604E-3</v>
      </c>
      <c r="T2007" t="s">
        <v>32</v>
      </c>
      <c r="U2007" t="s">
        <v>32</v>
      </c>
      <c r="V2007">
        <v>717117705</v>
      </c>
      <c r="W2007" t="s">
        <v>371</v>
      </c>
      <c r="X2007" t="s">
        <v>739</v>
      </c>
      <c r="Y2007">
        <v>25000</v>
      </c>
      <c r="Z2007" t="s">
        <v>31</v>
      </c>
      <c r="AA2007">
        <v>-9.2915970813313639E-3</v>
      </c>
      <c r="AB2007">
        <v>106.76</v>
      </c>
      <c r="AC2007" t="s">
        <v>142</v>
      </c>
      <c r="AD2007" t="s">
        <v>142</v>
      </c>
      <c r="AE2007" t="s">
        <v>177</v>
      </c>
      <c r="AF2007">
        <v>8.6111791297699344E-3</v>
      </c>
      <c r="AG2007">
        <v>3.22</v>
      </c>
      <c r="AH2007" t="s">
        <v>237</v>
      </c>
      <c r="AI2007" t="s">
        <v>237</v>
      </c>
      <c r="AJ2007">
        <v>-1.0818784181225543E-2</v>
      </c>
      <c r="AK2007">
        <v>5.1081405091524569E-3</v>
      </c>
      <c r="AL2007">
        <v>1.5926924690378E-2</v>
      </c>
      <c r="AM2007" t="s">
        <v>177</v>
      </c>
      <c r="AN2007" t="s">
        <v>146</v>
      </c>
      <c r="AO2007" t="s">
        <v>142</v>
      </c>
      <c r="AP2007" t="s">
        <v>31</v>
      </c>
      <c r="AQ2007">
        <v>4.3987112944346005E-5</v>
      </c>
    </row>
    <row r="2008" spans="1:43" x14ac:dyDescent="0.2">
      <c r="A2008">
        <v>2006</v>
      </c>
      <c r="B2008">
        <v>124</v>
      </c>
      <c r="C2008">
        <v>7</v>
      </c>
      <c r="F2008" t="s">
        <v>53</v>
      </c>
      <c r="G2008" t="s">
        <v>1659</v>
      </c>
      <c r="I2008">
        <v>3.6371887792329598E-8</v>
      </c>
      <c r="J2008">
        <v>2.4964398547530999</v>
      </c>
      <c r="K2008">
        <v>2.4964398547530999</v>
      </c>
      <c r="L2008" s="1"/>
      <c r="M2008" s="1"/>
      <c r="N2008" s="1">
        <v>43021</v>
      </c>
      <c r="R2008">
        <v>-7.2271191775237292E-5</v>
      </c>
      <c r="S2008">
        <v>-7.2271191775237292E-5</v>
      </c>
      <c r="T2008" t="s">
        <v>32</v>
      </c>
      <c r="U2008" t="s">
        <v>32</v>
      </c>
      <c r="AA2008">
        <v>4.9538934466058694E-6</v>
      </c>
      <c r="AC2008" t="s">
        <v>54</v>
      </c>
      <c r="AD2008" t="s">
        <v>54</v>
      </c>
      <c r="AF2008">
        <v>5.07</v>
      </c>
      <c r="AG2008">
        <v>5.07</v>
      </c>
      <c r="AH2008" t="s">
        <v>237</v>
      </c>
      <c r="AI2008" t="s">
        <v>237</v>
      </c>
      <c r="AJ2008">
        <v>-5.032695172019E-4</v>
      </c>
      <c r="AK2008">
        <v>0</v>
      </c>
      <c r="AL2008">
        <v>5.032695172019E-4</v>
      </c>
      <c r="AN2008" t="s">
        <v>54</v>
      </c>
      <c r="AO2008" t="s">
        <v>54</v>
      </c>
    </row>
    <row r="2009" spans="1:43" x14ac:dyDescent="0.2">
      <c r="A2009">
        <v>2007</v>
      </c>
      <c r="B2009">
        <v>124</v>
      </c>
      <c r="C2009">
        <v>7</v>
      </c>
      <c r="F2009" t="s">
        <v>53</v>
      </c>
      <c r="G2009" t="s">
        <v>1660</v>
      </c>
      <c r="I2009">
        <v>1.7210486413699785E-9</v>
      </c>
      <c r="J2009">
        <v>2.5046525333203999</v>
      </c>
      <c r="K2009">
        <v>2.5046525333203999</v>
      </c>
      <c r="L2009" s="1"/>
      <c r="M2009" s="1"/>
      <c r="N2009" s="1">
        <v>43021</v>
      </c>
      <c r="R2009">
        <v>-7.2271191775237292E-5</v>
      </c>
      <c r="S2009">
        <v>-7.2271191775237292E-5</v>
      </c>
      <c r="T2009" t="s">
        <v>32</v>
      </c>
      <c r="U2009" t="s">
        <v>32</v>
      </c>
      <c r="AA2009">
        <v>2.344088278962161E-7</v>
      </c>
      <c r="AC2009" t="s">
        <v>54</v>
      </c>
      <c r="AD2009" t="s">
        <v>54</v>
      </c>
      <c r="AF2009">
        <v>5.07</v>
      </c>
      <c r="AG2009">
        <v>5.07</v>
      </c>
      <c r="AH2009" t="s">
        <v>237</v>
      </c>
      <c r="AI2009" t="s">
        <v>237</v>
      </c>
      <c r="AJ2009">
        <v>-2.3813757585766998E-5</v>
      </c>
      <c r="AK2009">
        <v>0</v>
      </c>
      <c r="AL2009">
        <v>2.3813757585766998E-5</v>
      </c>
      <c r="AN2009" t="s">
        <v>54</v>
      </c>
      <c r="AO2009" t="s">
        <v>54</v>
      </c>
    </row>
    <row r="2010" spans="1:43" x14ac:dyDescent="0.2">
      <c r="A2010">
        <v>2008</v>
      </c>
      <c r="B2010">
        <v>91</v>
      </c>
      <c r="C2010">
        <v>7</v>
      </c>
      <c r="D2010">
        <v>53500</v>
      </c>
      <c r="E2010" t="s">
        <v>1072</v>
      </c>
      <c r="F2010" t="s">
        <v>53</v>
      </c>
      <c r="G2010" t="s">
        <v>1073</v>
      </c>
      <c r="H2010">
        <v>0.14223065223226911</v>
      </c>
      <c r="I2010">
        <v>7.6134062486307673E-5</v>
      </c>
      <c r="J2010">
        <v>11.78</v>
      </c>
      <c r="L2010" s="1">
        <v>49195</v>
      </c>
      <c r="M2010" s="1">
        <v>43024</v>
      </c>
      <c r="N2010" s="1"/>
      <c r="R2010">
        <v>6.3056678853169604E-3</v>
      </c>
      <c r="T2010" t="s">
        <v>32</v>
      </c>
      <c r="V2010">
        <v>1695022710</v>
      </c>
      <c r="W2010" t="s">
        <v>1074</v>
      </c>
      <c r="X2010" t="s">
        <v>1075</v>
      </c>
      <c r="Y2010">
        <v>53500</v>
      </c>
      <c r="Z2010" t="s">
        <v>31</v>
      </c>
      <c r="AA2010">
        <v>1.0369547914803035E-2</v>
      </c>
      <c r="AB2010">
        <v>118.26</v>
      </c>
      <c r="AC2010" t="s">
        <v>142</v>
      </c>
      <c r="AE2010" t="s">
        <v>41</v>
      </c>
      <c r="AF2010">
        <v>8.3111791297699328E-3</v>
      </c>
      <c r="AH2010" t="s">
        <v>237</v>
      </c>
      <c r="AJ2010">
        <v>1.2073909357578023E-2</v>
      </c>
      <c r="AK2010">
        <v>1.2073909357578023E-2</v>
      </c>
      <c r="AL2010">
        <v>0</v>
      </c>
      <c r="AN2010" t="s">
        <v>146</v>
      </c>
      <c r="AQ2010">
        <v>1.0034842346743636E-4</v>
      </c>
    </row>
    <row r="2011" spans="1:43" x14ac:dyDescent="0.2">
      <c r="A2011">
        <v>2009</v>
      </c>
      <c r="B2011">
        <v>91</v>
      </c>
      <c r="C2011">
        <v>7</v>
      </c>
      <c r="D2011">
        <v>65000</v>
      </c>
      <c r="E2011" t="s">
        <v>1072</v>
      </c>
      <c r="F2011" t="s">
        <v>53</v>
      </c>
      <c r="G2011" t="s">
        <v>1076</v>
      </c>
      <c r="H2011">
        <v>0.1939541924880486</v>
      </c>
      <c r="I2011">
        <v>-6.2184834147456389E-5</v>
      </c>
      <c r="J2011">
        <v>13.22</v>
      </c>
      <c r="K2011">
        <v>13.227303870109001</v>
      </c>
      <c r="L2011" s="1">
        <v>49926</v>
      </c>
      <c r="M2011" s="1">
        <v>43024</v>
      </c>
      <c r="N2011" s="1">
        <v>43021</v>
      </c>
      <c r="R2011">
        <v>6.3056678853169604E-3</v>
      </c>
      <c r="S2011">
        <v>6.3056678853169604E-3</v>
      </c>
      <c r="T2011" t="s">
        <v>32</v>
      </c>
      <c r="U2011" t="s">
        <v>32</v>
      </c>
      <c r="V2011">
        <v>2059659013</v>
      </c>
      <c r="W2011" t="s">
        <v>1074</v>
      </c>
      <c r="X2011" t="s">
        <v>1075</v>
      </c>
      <c r="Y2011">
        <v>65000</v>
      </c>
      <c r="Z2011" t="s">
        <v>31</v>
      </c>
      <c r="AA2011">
        <v>-8.4696467810593742E-3</v>
      </c>
      <c r="AB2011">
        <v>118.31</v>
      </c>
      <c r="AC2011" t="s">
        <v>142</v>
      </c>
      <c r="AD2011" t="s">
        <v>142</v>
      </c>
      <c r="AE2011" t="s">
        <v>41</v>
      </c>
      <c r="AF2011">
        <v>7.9111791297699352E-3</v>
      </c>
      <c r="AG2011">
        <v>3.15</v>
      </c>
      <c r="AH2011" t="s">
        <v>237</v>
      </c>
      <c r="AI2011" t="s">
        <v>237</v>
      </c>
      <c r="AJ2011">
        <v>-9.8617363423558445E-3</v>
      </c>
      <c r="AK2011">
        <v>1.4671270233589152E-2</v>
      </c>
      <c r="AL2011">
        <v>2.4533006575944996E-2</v>
      </c>
      <c r="AM2011" t="s">
        <v>41</v>
      </c>
      <c r="AN2011" t="s">
        <v>146</v>
      </c>
      <c r="AO2011" t="s">
        <v>142</v>
      </c>
      <c r="AP2011" t="s">
        <v>31</v>
      </c>
      <c r="AQ2011">
        <v>1.1606704687918537E-4</v>
      </c>
    </row>
    <row r="2012" spans="1:43" x14ac:dyDescent="0.2">
      <c r="A2012">
        <v>2010</v>
      </c>
      <c r="B2012">
        <v>87</v>
      </c>
      <c r="C2012">
        <v>7</v>
      </c>
      <c r="D2012">
        <v>10000</v>
      </c>
      <c r="E2012" t="s">
        <v>246</v>
      </c>
      <c r="F2012" t="s">
        <v>53</v>
      </c>
      <c r="G2012" t="s">
        <v>966</v>
      </c>
      <c r="H2012">
        <v>2.2870483146371209E-3</v>
      </c>
      <c r="I2012">
        <v>5.566660934343136E-6</v>
      </c>
      <c r="J2012">
        <v>1.19</v>
      </c>
      <c r="K2012">
        <v>1.1991473549933001</v>
      </c>
      <c r="L2012" s="1">
        <v>43556</v>
      </c>
      <c r="M2012" s="1">
        <v>43024</v>
      </c>
      <c r="N2012" s="1">
        <v>43021</v>
      </c>
      <c r="R2012">
        <v>-9.7806149595923409E-4</v>
      </c>
      <c r="S2012">
        <v>-9.7806149595923409E-4</v>
      </c>
      <c r="T2012" t="s">
        <v>32</v>
      </c>
      <c r="U2012" t="s">
        <v>32</v>
      </c>
      <c r="V2012">
        <v>269808724</v>
      </c>
      <c r="W2012" t="s">
        <v>247</v>
      </c>
      <c r="X2012" t="s">
        <v>1011</v>
      </c>
      <c r="Y2012">
        <v>10000</v>
      </c>
      <c r="Z2012" t="s">
        <v>31</v>
      </c>
      <c r="AA2012">
        <v>7.5818569768971295E-4</v>
      </c>
      <c r="AB2012">
        <v>101.04</v>
      </c>
      <c r="AC2012" t="s">
        <v>142</v>
      </c>
      <c r="AD2012" t="s">
        <v>142</v>
      </c>
      <c r="AE2012" t="s">
        <v>41</v>
      </c>
      <c r="AF2012">
        <v>4.4111791297699356E-3</v>
      </c>
      <c r="AG2012">
        <v>2.79</v>
      </c>
      <c r="AH2012" t="s">
        <v>237</v>
      </c>
      <c r="AI2012" t="s">
        <v>237</v>
      </c>
      <c r="AJ2012">
        <v>-5.6915244668574051E-3</v>
      </c>
      <c r="AK2012">
        <v>1.9218893400311941E-3</v>
      </c>
      <c r="AL2012">
        <v>7.6134138068885996E-3</v>
      </c>
      <c r="AM2012" t="s">
        <v>41</v>
      </c>
      <c r="AN2012" t="s">
        <v>146</v>
      </c>
      <c r="AO2012" t="s">
        <v>142</v>
      </c>
      <c r="AP2012" t="s">
        <v>31</v>
      </c>
      <c r="AQ2012">
        <v>8.4777981464729182E-6</v>
      </c>
    </row>
    <row r="2013" spans="1:43" x14ac:dyDescent="0.2">
      <c r="A2013">
        <v>2011</v>
      </c>
      <c r="B2013">
        <v>87</v>
      </c>
      <c r="C2013">
        <v>7</v>
      </c>
      <c r="D2013">
        <v>27500</v>
      </c>
      <c r="E2013" t="s">
        <v>246</v>
      </c>
      <c r="F2013" t="s">
        <v>53</v>
      </c>
      <c r="G2013" t="s">
        <v>967</v>
      </c>
      <c r="H2013">
        <v>9.757995463485129E-3</v>
      </c>
      <c r="I2013">
        <v>-1.075785378687126E-7</v>
      </c>
      <c r="J2013">
        <v>1.85</v>
      </c>
      <c r="K2013">
        <v>1.8658601251333999</v>
      </c>
      <c r="L2013" s="1">
        <v>43814</v>
      </c>
      <c r="M2013" s="1">
        <v>43024</v>
      </c>
      <c r="N2013" s="1">
        <v>43021</v>
      </c>
      <c r="R2013">
        <v>-9.7806149595923409E-4</v>
      </c>
      <c r="S2013">
        <v>-9.7806149595923409E-4</v>
      </c>
      <c r="T2013" t="s">
        <v>32</v>
      </c>
      <c r="U2013" t="s">
        <v>32</v>
      </c>
      <c r="V2013">
        <v>740485389</v>
      </c>
      <c r="W2013" t="s">
        <v>247</v>
      </c>
      <c r="X2013" t="s">
        <v>1011</v>
      </c>
      <c r="Y2013">
        <v>27500</v>
      </c>
      <c r="Z2013" t="s">
        <v>31</v>
      </c>
      <c r="AA2013">
        <v>-1.4652322056696928E-5</v>
      </c>
      <c r="AB2013">
        <v>100.03</v>
      </c>
      <c r="AC2013" t="s">
        <v>142</v>
      </c>
      <c r="AD2013" t="s">
        <v>142</v>
      </c>
      <c r="AE2013" t="s">
        <v>41</v>
      </c>
      <c r="AF2013">
        <v>5.2111791297699342E-3</v>
      </c>
      <c r="AG2013">
        <v>2.89</v>
      </c>
      <c r="AH2013" t="s">
        <v>237</v>
      </c>
      <c r="AI2013" t="s">
        <v>237</v>
      </c>
      <c r="AJ2013">
        <v>1.0999158878369393E-4</v>
      </c>
      <c r="AK2013">
        <v>5.2745921424243941E-3</v>
      </c>
      <c r="AL2013">
        <v>5.1646005536407002E-3</v>
      </c>
      <c r="AM2013" t="s">
        <v>41</v>
      </c>
      <c r="AN2013" t="s">
        <v>146</v>
      </c>
      <c r="AO2013" t="s">
        <v>142</v>
      </c>
      <c r="AP2013" t="s">
        <v>31</v>
      </c>
      <c r="AQ2013">
        <v>2.7486844490650488E-5</v>
      </c>
    </row>
    <row r="2014" spans="1:43" x14ac:dyDescent="0.2">
      <c r="A2014">
        <v>2012</v>
      </c>
      <c r="B2014">
        <v>88</v>
      </c>
      <c r="C2014">
        <v>7</v>
      </c>
      <c r="D2014">
        <v>50000</v>
      </c>
      <c r="E2014" t="s">
        <v>246</v>
      </c>
      <c r="F2014" t="s">
        <v>53</v>
      </c>
      <c r="G2014" t="s">
        <v>968</v>
      </c>
      <c r="H2014">
        <v>2.5558321513461754E-2</v>
      </c>
      <c r="I2014">
        <v>-3.4729359919303332E-6</v>
      </c>
      <c r="J2014">
        <v>2.7</v>
      </c>
      <c r="K2014">
        <v>2.7116427580742002</v>
      </c>
      <c r="L2014" s="1">
        <v>44044</v>
      </c>
      <c r="M2014" s="1">
        <v>43024</v>
      </c>
      <c r="N2014" s="1">
        <v>43021</v>
      </c>
      <c r="R2014">
        <v>-7.9394588966687685E-4</v>
      </c>
      <c r="S2014">
        <v>-7.9394588966687685E-4</v>
      </c>
      <c r="T2014" t="s">
        <v>32</v>
      </c>
      <c r="U2014" t="s">
        <v>32</v>
      </c>
      <c r="V2014">
        <v>1328911853</v>
      </c>
      <c r="W2014" t="s">
        <v>247</v>
      </c>
      <c r="X2014" t="s">
        <v>1011</v>
      </c>
      <c r="Y2014">
        <v>50000</v>
      </c>
      <c r="Z2014" t="s">
        <v>31</v>
      </c>
      <c r="AA2014">
        <v>-4.7301792387398627E-4</v>
      </c>
      <c r="AB2014">
        <v>99.18</v>
      </c>
      <c r="AC2014" t="s">
        <v>142</v>
      </c>
      <c r="AD2014" t="s">
        <v>142</v>
      </c>
      <c r="AE2014" t="s">
        <v>41</v>
      </c>
      <c r="AF2014">
        <v>4.511179129769935E-3</v>
      </c>
      <c r="AG2014">
        <v>2.85</v>
      </c>
      <c r="AH2014" t="s">
        <v>237</v>
      </c>
      <c r="AI2014" t="s">
        <v>237</v>
      </c>
      <c r="AJ2014">
        <v>4.3742729033933343E-3</v>
      </c>
      <c r="AK2014">
        <v>9.466045004985834E-3</v>
      </c>
      <c r="AL2014">
        <v>5.0917721015924997E-3</v>
      </c>
      <c r="AM2014" t="s">
        <v>41</v>
      </c>
      <c r="AN2014" t="s">
        <v>146</v>
      </c>
      <c r="AO2014" t="s">
        <v>142</v>
      </c>
      <c r="AP2014" t="s">
        <v>31</v>
      </c>
      <c r="AQ2014">
        <v>4.2703024667955037E-5</v>
      </c>
    </row>
    <row r="2015" spans="1:43" x14ac:dyDescent="0.2">
      <c r="A2015">
        <v>2013</v>
      </c>
      <c r="B2015">
        <v>88</v>
      </c>
      <c r="C2015">
        <v>7</v>
      </c>
      <c r="F2015" t="s">
        <v>53</v>
      </c>
      <c r="G2015" t="s">
        <v>1628</v>
      </c>
      <c r="I2015">
        <v>8.3875078042755437E-6</v>
      </c>
      <c r="J2015">
        <v>2.7807084712551999</v>
      </c>
      <c r="K2015">
        <v>2.7807084712551999</v>
      </c>
      <c r="L2015" s="1"/>
      <c r="M2015" s="1"/>
      <c r="N2015" s="1">
        <v>43021</v>
      </c>
      <c r="R2015">
        <v>-7.9394588966687685E-4</v>
      </c>
      <c r="S2015">
        <v>-7.9394588966687685E-4</v>
      </c>
      <c r="T2015" t="s">
        <v>32</v>
      </c>
      <c r="U2015" t="s">
        <v>32</v>
      </c>
      <c r="AA2015">
        <v>1.142388324251863E-3</v>
      </c>
      <c r="AC2015" t="s">
        <v>142</v>
      </c>
      <c r="AD2015" t="s">
        <v>142</v>
      </c>
      <c r="AF2015">
        <v>2.7</v>
      </c>
      <c r="AG2015">
        <v>2.7</v>
      </c>
      <c r="AH2015" t="s">
        <v>237</v>
      </c>
      <c r="AI2015" t="s">
        <v>237</v>
      </c>
      <c r="AJ2015">
        <v>-1.0564331793184001E-2</v>
      </c>
      <c r="AK2015">
        <v>0</v>
      </c>
      <c r="AL2015">
        <v>1.0564331793184001E-2</v>
      </c>
      <c r="AN2015" t="s">
        <v>142</v>
      </c>
      <c r="AO2015" t="s">
        <v>142</v>
      </c>
    </row>
    <row r="2016" spans="1:43" x14ac:dyDescent="0.2">
      <c r="A2016">
        <v>2014</v>
      </c>
      <c r="B2016">
        <v>89</v>
      </c>
      <c r="C2016">
        <v>7</v>
      </c>
      <c r="D2016">
        <v>50000</v>
      </c>
      <c r="E2016" t="s">
        <v>246</v>
      </c>
      <c r="F2016" t="s">
        <v>53</v>
      </c>
      <c r="G2016" t="s">
        <v>1629</v>
      </c>
      <c r="H2016">
        <v>3.4239583336965695E-2</v>
      </c>
      <c r="I2016">
        <v>3.0077472552729314E-6</v>
      </c>
      <c r="J2016">
        <v>3.51</v>
      </c>
      <c r="K2016">
        <v>3.5161537972749999</v>
      </c>
      <c r="L2016" s="1">
        <v>44382</v>
      </c>
      <c r="M2016" s="1">
        <v>43024</v>
      </c>
      <c r="N2016" s="1">
        <v>43021</v>
      </c>
      <c r="R2016">
        <v>1.6066850024159633E-3</v>
      </c>
      <c r="S2016">
        <v>1.6066850024159633E-3</v>
      </c>
      <c r="T2016" t="s">
        <v>32</v>
      </c>
      <c r="U2016" t="s">
        <v>32</v>
      </c>
      <c r="V2016">
        <v>1369458780</v>
      </c>
      <c r="W2016" t="s">
        <v>247</v>
      </c>
      <c r="X2016" t="s">
        <v>1011</v>
      </c>
      <c r="Y2016">
        <v>50000</v>
      </c>
      <c r="Z2016" t="s">
        <v>31</v>
      </c>
      <c r="AA2016">
        <v>4.0965867655859238E-4</v>
      </c>
      <c r="AB2016">
        <v>101.81</v>
      </c>
      <c r="AC2016" t="s">
        <v>142</v>
      </c>
      <c r="AD2016" t="s">
        <v>142</v>
      </c>
      <c r="AE2016" t="s">
        <v>41</v>
      </c>
      <c r="AF2016">
        <v>3.6111791297699335E-3</v>
      </c>
      <c r="AG2016">
        <v>2.72</v>
      </c>
      <c r="AH2016" t="s">
        <v>237</v>
      </c>
      <c r="AI2016" t="s">
        <v>237</v>
      </c>
      <c r="AJ2016">
        <v>1.8720204960836744E-3</v>
      </c>
      <c r="AK2016">
        <v>9.7548670475685745E-3</v>
      </c>
      <c r="AL2016">
        <v>7.8828465514849001E-3</v>
      </c>
      <c r="AM2016" t="s">
        <v>41</v>
      </c>
      <c r="AN2016" t="s">
        <v>146</v>
      </c>
      <c r="AO2016" t="s">
        <v>142</v>
      </c>
      <c r="AP2016" t="s">
        <v>31</v>
      </c>
      <c r="AQ2016">
        <v>3.5226572295860087E-5</v>
      </c>
    </row>
    <row r="2017" spans="1:43" x14ac:dyDescent="0.2">
      <c r="A2017">
        <v>2015</v>
      </c>
      <c r="B2017">
        <v>123</v>
      </c>
      <c r="C2017">
        <v>7</v>
      </c>
      <c r="F2017" t="s">
        <v>53</v>
      </c>
      <c r="G2017" t="s">
        <v>1661</v>
      </c>
      <c r="I2017">
        <v>-1.2575414816345823E-7</v>
      </c>
      <c r="J2017">
        <v>1.4185294460939999</v>
      </c>
      <c r="K2017">
        <v>1.4185294460939999</v>
      </c>
      <c r="L2017" s="1"/>
      <c r="M2017" s="1"/>
      <c r="N2017" s="1">
        <v>43021</v>
      </c>
      <c r="R2017">
        <v>5.0639619545030578E-4</v>
      </c>
      <c r="S2017">
        <v>5.0639619545030578E-4</v>
      </c>
      <c r="T2017" t="s">
        <v>32</v>
      </c>
      <c r="U2017" t="s">
        <v>32</v>
      </c>
      <c r="AA2017">
        <v>-1.7127861331460417E-5</v>
      </c>
      <c r="AC2017" t="s">
        <v>148</v>
      </c>
      <c r="AD2017" t="s">
        <v>148</v>
      </c>
      <c r="AF2017">
        <v>14.61</v>
      </c>
      <c r="AG2017">
        <v>14.61</v>
      </c>
      <c r="AH2017" t="s">
        <v>237</v>
      </c>
      <c r="AI2017" t="s">
        <v>237</v>
      </c>
      <c r="AJ2017">
        <v>-2.4833154216657001E-4</v>
      </c>
      <c r="AK2017">
        <v>0</v>
      </c>
      <c r="AL2017">
        <v>2.4833154216657001E-4</v>
      </c>
      <c r="AN2017" t="s">
        <v>148</v>
      </c>
      <c r="AO2017" t="s">
        <v>148</v>
      </c>
    </row>
    <row r="2018" spans="1:43" x14ac:dyDescent="0.2">
      <c r="A2018">
        <v>2016</v>
      </c>
      <c r="B2018">
        <v>140</v>
      </c>
      <c r="C2018">
        <v>7</v>
      </c>
      <c r="D2018">
        <v>100000</v>
      </c>
      <c r="E2018" t="s">
        <v>286</v>
      </c>
      <c r="F2018" t="s">
        <v>53</v>
      </c>
      <c r="G2018" t="s">
        <v>290</v>
      </c>
      <c r="H2018">
        <v>0.14563572486397777</v>
      </c>
      <c r="I2018">
        <v>2.840975792763609E-5</v>
      </c>
      <c r="J2018">
        <v>7.88</v>
      </c>
      <c r="L2018" s="1">
        <v>46082</v>
      </c>
      <c r="M2018" s="1">
        <v>43024</v>
      </c>
      <c r="N2018" s="1"/>
      <c r="R2018">
        <v>1.5371839064821735E-3</v>
      </c>
      <c r="T2018" t="s">
        <v>32</v>
      </c>
      <c r="V2018">
        <v>2594593432</v>
      </c>
      <c r="W2018" t="s">
        <v>278</v>
      </c>
      <c r="X2018" t="s">
        <v>288</v>
      </c>
      <c r="Y2018">
        <v>100000</v>
      </c>
      <c r="Z2018" t="s">
        <v>31</v>
      </c>
      <c r="AA2018">
        <v>3.8694420927762718E-3</v>
      </c>
      <c r="AB2018">
        <v>97.14</v>
      </c>
      <c r="AC2018" t="s">
        <v>42</v>
      </c>
      <c r="AE2018" t="s">
        <v>182</v>
      </c>
      <c r="AF2018">
        <v>-4.7888208702300643E-3</v>
      </c>
      <c r="AH2018" t="s">
        <v>280</v>
      </c>
      <c r="AJ2018">
        <v>1.8481690972586014E-2</v>
      </c>
      <c r="AK2018">
        <v>1.8481690972586014E-2</v>
      </c>
      <c r="AL2018">
        <v>0</v>
      </c>
      <c r="AN2018" t="s">
        <v>142</v>
      </c>
      <c r="AQ2018">
        <v>-8.8505507446662483E-5</v>
      </c>
    </row>
    <row r="2019" spans="1:43" x14ac:dyDescent="0.2">
      <c r="A2019">
        <v>2017</v>
      </c>
      <c r="B2019">
        <v>88</v>
      </c>
      <c r="C2019">
        <v>7</v>
      </c>
      <c r="D2019">
        <v>118000</v>
      </c>
      <c r="E2019" t="s">
        <v>1116</v>
      </c>
      <c r="F2019" t="s">
        <v>53</v>
      </c>
      <c r="G2019" t="s">
        <v>1117</v>
      </c>
      <c r="H2019">
        <v>4.9130773881507432E-2</v>
      </c>
      <c r="I2019">
        <v>2.4838262362354418E-6</v>
      </c>
      <c r="J2019">
        <v>2.92</v>
      </c>
      <c r="K2019">
        <v>2.9297799120311998</v>
      </c>
      <c r="L2019" s="1">
        <v>44510</v>
      </c>
      <c r="M2019" s="1">
        <v>43024</v>
      </c>
      <c r="N2019" s="1">
        <v>43021</v>
      </c>
      <c r="R2019">
        <v>-7.9394588966687685E-4</v>
      </c>
      <c r="S2019">
        <v>-7.9394588966687685E-4</v>
      </c>
      <c r="T2019" t="s">
        <v>32</v>
      </c>
      <c r="U2019" t="s">
        <v>32</v>
      </c>
      <c r="V2019">
        <v>2362100457</v>
      </c>
      <c r="W2019" t="s">
        <v>1118</v>
      </c>
      <c r="X2019" t="s">
        <v>1119</v>
      </c>
      <c r="Y2019">
        <v>118000</v>
      </c>
      <c r="Z2019" t="s">
        <v>31</v>
      </c>
      <c r="AA2019">
        <v>3.3830002403090485E-4</v>
      </c>
      <c r="AB2019">
        <v>106.68</v>
      </c>
      <c r="AC2019" t="s">
        <v>150</v>
      </c>
      <c r="AD2019" t="s">
        <v>150</v>
      </c>
      <c r="AE2019" t="s">
        <v>1120</v>
      </c>
      <c r="AF2019">
        <v>1.2011179129769935E-2</v>
      </c>
      <c r="AG2019">
        <v>3.57</v>
      </c>
      <c r="AH2019" t="s">
        <v>237</v>
      </c>
      <c r="AI2019" t="s">
        <v>237</v>
      </c>
      <c r="AJ2019">
        <v>-3.1284578313990688E-3</v>
      </c>
      <c r="AK2019">
        <v>1.682560749366693E-2</v>
      </c>
      <c r="AL2019">
        <v>1.9954065325065998E-2</v>
      </c>
      <c r="AM2019" t="s">
        <v>1120</v>
      </c>
      <c r="AN2019" t="s">
        <v>144</v>
      </c>
      <c r="AO2019" t="s">
        <v>150</v>
      </c>
      <c r="AP2019" t="s">
        <v>31</v>
      </c>
      <c r="AQ2019">
        <v>2.0209538557363285E-4</v>
      </c>
    </row>
    <row r="2020" spans="1:43" x14ac:dyDescent="0.2">
      <c r="A2020">
        <v>2018</v>
      </c>
      <c r="B2020">
        <v>91</v>
      </c>
      <c r="C2020">
        <v>7</v>
      </c>
      <c r="D2020">
        <v>20000</v>
      </c>
      <c r="E2020" t="s">
        <v>398</v>
      </c>
      <c r="F2020" t="s">
        <v>53</v>
      </c>
      <c r="G2020" t="s">
        <v>1077</v>
      </c>
      <c r="H2020">
        <v>3.2100309494230261E-2</v>
      </c>
      <c r="I2020">
        <v>-4.3319840764509835E-5</v>
      </c>
      <c r="J2020">
        <v>7.46</v>
      </c>
      <c r="K2020">
        <v>7.4662156524472998</v>
      </c>
      <c r="L2020" s="1">
        <v>47939</v>
      </c>
      <c r="M2020" s="1">
        <v>43024</v>
      </c>
      <c r="N2020" s="1">
        <v>43021</v>
      </c>
      <c r="R2020">
        <v>6.3056678853169604E-3</v>
      </c>
      <c r="S2020">
        <v>6.3056678853169604E-3</v>
      </c>
      <c r="T2020" t="s">
        <v>32</v>
      </c>
      <c r="U2020" t="s">
        <v>32</v>
      </c>
      <c r="V2020">
        <v>604084931</v>
      </c>
      <c r="W2020" t="s">
        <v>399</v>
      </c>
      <c r="X2020" t="s">
        <v>1078</v>
      </c>
      <c r="Y2020">
        <v>20000</v>
      </c>
      <c r="Z2020" t="s">
        <v>31</v>
      </c>
      <c r="AA2020">
        <v>-5.9002127273848036E-3</v>
      </c>
      <c r="AB2020">
        <v>113.09</v>
      </c>
      <c r="AC2020" t="s">
        <v>55</v>
      </c>
      <c r="AD2020" t="s">
        <v>55</v>
      </c>
      <c r="AE2020" t="s">
        <v>35</v>
      </c>
      <c r="AF2020">
        <v>1.1111791297699347E-3</v>
      </c>
      <c r="AG2020">
        <v>2.48</v>
      </c>
      <c r="AH2020" t="s">
        <v>237</v>
      </c>
      <c r="AI2020" t="s">
        <v>237</v>
      </c>
      <c r="AJ2020">
        <v>-6.869984520653568E-3</v>
      </c>
      <c r="AK2020">
        <v>4.3029905488244317E-3</v>
      </c>
      <c r="AL2020">
        <v>1.1172975069478E-2</v>
      </c>
      <c r="AM2020" t="s">
        <v>35</v>
      </c>
      <c r="AN2020" t="s">
        <v>149</v>
      </c>
      <c r="AO2020" t="s">
        <v>55</v>
      </c>
      <c r="AP2020" t="s">
        <v>31</v>
      </c>
      <c r="AQ2020">
        <v>4.7813932934509855E-6</v>
      </c>
    </row>
    <row r="2021" spans="1:43" x14ac:dyDescent="0.2">
      <c r="A2021">
        <v>2019</v>
      </c>
      <c r="B2021">
        <v>91</v>
      </c>
      <c r="C2021">
        <v>7</v>
      </c>
      <c r="D2021">
        <v>76500</v>
      </c>
      <c r="E2021" t="s">
        <v>398</v>
      </c>
      <c r="F2021" t="s">
        <v>53</v>
      </c>
      <c r="G2021" t="s">
        <v>1079</v>
      </c>
      <c r="H2021">
        <v>0.18856422523972097</v>
      </c>
      <c r="I2021">
        <v>3.3312348120188243E-5</v>
      </c>
      <c r="J2021">
        <v>11.42</v>
      </c>
      <c r="K2021">
        <v>11.429825040557001</v>
      </c>
      <c r="L2021" s="1">
        <v>48533</v>
      </c>
      <c r="M2021" s="1">
        <v>43024</v>
      </c>
      <c r="N2021" s="1">
        <v>43021</v>
      </c>
      <c r="R2021">
        <v>6.3056678853169604E-3</v>
      </c>
      <c r="S2021">
        <v>6.3056678853169604E-3</v>
      </c>
      <c r="T2021" t="s">
        <v>32</v>
      </c>
      <c r="U2021" t="s">
        <v>32</v>
      </c>
      <c r="V2021">
        <v>2318039367</v>
      </c>
      <c r="W2021" t="s">
        <v>399</v>
      </c>
      <c r="X2021" t="s">
        <v>1078</v>
      </c>
      <c r="Y2021">
        <v>76500</v>
      </c>
      <c r="Z2021" t="s">
        <v>31</v>
      </c>
      <c r="AA2021">
        <v>4.5371805825942281E-3</v>
      </c>
      <c r="AB2021">
        <v>111.7</v>
      </c>
      <c r="AC2021" t="s">
        <v>55</v>
      </c>
      <c r="AD2021" t="s">
        <v>55</v>
      </c>
      <c r="AE2021" t="s">
        <v>35</v>
      </c>
      <c r="AF2021">
        <v>8.2111791297699369E-3</v>
      </c>
      <c r="AG2021">
        <v>3.18</v>
      </c>
      <c r="AH2021" t="s">
        <v>237</v>
      </c>
      <c r="AI2021" t="s">
        <v>237</v>
      </c>
      <c r="AJ2021">
        <v>5.2829214487742984E-3</v>
      </c>
      <c r="AK2021">
        <v>1.6511753523618299E-2</v>
      </c>
      <c r="AL2021">
        <v>1.1228832074844E-2</v>
      </c>
      <c r="AM2021" t="s">
        <v>35</v>
      </c>
      <c r="AN2021" t="s">
        <v>149</v>
      </c>
      <c r="AO2021" t="s">
        <v>55</v>
      </c>
      <c r="AP2021" t="s">
        <v>31</v>
      </c>
      <c r="AQ2021">
        <v>1.355809659290398E-4</v>
      </c>
    </row>
    <row r="2022" spans="1:43" x14ac:dyDescent="0.2">
      <c r="A2022">
        <v>2020</v>
      </c>
      <c r="B2022">
        <v>0</v>
      </c>
      <c r="C2022">
        <v>7</v>
      </c>
      <c r="D2022">
        <v>750000000</v>
      </c>
      <c r="E2022" t="s">
        <v>995</v>
      </c>
      <c r="F2022" t="s">
        <v>53</v>
      </c>
      <c r="G2022" t="s">
        <v>996</v>
      </c>
      <c r="H2022">
        <v>0</v>
      </c>
      <c r="I2022">
        <v>0</v>
      </c>
      <c r="J2022">
        <v>0</v>
      </c>
      <c r="L2022" s="1">
        <v>2</v>
      </c>
      <c r="M2022" s="1">
        <v>43024</v>
      </c>
      <c r="N2022" s="1"/>
      <c r="R2022">
        <v>0</v>
      </c>
      <c r="T2022" t="s">
        <v>39</v>
      </c>
      <c r="V2022">
        <v>755000250</v>
      </c>
      <c r="W2022" t="s">
        <v>997</v>
      </c>
      <c r="X2022" t="s">
        <v>998</v>
      </c>
      <c r="Y2022">
        <v>750000000</v>
      </c>
      <c r="Z2022" t="s">
        <v>31</v>
      </c>
      <c r="AA2022">
        <v>0</v>
      </c>
      <c r="AB2022">
        <v>1.006667</v>
      </c>
      <c r="AC2022" t="s">
        <v>54</v>
      </c>
      <c r="AE2022" t="s">
        <v>41</v>
      </c>
      <c r="AF2022">
        <v>0</v>
      </c>
      <c r="AH2022" t="s">
        <v>597</v>
      </c>
      <c r="AJ2022">
        <v>5.377983745981048E-3</v>
      </c>
      <c r="AK2022">
        <v>5.377983745981048E-3</v>
      </c>
      <c r="AL2022">
        <v>0</v>
      </c>
      <c r="AN2022" t="s">
        <v>154</v>
      </c>
      <c r="AQ2022">
        <v>0</v>
      </c>
    </row>
    <row r="2023" spans="1:43" x14ac:dyDescent="0.2">
      <c r="A2023">
        <v>2021</v>
      </c>
      <c r="B2023">
        <v>0</v>
      </c>
      <c r="C2023">
        <v>7</v>
      </c>
      <c r="D2023">
        <v>1000000000</v>
      </c>
      <c r="E2023" t="s">
        <v>999</v>
      </c>
      <c r="F2023" t="s">
        <v>53</v>
      </c>
      <c r="G2023" t="s">
        <v>1000</v>
      </c>
      <c r="H2023">
        <v>0</v>
      </c>
      <c r="I2023">
        <v>0</v>
      </c>
      <c r="J2023">
        <v>0</v>
      </c>
      <c r="L2023" s="1">
        <v>2</v>
      </c>
      <c r="M2023" s="1">
        <v>43024</v>
      </c>
      <c r="N2023" s="1"/>
      <c r="R2023">
        <v>0</v>
      </c>
      <c r="T2023" t="s">
        <v>39</v>
      </c>
      <c r="V2023">
        <v>1000600000</v>
      </c>
      <c r="W2023" t="s">
        <v>1001</v>
      </c>
      <c r="X2023" t="s">
        <v>1002</v>
      </c>
      <c r="Y2023">
        <v>1000000000</v>
      </c>
      <c r="Z2023" t="s">
        <v>31</v>
      </c>
      <c r="AA2023">
        <v>0</v>
      </c>
      <c r="AB2023">
        <v>1.0005999999999999</v>
      </c>
      <c r="AC2023" t="s">
        <v>1003</v>
      </c>
      <c r="AE2023" t="s">
        <v>41</v>
      </c>
      <c r="AF2023">
        <v>0</v>
      </c>
      <c r="AH2023" t="s">
        <v>597</v>
      </c>
      <c r="AJ2023">
        <v>7.1274288137369978E-3</v>
      </c>
      <c r="AK2023">
        <v>7.1274288137369978E-3</v>
      </c>
      <c r="AL2023">
        <v>0</v>
      </c>
      <c r="AN2023" t="s">
        <v>603</v>
      </c>
      <c r="AQ2023">
        <v>0</v>
      </c>
    </row>
    <row r="2024" spans="1:43" x14ac:dyDescent="0.2">
      <c r="A2024">
        <v>2022</v>
      </c>
      <c r="B2024">
        <v>66</v>
      </c>
      <c r="C2024">
        <v>7</v>
      </c>
      <c r="D2024">
        <v>2000000</v>
      </c>
      <c r="E2024" t="s">
        <v>1121</v>
      </c>
      <c r="F2024" t="s">
        <v>53</v>
      </c>
      <c r="G2024" t="s">
        <v>1125</v>
      </c>
      <c r="H2024">
        <v>3.6077956801218655E-2</v>
      </c>
      <c r="I2024">
        <v>3.7774692880978666E-4</v>
      </c>
      <c r="J2024">
        <v>3.64</v>
      </c>
      <c r="L2024" s="1">
        <v>44697</v>
      </c>
      <c r="M2024" s="1">
        <v>43024</v>
      </c>
      <c r="N2024" s="1"/>
      <c r="R2024">
        <v>3.8111881680094988E-2</v>
      </c>
      <c r="T2024" t="s">
        <v>30</v>
      </c>
      <c r="V2024">
        <v>1391451780</v>
      </c>
      <c r="W2024" t="s">
        <v>1123</v>
      </c>
      <c r="X2024" t="s">
        <v>1124</v>
      </c>
      <c r="Y2024">
        <v>2000000</v>
      </c>
      <c r="Z2024" t="s">
        <v>31</v>
      </c>
      <c r="AA2024">
        <v>5.1449571322523847E-2</v>
      </c>
      <c r="AB2024">
        <v>107.8968</v>
      </c>
      <c r="AC2024" t="s">
        <v>146</v>
      </c>
      <c r="AE2024" t="s">
        <v>165</v>
      </c>
      <c r="AF2024">
        <v>0</v>
      </c>
      <c r="AH2024" t="s">
        <v>237</v>
      </c>
      <c r="AJ2024">
        <v>9.911526593741388E-3</v>
      </c>
      <c r="AK2024">
        <v>9.911526593741388E-3</v>
      </c>
      <c r="AL2024">
        <v>0</v>
      </c>
      <c r="AN2024" t="s">
        <v>154</v>
      </c>
      <c r="AQ2024">
        <v>0</v>
      </c>
    </row>
    <row r="2025" spans="1:43" x14ac:dyDescent="0.2">
      <c r="A2025">
        <v>2023</v>
      </c>
      <c r="B2025">
        <v>66</v>
      </c>
      <c r="C2025">
        <v>7</v>
      </c>
      <c r="D2025">
        <v>800000</v>
      </c>
      <c r="E2025" t="s">
        <v>348</v>
      </c>
      <c r="F2025" t="s">
        <v>53</v>
      </c>
      <c r="G2025" t="s">
        <v>648</v>
      </c>
      <c r="H2025">
        <v>2.2503984524863078E-2</v>
      </c>
      <c r="I2025">
        <v>1.4438875345829466E-4</v>
      </c>
      <c r="J2025">
        <v>5.94</v>
      </c>
      <c r="L2025" s="1">
        <v>45595</v>
      </c>
      <c r="M2025" s="1">
        <v>43024</v>
      </c>
      <c r="N2025" s="1"/>
      <c r="R2025">
        <v>3.8111881680094988E-2</v>
      </c>
      <c r="T2025" t="s">
        <v>30</v>
      </c>
      <c r="V2025">
        <v>531863988</v>
      </c>
      <c r="W2025" t="s">
        <v>348</v>
      </c>
      <c r="X2025" t="s">
        <v>647</v>
      </c>
      <c r="Y2025">
        <v>800000</v>
      </c>
      <c r="Z2025" t="s">
        <v>31</v>
      </c>
      <c r="AA2025">
        <v>1.9665916259410707E-2</v>
      </c>
      <c r="AB2025">
        <v>105.0381</v>
      </c>
      <c r="AC2025" t="s">
        <v>142</v>
      </c>
      <c r="AE2025" t="s">
        <v>58</v>
      </c>
      <c r="AF2025">
        <v>0</v>
      </c>
      <c r="AH2025" t="s">
        <v>237</v>
      </c>
      <c r="AJ2025">
        <v>3.7885495833102825E-3</v>
      </c>
      <c r="AK2025">
        <v>3.7885495833102825E-3</v>
      </c>
      <c r="AL2025">
        <v>0</v>
      </c>
      <c r="AN2025" t="s">
        <v>146</v>
      </c>
      <c r="AQ2025">
        <v>0</v>
      </c>
    </row>
    <row r="2026" spans="1:43" x14ac:dyDescent="0.2">
      <c r="A2026">
        <v>2024</v>
      </c>
      <c r="B2026">
        <v>0</v>
      </c>
      <c r="C2026">
        <v>7</v>
      </c>
      <c r="D2026">
        <v>0</v>
      </c>
      <c r="E2026" t="s">
        <v>204</v>
      </c>
      <c r="F2026" t="s">
        <v>53</v>
      </c>
      <c r="G2026" t="s">
        <v>1739</v>
      </c>
      <c r="H2026">
        <v>0</v>
      </c>
      <c r="I2026">
        <v>0</v>
      </c>
      <c r="J2026">
        <v>0</v>
      </c>
      <c r="L2026" s="1">
        <v>43055</v>
      </c>
      <c r="M2026" s="1">
        <v>43024</v>
      </c>
      <c r="N2026" s="1"/>
      <c r="R2026">
        <v>0</v>
      </c>
      <c r="T2026" t="s">
        <v>39</v>
      </c>
      <c r="V2026">
        <v>437416000</v>
      </c>
      <c r="W2026" t="s">
        <v>200</v>
      </c>
      <c r="X2026" t="s">
        <v>201</v>
      </c>
      <c r="Y2026">
        <v>0</v>
      </c>
      <c r="Z2026" t="s">
        <v>47</v>
      </c>
      <c r="AA2026">
        <v>0</v>
      </c>
      <c r="AB2026">
        <v>0</v>
      </c>
      <c r="AC2026" t="s">
        <v>47</v>
      </c>
      <c r="AE2026" t="s">
        <v>108</v>
      </c>
      <c r="AF2026">
        <v>0</v>
      </c>
      <c r="AH2026" t="s">
        <v>202</v>
      </c>
      <c r="AJ2026">
        <v>3.1157819328298847E-3</v>
      </c>
      <c r="AK2026">
        <v>3.1157819328298847E-3</v>
      </c>
      <c r="AL2026">
        <v>0</v>
      </c>
      <c r="AN2026" t="s">
        <v>47</v>
      </c>
      <c r="AQ2026">
        <v>0</v>
      </c>
    </row>
    <row r="2027" spans="1:43" x14ac:dyDescent="0.2">
      <c r="A2027">
        <v>2025</v>
      </c>
      <c r="B2027">
        <v>66</v>
      </c>
      <c r="C2027">
        <v>7</v>
      </c>
      <c r="D2027">
        <v>0</v>
      </c>
      <c r="E2027" t="s">
        <v>204</v>
      </c>
      <c r="F2027" t="s">
        <v>53</v>
      </c>
      <c r="G2027" t="s">
        <v>1739</v>
      </c>
      <c r="H2027">
        <v>0</v>
      </c>
      <c r="I2027">
        <v>-1.1822571945274511E-4</v>
      </c>
      <c r="J2027">
        <v>0</v>
      </c>
      <c r="L2027" s="1">
        <v>43055</v>
      </c>
      <c r="M2027" s="1">
        <v>43024</v>
      </c>
      <c r="N2027" s="1"/>
      <c r="R2027">
        <v>3.8111881680094988E-2</v>
      </c>
      <c r="T2027" t="s">
        <v>30</v>
      </c>
      <c r="V2027">
        <v>-435491000</v>
      </c>
      <c r="W2027" t="s">
        <v>200</v>
      </c>
      <c r="X2027" t="s">
        <v>205</v>
      </c>
      <c r="Y2027">
        <v>0</v>
      </c>
      <c r="Z2027" t="s">
        <v>47</v>
      </c>
      <c r="AA2027">
        <v>-1.6102480579540626E-2</v>
      </c>
      <c r="AB2027">
        <v>0</v>
      </c>
      <c r="AC2027" t="s">
        <v>47</v>
      </c>
      <c r="AE2027" t="s">
        <v>108</v>
      </c>
      <c r="AF2027">
        <v>0</v>
      </c>
      <c r="AH2027" t="s">
        <v>202</v>
      </c>
      <c r="AJ2027">
        <v>-3.1020698596073743E-3</v>
      </c>
      <c r="AK2027">
        <v>-3.1020698596073743E-3</v>
      </c>
      <c r="AL2027">
        <v>0</v>
      </c>
      <c r="AN2027" t="s">
        <v>47</v>
      </c>
      <c r="AQ2027">
        <v>0</v>
      </c>
    </row>
    <row r="2028" spans="1:43" x14ac:dyDescent="0.2">
      <c r="A2028">
        <v>2026</v>
      </c>
      <c r="B2028">
        <v>0</v>
      </c>
      <c r="C2028">
        <v>7</v>
      </c>
      <c r="D2028">
        <v>0</v>
      </c>
      <c r="E2028" t="s">
        <v>204</v>
      </c>
      <c r="F2028" t="s">
        <v>53</v>
      </c>
      <c r="G2028" t="s">
        <v>1214</v>
      </c>
      <c r="H2028">
        <v>0</v>
      </c>
      <c r="I2028">
        <v>0</v>
      </c>
      <c r="J2028">
        <v>0</v>
      </c>
      <c r="L2028" s="1">
        <v>43084</v>
      </c>
      <c r="M2028" s="1">
        <v>43024</v>
      </c>
      <c r="N2028" s="1"/>
      <c r="R2028">
        <v>0</v>
      </c>
      <c r="T2028" t="s">
        <v>39</v>
      </c>
      <c r="V2028">
        <v>735844992</v>
      </c>
      <c r="W2028" t="s">
        <v>200</v>
      </c>
      <c r="X2028" t="s">
        <v>201</v>
      </c>
      <c r="Y2028">
        <v>0</v>
      </c>
      <c r="Z2028" t="s">
        <v>47</v>
      </c>
      <c r="AA2028">
        <v>0</v>
      </c>
      <c r="AB2028">
        <v>0</v>
      </c>
      <c r="AC2028" t="s">
        <v>47</v>
      </c>
      <c r="AE2028" t="s">
        <v>108</v>
      </c>
      <c r="AF2028">
        <v>0</v>
      </c>
      <c r="AH2028" t="s">
        <v>202</v>
      </c>
      <c r="AJ2028">
        <v>5.2415378756994506E-3</v>
      </c>
      <c r="AK2028">
        <v>5.2415378756994506E-3</v>
      </c>
      <c r="AL2028">
        <v>0</v>
      </c>
      <c r="AN2028" t="s">
        <v>47</v>
      </c>
      <c r="AQ2028">
        <v>0</v>
      </c>
    </row>
    <row r="2029" spans="1:43" x14ac:dyDescent="0.2">
      <c r="A2029">
        <v>2027</v>
      </c>
      <c r="B2029">
        <v>66</v>
      </c>
      <c r="C2029">
        <v>7</v>
      </c>
      <c r="D2029">
        <v>0</v>
      </c>
      <c r="E2029" t="s">
        <v>204</v>
      </c>
      <c r="F2029" t="s">
        <v>53</v>
      </c>
      <c r="G2029" t="s">
        <v>1214</v>
      </c>
      <c r="H2029">
        <v>0</v>
      </c>
      <c r="I2029">
        <v>-1.8578327342574235E-4</v>
      </c>
      <c r="J2029">
        <v>0</v>
      </c>
      <c r="L2029" s="1">
        <v>43084</v>
      </c>
      <c r="M2029" s="1">
        <v>43024</v>
      </c>
      <c r="N2029" s="1"/>
      <c r="R2029">
        <v>3.8111881680094988E-2</v>
      </c>
      <c r="T2029" t="s">
        <v>30</v>
      </c>
      <c r="V2029">
        <v>-684343000</v>
      </c>
      <c r="W2029" t="s">
        <v>200</v>
      </c>
      <c r="X2029" t="s">
        <v>205</v>
      </c>
      <c r="Y2029">
        <v>0</v>
      </c>
      <c r="Z2029" t="s">
        <v>47</v>
      </c>
      <c r="AA2029">
        <v>-2.5303898053563843E-2</v>
      </c>
      <c r="AB2029">
        <v>0</v>
      </c>
      <c r="AC2029" t="s">
        <v>47</v>
      </c>
      <c r="AE2029" t="s">
        <v>108</v>
      </c>
      <c r="AF2029">
        <v>0</v>
      </c>
      <c r="AH2029" t="s">
        <v>202</v>
      </c>
      <c r="AJ2029">
        <v>-4.8746812079544458E-3</v>
      </c>
      <c r="AK2029">
        <v>-4.8746812079544458E-3</v>
      </c>
      <c r="AL2029">
        <v>0</v>
      </c>
      <c r="AN2029" t="s">
        <v>47</v>
      </c>
      <c r="AQ2029">
        <v>0</v>
      </c>
    </row>
    <row r="2030" spans="1:43" x14ac:dyDescent="0.2">
      <c r="A2030">
        <v>2028</v>
      </c>
      <c r="B2030">
        <v>0</v>
      </c>
      <c r="C2030">
        <v>7</v>
      </c>
      <c r="D2030">
        <v>0</v>
      </c>
      <c r="E2030" t="s">
        <v>203</v>
      </c>
      <c r="F2030" t="s">
        <v>53</v>
      </c>
      <c r="G2030" t="s">
        <v>1215</v>
      </c>
      <c r="H2030">
        <v>0</v>
      </c>
      <c r="I2030">
        <v>0</v>
      </c>
      <c r="J2030">
        <v>0</v>
      </c>
      <c r="L2030" s="1">
        <v>43201</v>
      </c>
      <c r="M2030" s="1">
        <v>43024</v>
      </c>
      <c r="N2030" s="1"/>
      <c r="R2030">
        <v>0</v>
      </c>
      <c r="T2030" t="s">
        <v>39</v>
      </c>
      <c r="V2030">
        <v>1329700000</v>
      </c>
      <c r="W2030" t="s">
        <v>181</v>
      </c>
      <c r="X2030" t="s">
        <v>267</v>
      </c>
      <c r="Y2030">
        <v>0</v>
      </c>
      <c r="Z2030" t="s">
        <v>47</v>
      </c>
      <c r="AA2030">
        <v>0</v>
      </c>
      <c r="AB2030">
        <v>0</v>
      </c>
      <c r="AC2030" t="s">
        <v>47</v>
      </c>
      <c r="AE2030" t="s">
        <v>108</v>
      </c>
      <c r="AF2030">
        <v>0</v>
      </c>
      <c r="AH2030" t="s">
        <v>202</v>
      </c>
      <c r="AJ2030">
        <v>9.4716590981671848E-3</v>
      </c>
      <c r="AK2030">
        <v>9.4716590981671848E-3</v>
      </c>
      <c r="AL2030">
        <v>0</v>
      </c>
      <c r="AN2030" t="s">
        <v>47</v>
      </c>
      <c r="AQ2030">
        <v>0</v>
      </c>
    </row>
    <row r="2031" spans="1:43" x14ac:dyDescent="0.2">
      <c r="A2031">
        <v>2029</v>
      </c>
      <c r="B2031">
        <v>66</v>
      </c>
      <c r="C2031">
        <v>7</v>
      </c>
      <c r="D2031">
        <v>0</v>
      </c>
      <c r="E2031" t="s">
        <v>203</v>
      </c>
      <c r="F2031" t="s">
        <v>53</v>
      </c>
      <c r="G2031" t="s">
        <v>1215</v>
      </c>
      <c r="H2031">
        <v>0</v>
      </c>
      <c r="I2031">
        <v>-3.3778776986498603E-4</v>
      </c>
      <c r="J2031">
        <v>0</v>
      </c>
      <c r="L2031" s="1">
        <v>43201</v>
      </c>
      <c r="M2031" s="1">
        <v>43024</v>
      </c>
      <c r="N2031" s="1"/>
      <c r="R2031">
        <v>3.8111881680094988E-2</v>
      </c>
      <c r="T2031" t="s">
        <v>30</v>
      </c>
      <c r="V2031">
        <v>-1244260000</v>
      </c>
      <c r="W2031" t="s">
        <v>181</v>
      </c>
      <c r="X2031" t="s">
        <v>271</v>
      </c>
      <c r="Y2031">
        <v>0</v>
      </c>
      <c r="Z2031" t="s">
        <v>47</v>
      </c>
      <c r="AA2031">
        <v>-4.6007087370116072E-2</v>
      </c>
      <c r="AB2031">
        <v>0</v>
      </c>
      <c r="AC2031" t="s">
        <v>47</v>
      </c>
      <c r="AE2031" t="s">
        <v>108</v>
      </c>
      <c r="AF2031">
        <v>0</v>
      </c>
      <c r="AH2031" t="s">
        <v>202</v>
      </c>
      <c r="AJ2031">
        <v>-8.8630567417353548E-3</v>
      </c>
      <c r="AK2031">
        <v>-8.8630567417353548E-3</v>
      </c>
      <c r="AL2031">
        <v>0</v>
      </c>
      <c r="AN2031" t="s">
        <v>47</v>
      </c>
      <c r="AQ2031">
        <v>0</v>
      </c>
    </row>
    <row r="2032" spans="1:43" x14ac:dyDescent="0.2">
      <c r="A2032">
        <v>2030</v>
      </c>
      <c r="B2032">
        <v>0</v>
      </c>
      <c r="C2032">
        <v>7</v>
      </c>
      <c r="D2032">
        <v>0</v>
      </c>
      <c r="E2032" t="s">
        <v>203</v>
      </c>
      <c r="F2032" t="s">
        <v>53</v>
      </c>
      <c r="G2032" t="s">
        <v>1216</v>
      </c>
      <c r="H2032">
        <v>0</v>
      </c>
      <c r="I2032">
        <v>0</v>
      </c>
      <c r="J2032">
        <v>0</v>
      </c>
      <c r="L2032" s="1">
        <v>43217</v>
      </c>
      <c r="M2032" s="1">
        <v>43024</v>
      </c>
      <c r="N2032" s="1"/>
      <c r="R2032">
        <v>0</v>
      </c>
      <c r="T2032" t="s">
        <v>39</v>
      </c>
      <c r="V2032">
        <v>337300000</v>
      </c>
      <c r="W2032" t="s">
        <v>181</v>
      </c>
      <c r="X2032" t="s">
        <v>267</v>
      </c>
      <c r="Y2032">
        <v>0</v>
      </c>
      <c r="Z2032" t="s">
        <v>47</v>
      </c>
      <c r="AA2032">
        <v>0</v>
      </c>
      <c r="AB2032">
        <v>0</v>
      </c>
      <c r="AC2032" t="s">
        <v>47</v>
      </c>
      <c r="AE2032" t="s">
        <v>108</v>
      </c>
      <c r="AF2032">
        <v>0</v>
      </c>
      <c r="AH2032" t="s">
        <v>202</v>
      </c>
      <c r="AJ2032">
        <v>2.4026401547806208E-3</v>
      </c>
      <c r="AK2032">
        <v>2.4026401547806208E-3</v>
      </c>
      <c r="AL2032">
        <v>0</v>
      </c>
      <c r="AN2032" t="s">
        <v>47</v>
      </c>
      <c r="AQ2032">
        <v>0</v>
      </c>
    </row>
    <row r="2033" spans="1:43" x14ac:dyDescent="0.2">
      <c r="A2033">
        <v>2031</v>
      </c>
      <c r="B2033">
        <v>0</v>
      </c>
      <c r="C2033">
        <v>7</v>
      </c>
      <c r="D2033">
        <v>0</v>
      </c>
      <c r="E2033" t="s">
        <v>203</v>
      </c>
      <c r="F2033" t="s">
        <v>53</v>
      </c>
      <c r="G2033" t="s">
        <v>1216</v>
      </c>
      <c r="H2033">
        <v>0</v>
      </c>
      <c r="I2033">
        <v>0</v>
      </c>
      <c r="J2033">
        <v>0</v>
      </c>
      <c r="L2033" s="1">
        <v>43217</v>
      </c>
      <c r="M2033" s="1">
        <v>43024</v>
      </c>
      <c r="N2033" s="1"/>
      <c r="R2033">
        <v>0</v>
      </c>
      <c r="T2033" t="s">
        <v>39</v>
      </c>
      <c r="V2033">
        <v>678680000</v>
      </c>
      <c r="W2033" t="s">
        <v>181</v>
      </c>
      <c r="X2033" t="s">
        <v>267</v>
      </c>
      <c r="Y2033">
        <v>0</v>
      </c>
      <c r="Z2033" t="s">
        <v>47</v>
      </c>
      <c r="AA2033">
        <v>0</v>
      </c>
      <c r="AB2033">
        <v>0</v>
      </c>
      <c r="AC2033" t="s">
        <v>47</v>
      </c>
      <c r="AE2033" t="s">
        <v>108</v>
      </c>
      <c r="AF2033">
        <v>0</v>
      </c>
      <c r="AH2033" t="s">
        <v>202</v>
      </c>
      <c r="AJ2033">
        <v>4.8343427816380426E-3</v>
      </c>
      <c r="AK2033">
        <v>4.8343427816380426E-3</v>
      </c>
      <c r="AL2033">
        <v>0</v>
      </c>
      <c r="AN2033" t="s">
        <v>47</v>
      </c>
      <c r="AQ2033">
        <v>0</v>
      </c>
    </row>
    <row r="2034" spans="1:43" x14ac:dyDescent="0.2">
      <c r="A2034">
        <v>2032</v>
      </c>
      <c r="B2034">
        <v>66</v>
      </c>
      <c r="C2034">
        <v>7</v>
      </c>
      <c r="D2034">
        <v>0</v>
      </c>
      <c r="E2034" t="s">
        <v>203</v>
      </c>
      <c r="F2034" t="s">
        <v>53</v>
      </c>
      <c r="G2034" t="s">
        <v>1216</v>
      </c>
      <c r="H2034">
        <v>0</v>
      </c>
      <c r="I2034">
        <v>-8.4446942466246509E-5</v>
      </c>
      <c r="J2034">
        <v>0</v>
      </c>
      <c r="L2034" s="1">
        <v>43217</v>
      </c>
      <c r="M2034" s="1">
        <v>43024</v>
      </c>
      <c r="N2034" s="1"/>
      <c r="R2034">
        <v>3.8111881680094988E-2</v>
      </c>
      <c r="T2034" t="s">
        <v>30</v>
      </c>
      <c r="V2034">
        <v>-311065000</v>
      </c>
      <c r="W2034" t="s">
        <v>181</v>
      </c>
      <c r="X2034" t="s">
        <v>271</v>
      </c>
      <c r="Y2034">
        <v>0</v>
      </c>
      <c r="Z2034" t="s">
        <v>47</v>
      </c>
      <c r="AA2034">
        <v>-1.1501771842529018E-2</v>
      </c>
      <c r="AB2034">
        <v>0</v>
      </c>
      <c r="AC2034" t="s">
        <v>47</v>
      </c>
      <c r="AE2034" t="s">
        <v>108</v>
      </c>
      <c r="AF2034">
        <v>0</v>
      </c>
      <c r="AH2034" t="s">
        <v>202</v>
      </c>
      <c r="AJ2034">
        <v>-2.2157641854338387E-3</v>
      </c>
      <c r="AK2034">
        <v>-2.2157641854338387E-3</v>
      </c>
      <c r="AL2034">
        <v>0</v>
      </c>
      <c r="AN2034" t="s">
        <v>47</v>
      </c>
      <c r="AQ2034">
        <v>0</v>
      </c>
    </row>
    <row r="2035" spans="1:43" x14ac:dyDescent="0.2">
      <c r="A2035">
        <v>2033</v>
      </c>
      <c r="B2035">
        <v>66</v>
      </c>
      <c r="C2035">
        <v>7</v>
      </c>
      <c r="D2035">
        <v>0</v>
      </c>
      <c r="E2035" t="s">
        <v>203</v>
      </c>
      <c r="F2035" t="s">
        <v>53</v>
      </c>
      <c r="G2035" t="s">
        <v>1216</v>
      </c>
      <c r="H2035">
        <v>0</v>
      </c>
      <c r="I2035">
        <v>-1.6889388493249302E-4</v>
      </c>
      <c r="J2035">
        <v>0</v>
      </c>
      <c r="L2035" s="1">
        <v>43217</v>
      </c>
      <c r="M2035" s="1">
        <v>43024</v>
      </c>
      <c r="N2035" s="1"/>
      <c r="R2035">
        <v>3.8111881680094988E-2</v>
      </c>
      <c r="T2035" t="s">
        <v>30</v>
      </c>
      <c r="V2035">
        <v>-622130000</v>
      </c>
      <c r="W2035" t="s">
        <v>181</v>
      </c>
      <c r="X2035" t="s">
        <v>271</v>
      </c>
      <c r="Y2035">
        <v>0</v>
      </c>
      <c r="Z2035" t="s">
        <v>47</v>
      </c>
      <c r="AA2035">
        <v>-2.3003543685058036E-2</v>
      </c>
      <c r="AB2035">
        <v>0</v>
      </c>
      <c r="AC2035" t="s">
        <v>47</v>
      </c>
      <c r="AE2035" t="s">
        <v>108</v>
      </c>
      <c r="AF2035">
        <v>0</v>
      </c>
      <c r="AH2035" t="s">
        <v>202</v>
      </c>
      <c r="AJ2035">
        <v>-4.4315283708676774E-3</v>
      </c>
      <c r="AK2035">
        <v>-4.4315283708676774E-3</v>
      </c>
      <c r="AL2035">
        <v>0</v>
      </c>
      <c r="AN2035" t="s">
        <v>47</v>
      </c>
      <c r="AQ2035">
        <v>0</v>
      </c>
    </row>
    <row r="2036" spans="1:43" x14ac:dyDescent="0.2">
      <c r="A2036">
        <v>2034</v>
      </c>
      <c r="B2036">
        <v>0</v>
      </c>
      <c r="C2036">
        <v>7</v>
      </c>
      <c r="D2036">
        <v>0</v>
      </c>
      <c r="E2036" t="s">
        <v>204</v>
      </c>
      <c r="F2036" t="s">
        <v>53</v>
      </c>
      <c r="G2036" t="s">
        <v>1217</v>
      </c>
      <c r="H2036">
        <v>0</v>
      </c>
      <c r="I2036">
        <v>0</v>
      </c>
      <c r="J2036">
        <v>0</v>
      </c>
      <c r="L2036" s="1">
        <v>43264</v>
      </c>
      <c r="M2036" s="1">
        <v>43024</v>
      </c>
      <c r="N2036" s="1"/>
      <c r="R2036">
        <v>0</v>
      </c>
      <c r="T2036" t="s">
        <v>39</v>
      </c>
      <c r="V2036">
        <v>1208249984</v>
      </c>
      <c r="W2036" t="s">
        <v>200</v>
      </c>
      <c r="X2036" t="s">
        <v>201</v>
      </c>
      <c r="Y2036">
        <v>0</v>
      </c>
      <c r="Z2036" t="s">
        <v>47</v>
      </c>
      <c r="AA2036">
        <v>0</v>
      </c>
      <c r="AB2036">
        <v>0</v>
      </c>
      <c r="AC2036" t="s">
        <v>47</v>
      </c>
      <c r="AE2036" t="s">
        <v>108</v>
      </c>
      <c r="AF2036">
        <v>0</v>
      </c>
      <c r="AH2036" t="s">
        <v>202</v>
      </c>
      <c r="AJ2036">
        <v>8.6065518190674255E-3</v>
      </c>
      <c r="AK2036">
        <v>8.6065518190674255E-3</v>
      </c>
      <c r="AL2036">
        <v>0</v>
      </c>
      <c r="AN2036" t="s">
        <v>47</v>
      </c>
      <c r="AQ2036">
        <v>0</v>
      </c>
    </row>
    <row r="2037" spans="1:43" x14ac:dyDescent="0.2">
      <c r="A2037">
        <v>2035</v>
      </c>
      <c r="B2037">
        <v>66</v>
      </c>
      <c r="C2037">
        <v>7</v>
      </c>
      <c r="D2037">
        <v>0</v>
      </c>
      <c r="E2037" t="s">
        <v>204</v>
      </c>
      <c r="F2037" t="s">
        <v>53</v>
      </c>
      <c r="G2037" t="s">
        <v>1217</v>
      </c>
      <c r="H2037">
        <v>0</v>
      </c>
      <c r="I2037">
        <v>-3.0400899287848747E-4</v>
      </c>
      <c r="J2037">
        <v>0</v>
      </c>
      <c r="L2037" s="1">
        <v>43264</v>
      </c>
      <c r="M2037" s="1">
        <v>43024</v>
      </c>
      <c r="N2037" s="1"/>
      <c r="R2037">
        <v>3.8111881680094988E-2</v>
      </c>
      <c r="T2037" t="s">
        <v>30</v>
      </c>
      <c r="V2037">
        <v>-1119834000</v>
      </c>
      <c r="W2037" t="s">
        <v>200</v>
      </c>
      <c r="X2037" t="s">
        <v>205</v>
      </c>
      <c r="Y2037">
        <v>0</v>
      </c>
      <c r="Z2037" t="s">
        <v>47</v>
      </c>
      <c r="AA2037">
        <v>-4.1406378633104472E-2</v>
      </c>
      <c r="AB2037">
        <v>0</v>
      </c>
      <c r="AC2037" t="s">
        <v>47</v>
      </c>
      <c r="AE2037" t="s">
        <v>108</v>
      </c>
      <c r="AF2037">
        <v>0</v>
      </c>
      <c r="AH2037" t="s">
        <v>202</v>
      </c>
      <c r="AJ2037">
        <v>-7.9767510675618197E-3</v>
      </c>
      <c r="AK2037">
        <v>-7.9767510675618197E-3</v>
      </c>
      <c r="AL2037">
        <v>0</v>
      </c>
      <c r="AN2037" t="s">
        <v>47</v>
      </c>
      <c r="AQ2037">
        <v>0</v>
      </c>
    </row>
    <row r="2038" spans="1:43" x14ac:dyDescent="0.2">
      <c r="A2038">
        <v>2036</v>
      </c>
      <c r="B2038">
        <v>0</v>
      </c>
      <c r="C2038">
        <v>7</v>
      </c>
      <c r="D2038">
        <v>0</v>
      </c>
      <c r="E2038" t="s">
        <v>204</v>
      </c>
      <c r="F2038" t="s">
        <v>53</v>
      </c>
      <c r="G2038" t="s">
        <v>1218</v>
      </c>
      <c r="H2038">
        <v>0</v>
      </c>
      <c r="I2038">
        <v>0</v>
      </c>
      <c r="J2038">
        <v>0</v>
      </c>
      <c r="L2038" s="1">
        <v>43280</v>
      </c>
      <c r="M2038" s="1">
        <v>43024</v>
      </c>
      <c r="N2038" s="1"/>
      <c r="R2038">
        <v>0</v>
      </c>
      <c r="T2038" t="s">
        <v>39</v>
      </c>
      <c r="V2038">
        <v>671699968</v>
      </c>
      <c r="W2038" t="s">
        <v>200</v>
      </c>
      <c r="X2038" t="s">
        <v>201</v>
      </c>
      <c r="Y2038">
        <v>0</v>
      </c>
      <c r="Z2038" t="s">
        <v>47</v>
      </c>
      <c r="AA2038">
        <v>0</v>
      </c>
      <c r="AB2038">
        <v>0</v>
      </c>
      <c r="AC2038" t="s">
        <v>47</v>
      </c>
      <c r="AE2038" t="s">
        <v>108</v>
      </c>
      <c r="AF2038">
        <v>0</v>
      </c>
      <c r="AH2038" t="s">
        <v>202</v>
      </c>
      <c r="AJ2038">
        <v>4.7846229323500094E-3</v>
      </c>
      <c r="AK2038">
        <v>4.7846229323500094E-3</v>
      </c>
      <c r="AL2038">
        <v>0</v>
      </c>
      <c r="AN2038" t="s">
        <v>47</v>
      </c>
      <c r="AQ2038">
        <v>0</v>
      </c>
    </row>
    <row r="2039" spans="1:43" x14ac:dyDescent="0.2">
      <c r="A2039">
        <v>2037</v>
      </c>
      <c r="B2039">
        <v>66</v>
      </c>
      <c r="C2039">
        <v>7</v>
      </c>
      <c r="D2039">
        <v>0</v>
      </c>
      <c r="E2039" t="s">
        <v>204</v>
      </c>
      <c r="F2039" t="s">
        <v>53</v>
      </c>
      <c r="G2039" t="s">
        <v>1218</v>
      </c>
      <c r="H2039">
        <v>0</v>
      </c>
      <c r="I2039">
        <v>-1.6889388493249302E-4</v>
      </c>
      <c r="J2039">
        <v>0</v>
      </c>
      <c r="L2039" s="1">
        <v>43280</v>
      </c>
      <c r="M2039" s="1">
        <v>43024</v>
      </c>
      <c r="N2039" s="1"/>
      <c r="R2039">
        <v>3.8111881680094988E-2</v>
      </c>
      <c r="T2039" t="s">
        <v>30</v>
      </c>
      <c r="V2039">
        <v>-622130000</v>
      </c>
      <c r="W2039" t="s">
        <v>200</v>
      </c>
      <c r="X2039" t="s">
        <v>205</v>
      </c>
      <c r="Y2039">
        <v>0</v>
      </c>
      <c r="Z2039" t="s">
        <v>47</v>
      </c>
      <c r="AA2039">
        <v>-2.3003543685058036E-2</v>
      </c>
      <c r="AB2039">
        <v>0</v>
      </c>
      <c r="AC2039" t="s">
        <v>47</v>
      </c>
      <c r="AE2039" t="s">
        <v>108</v>
      </c>
      <c r="AF2039">
        <v>0</v>
      </c>
      <c r="AH2039" t="s">
        <v>202</v>
      </c>
      <c r="AJ2039">
        <v>-4.4315283708676774E-3</v>
      </c>
      <c r="AK2039">
        <v>-4.4315283708676774E-3</v>
      </c>
      <c r="AL2039">
        <v>0</v>
      </c>
      <c r="AN2039" t="s">
        <v>47</v>
      </c>
      <c r="AQ2039">
        <v>0</v>
      </c>
    </row>
    <row r="2040" spans="1:43" x14ac:dyDescent="0.2">
      <c r="A2040">
        <v>2038</v>
      </c>
      <c r="B2040">
        <v>0</v>
      </c>
      <c r="C2040">
        <v>7</v>
      </c>
      <c r="D2040">
        <v>0</v>
      </c>
      <c r="E2040" t="s">
        <v>204</v>
      </c>
      <c r="F2040" t="s">
        <v>53</v>
      </c>
      <c r="G2040" t="s">
        <v>1219</v>
      </c>
      <c r="H2040">
        <v>0</v>
      </c>
      <c r="I2040">
        <v>0</v>
      </c>
      <c r="J2040">
        <v>0</v>
      </c>
      <c r="L2040" s="1">
        <v>43322</v>
      </c>
      <c r="M2040" s="1">
        <v>43024</v>
      </c>
      <c r="N2040" s="1"/>
      <c r="R2040">
        <v>0</v>
      </c>
      <c r="T2040" t="s">
        <v>39</v>
      </c>
      <c r="V2040">
        <v>549948032</v>
      </c>
      <c r="W2040" t="s">
        <v>200</v>
      </c>
      <c r="X2040" t="s">
        <v>201</v>
      </c>
      <c r="Y2040">
        <v>0</v>
      </c>
      <c r="Z2040" t="s">
        <v>47</v>
      </c>
      <c r="AA2040">
        <v>0</v>
      </c>
      <c r="AB2040">
        <v>0</v>
      </c>
      <c r="AC2040" t="s">
        <v>47</v>
      </c>
      <c r="AE2040" t="s">
        <v>108</v>
      </c>
      <c r="AF2040">
        <v>0</v>
      </c>
      <c r="AH2040" t="s">
        <v>202</v>
      </c>
      <c r="AJ2040">
        <v>3.917365030316566E-3</v>
      </c>
      <c r="AK2040">
        <v>3.917365030316566E-3</v>
      </c>
      <c r="AL2040">
        <v>0</v>
      </c>
      <c r="AN2040" t="s">
        <v>47</v>
      </c>
      <c r="AQ2040">
        <v>0</v>
      </c>
    </row>
    <row r="2041" spans="1:43" x14ac:dyDescent="0.2">
      <c r="A2041">
        <v>2039</v>
      </c>
      <c r="B2041">
        <v>66</v>
      </c>
      <c r="C2041">
        <v>7</v>
      </c>
      <c r="D2041">
        <v>0</v>
      </c>
      <c r="E2041" t="s">
        <v>204</v>
      </c>
      <c r="F2041" t="s">
        <v>53</v>
      </c>
      <c r="G2041" t="s">
        <v>1219</v>
      </c>
      <c r="H2041">
        <v>0</v>
      </c>
      <c r="I2041">
        <v>-1.4187086334329415E-4</v>
      </c>
      <c r="J2041">
        <v>0</v>
      </c>
      <c r="L2041" s="1">
        <v>43322</v>
      </c>
      <c r="M2041" s="1">
        <v>43024</v>
      </c>
      <c r="N2041" s="1"/>
      <c r="R2041">
        <v>3.8111881680094988E-2</v>
      </c>
      <c r="T2041" t="s">
        <v>30</v>
      </c>
      <c r="V2041">
        <v>-522589200</v>
      </c>
      <c r="W2041" t="s">
        <v>200</v>
      </c>
      <c r="X2041" t="s">
        <v>205</v>
      </c>
      <c r="Y2041">
        <v>0</v>
      </c>
      <c r="Z2041" t="s">
        <v>47</v>
      </c>
      <c r="AA2041">
        <v>-1.9322976695448753E-2</v>
      </c>
      <c r="AB2041">
        <v>0</v>
      </c>
      <c r="AC2041" t="s">
        <v>47</v>
      </c>
      <c r="AE2041" t="s">
        <v>108</v>
      </c>
      <c r="AF2041">
        <v>0</v>
      </c>
      <c r="AH2041" t="s">
        <v>202</v>
      </c>
      <c r="AJ2041">
        <v>-3.7224838315288492E-3</v>
      </c>
      <c r="AK2041">
        <v>-3.7224838315288492E-3</v>
      </c>
      <c r="AL2041">
        <v>0</v>
      </c>
      <c r="AN2041" t="s">
        <v>47</v>
      </c>
      <c r="AQ2041">
        <v>0</v>
      </c>
    </row>
    <row r="2042" spans="1:43" x14ac:dyDescent="0.2">
      <c r="A2042">
        <v>2040</v>
      </c>
      <c r="B2042">
        <v>0</v>
      </c>
      <c r="C2042">
        <v>7</v>
      </c>
      <c r="D2042">
        <v>0</v>
      </c>
      <c r="E2042" t="s">
        <v>204</v>
      </c>
      <c r="F2042" t="s">
        <v>53</v>
      </c>
      <c r="G2042" t="s">
        <v>1220</v>
      </c>
      <c r="H2042">
        <v>0</v>
      </c>
      <c r="I2042">
        <v>0</v>
      </c>
      <c r="J2042">
        <v>0</v>
      </c>
      <c r="L2042" s="1">
        <v>43326</v>
      </c>
      <c r="M2042" s="1">
        <v>43024</v>
      </c>
      <c r="N2042" s="1"/>
      <c r="R2042">
        <v>0</v>
      </c>
      <c r="T2042" t="s">
        <v>39</v>
      </c>
      <c r="V2042">
        <v>346657100</v>
      </c>
      <c r="W2042" t="s">
        <v>200</v>
      </c>
      <c r="X2042" t="s">
        <v>201</v>
      </c>
      <c r="Y2042">
        <v>0</v>
      </c>
      <c r="Z2042" t="s">
        <v>47</v>
      </c>
      <c r="AA2042">
        <v>0</v>
      </c>
      <c r="AB2042">
        <v>0</v>
      </c>
      <c r="AC2042" t="s">
        <v>47</v>
      </c>
      <c r="AE2042" t="s">
        <v>108</v>
      </c>
      <c r="AF2042">
        <v>0</v>
      </c>
      <c r="AH2042" t="s">
        <v>202</v>
      </c>
      <c r="AJ2042">
        <v>2.469292227689894E-3</v>
      </c>
      <c r="AK2042">
        <v>2.469292227689894E-3</v>
      </c>
      <c r="AL2042">
        <v>0</v>
      </c>
      <c r="AN2042" t="s">
        <v>47</v>
      </c>
      <c r="AQ2042">
        <v>0</v>
      </c>
    </row>
    <row r="2043" spans="1:43" x14ac:dyDescent="0.2">
      <c r="A2043">
        <v>2041</v>
      </c>
      <c r="B2043">
        <v>66</v>
      </c>
      <c r="C2043">
        <v>7</v>
      </c>
      <c r="D2043">
        <v>0</v>
      </c>
      <c r="E2043" t="s">
        <v>204</v>
      </c>
      <c r="F2043" t="s">
        <v>53</v>
      </c>
      <c r="G2043" t="s">
        <v>1220</v>
      </c>
      <c r="H2043">
        <v>0</v>
      </c>
      <c r="I2043">
        <v>-8.9513759014221315E-5</v>
      </c>
      <c r="J2043">
        <v>0</v>
      </c>
      <c r="L2043" s="1">
        <v>43326</v>
      </c>
      <c r="M2043" s="1">
        <v>43024</v>
      </c>
      <c r="N2043" s="1"/>
      <c r="R2043">
        <v>3.8111881680094988E-2</v>
      </c>
      <c r="T2043" t="s">
        <v>30</v>
      </c>
      <c r="V2043">
        <v>-329728900</v>
      </c>
      <c r="W2043" t="s">
        <v>200</v>
      </c>
      <c r="X2043" t="s">
        <v>205</v>
      </c>
      <c r="Y2043">
        <v>0</v>
      </c>
      <c r="Z2043" t="s">
        <v>47</v>
      </c>
      <c r="AA2043">
        <v>-1.2191878153080761E-2</v>
      </c>
      <c r="AB2043">
        <v>0</v>
      </c>
      <c r="AC2043" t="s">
        <v>47</v>
      </c>
      <c r="AE2043" t="s">
        <v>108</v>
      </c>
      <c r="AF2043">
        <v>0</v>
      </c>
      <c r="AH2043" t="s">
        <v>202</v>
      </c>
      <c r="AJ2043">
        <v>-2.3487100365598692E-3</v>
      </c>
      <c r="AK2043">
        <v>-2.3487100365598692E-3</v>
      </c>
      <c r="AL2043">
        <v>0</v>
      </c>
      <c r="AN2043" t="s">
        <v>47</v>
      </c>
      <c r="AQ2043">
        <v>0</v>
      </c>
    </row>
    <row r="2044" spans="1:43" x14ac:dyDescent="0.2">
      <c r="A2044">
        <v>2042</v>
      </c>
      <c r="B2044">
        <v>0</v>
      </c>
      <c r="C2044">
        <v>7</v>
      </c>
      <c r="D2044">
        <v>0</v>
      </c>
      <c r="E2044" t="s">
        <v>204</v>
      </c>
      <c r="F2044" t="s">
        <v>53</v>
      </c>
      <c r="G2044" t="s">
        <v>1221</v>
      </c>
      <c r="H2044">
        <v>0</v>
      </c>
      <c r="I2044">
        <v>0</v>
      </c>
      <c r="J2044">
        <v>0</v>
      </c>
      <c r="L2044" s="1">
        <v>43201</v>
      </c>
      <c r="M2044" s="1">
        <v>43024</v>
      </c>
      <c r="N2044" s="1"/>
      <c r="R2044">
        <v>0</v>
      </c>
      <c r="T2044" t="s">
        <v>39</v>
      </c>
      <c r="V2044">
        <v>-649430016</v>
      </c>
      <c r="W2044" t="s">
        <v>200</v>
      </c>
      <c r="X2044" t="s">
        <v>205</v>
      </c>
      <c r="Y2044">
        <v>0</v>
      </c>
      <c r="Z2044" t="s">
        <v>47</v>
      </c>
      <c r="AA2044">
        <v>0</v>
      </c>
      <c r="AB2044">
        <v>0</v>
      </c>
      <c r="AC2044" t="s">
        <v>47</v>
      </c>
      <c r="AE2044" t="s">
        <v>108</v>
      </c>
      <c r="AF2044">
        <v>0</v>
      </c>
      <c r="AH2044" t="s">
        <v>202</v>
      </c>
      <c r="AJ2044">
        <v>-4.6259906141755741E-3</v>
      </c>
      <c r="AK2044">
        <v>-4.6259906141755741E-3</v>
      </c>
      <c r="AL2044">
        <v>0</v>
      </c>
      <c r="AN2044" t="s">
        <v>47</v>
      </c>
      <c r="AQ2044">
        <v>0</v>
      </c>
    </row>
    <row r="2045" spans="1:43" x14ac:dyDescent="0.2">
      <c r="A2045">
        <v>2043</v>
      </c>
      <c r="B2045">
        <v>66</v>
      </c>
      <c r="C2045">
        <v>7</v>
      </c>
      <c r="D2045">
        <v>0</v>
      </c>
      <c r="E2045" t="s">
        <v>204</v>
      </c>
      <c r="F2045" t="s">
        <v>53</v>
      </c>
      <c r="G2045" t="s">
        <v>1221</v>
      </c>
      <c r="H2045">
        <v>0</v>
      </c>
      <c r="I2045">
        <v>1.6889388493249302E-4</v>
      </c>
      <c r="J2045">
        <v>0</v>
      </c>
      <c r="L2045" s="1">
        <v>43201</v>
      </c>
      <c r="M2045" s="1">
        <v>43024</v>
      </c>
      <c r="N2045" s="1"/>
      <c r="R2045">
        <v>3.8111881680094988E-2</v>
      </c>
      <c r="T2045" t="s">
        <v>30</v>
      </c>
      <c r="V2045">
        <v>622130000</v>
      </c>
      <c r="W2045" t="s">
        <v>200</v>
      </c>
      <c r="X2045" t="s">
        <v>201</v>
      </c>
      <c r="Y2045">
        <v>0</v>
      </c>
      <c r="Z2045" t="s">
        <v>47</v>
      </c>
      <c r="AA2045">
        <v>2.3003543685058036E-2</v>
      </c>
      <c r="AB2045">
        <v>0</v>
      </c>
      <c r="AC2045" t="s">
        <v>47</v>
      </c>
      <c r="AE2045" t="s">
        <v>108</v>
      </c>
      <c r="AF2045">
        <v>0</v>
      </c>
      <c r="AH2045" t="s">
        <v>202</v>
      </c>
      <c r="AJ2045">
        <v>4.4315283708676774E-3</v>
      </c>
      <c r="AK2045">
        <v>4.4315283708676774E-3</v>
      </c>
      <c r="AL2045">
        <v>0</v>
      </c>
      <c r="AN2045" t="s">
        <v>47</v>
      </c>
      <c r="AQ2045">
        <v>0</v>
      </c>
    </row>
    <row r="2046" spans="1:43" x14ac:dyDescent="0.2">
      <c r="A2046">
        <v>2044</v>
      </c>
      <c r="B2046">
        <v>0</v>
      </c>
      <c r="C2046">
        <v>7</v>
      </c>
      <c r="D2046">
        <v>0</v>
      </c>
      <c r="E2046" t="s">
        <v>204</v>
      </c>
      <c r="F2046" t="s">
        <v>53</v>
      </c>
      <c r="G2046" t="s">
        <v>1222</v>
      </c>
      <c r="H2046">
        <v>0</v>
      </c>
      <c r="I2046">
        <v>0</v>
      </c>
      <c r="J2046">
        <v>0</v>
      </c>
      <c r="L2046" s="1">
        <v>43217</v>
      </c>
      <c r="M2046" s="1">
        <v>43024</v>
      </c>
      <c r="N2046" s="1"/>
      <c r="R2046">
        <v>0</v>
      </c>
      <c r="T2046" t="s">
        <v>39</v>
      </c>
      <c r="V2046">
        <v>-943875008</v>
      </c>
      <c r="W2046" t="s">
        <v>200</v>
      </c>
      <c r="X2046" t="s">
        <v>205</v>
      </c>
      <c r="Y2046">
        <v>0</v>
      </c>
      <c r="Z2046" t="s">
        <v>47</v>
      </c>
      <c r="AA2046">
        <v>0</v>
      </c>
      <c r="AB2046">
        <v>0</v>
      </c>
      <c r="AC2046" t="s">
        <v>47</v>
      </c>
      <c r="AE2046" t="s">
        <v>108</v>
      </c>
      <c r="AF2046">
        <v>0</v>
      </c>
      <c r="AH2046" t="s">
        <v>202</v>
      </c>
      <c r="AJ2046">
        <v>-6.7233679078407349E-3</v>
      </c>
      <c r="AK2046">
        <v>-6.7233679078407349E-3</v>
      </c>
      <c r="AL2046">
        <v>0</v>
      </c>
      <c r="AN2046" t="s">
        <v>47</v>
      </c>
      <c r="AQ2046">
        <v>0</v>
      </c>
    </row>
    <row r="2047" spans="1:43" x14ac:dyDescent="0.2">
      <c r="A2047">
        <v>2045</v>
      </c>
      <c r="B2047">
        <v>66</v>
      </c>
      <c r="C2047">
        <v>7</v>
      </c>
      <c r="D2047">
        <v>0</v>
      </c>
      <c r="E2047" t="s">
        <v>204</v>
      </c>
      <c r="F2047" t="s">
        <v>53</v>
      </c>
      <c r="G2047" t="s">
        <v>1222</v>
      </c>
      <c r="H2047">
        <v>0</v>
      </c>
      <c r="I2047">
        <v>2.5334082739873954E-4</v>
      </c>
      <c r="J2047">
        <v>0</v>
      </c>
      <c r="L2047" s="1">
        <v>43217</v>
      </c>
      <c r="M2047" s="1">
        <v>43024</v>
      </c>
      <c r="N2047" s="1"/>
      <c r="R2047">
        <v>3.8111881680094988E-2</v>
      </c>
      <c r="T2047" t="s">
        <v>30</v>
      </c>
      <c r="V2047">
        <v>933195000</v>
      </c>
      <c r="W2047" t="s">
        <v>200</v>
      </c>
      <c r="X2047" t="s">
        <v>201</v>
      </c>
      <c r="Y2047">
        <v>0</v>
      </c>
      <c r="Z2047" t="s">
        <v>47</v>
      </c>
      <c r="AA2047">
        <v>3.4505315527587052E-2</v>
      </c>
      <c r="AB2047">
        <v>0</v>
      </c>
      <c r="AC2047" t="s">
        <v>47</v>
      </c>
      <c r="AE2047" t="s">
        <v>108</v>
      </c>
      <c r="AF2047">
        <v>0</v>
      </c>
      <c r="AH2047" t="s">
        <v>202</v>
      </c>
      <c r="AJ2047">
        <v>6.6472925563015161E-3</v>
      </c>
      <c r="AK2047">
        <v>6.6472925563015161E-3</v>
      </c>
      <c r="AL2047">
        <v>0</v>
      </c>
      <c r="AN2047" t="s">
        <v>47</v>
      </c>
      <c r="AQ2047">
        <v>0</v>
      </c>
    </row>
    <row r="2048" spans="1:43" x14ac:dyDescent="0.2">
      <c r="A2048">
        <v>2046</v>
      </c>
      <c r="B2048">
        <v>66</v>
      </c>
      <c r="C2048">
        <v>7</v>
      </c>
      <c r="D2048">
        <v>2700000</v>
      </c>
      <c r="E2048" t="s">
        <v>1109</v>
      </c>
      <c r="F2048" t="s">
        <v>53</v>
      </c>
      <c r="G2048" t="s">
        <v>1632</v>
      </c>
      <c r="H2048">
        <v>6.8764481123094245E-2</v>
      </c>
      <c r="I2048">
        <v>4.6221230482477836E-4</v>
      </c>
      <c r="J2048">
        <v>5.67</v>
      </c>
      <c r="L2048" s="1">
        <v>45556</v>
      </c>
      <c r="M2048" s="1">
        <v>43024</v>
      </c>
      <c r="N2048" s="1"/>
      <c r="R2048">
        <v>3.8111881680094988E-2</v>
      </c>
      <c r="T2048" t="s">
        <v>30</v>
      </c>
      <c r="V2048">
        <v>1702584681</v>
      </c>
      <c r="W2048" t="s">
        <v>1110</v>
      </c>
      <c r="X2048" t="s">
        <v>1111</v>
      </c>
      <c r="Y2048">
        <v>2700000</v>
      </c>
      <c r="Z2048" t="s">
        <v>31</v>
      </c>
      <c r="AA2048">
        <v>6.2953853835844759E-2</v>
      </c>
      <c r="AB2048">
        <v>101.3087</v>
      </c>
      <c r="AC2048" t="s">
        <v>144</v>
      </c>
      <c r="AE2048" t="s">
        <v>175</v>
      </c>
      <c r="AF2048">
        <v>0</v>
      </c>
      <c r="AH2048" t="s">
        <v>237</v>
      </c>
      <c r="AJ2048">
        <v>1.2127774448517504E-2</v>
      </c>
      <c r="AK2048">
        <v>1.2127774448517504E-2</v>
      </c>
      <c r="AL2048">
        <v>0</v>
      </c>
      <c r="AN2048" t="s">
        <v>163</v>
      </c>
      <c r="AQ2048">
        <v>0</v>
      </c>
    </row>
    <row r="2049" spans="1:43" x14ac:dyDescent="0.2">
      <c r="A2049">
        <v>2047</v>
      </c>
      <c r="B2049">
        <v>66</v>
      </c>
      <c r="C2049">
        <v>7</v>
      </c>
      <c r="D2049">
        <v>500000</v>
      </c>
      <c r="E2049" t="s">
        <v>1112</v>
      </c>
      <c r="F2049" t="s">
        <v>53</v>
      </c>
      <c r="G2049" t="s">
        <v>1113</v>
      </c>
      <c r="H2049">
        <v>5.7890335125337427E-3</v>
      </c>
      <c r="I2049">
        <v>9.1929566779912791E-5</v>
      </c>
      <c r="J2049">
        <v>2.4</v>
      </c>
      <c r="L2049" s="1">
        <v>43991</v>
      </c>
      <c r="M2049" s="1">
        <v>43024</v>
      </c>
      <c r="N2049" s="1"/>
      <c r="R2049">
        <v>3.8111881680094988E-2</v>
      </c>
      <c r="T2049" t="s">
        <v>30</v>
      </c>
      <c r="V2049">
        <v>338627662</v>
      </c>
      <c r="W2049" t="s">
        <v>355</v>
      </c>
      <c r="X2049" t="s">
        <v>1006</v>
      </c>
      <c r="Y2049">
        <v>500000</v>
      </c>
      <c r="Z2049" t="s">
        <v>31</v>
      </c>
      <c r="AA2049">
        <v>1.2520913982264266E-2</v>
      </c>
      <c r="AB2049">
        <v>106.73350000000001</v>
      </c>
      <c r="AC2049" t="s">
        <v>144</v>
      </c>
      <c r="AE2049" t="s">
        <v>57</v>
      </c>
      <c r="AF2049">
        <v>0</v>
      </c>
      <c r="AH2049" t="s">
        <v>237</v>
      </c>
      <c r="AJ2049">
        <v>2.4120972968890595E-3</v>
      </c>
      <c r="AK2049">
        <v>2.4120972968890595E-3</v>
      </c>
      <c r="AL2049">
        <v>0</v>
      </c>
      <c r="AN2049" t="s">
        <v>163</v>
      </c>
      <c r="AQ2049">
        <v>0</v>
      </c>
    </row>
    <row r="2050" spans="1:43" x14ac:dyDescent="0.2">
      <c r="A2050">
        <v>2048</v>
      </c>
      <c r="B2050">
        <v>66</v>
      </c>
      <c r="C2050">
        <v>7</v>
      </c>
      <c r="D2050">
        <v>1000000</v>
      </c>
      <c r="E2050" t="s">
        <v>1138</v>
      </c>
      <c r="F2050" t="s">
        <v>53</v>
      </c>
      <c r="G2050" t="s">
        <v>1139</v>
      </c>
      <c r="H2050">
        <v>2.4423719522106625E-2</v>
      </c>
      <c r="I2050">
        <v>1.8144910499305145E-4</v>
      </c>
      <c r="J2050">
        <v>5.13</v>
      </c>
      <c r="L2050" s="1">
        <v>45306</v>
      </c>
      <c r="M2050" s="1">
        <v>43024</v>
      </c>
      <c r="N2050" s="1"/>
      <c r="R2050">
        <v>3.8111881680094988E-2</v>
      </c>
      <c r="T2050" t="s">
        <v>30</v>
      </c>
      <c r="V2050">
        <v>668377850</v>
      </c>
      <c r="W2050" t="s">
        <v>1140</v>
      </c>
      <c r="X2050" t="s">
        <v>1141</v>
      </c>
      <c r="Y2050">
        <v>1000000</v>
      </c>
      <c r="Z2050" t="s">
        <v>31</v>
      </c>
      <c r="AA2050">
        <v>2.4713579268963351E-2</v>
      </c>
      <c r="AB2050">
        <v>106.1207</v>
      </c>
      <c r="AC2050" t="s">
        <v>149</v>
      </c>
      <c r="AE2050" t="s">
        <v>43</v>
      </c>
      <c r="AF2050">
        <v>0</v>
      </c>
      <c r="AH2050" t="s">
        <v>237</v>
      </c>
      <c r="AJ2050">
        <v>4.7609589711708825E-3</v>
      </c>
      <c r="AK2050">
        <v>4.7609589711708825E-3</v>
      </c>
      <c r="AL2050">
        <v>0</v>
      </c>
      <c r="AN2050" t="s">
        <v>1142</v>
      </c>
      <c r="AQ2050">
        <v>0</v>
      </c>
    </row>
    <row r="2051" spans="1:43" x14ac:dyDescent="0.2">
      <c r="A2051">
        <v>2049</v>
      </c>
      <c r="B2051">
        <v>66</v>
      </c>
      <c r="C2051">
        <v>7</v>
      </c>
      <c r="D2051">
        <v>2400000</v>
      </c>
      <c r="E2051" t="s">
        <v>356</v>
      </c>
      <c r="F2051" t="s">
        <v>53</v>
      </c>
      <c r="G2051" t="s">
        <v>1105</v>
      </c>
      <c r="H2051">
        <v>1.6321498624760636E-2</v>
      </c>
      <c r="I2051">
        <v>4.3805846790754259E-4</v>
      </c>
      <c r="J2051">
        <v>1.42</v>
      </c>
      <c r="L2051" s="1">
        <v>43590</v>
      </c>
      <c r="M2051" s="1">
        <v>43024</v>
      </c>
      <c r="N2051" s="1"/>
      <c r="R2051">
        <v>3.8111881680094988E-2</v>
      </c>
      <c r="T2051" t="s">
        <v>30</v>
      </c>
      <c r="V2051">
        <v>1613612682</v>
      </c>
      <c r="W2051" t="s">
        <v>357</v>
      </c>
      <c r="X2051" t="s">
        <v>1106</v>
      </c>
      <c r="Y2051">
        <v>2400000</v>
      </c>
      <c r="Z2051" t="s">
        <v>31</v>
      </c>
      <c r="AA2051">
        <v>5.966407313768933E-2</v>
      </c>
      <c r="AB2051">
        <v>104.2491</v>
      </c>
      <c r="AC2051" t="s">
        <v>146</v>
      </c>
      <c r="AE2051" t="s">
        <v>177</v>
      </c>
      <c r="AF2051">
        <v>0</v>
      </c>
      <c r="AH2051" t="s">
        <v>237</v>
      </c>
      <c r="AJ2051">
        <v>1.1494013116028618E-2</v>
      </c>
      <c r="AK2051">
        <v>1.1494013116028618E-2</v>
      </c>
      <c r="AL2051">
        <v>0</v>
      </c>
      <c r="AN2051" t="s">
        <v>154</v>
      </c>
      <c r="AQ2051">
        <v>0</v>
      </c>
    </row>
    <row r="2052" spans="1:43" x14ac:dyDescent="0.2">
      <c r="A2052">
        <v>2050</v>
      </c>
      <c r="B2052">
        <v>144</v>
      </c>
      <c r="C2052">
        <v>7</v>
      </c>
      <c r="D2052">
        <v>2</v>
      </c>
      <c r="E2052" t="s">
        <v>228</v>
      </c>
      <c r="F2052" t="s">
        <v>53</v>
      </c>
      <c r="G2052" t="s">
        <v>207</v>
      </c>
      <c r="H2052">
        <v>1.3460340927609688E-7</v>
      </c>
      <c r="I2052">
        <v>1.026111637748171E-10</v>
      </c>
      <c r="J2052">
        <v>0.01</v>
      </c>
      <c r="L2052" s="1">
        <v>43027</v>
      </c>
      <c r="M2052" s="1">
        <v>43024</v>
      </c>
      <c r="N2052" s="1"/>
      <c r="R2052">
        <v>7.6232217539410398E-6</v>
      </c>
      <c r="T2052" t="s">
        <v>39</v>
      </c>
      <c r="V2052">
        <v>1889660</v>
      </c>
      <c r="W2052" t="s">
        <v>229</v>
      </c>
      <c r="X2052" t="s">
        <v>230</v>
      </c>
      <c r="Y2052">
        <v>1890000</v>
      </c>
      <c r="Z2052" t="s">
        <v>31</v>
      </c>
      <c r="AA2052">
        <v>1.397575992412106E-8</v>
      </c>
      <c r="AB2052">
        <v>99.982010000000002</v>
      </c>
      <c r="AC2052" t="s">
        <v>52</v>
      </c>
      <c r="AE2052" t="s">
        <v>41</v>
      </c>
      <c r="AF2052">
        <v>2.1600000000000001E-2</v>
      </c>
      <c r="AH2052" t="s">
        <v>209</v>
      </c>
      <c r="AJ2052">
        <v>1.3460340927609689E-5</v>
      </c>
      <c r="AK2052">
        <v>1.3460340927609689E-5</v>
      </c>
      <c r="AL2052">
        <v>0</v>
      </c>
      <c r="AQ2052">
        <v>2.9074336403636931E-7</v>
      </c>
    </row>
    <row r="2053" spans="1:43" x14ac:dyDescent="0.2">
      <c r="A2053">
        <v>2051</v>
      </c>
      <c r="B2053">
        <v>145</v>
      </c>
      <c r="C2053">
        <v>7</v>
      </c>
      <c r="D2053">
        <v>1</v>
      </c>
      <c r="E2053" t="s">
        <v>256</v>
      </c>
      <c r="F2053" t="s">
        <v>53</v>
      </c>
      <c r="G2053" t="s">
        <v>207</v>
      </c>
      <c r="H2053">
        <v>1.1384977986414479E-4</v>
      </c>
      <c r="I2053">
        <v>4.5827071435271971E-8</v>
      </c>
      <c r="J2053">
        <v>0.82</v>
      </c>
      <c r="L2053" s="1">
        <v>43325</v>
      </c>
      <c r="M2053" s="1">
        <v>43024</v>
      </c>
      <c r="N2053" s="1"/>
      <c r="R2053">
        <v>3.3006825855758798E-4</v>
      </c>
      <c r="T2053" t="s">
        <v>39</v>
      </c>
      <c r="V2053">
        <v>19491531</v>
      </c>
      <c r="W2053" t="s">
        <v>248</v>
      </c>
      <c r="X2053" t="s">
        <v>257</v>
      </c>
      <c r="Y2053">
        <v>20000000</v>
      </c>
      <c r="Z2053" t="s">
        <v>31</v>
      </c>
      <c r="AA2053">
        <v>6.2417004626361244E-6</v>
      </c>
      <c r="AB2053">
        <v>97.457655000000003</v>
      </c>
      <c r="AC2053" t="s">
        <v>52</v>
      </c>
      <c r="AE2053" t="s">
        <v>41</v>
      </c>
      <c r="AF2053">
        <v>3.1199999999999999E-2</v>
      </c>
      <c r="AH2053" t="s">
        <v>209</v>
      </c>
      <c r="AJ2053">
        <v>1.3884119495627414E-4</v>
      </c>
      <c r="AK2053">
        <v>1.3884119495627414E-4</v>
      </c>
      <c r="AL2053">
        <v>0</v>
      </c>
      <c r="AQ2053">
        <v>4.3318452826357528E-6</v>
      </c>
    </row>
    <row r="2054" spans="1:43" x14ac:dyDescent="0.2">
      <c r="A2054">
        <v>2052</v>
      </c>
      <c r="B2054">
        <v>147</v>
      </c>
      <c r="C2054">
        <v>7</v>
      </c>
      <c r="D2054">
        <v>1</v>
      </c>
      <c r="E2054" t="s">
        <v>1147</v>
      </c>
      <c r="F2054" t="s">
        <v>53</v>
      </c>
      <c r="G2054" t="s">
        <v>207</v>
      </c>
      <c r="H2054">
        <v>6.5349124216291984E-5</v>
      </c>
      <c r="I2054">
        <v>3.6587636160219134E-8</v>
      </c>
      <c r="J2054">
        <v>0.06</v>
      </c>
      <c r="L2054" s="1">
        <v>43047</v>
      </c>
      <c r="M2054" s="1">
        <v>43024</v>
      </c>
      <c r="N2054" s="1"/>
      <c r="R2054">
        <v>3.3592771072911412E-5</v>
      </c>
      <c r="T2054" t="s">
        <v>39</v>
      </c>
      <c r="V2054">
        <v>152903044</v>
      </c>
      <c r="W2054" t="s">
        <v>1148</v>
      </c>
      <c r="X2054" t="s">
        <v>1149</v>
      </c>
      <c r="Y2054">
        <v>153536063</v>
      </c>
      <c r="Z2054" t="s">
        <v>31</v>
      </c>
      <c r="AA2054">
        <v>4.9832786253985215E-6</v>
      </c>
      <c r="AB2054">
        <v>99.587705999999997</v>
      </c>
      <c r="AC2054" t="s">
        <v>144</v>
      </c>
      <c r="AE2054" t="s">
        <v>88</v>
      </c>
      <c r="AF2054">
        <v>6.4799999999999996E-2</v>
      </c>
      <c r="AH2054" t="s">
        <v>539</v>
      </c>
      <c r="AJ2054">
        <v>1.0891520702715331E-3</v>
      </c>
      <c r="AK2054">
        <v>1.0891520702715331E-3</v>
      </c>
      <c r="AL2054">
        <v>0</v>
      </c>
      <c r="AN2054" t="s">
        <v>163</v>
      </c>
      <c r="AQ2054">
        <v>7.0577054153595344E-5</v>
      </c>
    </row>
    <row r="2055" spans="1:43" x14ac:dyDescent="0.2">
      <c r="A2055">
        <v>2053</v>
      </c>
      <c r="B2055">
        <v>147</v>
      </c>
      <c r="C2055">
        <v>7</v>
      </c>
      <c r="D2055">
        <v>1</v>
      </c>
      <c r="E2055" t="s">
        <v>1147</v>
      </c>
      <c r="F2055" t="s">
        <v>53</v>
      </c>
      <c r="G2055" t="s">
        <v>207</v>
      </c>
      <c r="H2055">
        <v>3.9401957105867499E-5</v>
      </c>
      <c r="I2055">
        <v>1.6545261561026023E-8</v>
      </c>
      <c r="J2055">
        <v>0.08</v>
      </c>
      <c r="L2055" s="1">
        <v>43054</v>
      </c>
      <c r="M2055" s="1">
        <v>43024</v>
      </c>
      <c r="N2055" s="1"/>
      <c r="R2055">
        <v>3.3592771072911412E-5</v>
      </c>
      <c r="T2055" t="s">
        <v>39</v>
      </c>
      <c r="V2055">
        <v>69144146</v>
      </c>
      <c r="W2055" t="s">
        <v>1148</v>
      </c>
      <c r="X2055" t="s">
        <v>1149</v>
      </c>
      <c r="Y2055">
        <v>69543108</v>
      </c>
      <c r="Z2055" t="s">
        <v>31</v>
      </c>
      <c r="AA2055">
        <v>2.2534838798450252E-6</v>
      </c>
      <c r="AB2055">
        <v>99.426309000000003</v>
      </c>
      <c r="AC2055" t="s">
        <v>144</v>
      </c>
      <c r="AE2055" t="s">
        <v>88</v>
      </c>
      <c r="AF2055">
        <v>6.9239999999999996E-2</v>
      </c>
      <c r="AH2055" t="s">
        <v>539</v>
      </c>
      <c r="AJ2055">
        <v>4.9252446382334371E-4</v>
      </c>
      <c r="AK2055">
        <v>4.9252446382334371E-4</v>
      </c>
      <c r="AL2055">
        <v>0</v>
      </c>
      <c r="AN2055" t="s">
        <v>163</v>
      </c>
      <c r="AQ2055">
        <v>3.4102393875128313E-5</v>
      </c>
    </row>
    <row r="2056" spans="1:43" x14ac:dyDescent="0.2">
      <c r="A2056">
        <v>2054</v>
      </c>
      <c r="B2056">
        <v>147</v>
      </c>
      <c r="C2056">
        <v>7</v>
      </c>
      <c r="D2056">
        <v>1</v>
      </c>
      <c r="E2056" t="s">
        <v>1736</v>
      </c>
      <c r="F2056" t="s">
        <v>53</v>
      </c>
      <c r="G2056" t="s">
        <v>207</v>
      </c>
      <c r="H2056">
        <v>5.464014575546963E-5</v>
      </c>
      <c r="I2056">
        <v>4.5887847693850091E-8</v>
      </c>
      <c r="J2056">
        <v>0.04</v>
      </c>
      <c r="L2056" s="1">
        <v>43039</v>
      </c>
      <c r="M2056" s="1">
        <v>43024</v>
      </c>
      <c r="N2056" s="1"/>
      <c r="R2056">
        <v>3.3592771072911412E-5</v>
      </c>
      <c r="T2056" t="s">
        <v>39</v>
      </c>
      <c r="V2056">
        <v>191769470</v>
      </c>
      <c r="W2056" t="s">
        <v>1737</v>
      </c>
      <c r="X2056" t="s">
        <v>1738</v>
      </c>
      <c r="Y2056">
        <v>192234511</v>
      </c>
      <c r="Z2056" t="s">
        <v>31</v>
      </c>
      <c r="AA2056">
        <v>6.2499782597853523E-6</v>
      </c>
      <c r="AB2056">
        <v>99.758086000000006</v>
      </c>
      <c r="AC2056" t="s">
        <v>54</v>
      </c>
      <c r="AE2056" t="s">
        <v>176</v>
      </c>
      <c r="AF2056">
        <v>5.8200000000000002E-2</v>
      </c>
      <c r="AH2056" t="s">
        <v>539</v>
      </c>
      <c r="AJ2056">
        <v>1.3660036438867408E-3</v>
      </c>
      <c r="AK2056">
        <v>1.3660036438867408E-3</v>
      </c>
      <c r="AL2056">
        <v>0</v>
      </c>
      <c r="AN2056" t="s">
        <v>154</v>
      </c>
      <c r="AQ2056">
        <v>7.9501412074208316E-5</v>
      </c>
    </row>
    <row r="2057" spans="1:43" x14ac:dyDescent="0.2">
      <c r="A2057">
        <v>2055</v>
      </c>
      <c r="B2057">
        <v>147</v>
      </c>
      <c r="C2057">
        <v>7</v>
      </c>
      <c r="D2057">
        <v>1</v>
      </c>
      <c r="E2057" t="s">
        <v>225</v>
      </c>
      <c r="F2057" t="s">
        <v>53</v>
      </c>
      <c r="G2057" t="s">
        <v>207</v>
      </c>
      <c r="H2057">
        <v>2.843291054933012E-5</v>
      </c>
      <c r="I2057">
        <v>1.1939253187752683E-8</v>
      </c>
      <c r="J2057">
        <v>0.08</v>
      </c>
      <c r="L2057" s="1">
        <v>43054</v>
      </c>
      <c r="M2057" s="1">
        <v>43024</v>
      </c>
      <c r="N2057" s="1"/>
      <c r="R2057">
        <v>3.3592771072911412E-5</v>
      </c>
      <c r="T2057" t="s">
        <v>39</v>
      </c>
      <c r="V2057">
        <v>49895220</v>
      </c>
      <c r="W2057" t="s">
        <v>226</v>
      </c>
      <c r="X2057" t="s">
        <v>227</v>
      </c>
      <c r="Y2057">
        <v>50000000</v>
      </c>
      <c r="Z2057" t="s">
        <v>31</v>
      </c>
      <c r="AA2057">
        <v>1.626140178972217E-6</v>
      </c>
      <c r="AB2057">
        <v>99.790440000000004</v>
      </c>
      <c r="AC2057" t="s">
        <v>52</v>
      </c>
      <c r="AE2057" t="s">
        <v>41</v>
      </c>
      <c r="AF2057">
        <v>2.52E-2</v>
      </c>
      <c r="AH2057" t="s">
        <v>209</v>
      </c>
      <c r="AJ2057">
        <v>3.5541138186662651E-4</v>
      </c>
      <c r="AK2057">
        <v>3.5541138186662651E-4</v>
      </c>
      <c r="AL2057">
        <v>0</v>
      </c>
      <c r="AQ2057">
        <v>8.9563668230389889E-6</v>
      </c>
    </row>
    <row r="2058" spans="1:43" x14ac:dyDescent="0.2">
      <c r="A2058">
        <v>2056</v>
      </c>
      <c r="B2058">
        <v>148</v>
      </c>
      <c r="C2058">
        <v>7</v>
      </c>
      <c r="D2058">
        <v>1</v>
      </c>
      <c r="E2058" t="s">
        <v>219</v>
      </c>
      <c r="F2058" t="s">
        <v>53</v>
      </c>
      <c r="G2058" t="s">
        <v>207</v>
      </c>
      <c r="H2058">
        <v>5.6278780389710527E-4</v>
      </c>
      <c r="I2058">
        <v>4.329248942569331E-8</v>
      </c>
      <c r="J2058">
        <v>0.41</v>
      </c>
      <c r="L2058" s="1">
        <v>43173</v>
      </c>
      <c r="M2058" s="1">
        <v>43024</v>
      </c>
      <c r="N2058" s="1"/>
      <c r="R2058">
        <v>3.1539277400153965E-5</v>
      </c>
      <c r="T2058" t="s">
        <v>39</v>
      </c>
      <c r="V2058">
        <v>192702980</v>
      </c>
      <c r="W2058" t="s">
        <v>220</v>
      </c>
      <c r="X2058" t="s">
        <v>221</v>
      </c>
      <c r="Y2058">
        <v>195000000</v>
      </c>
      <c r="Z2058" t="s">
        <v>31</v>
      </c>
      <c r="AA2058">
        <v>5.8964874432067401E-6</v>
      </c>
      <c r="AB2058">
        <v>98.822040999999999</v>
      </c>
      <c r="AC2058" t="s">
        <v>52</v>
      </c>
      <c r="AE2058" t="s">
        <v>41</v>
      </c>
      <c r="AF2058">
        <v>2.8799999999999999E-2</v>
      </c>
      <c r="AH2058" t="s">
        <v>209</v>
      </c>
      <c r="AJ2058">
        <v>1.3726531802368423E-3</v>
      </c>
      <c r="AK2058">
        <v>1.3726531802368423E-3</v>
      </c>
      <c r="AL2058">
        <v>0</v>
      </c>
      <c r="AQ2058">
        <v>3.9532411590821057E-5</v>
      </c>
    </row>
    <row r="2059" spans="1:43" x14ac:dyDescent="0.2">
      <c r="A2059">
        <v>2057</v>
      </c>
      <c r="B2059">
        <v>149</v>
      </c>
      <c r="C2059">
        <v>7</v>
      </c>
      <c r="D2059">
        <v>1</v>
      </c>
      <c r="E2059" t="s">
        <v>203</v>
      </c>
      <c r="F2059" t="s">
        <v>53</v>
      </c>
      <c r="G2059" t="s">
        <v>207</v>
      </c>
      <c r="H2059">
        <v>2.1315465549530095E-4</v>
      </c>
      <c r="I2059">
        <v>-6.9996709617253692E-8</v>
      </c>
      <c r="J2059">
        <v>0.1</v>
      </c>
      <c r="L2059" s="1">
        <v>43062</v>
      </c>
      <c r="M2059" s="1">
        <v>43024</v>
      </c>
      <c r="N2059" s="1"/>
      <c r="R2059">
        <v>-3.2838461564259286E-5</v>
      </c>
      <c r="T2059" t="s">
        <v>39</v>
      </c>
      <c r="V2059">
        <v>299241920</v>
      </c>
      <c r="W2059" t="s">
        <v>181</v>
      </c>
      <c r="X2059" t="s">
        <v>236</v>
      </c>
      <c r="Y2059">
        <v>300000000</v>
      </c>
      <c r="Z2059" t="s">
        <v>31</v>
      </c>
      <c r="AA2059">
        <v>-9.5336333114393339E-6</v>
      </c>
      <c r="AB2059">
        <v>99.747305999999995</v>
      </c>
      <c r="AC2059" t="s">
        <v>52</v>
      </c>
      <c r="AE2059" t="s">
        <v>41</v>
      </c>
      <c r="AF2059">
        <v>2.4E-2</v>
      </c>
      <c r="AH2059" t="s">
        <v>209</v>
      </c>
      <c r="AJ2059">
        <v>2.1315465549530095E-3</v>
      </c>
      <c r="AK2059">
        <v>2.1315465549530095E-3</v>
      </c>
      <c r="AL2059">
        <v>0</v>
      </c>
      <c r="AQ2059">
        <v>5.1157117318872233E-5</v>
      </c>
    </row>
    <row r="2060" spans="1:43" x14ac:dyDescent="0.2">
      <c r="A2060">
        <v>2058</v>
      </c>
      <c r="B2060">
        <v>149</v>
      </c>
      <c r="C2060">
        <v>7</v>
      </c>
      <c r="D2060">
        <v>1</v>
      </c>
      <c r="E2060" t="s">
        <v>1147</v>
      </c>
      <c r="F2060" t="s">
        <v>53</v>
      </c>
      <c r="G2060" t="s">
        <v>207</v>
      </c>
      <c r="H2060">
        <v>2.0366002778409174E-4</v>
      </c>
      <c r="I2060">
        <v>-6.6878819945638744E-8</v>
      </c>
      <c r="J2060">
        <v>0.1</v>
      </c>
      <c r="L2060" s="1">
        <v>43061</v>
      </c>
      <c r="M2060" s="1">
        <v>43024</v>
      </c>
      <c r="N2060" s="1"/>
      <c r="R2060">
        <v>-3.2838461564259286E-5</v>
      </c>
      <c r="T2060" t="s">
        <v>39</v>
      </c>
      <c r="V2060">
        <v>285912675</v>
      </c>
      <c r="W2060" t="s">
        <v>1148</v>
      </c>
      <c r="X2060" t="s">
        <v>1149</v>
      </c>
      <c r="Y2060">
        <v>287954377</v>
      </c>
      <c r="Z2060" t="s">
        <v>31</v>
      </c>
      <c r="AA2060">
        <v>-9.10897310959216E-6</v>
      </c>
      <c r="AB2060">
        <v>99.290963000000005</v>
      </c>
      <c r="AC2060" t="s">
        <v>144</v>
      </c>
      <c r="AE2060" t="s">
        <v>88</v>
      </c>
      <c r="AF2060">
        <v>6.948E-2</v>
      </c>
      <c r="AH2060" t="s">
        <v>539</v>
      </c>
      <c r="AJ2060">
        <v>2.0366002778409173E-3</v>
      </c>
      <c r="AK2060">
        <v>2.0366002778409173E-3</v>
      </c>
      <c r="AL2060">
        <v>0</v>
      </c>
      <c r="AN2060" t="s">
        <v>163</v>
      </c>
      <c r="AQ2060">
        <v>1.4150298730438693E-4</v>
      </c>
    </row>
    <row r="2061" spans="1:43" x14ac:dyDescent="0.2">
      <c r="A2061">
        <v>2059</v>
      </c>
      <c r="B2061">
        <v>149</v>
      </c>
      <c r="C2061">
        <v>7</v>
      </c>
      <c r="D2061">
        <v>2</v>
      </c>
      <c r="E2061" t="s">
        <v>1147</v>
      </c>
      <c r="F2061" t="s">
        <v>53</v>
      </c>
      <c r="G2061" t="s">
        <v>207</v>
      </c>
      <c r="H2061">
        <v>6.6299819563894096E-4</v>
      </c>
      <c r="I2061">
        <v>-1.3607400477914137E-7</v>
      </c>
      <c r="J2061">
        <v>0.16</v>
      </c>
      <c r="L2061" s="1">
        <v>43082</v>
      </c>
      <c r="M2061" s="1">
        <v>43024</v>
      </c>
      <c r="N2061" s="1"/>
      <c r="R2061">
        <v>-3.2838461564259286E-5</v>
      </c>
      <c r="T2061" t="s">
        <v>39</v>
      </c>
      <c r="V2061">
        <v>581728008</v>
      </c>
      <c r="W2061" t="s">
        <v>1148</v>
      </c>
      <c r="X2061" t="s">
        <v>1149</v>
      </c>
      <c r="Y2061">
        <v>588318598</v>
      </c>
      <c r="Z2061" t="s">
        <v>31</v>
      </c>
      <c r="AA2061">
        <v>-1.8533437812676941E-5</v>
      </c>
      <c r="AB2061">
        <v>98.879757999999995</v>
      </c>
      <c r="AC2061" t="s">
        <v>144</v>
      </c>
      <c r="AE2061" t="s">
        <v>88</v>
      </c>
      <c r="AF2061">
        <v>7.0319999999999994E-2</v>
      </c>
      <c r="AH2061" t="s">
        <v>539</v>
      </c>
      <c r="AJ2061">
        <v>4.1437387227433809E-3</v>
      </c>
      <c r="AK2061">
        <v>4.1437387227433809E-3</v>
      </c>
      <c r="AL2061">
        <v>0</v>
      </c>
      <c r="AN2061" t="s">
        <v>163</v>
      </c>
      <c r="AQ2061">
        <v>2.913877069833145E-4</v>
      </c>
    </row>
    <row r="2062" spans="1:43" x14ac:dyDescent="0.2">
      <c r="A2062">
        <v>2060</v>
      </c>
      <c r="B2062">
        <v>106</v>
      </c>
      <c r="C2062">
        <v>7</v>
      </c>
      <c r="D2062">
        <v>2000000000</v>
      </c>
      <c r="E2062" t="s">
        <v>303</v>
      </c>
      <c r="F2062" t="s">
        <v>53</v>
      </c>
      <c r="G2062" t="s">
        <v>304</v>
      </c>
      <c r="H2062">
        <v>3.9140411864207289E-2</v>
      </c>
      <c r="I2062">
        <v>1.9250495054720742E-5</v>
      </c>
      <c r="J2062">
        <v>2.71</v>
      </c>
      <c r="L2062" s="1">
        <v>44096</v>
      </c>
      <c r="M2062" s="1">
        <v>43024</v>
      </c>
      <c r="N2062" s="1"/>
      <c r="R2062">
        <v>1.3328638896107281E-3</v>
      </c>
      <c r="T2062" t="s">
        <v>39</v>
      </c>
      <c r="V2062">
        <v>2027606667</v>
      </c>
      <c r="W2062" t="s">
        <v>200</v>
      </c>
      <c r="X2062" t="s">
        <v>305</v>
      </c>
      <c r="Y2062">
        <v>2000000000</v>
      </c>
      <c r="Z2062" t="s">
        <v>31</v>
      </c>
      <c r="AA2062">
        <v>2.6219398300137481E-3</v>
      </c>
      <c r="AB2062">
        <v>100.947</v>
      </c>
      <c r="AC2062" t="s">
        <v>42</v>
      </c>
      <c r="AE2062" t="s">
        <v>41</v>
      </c>
      <c r="AF2062">
        <v>0</v>
      </c>
      <c r="AH2062" t="s">
        <v>237</v>
      </c>
      <c r="AJ2062">
        <v>1.4442956407456563E-2</v>
      </c>
      <c r="AK2062">
        <v>1.4442956407456563E-2</v>
      </c>
      <c r="AL2062">
        <v>0</v>
      </c>
      <c r="AN2062" t="s">
        <v>142</v>
      </c>
      <c r="AQ2062">
        <v>0</v>
      </c>
    </row>
    <row r="2063" spans="1:43" x14ac:dyDescent="0.2">
      <c r="A2063">
        <v>2061</v>
      </c>
      <c r="B2063">
        <v>89</v>
      </c>
      <c r="C2063">
        <v>7</v>
      </c>
      <c r="F2063" t="s">
        <v>53</v>
      </c>
      <c r="G2063" t="s">
        <v>975</v>
      </c>
      <c r="I2063">
        <v>-4.098268466694246E-5</v>
      </c>
      <c r="J2063">
        <v>4.5169273164131001</v>
      </c>
      <c r="K2063">
        <v>4.5169273164131001</v>
      </c>
      <c r="L2063" s="1"/>
      <c r="M2063" s="1"/>
      <c r="N2063" s="1">
        <v>43021</v>
      </c>
      <c r="R2063">
        <v>1.6066850024159633E-3</v>
      </c>
      <c r="S2063">
        <v>1.6066850024159633E-3</v>
      </c>
      <c r="T2063" t="s">
        <v>32</v>
      </c>
      <c r="U2063" t="s">
        <v>32</v>
      </c>
      <c r="W2063" t="s">
        <v>181</v>
      </c>
      <c r="Z2063" t="s">
        <v>31</v>
      </c>
      <c r="AA2063">
        <v>-5.5818893469339369E-3</v>
      </c>
      <c r="AC2063" t="s">
        <v>142</v>
      </c>
      <c r="AD2063" t="s">
        <v>142</v>
      </c>
      <c r="AE2063" t="s">
        <v>41</v>
      </c>
      <c r="AF2063">
        <v>2.38</v>
      </c>
      <c r="AG2063">
        <v>2.38</v>
      </c>
      <c r="AH2063" t="s">
        <v>237</v>
      </c>
      <c r="AI2063" t="s">
        <v>237</v>
      </c>
      <c r="AJ2063">
        <v>-2.5507603920691999E-2</v>
      </c>
      <c r="AK2063">
        <v>0</v>
      </c>
      <c r="AL2063">
        <v>2.5507603920691999E-2</v>
      </c>
      <c r="AM2063" t="s">
        <v>41</v>
      </c>
      <c r="AN2063" t="s">
        <v>142</v>
      </c>
      <c r="AO2063" t="s">
        <v>142</v>
      </c>
      <c r="AP2063" t="s">
        <v>31</v>
      </c>
    </row>
    <row r="2064" spans="1:43" x14ac:dyDescent="0.2">
      <c r="A2064">
        <v>2062</v>
      </c>
      <c r="B2064">
        <v>91</v>
      </c>
      <c r="C2064">
        <v>7</v>
      </c>
      <c r="D2064">
        <v>20000</v>
      </c>
      <c r="E2064" t="s">
        <v>426</v>
      </c>
      <c r="F2064" t="s">
        <v>53</v>
      </c>
      <c r="G2064" t="s">
        <v>1040</v>
      </c>
      <c r="H2064">
        <v>4.8987982249367873E-2</v>
      </c>
      <c r="I2064">
        <v>-9.8338118526997468E-5</v>
      </c>
      <c r="J2064">
        <v>10.25</v>
      </c>
      <c r="K2064">
        <v>10.260028141611</v>
      </c>
      <c r="L2064" s="1">
        <v>47969</v>
      </c>
      <c r="M2064" s="1">
        <v>43024</v>
      </c>
      <c r="N2064" s="1">
        <v>43021</v>
      </c>
      <c r="R2064">
        <v>6.3056678853169604E-3</v>
      </c>
      <c r="S2064">
        <v>6.3056678853169604E-3</v>
      </c>
      <c r="T2064" t="s">
        <v>32</v>
      </c>
      <c r="U2064" t="s">
        <v>32</v>
      </c>
      <c r="V2064">
        <v>670954850</v>
      </c>
      <c r="W2064" t="s">
        <v>181</v>
      </c>
      <c r="X2064" t="s">
        <v>428</v>
      </c>
      <c r="Y2064">
        <v>20000</v>
      </c>
      <c r="Z2064" t="s">
        <v>31</v>
      </c>
      <c r="AA2064">
        <v>-1.3393766188434672E-2</v>
      </c>
      <c r="AB2064">
        <v>123.03</v>
      </c>
      <c r="AC2064" t="s">
        <v>142</v>
      </c>
      <c r="AD2064" t="s">
        <v>142</v>
      </c>
      <c r="AE2064" t="s">
        <v>41</v>
      </c>
      <c r="AF2064">
        <v>4.911179129769936E-3</v>
      </c>
      <c r="AG2064">
        <v>2.86</v>
      </c>
      <c r="AH2064" t="s">
        <v>237</v>
      </c>
      <c r="AI2064" t="s">
        <v>237</v>
      </c>
      <c r="AJ2064">
        <v>-1.5595194722510256E-2</v>
      </c>
      <c r="AK2064">
        <v>4.7793153414017438E-3</v>
      </c>
      <c r="AL2064">
        <v>2.0374510063911999E-2</v>
      </c>
      <c r="AM2064" t="s">
        <v>41</v>
      </c>
      <c r="AN2064" t="s">
        <v>146</v>
      </c>
      <c r="AO2064" t="s">
        <v>142</v>
      </c>
      <c r="AP2064" t="s">
        <v>31</v>
      </c>
      <c r="AQ2064">
        <v>2.3472073759281521E-5</v>
      </c>
    </row>
    <row r="2065" spans="1:43" x14ac:dyDescent="0.2">
      <c r="A2065">
        <v>2063</v>
      </c>
      <c r="B2065">
        <v>91</v>
      </c>
      <c r="C2065">
        <v>7</v>
      </c>
      <c r="D2065">
        <v>20000</v>
      </c>
      <c r="E2065" t="s">
        <v>426</v>
      </c>
      <c r="F2065" t="s">
        <v>53</v>
      </c>
      <c r="G2065" t="s">
        <v>1041</v>
      </c>
      <c r="H2065">
        <v>4.7475730158328788E-2</v>
      </c>
      <c r="I2065">
        <v>2.5874346325959183E-5</v>
      </c>
      <c r="J2065">
        <v>11.57</v>
      </c>
      <c r="L2065" s="1">
        <v>48366</v>
      </c>
      <c r="M2065" s="1">
        <v>43024</v>
      </c>
      <c r="N2065" s="1"/>
      <c r="R2065">
        <v>6.3056678853169604E-3</v>
      </c>
      <c r="T2065" t="s">
        <v>32</v>
      </c>
      <c r="V2065">
        <v>576057591</v>
      </c>
      <c r="W2065" t="s">
        <v>181</v>
      </c>
      <c r="X2065" t="s">
        <v>428</v>
      </c>
      <c r="Y2065">
        <v>20000</v>
      </c>
      <c r="Z2065" t="s">
        <v>31</v>
      </c>
      <c r="AA2065">
        <v>3.5241160819376341E-3</v>
      </c>
      <c r="AB2065">
        <v>106.65</v>
      </c>
      <c r="AC2065" t="s">
        <v>142</v>
      </c>
      <c r="AE2065" t="s">
        <v>41</v>
      </c>
      <c r="AF2065">
        <v>5.6111791297699352E-3</v>
      </c>
      <c r="AH2065" t="s">
        <v>237</v>
      </c>
      <c r="AJ2065">
        <v>4.1033474639869307E-3</v>
      </c>
      <c r="AK2065">
        <v>4.1033474639869307E-3</v>
      </c>
      <c r="AL2065">
        <v>0</v>
      </c>
      <c r="AN2065" t="s">
        <v>146</v>
      </c>
      <c r="AQ2065">
        <v>2.3024617652117855E-5</v>
      </c>
    </row>
    <row r="2066" spans="1:43" x14ac:dyDescent="0.2">
      <c r="A2066">
        <v>2064</v>
      </c>
      <c r="B2066">
        <v>102</v>
      </c>
      <c r="C2066">
        <v>7</v>
      </c>
      <c r="D2066">
        <v>25000</v>
      </c>
      <c r="E2066" t="s">
        <v>505</v>
      </c>
      <c r="F2066" t="s">
        <v>53</v>
      </c>
      <c r="G2066" t="s">
        <v>977</v>
      </c>
      <c r="H2066">
        <v>2.3744461472113117E-2</v>
      </c>
      <c r="I2066">
        <v>3.1248930462199601E-5</v>
      </c>
      <c r="J2066">
        <v>6.24</v>
      </c>
      <c r="L2066" s="1">
        <v>47818</v>
      </c>
      <c r="M2066" s="1">
        <v>43024</v>
      </c>
      <c r="N2066" s="1"/>
      <c r="R2066">
        <v>8.2121603942518166E-3</v>
      </c>
      <c r="T2066" t="s">
        <v>32</v>
      </c>
      <c r="V2066">
        <v>534201797</v>
      </c>
      <c r="W2066" t="s">
        <v>206</v>
      </c>
      <c r="X2066" t="s">
        <v>978</v>
      </c>
      <c r="Y2066">
        <v>25000</v>
      </c>
      <c r="Z2066" t="s">
        <v>31</v>
      </c>
      <c r="AA2066">
        <v>4.2561406961884292E-3</v>
      </c>
      <c r="AB2066">
        <v>112.03</v>
      </c>
      <c r="AC2066" t="s">
        <v>34</v>
      </c>
      <c r="AE2066" t="s">
        <v>41</v>
      </c>
      <c r="AF2066">
        <v>2.1111791297699356E-3</v>
      </c>
      <c r="AH2066" t="s">
        <v>237</v>
      </c>
      <c r="AJ2066">
        <v>3.8052021589924869E-3</v>
      </c>
      <c r="AK2066">
        <v>3.8052021589924869E-3</v>
      </c>
      <c r="AL2066">
        <v>0</v>
      </c>
      <c r="AN2066" t="s">
        <v>54</v>
      </c>
      <c r="AQ2066">
        <v>8.0334633826204378E-6</v>
      </c>
    </row>
    <row r="2067" spans="1:43" x14ac:dyDescent="0.2">
      <c r="A2067">
        <v>2065</v>
      </c>
      <c r="B2067">
        <v>91</v>
      </c>
      <c r="C2067">
        <v>7</v>
      </c>
      <c r="D2067">
        <v>30000</v>
      </c>
      <c r="E2067" t="s">
        <v>466</v>
      </c>
      <c r="F2067" t="s">
        <v>53</v>
      </c>
      <c r="G2067" t="s">
        <v>1046</v>
      </c>
      <c r="H2067">
        <v>5.0621595742144025E-2</v>
      </c>
      <c r="I2067">
        <v>4.0456650262957589E-5</v>
      </c>
      <c r="J2067">
        <v>7.89</v>
      </c>
      <c r="L2067" s="1">
        <v>46419</v>
      </c>
      <c r="M2067" s="1">
        <v>43024</v>
      </c>
      <c r="N2067" s="1"/>
      <c r="R2067">
        <v>6.3056678853169604E-3</v>
      </c>
      <c r="T2067" t="s">
        <v>32</v>
      </c>
      <c r="V2067">
        <v>900713015</v>
      </c>
      <c r="W2067" t="s">
        <v>250</v>
      </c>
      <c r="X2067" t="s">
        <v>1047</v>
      </c>
      <c r="Y2067">
        <v>30000</v>
      </c>
      <c r="Z2067" t="s">
        <v>31</v>
      </c>
      <c r="AA2067">
        <v>5.5102428489168772E-3</v>
      </c>
      <c r="AB2067">
        <v>111.69</v>
      </c>
      <c r="AC2067" t="s">
        <v>142</v>
      </c>
      <c r="AE2067" t="s">
        <v>41</v>
      </c>
      <c r="AF2067">
        <v>2.211179129769935E-3</v>
      </c>
      <c r="AH2067" t="s">
        <v>237</v>
      </c>
      <c r="AJ2067">
        <v>6.4159183450119171E-3</v>
      </c>
      <c r="AK2067">
        <v>6.4159183450119171E-3</v>
      </c>
      <c r="AL2067">
        <v>0</v>
      </c>
      <c r="AN2067" t="s">
        <v>146</v>
      </c>
      <c r="AQ2067">
        <v>1.4186744742798412E-5</v>
      </c>
    </row>
    <row r="2068" spans="1:43" x14ac:dyDescent="0.2">
      <c r="A2068">
        <v>2066</v>
      </c>
      <c r="B2068">
        <v>91</v>
      </c>
      <c r="C2068">
        <v>7</v>
      </c>
      <c r="F2068" t="s">
        <v>53</v>
      </c>
      <c r="G2068" t="s">
        <v>1662</v>
      </c>
      <c r="I2068">
        <v>-1.3108219169048342E-4</v>
      </c>
      <c r="J2068">
        <v>14.181381141052</v>
      </c>
      <c r="K2068">
        <v>14.181381141052</v>
      </c>
      <c r="L2068" s="1"/>
      <c r="M2068" s="1"/>
      <c r="N2068" s="1">
        <v>43021</v>
      </c>
      <c r="R2068">
        <v>6.3056678853169604E-3</v>
      </c>
      <c r="S2068">
        <v>6.3056678853169604E-3</v>
      </c>
      <c r="T2068" t="s">
        <v>32</v>
      </c>
      <c r="U2068" t="s">
        <v>32</v>
      </c>
      <c r="W2068" t="s">
        <v>250</v>
      </c>
      <c r="Z2068" t="s">
        <v>31</v>
      </c>
      <c r="AA2068">
        <v>-1.7853547060572537E-2</v>
      </c>
      <c r="AC2068" t="s">
        <v>142</v>
      </c>
      <c r="AD2068" t="s">
        <v>142</v>
      </c>
      <c r="AE2068" t="s">
        <v>41</v>
      </c>
      <c r="AF2068">
        <v>3.18</v>
      </c>
      <c r="AG2068">
        <v>3.18</v>
      </c>
      <c r="AH2068" t="s">
        <v>237</v>
      </c>
      <c r="AI2068" t="s">
        <v>237</v>
      </c>
      <c r="AJ2068">
        <v>-2.078799487612E-2</v>
      </c>
      <c r="AK2068">
        <v>0</v>
      </c>
      <c r="AL2068">
        <v>2.078799487612E-2</v>
      </c>
      <c r="AM2068" t="s">
        <v>41</v>
      </c>
      <c r="AN2068" t="s">
        <v>142</v>
      </c>
      <c r="AO2068" t="s">
        <v>142</v>
      </c>
      <c r="AP2068" t="s">
        <v>31</v>
      </c>
    </row>
    <row r="2069" spans="1:43" x14ac:dyDescent="0.2">
      <c r="A2069">
        <v>2067</v>
      </c>
      <c r="B2069">
        <v>91</v>
      </c>
      <c r="C2069">
        <v>7</v>
      </c>
      <c r="D2069">
        <v>45000</v>
      </c>
      <c r="E2069" t="s">
        <v>459</v>
      </c>
      <c r="F2069" t="s">
        <v>53</v>
      </c>
      <c r="G2069" t="s">
        <v>1042</v>
      </c>
      <c r="H2069">
        <v>0.10463253865368845</v>
      </c>
      <c r="I2069">
        <v>5.9654433883159918E-5</v>
      </c>
      <c r="J2069">
        <v>11.06</v>
      </c>
      <c r="L2069" s="1">
        <v>48136</v>
      </c>
      <c r="M2069" s="1">
        <v>43024</v>
      </c>
      <c r="N2069" s="1"/>
      <c r="R2069">
        <v>6.3056678853169604E-3</v>
      </c>
      <c r="T2069" t="s">
        <v>32</v>
      </c>
      <c r="V2069">
        <v>1328125899</v>
      </c>
      <c r="W2069" t="s">
        <v>249</v>
      </c>
      <c r="X2069" t="s">
        <v>1043</v>
      </c>
      <c r="Y2069">
        <v>45000</v>
      </c>
      <c r="Z2069" t="s">
        <v>31</v>
      </c>
      <c r="AA2069">
        <v>8.1250033202041032E-3</v>
      </c>
      <c r="AB2069">
        <v>110.68</v>
      </c>
      <c r="AC2069" t="s">
        <v>142</v>
      </c>
      <c r="AE2069" t="s">
        <v>41</v>
      </c>
      <c r="AF2069">
        <v>6.8111791297699349E-3</v>
      </c>
      <c r="AH2069" t="s">
        <v>237</v>
      </c>
      <c r="AJ2069">
        <v>9.4604465328832228E-3</v>
      </c>
      <c r="AK2069">
        <v>9.4604465328832228E-3</v>
      </c>
      <c r="AL2069">
        <v>0</v>
      </c>
      <c r="AN2069" t="s">
        <v>146</v>
      </c>
      <c r="AQ2069">
        <v>6.4436795983078554E-5</v>
      </c>
    </row>
    <row r="2070" spans="1:43" x14ac:dyDescent="0.2">
      <c r="A2070">
        <v>2068</v>
      </c>
      <c r="B2070">
        <v>91</v>
      </c>
      <c r="C2070">
        <v>7</v>
      </c>
      <c r="D2070">
        <v>12000</v>
      </c>
      <c r="E2070" t="s">
        <v>459</v>
      </c>
      <c r="F2070" t="s">
        <v>53</v>
      </c>
      <c r="G2070" t="s">
        <v>1044</v>
      </c>
      <c r="H2070">
        <v>3.8483444371075981E-2</v>
      </c>
      <c r="I2070">
        <v>-5.3762505543427383E-5</v>
      </c>
      <c r="J2070">
        <v>15.06</v>
      </c>
      <c r="K2070">
        <v>15.066163387411001</v>
      </c>
      <c r="L2070" s="1">
        <v>50861</v>
      </c>
      <c r="M2070" s="1">
        <v>43024</v>
      </c>
      <c r="N2070" s="1">
        <v>43021</v>
      </c>
      <c r="R2070">
        <v>6.3056678853169604E-3</v>
      </c>
      <c r="S2070">
        <v>6.3056678853169604E-3</v>
      </c>
      <c r="T2070" t="s">
        <v>32</v>
      </c>
      <c r="U2070" t="s">
        <v>32</v>
      </c>
      <c r="V2070">
        <v>358737332</v>
      </c>
      <c r="W2070" t="s">
        <v>249</v>
      </c>
      <c r="X2070" t="s">
        <v>1043</v>
      </c>
      <c r="Y2070">
        <v>12000</v>
      </c>
      <c r="Z2070" t="s">
        <v>31</v>
      </c>
      <c r="AA2070">
        <v>-7.3225158233569416E-3</v>
      </c>
      <c r="AB2070">
        <v>111.95</v>
      </c>
      <c r="AC2070" t="s">
        <v>142</v>
      </c>
      <c r="AD2070" t="s">
        <v>142</v>
      </c>
      <c r="AE2070" t="s">
        <v>41</v>
      </c>
      <c r="AF2070">
        <v>8.5111791297699316E-3</v>
      </c>
      <c r="AG2070">
        <v>3.21</v>
      </c>
      <c r="AH2070" t="s">
        <v>237</v>
      </c>
      <c r="AI2070" t="s">
        <v>237</v>
      </c>
      <c r="AJ2070">
        <v>-8.526060446129087E-3</v>
      </c>
      <c r="AK2070">
        <v>2.5553415917049125E-3</v>
      </c>
      <c r="AL2070">
        <v>1.1081402037834E-2</v>
      </c>
      <c r="AM2070" t="s">
        <v>41</v>
      </c>
      <c r="AN2070" t="s">
        <v>146</v>
      </c>
      <c r="AO2070" t="s">
        <v>142</v>
      </c>
      <c r="AP2070" t="s">
        <v>31</v>
      </c>
      <c r="AQ2070">
        <v>2.1748970024751928E-5</v>
      </c>
    </row>
    <row r="2071" spans="1:43" x14ac:dyDescent="0.2">
      <c r="A2071">
        <v>2069</v>
      </c>
      <c r="B2071">
        <v>91</v>
      </c>
      <c r="C2071">
        <v>7</v>
      </c>
      <c r="D2071">
        <v>50000</v>
      </c>
      <c r="E2071" t="s">
        <v>459</v>
      </c>
      <c r="F2071" t="s">
        <v>53</v>
      </c>
      <c r="G2071" t="s">
        <v>1045</v>
      </c>
      <c r="H2071">
        <v>0.15918277303138587</v>
      </c>
      <c r="I2071">
        <v>6.5863103661398194E-5</v>
      </c>
      <c r="J2071">
        <v>15.24</v>
      </c>
      <c r="L2071" s="1">
        <v>51075</v>
      </c>
      <c r="M2071" s="1">
        <v>43024</v>
      </c>
      <c r="N2071" s="1"/>
      <c r="R2071">
        <v>6.3056678853169604E-3</v>
      </c>
      <c r="T2071" t="s">
        <v>32</v>
      </c>
      <c r="V2071">
        <v>1466353598</v>
      </c>
      <c r="W2071" t="s">
        <v>249</v>
      </c>
      <c r="X2071" t="s">
        <v>1043</v>
      </c>
      <c r="Y2071">
        <v>50000</v>
      </c>
      <c r="Z2071" t="s">
        <v>31</v>
      </c>
      <c r="AA2071">
        <v>8.9706313695967106E-3</v>
      </c>
      <c r="AB2071">
        <v>108.13</v>
      </c>
      <c r="AC2071" t="s">
        <v>142</v>
      </c>
      <c r="AE2071" t="s">
        <v>41</v>
      </c>
      <c r="AF2071">
        <v>9.011179129769932E-3</v>
      </c>
      <c r="AH2071" t="s">
        <v>237</v>
      </c>
      <c r="AJ2071">
        <v>1.0445063847203796E-2</v>
      </c>
      <c r="AK2071">
        <v>1.0445063847203796E-2</v>
      </c>
      <c r="AL2071">
        <v>0</v>
      </c>
      <c r="AN2071" t="s">
        <v>146</v>
      </c>
      <c r="AQ2071">
        <v>9.4122341349037284E-5</v>
      </c>
    </row>
    <row r="2072" spans="1:43" x14ac:dyDescent="0.2">
      <c r="A2072">
        <v>2070</v>
      </c>
      <c r="B2072">
        <v>102</v>
      </c>
      <c r="C2072">
        <v>7</v>
      </c>
      <c r="D2072">
        <v>60000</v>
      </c>
      <c r="E2072" t="s">
        <v>462</v>
      </c>
      <c r="F2072" t="s">
        <v>53</v>
      </c>
      <c r="G2072" t="s">
        <v>1082</v>
      </c>
      <c r="H2072">
        <v>0.15902473477991547</v>
      </c>
      <c r="I2072">
        <v>1.1152319629940401E-4</v>
      </c>
      <c r="J2072">
        <v>11.71</v>
      </c>
      <c r="L2072" s="1">
        <v>48792</v>
      </c>
      <c r="M2072" s="1">
        <v>43024</v>
      </c>
      <c r="N2072" s="1"/>
      <c r="R2072">
        <v>8.2121603942518166E-3</v>
      </c>
      <c r="T2072" t="s">
        <v>32</v>
      </c>
      <c r="V2072">
        <v>1906493790</v>
      </c>
      <c r="W2072" t="s">
        <v>220</v>
      </c>
      <c r="X2072" t="s">
        <v>1083</v>
      </c>
      <c r="Y2072">
        <v>60000</v>
      </c>
      <c r="Z2072" t="s">
        <v>31</v>
      </c>
      <c r="AA2072">
        <v>1.5189589125716696E-2</v>
      </c>
      <c r="AB2072">
        <v>118.06</v>
      </c>
      <c r="AC2072" t="s">
        <v>34</v>
      </c>
      <c r="AE2072" t="s">
        <v>41</v>
      </c>
      <c r="AF2072">
        <v>7.9111791297699352E-3</v>
      </c>
      <c r="AH2072" t="s">
        <v>237</v>
      </c>
      <c r="AJ2072">
        <v>1.3580250621683642E-2</v>
      </c>
      <c r="AK2072">
        <v>1.3580250621683642E-2</v>
      </c>
      <c r="AL2072">
        <v>0</v>
      </c>
      <c r="AN2072" t="s">
        <v>54</v>
      </c>
      <c r="AQ2072">
        <v>1.0743579529530882E-4</v>
      </c>
    </row>
    <row r="2073" spans="1:43" x14ac:dyDescent="0.2">
      <c r="A2073">
        <v>2071</v>
      </c>
      <c r="B2073">
        <v>102</v>
      </c>
      <c r="C2073">
        <v>7</v>
      </c>
      <c r="D2073">
        <v>20000</v>
      </c>
      <c r="E2073" t="s">
        <v>462</v>
      </c>
      <c r="F2073" t="s">
        <v>53</v>
      </c>
      <c r="G2073" t="s">
        <v>1085</v>
      </c>
      <c r="H2073">
        <v>5.5464767737844915E-2</v>
      </c>
      <c r="I2073">
        <v>3.5010420360730665E-5</v>
      </c>
      <c r="J2073">
        <v>13.01</v>
      </c>
      <c r="L2073" s="1">
        <v>49491</v>
      </c>
      <c r="M2073" s="1">
        <v>43024</v>
      </c>
      <c r="N2073" s="1"/>
      <c r="R2073">
        <v>8.2121603942518166E-3</v>
      </c>
      <c r="T2073" t="s">
        <v>32</v>
      </c>
      <c r="V2073">
        <v>598504627</v>
      </c>
      <c r="W2073" t="s">
        <v>220</v>
      </c>
      <c r="X2073" t="s">
        <v>1083</v>
      </c>
      <c r="Y2073">
        <v>20000</v>
      </c>
      <c r="Z2073" t="s">
        <v>31</v>
      </c>
      <c r="AA2073">
        <v>4.7684599979579932E-3</v>
      </c>
      <c r="AB2073">
        <v>110.95</v>
      </c>
      <c r="AC2073" t="s">
        <v>34</v>
      </c>
      <c r="AE2073" t="s">
        <v>41</v>
      </c>
      <c r="AF2073">
        <v>8.4111791297699356E-3</v>
      </c>
      <c r="AH2073" t="s">
        <v>237</v>
      </c>
      <c r="AJ2073">
        <v>4.2632411789273574E-3</v>
      </c>
      <c r="AK2073">
        <v>4.2632411789273574E-3</v>
      </c>
      <c r="AL2073">
        <v>0</v>
      </c>
      <c r="AN2073" t="s">
        <v>54</v>
      </c>
      <c r="AQ2073">
        <v>3.5858885229369565E-5</v>
      </c>
    </row>
    <row r="2074" spans="1:43" x14ac:dyDescent="0.2">
      <c r="A2074">
        <v>2072</v>
      </c>
      <c r="B2074">
        <v>102</v>
      </c>
      <c r="C2074">
        <v>7</v>
      </c>
      <c r="D2074">
        <v>20000</v>
      </c>
      <c r="E2074" t="s">
        <v>462</v>
      </c>
      <c r="F2074" t="s">
        <v>53</v>
      </c>
      <c r="G2074" t="s">
        <v>1086</v>
      </c>
      <c r="H2074">
        <v>5.7498722091084198E-2</v>
      </c>
      <c r="I2074">
        <v>3.4925201795598645E-5</v>
      </c>
      <c r="J2074">
        <v>13.52</v>
      </c>
      <c r="L2074" s="1">
        <v>49857</v>
      </c>
      <c r="M2074" s="1">
        <v>43024</v>
      </c>
      <c r="N2074" s="1"/>
      <c r="R2074">
        <v>8.2121603942518166E-3</v>
      </c>
      <c r="T2074" t="s">
        <v>32</v>
      </c>
      <c r="V2074">
        <v>597047812</v>
      </c>
      <c r="W2074" t="s">
        <v>220</v>
      </c>
      <c r="X2074" t="s">
        <v>1083</v>
      </c>
      <c r="Y2074">
        <v>20000</v>
      </c>
      <c r="Z2074" t="s">
        <v>31</v>
      </c>
      <c r="AA2074">
        <v>4.7568531302103782E-3</v>
      </c>
      <c r="AB2074">
        <v>110.67</v>
      </c>
      <c r="AC2074" t="s">
        <v>34</v>
      </c>
      <c r="AE2074" t="s">
        <v>41</v>
      </c>
      <c r="AF2074">
        <v>8.9111791297699361E-3</v>
      </c>
      <c r="AH2074" t="s">
        <v>237</v>
      </c>
      <c r="AJ2074">
        <v>4.2528640599914349E-3</v>
      </c>
      <c r="AK2074">
        <v>4.2528640599914349E-3</v>
      </c>
      <c r="AL2074">
        <v>0</v>
      </c>
      <c r="AN2074" t="s">
        <v>54</v>
      </c>
      <c r="AQ2074">
        <v>3.7898033453144309E-5</v>
      </c>
    </row>
    <row r="2075" spans="1:43" x14ac:dyDescent="0.2">
      <c r="A2075">
        <v>2073</v>
      </c>
      <c r="B2075">
        <v>90</v>
      </c>
      <c r="C2075">
        <v>7</v>
      </c>
      <c r="D2075">
        <v>60000</v>
      </c>
      <c r="E2075" t="s">
        <v>300</v>
      </c>
      <c r="F2075" t="s">
        <v>53</v>
      </c>
      <c r="G2075" t="s">
        <v>990</v>
      </c>
      <c r="H2075">
        <v>5.3520821279987349E-2</v>
      </c>
      <c r="I2075">
        <v>-5.8986446663929697E-6</v>
      </c>
      <c r="J2075">
        <v>5.17</v>
      </c>
      <c r="K2075">
        <v>5.1846287745276003</v>
      </c>
      <c r="L2075" s="1">
        <v>46919</v>
      </c>
      <c r="M2075" s="1">
        <v>43024</v>
      </c>
      <c r="N2075" s="1">
        <v>43021</v>
      </c>
      <c r="R2075">
        <v>1.2063470945976875E-3</v>
      </c>
      <c r="S2075">
        <v>1.2063470945976875E-3</v>
      </c>
      <c r="T2075" t="s">
        <v>32</v>
      </c>
      <c r="U2075" t="s">
        <v>32</v>
      </c>
      <c r="V2075">
        <v>1453315268</v>
      </c>
      <c r="W2075" t="s">
        <v>213</v>
      </c>
      <c r="X2075" t="s">
        <v>991</v>
      </c>
      <c r="Y2075">
        <v>60000</v>
      </c>
      <c r="Z2075" t="s">
        <v>31</v>
      </c>
      <c r="AA2075">
        <v>-8.0340226835471588E-4</v>
      </c>
      <c r="AB2075">
        <v>108.1</v>
      </c>
      <c r="AC2075" t="s">
        <v>142</v>
      </c>
      <c r="AD2075" t="s">
        <v>142</v>
      </c>
      <c r="AE2075" t="s">
        <v>41</v>
      </c>
      <c r="AF2075">
        <v>6.1117912976993427E-4</v>
      </c>
      <c r="AG2075">
        <v>2.42</v>
      </c>
      <c r="AH2075" t="s">
        <v>237</v>
      </c>
      <c r="AI2075" t="s">
        <v>237</v>
      </c>
      <c r="AJ2075">
        <v>-4.8896745329835168E-3</v>
      </c>
      <c r="AK2075">
        <v>1.0352189802705483E-2</v>
      </c>
      <c r="AL2075">
        <v>1.5241864335689E-2</v>
      </c>
      <c r="AM2075" t="s">
        <v>41</v>
      </c>
      <c r="AN2075" t="s">
        <v>146</v>
      </c>
      <c r="AO2075" t="s">
        <v>142</v>
      </c>
      <c r="AP2075" t="s">
        <v>31</v>
      </c>
      <c r="AQ2075">
        <v>6.3270423548307249E-6</v>
      </c>
    </row>
    <row r="2076" spans="1:43" x14ac:dyDescent="0.2">
      <c r="A2076">
        <v>2074</v>
      </c>
      <c r="B2076">
        <v>91</v>
      </c>
      <c r="C2076">
        <v>7</v>
      </c>
      <c r="D2076">
        <v>50000</v>
      </c>
      <c r="E2076" t="s">
        <v>915</v>
      </c>
      <c r="F2076" t="s">
        <v>53</v>
      </c>
      <c r="G2076" t="s">
        <v>1048</v>
      </c>
      <c r="H2076">
        <v>8.074030819863437E-2</v>
      </c>
      <c r="I2076">
        <v>-2.6817628024456616E-6</v>
      </c>
      <c r="J2076">
        <v>7.62</v>
      </c>
      <c r="K2076">
        <v>7.6349646403175999</v>
      </c>
      <c r="L2076" s="1">
        <v>48228</v>
      </c>
      <c r="M2076" s="1">
        <v>43024</v>
      </c>
      <c r="N2076" s="1">
        <v>43021</v>
      </c>
      <c r="R2076">
        <v>6.3056678853169604E-3</v>
      </c>
      <c r="S2076">
        <v>6.3056678853169604E-3</v>
      </c>
      <c r="T2076" t="s">
        <v>32</v>
      </c>
      <c r="U2076" t="s">
        <v>32</v>
      </c>
      <c r="V2076">
        <v>1487520781</v>
      </c>
      <c r="W2076" t="s">
        <v>223</v>
      </c>
      <c r="X2076" t="s">
        <v>917</v>
      </c>
      <c r="Y2076">
        <v>50000</v>
      </c>
      <c r="Z2076" t="s">
        <v>31</v>
      </c>
      <c r="AA2076">
        <v>-3.6525921470561228E-4</v>
      </c>
      <c r="AB2076">
        <v>110.48</v>
      </c>
      <c r="AC2076" t="s">
        <v>55</v>
      </c>
      <c r="AD2076" t="s">
        <v>55</v>
      </c>
      <c r="AE2076" t="s">
        <v>41</v>
      </c>
      <c r="AF2076">
        <v>2.7111791297699354E-3</v>
      </c>
      <c r="AG2076">
        <v>2.62</v>
      </c>
      <c r="AH2076" t="s">
        <v>237</v>
      </c>
      <c r="AI2076" t="s">
        <v>237</v>
      </c>
      <c r="AJ2076">
        <v>-4.2529401345260676E-4</v>
      </c>
      <c r="AK2076">
        <v>1.0595840970949393E-2</v>
      </c>
      <c r="AL2076">
        <v>1.1021134984401999E-2</v>
      </c>
      <c r="AM2076" t="s">
        <v>41</v>
      </c>
      <c r="AN2076" t="s">
        <v>149</v>
      </c>
      <c r="AO2076" t="s">
        <v>55</v>
      </c>
      <c r="AP2076" t="s">
        <v>31</v>
      </c>
      <c r="AQ2076">
        <v>2.8727222902799203E-5</v>
      </c>
    </row>
    <row r="2077" spans="1:43" x14ac:dyDescent="0.2">
      <c r="A2077">
        <v>2075</v>
      </c>
      <c r="B2077">
        <v>89</v>
      </c>
      <c r="C2077">
        <v>7</v>
      </c>
      <c r="D2077">
        <v>15000</v>
      </c>
      <c r="E2077" t="s">
        <v>430</v>
      </c>
      <c r="F2077" t="s">
        <v>53</v>
      </c>
      <c r="G2077" t="s">
        <v>1012</v>
      </c>
      <c r="H2077">
        <v>1.1502041825097729E-2</v>
      </c>
      <c r="I2077">
        <v>3.9152877325308597E-6</v>
      </c>
      <c r="J2077">
        <v>4.72</v>
      </c>
      <c r="L2077" s="1">
        <v>46874</v>
      </c>
      <c r="M2077" s="1">
        <v>43024</v>
      </c>
      <c r="N2077" s="1"/>
      <c r="R2077">
        <v>1.6066850024159633E-3</v>
      </c>
      <c r="T2077" t="s">
        <v>32</v>
      </c>
      <c r="V2077">
        <v>342105892</v>
      </c>
      <c r="W2077" t="s">
        <v>248</v>
      </c>
      <c r="X2077" t="s">
        <v>432</v>
      </c>
      <c r="Y2077">
        <v>15000</v>
      </c>
      <c r="Z2077" t="s">
        <v>31</v>
      </c>
      <c r="AA2077">
        <v>5.3326674574893386E-4</v>
      </c>
      <c r="AB2077">
        <v>106.92</v>
      </c>
      <c r="AC2077" t="s">
        <v>55</v>
      </c>
      <c r="AE2077" t="s">
        <v>41</v>
      </c>
      <c r="AF2077">
        <v>1.5111791297699358E-3</v>
      </c>
      <c r="AH2077" t="s">
        <v>237</v>
      </c>
      <c r="AJ2077">
        <v>2.43687326802918E-3</v>
      </c>
      <c r="AK2077">
        <v>2.43687326802918E-3</v>
      </c>
      <c r="AL2077">
        <v>0</v>
      </c>
      <c r="AN2077" t="s">
        <v>149</v>
      </c>
      <c r="AQ2077">
        <v>3.6825520245399557E-6</v>
      </c>
    </row>
    <row r="2078" spans="1:43" x14ac:dyDescent="0.2">
      <c r="A2078">
        <v>2076</v>
      </c>
      <c r="B2078">
        <v>90</v>
      </c>
      <c r="C2078">
        <v>7</v>
      </c>
      <c r="D2078">
        <v>55000</v>
      </c>
      <c r="E2078" t="s">
        <v>430</v>
      </c>
      <c r="F2078" t="s">
        <v>53</v>
      </c>
      <c r="G2078" t="s">
        <v>1028</v>
      </c>
      <c r="H2078">
        <v>7.0169222421080812E-2</v>
      </c>
      <c r="I2078">
        <v>-1.224248208763129E-5</v>
      </c>
      <c r="J2078">
        <v>6.67</v>
      </c>
      <c r="K2078">
        <v>6.6842976001443999</v>
      </c>
      <c r="L2078" s="1">
        <v>48183</v>
      </c>
      <c r="M2078" s="1">
        <v>43024</v>
      </c>
      <c r="N2078" s="1">
        <v>43021</v>
      </c>
      <c r="R2078">
        <v>1.2063470945976875E-3</v>
      </c>
      <c r="S2078">
        <v>1.2063470945976875E-3</v>
      </c>
      <c r="T2078" t="s">
        <v>32</v>
      </c>
      <c r="U2078" t="s">
        <v>32</v>
      </c>
      <c r="V2078">
        <v>1476890987</v>
      </c>
      <c r="W2078" t="s">
        <v>248</v>
      </c>
      <c r="X2078" t="s">
        <v>1029</v>
      </c>
      <c r="Y2078">
        <v>55000</v>
      </c>
      <c r="Z2078" t="s">
        <v>31</v>
      </c>
      <c r="AA2078">
        <v>-1.6674403080308724E-3</v>
      </c>
      <c r="AB2078">
        <v>102.34</v>
      </c>
      <c r="AC2078" t="s">
        <v>55</v>
      </c>
      <c r="AD2078" t="s">
        <v>55</v>
      </c>
      <c r="AE2078" t="s">
        <v>41</v>
      </c>
      <c r="AF2078">
        <v>2.8111791297699348E-3</v>
      </c>
      <c r="AG2078">
        <v>2.63</v>
      </c>
      <c r="AH2078" t="s">
        <v>237</v>
      </c>
      <c r="AI2078" t="s">
        <v>237</v>
      </c>
      <c r="AJ2078">
        <v>-1.0148391074555632E-2</v>
      </c>
      <c r="AK2078">
        <v>1.0520123301511367E-2</v>
      </c>
      <c r="AL2078">
        <v>2.0668514376066999E-2</v>
      </c>
      <c r="AM2078" t="s">
        <v>41</v>
      </c>
      <c r="AN2078" t="s">
        <v>149</v>
      </c>
      <c r="AO2078" t="s">
        <v>55</v>
      </c>
      <c r="AP2078" t="s">
        <v>31</v>
      </c>
      <c r="AQ2078">
        <v>2.9573951067815139E-5</v>
      </c>
    </row>
    <row r="2079" spans="1:43" x14ac:dyDescent="0.2">
      <c r="A2079">
        <v>2077</v>
      </c>
      <c r="B2079">
        <v>91</v>
      </c>
      <c r="C2079">
        <v>7</v>
      </c>
      <c r="D2079">
        <v>34500</v>
      </c>
      <c r="E2079" t="s">
        <v>430</v>
      </c>
      <c r="F2079" t="s">
        <v>53</v>
      </c>
      <c r="G2079" t="s">
        <v>1049</v>
      </c>
      <c r="H2079">
        <v>8.5143143405441282E-2</v>
      </c>
      <c r="I2079">
        <v>4.6084496568809239E-5</v>
      </c>
      <c r="J2079">
        <v>11.65</v>
      </c>
      <c r="L2079" s="1">
        <v>50100</v>
      </c>
      <c r="M2079" s="1">
        <v>43024</v>
      </c>
      <c r="N2079" s="1"/>
      <c r="R2079">
        <v>6.3056678853169604E-3</v>
      </c>
      <c r="T2079" t="s">
        <v>32</v>
      </c>
      <c r="V2079">
        <v>1026009459</v>
      </c>
      <c r="W2079" t="s">
        <v>248</v>
      </c>
      <c r="X2079" t="s">
        <v>1029</v>
      </c>
      <c r="Y2079">
        <v>34500</v>
      </c>
      <c r="Z2079" t="s">
        <v>31</v>
      </c>
      <c r="AA2079">
        <v>6.2767620654130595E-3</v>
      </c>
      <c r="AB2079">
        <v>111</v>
      </c>
      <c r="AC2079" t="s">
        <v>55</v>
      </c>
      <c r="AE2079" t="s">
        <v>41</v>
      </c>
      <c r="AF2079">
        <v>7.0111791297699337E-3</v>
      </c>
      <c r="AH2079" t="s">
        <v>237</v>
      </c>
      <c r="AJ2079">
        <v>7.3084243266473203E-3</v>
      </c>
      <c r="AK2079">
        <v>7.3084243266473203E-3</v>
      </c>
      <c r="AL2079">
        <v>0</v>
      </c>
      <c r="AN2079" t="s">
        <v>149</v>
      </c>
      <c r="AQ2079">
        <v>5.124067211049257E-5</v>
      </c>
    </row>
    <row r="2080" spans="1:43" x14ac:dyDescent="0.2">
      <c r="A2080">
        <v>2078</v>
      </c>
      <c r="B2080">
        <v>91</v>
      </c>
      <c r="C2080">
        <v>7</v>
      </c>
      <c r="D2080">
        <v>39000</v>
      </c>
      <c r="E2080" t="s">
        <v>430</v>
      </c>
      <c r="F2080" t="s">
        <v>53</v>
      </c>
      <c r="G2080" t="s">
        <v>1050</v>
      </c>
      <c r="H2080">
        <v>0.10509848169656683</v>
      </c>
      <c r="I2080">
        <v>-9.330547470266219E-5</v>
      </c>
      <c r="J2080">
        <v>12.61</v>
      </c>
      <c r="K2080">
        <v>12.624453902706</v>
      </c>
      <c r="L2080" s="1">
        <v>50679</v>
      </c>
      <c r="M2080" s="1">
        <v>43024</v>
      </c>
      <c r="N2080" s="1">
        <v>43021</v>
      </c>
      <c r="R2080">
        <v>6.3056678853169604E-3</v>
      </c>
      <c r="S2080">
        <v>6.3056678853169604E-3</v>
      </c>
      <c r="T2080" t="s">
        <v>32</v>
      </c>
      <c r="U2080" t="s">
        <v>32</v>
      </c>
      <c r="V2080">
        <v>1170062244</v>
      </c>
      <c r="W2080" t="s">
        <v>248</v>
      </c>
      <c r="X2080" t="s">
        <v>1029</v>
      </c>
      <c r="Y2080">
        <v>39000</v>
      </c>
      <c r="Z2080" t="s">
        <v>31</v>
      </c>
      <c r="AA2080">
        <v>-1.2708314242612555E-2</v>
      </c>
      <c r="AB2080">
        <v>112.34</v>
      </c>
      <c r="AC2080" t="s">
        <v>55</v>
      </c>
      <c r="AD2080" t="s">
        <v>55</v>
      </c>
      <c r="AE2080" t="s">
        <v>41</v>
      </c>
      <c r="AF2080">
        <v>6.7111791297699355E-3</v>
      </c>
      <c r="AG2080">
        <v>3.02</v>
      </c>
      <c r="AH2080" t="s">
        <v>237</v>
      </c>
      <c r="AI2080" t="s">
        <v>237</v>
      </c>
      <c r="AJ2080">
        <v>-1.4797080404429213E-2</v>
      </c>
      <c r="AK2080">
        <v>8.3345346309727855E-3</v>
      </c>
      <c r="AL2080">
        <v>2.3131615035401999E-2</v>
      </c>
      <c r="AM2080" t="s">
        <v>41</v>
      </c>
      <c r="AN2080" t="s">
        <v>149</v>
      </c>
      <c r="AO2080" t="s">
        <v>55</v>
      </c>
      <c r="AP2080" t="s">
        <v>31</v>
      </c>
      <c r="AQ2080">
        <v>5.593455487172933E-5</v>
      </c>
    </row>
    <row r="2081" spans="1:43" x14ac:dyDescent="0.2">
      <c r="A2081">
        <v>2079</v>
      </c>
      <c r="B2081">
        <v>102</v>
      </c>
      <c r="C2081">
        <v>7</v>
      </c>
      <c r="D2081">
        <v>30000</v>
      </c>
      <c r="E2081" t="s">
        <v>414</v>
      </c>
      <c r="F2081" t="s">
        <v>53</v>
      </c>
      <c r="G2081" t="s">
        <v>994</v>
      </c>
      <c r="H2081">
        <v>5.0080183236089613E-2</v>
      </c>
      <c r="I2081">
        <v>5.5277755014554958E-5</v>
      </c>
      <c r="J2081">
        <v>7.44</v>
      </c>
      <c r="L2081" s="1">
        <v>46266</v>
      </c>
      <c r="M2081" s="1">
        <v>43024</v>
      </c>
      <c r="N2081" s="1"/>
      <c r="R2081">
        <v>8.2121603942518166E-3</v>
      </c>
      <c r="T2081" t="s">
        <v>32</v>
      </c>
      <c r="V2081">
        <v>944975576</v>
      </c>
      <c r="W2081" t="s">
        <v>200</v>
      </c>
      <c r="X2081" t="s">
        <v>305</v>
      </c>
      <c r="Y2081">
        <v>30000</v>
      </c>
      <c r="Z2081" t="s">
        <v>31</v>
      </c>
      <c r="AA2081">
        <v>7.5288945647588356E-3</v>
      </c>
      <c r="AB2081">
        <v>117.45</v>
      </c>
      <c r="AC2081" t="s">
        <v>33</v>
      </c>
      <c r="AE2081" t="s">
        <v>41</v>
      </c>
      <c r="AF2081">
        <v>2.3111791297699344E-3</v>
      </c>
      <c r="AH2081" t="s">
        <v>237</v>
      </c>
      <c r="AJ2081">
        <v>6.7312074242055929E-3</v>
      </c>
      <c r="AK2081">
        <v>6.7312074242055929E-3</v>
      </c>
      <c r="AL2081">
        <v>0</v>
      </c>
      <c r="AN2081" t="s">
        <v>148</v>
      </c>
      <c r="AQ2081">
        <v>1.5557026116976403E-5</v>
      </c>
    </row>
    <row r="2082" spans="1:43" x14ac:dyDescent="0.2">
      <c r="L2082" s="1"/>
      <c r="M2082" s="1"/>
      <c r="N2082" s="1"/>
    </row>
    <row r="2083" spans="1:43" x14ac:dyDescent="0.2">
      <c r="L2083" s="1"/>
      <c r="M2083" s="1"/>
      <c r="N2083" s="1"/>
    </row>
    <row r="2084" spans="1:43" x14ac:dyDescent="0.2">
      <c r="L2084" s="1"/>
      <c r="M2084" s="1"/>
      <c r="N2084" s="1"/>
    </row>
    <row r="2085" spans="1:43" x14ac:dyDescent="0.2">
      <c r="L2085" s="1"/>
      <c r="M2085" s="1"/>
      <c r="N2085" s="1"/>
    </row>
    <row r="2086" spans="1:43" x14ac:dyDescent="0.2">
      <c r="L2086" s="1"/>
      <c r="M2086" s="1"/>
      <c r="N2086" s="1"/>
    </row>
    <row r="2087" spans="1:43" x14ac:dyDescent="0.2">
      <c r="L2087" s="1"/>
      <c r="M2087" s="1"/>
      <c r="N2087" s="1"/>
    </row>
    <row r="2088" spans="1:43" x14ac:dyDescent="0.2">
      <c r="L2088" s="1"/>
      <c r="M2088" s="1"/>
      <c r="N2088" s="1"/>
    </row>
    <row r="2089" spans="1:43" x14ac:dyDescent="0.2">
      <c r="L2089" s="1"/>
      <c r="M2089" s="1"/>
      <c r="N2089" s="1"/>
    </row>
    <row r="2090" spans="1:43" x14ac:dyDescent="0.2">
      <c r="L2090" s="1"/>
      <c r="M2090" s="1"/>
      <c r="N2090" s="1"/>
    </row>
    <row r="2091" spans="1:43" x14ac:dyDescent="0.2">
      <c r="L2091" s="1"/>
      <c r="M2091" s="1"/>
      <c r="N2091" s="1"/>
    </row>
    <row r="2092" spans="1:43" x14ac:dyDescent="0.2">
      <c r="L2092" s="1"/>
      <c r="M2092" s="1"/>
      <c r="N2092" s="1"/>
    </row>
    <row r="2093" spans="1:43" x14ac:dyDescent="0.2">
      <c r="L2093" s="1"/>
      <c r="M2093" s="1"/>
      <c r="N2093" s="1"/>
    </row>
    <row r="2094" spans="1:43" x14ac:dyDescent="0.2">
      <c r="L2094" s="1"/>
      <c r="M2094" s="1"/>
      <c r="N2094" s="1"/>
    </row>
    <row r="2095" spans="1:43" x14ac:dyDescent="0.2">
      <c r="L2095" s="1"/>
      <c r="M2095" s="1"/>
      <c r="N2095" s="1"/>
    </row>
    <row r="2096" spans="1:43" x14ac:dyDescent="0.2">
      <c r="L2096" s="1"/>
      <c r="M2096" s="1"/>
      <c r="N2096" s="1"/>
    </row>
    <row r="2097" spans="12:14" x14ac:dyDescent="0.2">
      <c r="L2097" s="1"/>
      <c r="M2097" s="1"/>
      <c r="N2097" s="1"/>
    </row>
    <row r="2098" spans="12:14" x14ac:dyDescent="0.2">
      <c r="L2098" s="1"/>
      <c r="M2098" s="1"/>
      <c r="N2098" s="1"/>
    </row>
    <row r="2099" spans="12:14" x14ac:dyDescent="0.2">
      <c r="L2099" s="1"/>
      <c r="M2099" s="1"/>
      <c r="N2099" s="1"/>
    </row>
    <row r="2100" spans="12:14" x14ac:dyDescent="0.2">
      <c r="L2100" s="1"/>
      <c r="M2100" s="1"/>
      <c r="N2100" s="1"/>
    </row>
    <row r="2101" spans="12:14" x14ac:dyDescent="0.2">
      <c r="L2101" s="1"/>
      <c r="M2101" s="1"/>
      <c r="N2101" s="1"/>
    </row>
    <row r="2102" spans="12:14" x14ac:dyDescent="0.2">
      <c r="L2102" s="1"/>
      <c r="M2102" s="1"/>
      <c r="N2102" s="1"/>
    </row>
    <row r="2103" spans="12:14" x14ac:dyDescent="0.2">
      <c r="L2103" s="1"/>
      <c r="M2103" s="1"/>
      <c r="N2103" s="1"/>
    </row>
    <row r="2104" spans="12:14" x14ac:dyDescent="0.2">
      <c r="L2104" s="1"/>
      <c r="M2104" s="1"/>
      <c r="N2104" s="1"/>
    </row>
    <row r="2105" spans="12:14" x14ac:dyDescent="0.2">
      <c r="L2105" s="1"/>
      <c r="M2105" s="1"/>
      <c r="N2105" s="1"/>
    </row>
    <row r="2106" spans="12:14" x14ac:dyDescent="0.2">
      <c r="L2106" s="1"/>
      <c r="M2106" s="1"/>
      <c r="N2106" s="1"/>
    </row>
    <row r="2107" spans="12:14" x14ac:dyDescent="0.2">
      <c r="L2107" s="1"/>
      <c r="M2107" s="1"/>
      <c r="N2107" s="1"/>
    </row>
    <row r="2108" spans="12:14" x14ac:dyDescent="0.2">
      <c r="L2108" s="1"/>
      <c r="M2108" s="1"/>
      <c r="N2108" s="1"/>
    </row>
    <row r="2109" spans="12:14" x14ac:dyDescent="0.2">
      <c r="L2109" s="1"/>
      <c r="M2109" s="1"/>
      <c r="N2109" s="1"/>
    </row>
    <row r="2110" spans="12:14" x14ac:dyDescent="0.2">
      <c r="L2110" s="1"/>
      <c r="M2110" s="1"/>
      <c r="N2110" s="1"/>
    </row>
    <row r="2111" spans="12:14" x14ac:dyDescent="0.2">
      <c r="L2111" s="1"/>
      <c r="M2111" s="1"/>
      <c r="N2111" s="1"/>
    </row>
    <row r="2112" spans="12:14" x14ac:dyDescent="0.2">
      <c r="L2112" s="1"/>
      <c r="M2112" s="1"/>
      <c r="N2112" s="1"/>
    </row>
    <row r="2113" spans="12:14" x14ac:dyDescent="0.2">
      <c r="L2113" s="1"/>
      <c r="M2113" s="1"/>
      <c r="N2113" s="1"/>
    </row>
    <row r="2114" spans="12:14" x14ac:dyDescent="0.2">
      <c r="L2114" s="1"/>
      <c r="M2114" s="1"/>
      <c r="N2114" s="1"/>
    </row>
    <row r="2115" spans="12:14" x14ac:dyDescent="0.2">
      <c r="L2115" s="1"/>
      <c r="M2115" s="1"/>
      <c r="N2115" s="1"/>
    </row>
    <row r="2116" spans="12:14" x14ac:dyDescent="0.2">
      <c r="L2116" s="1"/>
      <c r="M2116" s="1"/>
      <c r="N2116" s="1"/>
    </row>
    <row r="2117" spans="12:14" x14ac:dyDescent="0.2">
      <c r="L2117" s="1"/>
      <c r="M2117" s="1"/>
      <c r="N2117" s="1"/>
    </row>
    <row r="2118" spans="12:14" x14ac:dyDescent="0.2">
      <c r="L2118" s="1"/>
      <c r="M2118" s="1"/>
    </row>
    <row r="2119" spans="12:14" x14ac:dyDescent="0.2">
      <c r="L2119" s="1"/>
      <c r="M2119" s="1"/>
      <c r="N2119" s="1"/>
    </row>
    <row r="2120" spans="12:14" x14ac:dyDescent="0.2">
      <c r="L2120" s="1"/>
      <c r="M2120" s="1"/>
      <c r="N2120" s="1"/>
    </row>
    <row r="2121" spans="12:14" x14ac:dyDescent="0.2">
      <c r="L2121" s="1"/>
      <c r="M2121" s="1"/>
      <c r="N2121" s="1"/>
    </row>
    <row r="2122" spans="12:14" x14ac:dyDescent="0.2">
      <c r="L2122" s="1"/>
      <c r="M2122" s="1"/>
    </row>
    <row r="2123" spans="12:14" x14ac:dyDescent="0.2">
      <c r="L2123" s="1"/>
      <c r="M2123" s="1"/>
    </row>
    <row r="2124" spans="12:14" x14ac:dyDescent="0.2">
      <c r="L2124" s="1"/>
      <c r="M2124" s="1"/>
      <c r="N2124" s="1"/>
    </row>
    <row r="2125" spans="12:14" x14ac:dyDescent="0.2">
      <c r="L2125" s="1"/>
      <c r="M2125" s="1"/>
      <c r="N2125" s="1"/>
    </row>
    <row r="2126" spans="12:14" x14ac:dyDescent="0.2">
      <c r="L2126" s="1"/>
      <c r="M2126" s="1"/>
      <c r="N2126" s="1"/>
    </row>
    <row r="2127" spans="12:14" x14ac:dyDescent="0.2">
      <c r="L2127" s="1"/>
      <c r="M2127" s="1"/>
    </row>
    <row r="2128" spans="12:14" x14ac:dyDescent="0.2">
      <c r="L2128" s="1"/>
      <c r="M2128" s="1"/>
      <c r="N2128" s="1"/>
    </row>
    <row r="2129" spans="12:14" x14ac:dyDescent="0.2">
      <c r="L2129" s="1"/>
      <c r="M2129" s="1"/>
    </row>
    <row r="2130" spans="12:14" x14ac:dyDescent="0.2">
      <c r="L2130" s="1"/>
      <c r="M2130" s="1"/>
    </row>
    <row r="2131" spans="12:14" x14ac:dyDescent="0.2">
      <c r="L2131" s="1"/>
      <c r="M2131" s="1"/>
    </row>
    <row r="2132" spans="12:14" x14ac:dyDescent="0.2">
      <c r="L2132" s="1"/>
      <c r="M2132" s="1"/>
    </row>
    <row r="2133" spans="12:14" x14ac:dyDescent="0.2">
      <c r="L2133" s="1"/>
      <c r="M2133" s="1"/>
    </row>
    <row r="2134" spans="12:14" x14ac:dyDescent="0.2">
      <c r="L2134" s="1"/>
      <c r="M2134" s="1"/>
    </row>
    <row r="2135" spans="12:14" x14ac:dyDescent="0.2">
      <c r="L2135" s="1"/>
      <c r="M2135" s="1"/>
    </row>
    <row r="2136" spans="12:14" x14ac:dyDescent="0.2">
      <c r="L2136" s="1"/>
      <c r="M2136" s="1"/>
      <c r="N2136" s="1"/>
    </row>
    <row r="2137" spans="12:14" x14ac:dyDescent="0.2">
      <c r="L2137" s="1"/>
      <c r="M2137" s="1"/>
      <c r="N2137" s="1"/>
    </row>
    <row r="2138" spans="12:14" x14ac:dyDescent="0.2">
      <c r="L2138" s="1"/>
      <c r="M2138" s="1"/>
    </row>
    <row r="2139" spans="12:14" x14ac:dyDescent="0.2">
      <c r="L2139" s="1"/>
      <c r="M2139" s="1"/>
      <c r="N2139" s="1"/>
    </row>
    <row r="2140" spans="12:14" x14ac:dyDescent="0.2">
      <c r="L2140" s="1"/>
      <c r="M2140" s="1"/>
      <c r="N2140" s="1"/>
    </row>
    <row r="2141" spans="12:14" x14ac:dyDescent="0.2">
      <c r="L2141" s="1"/>
      <c r="M2141" s="1"/>
      <c r="N2141" s="1"/>
    </row>
    <row r="2142" spans="12:14" x14ac:dyDescent="0.2">
      <c r="L2142" s="1"/>
      <c r="M2142" s="1"/>
      <c r="N2142" s="1"/>
    </row>
    <row r="2143" spans="12:14" x14ac:dyDescent="0.2">
      <c r="L2143" s="1"/>
      <c r="M2143" s="1"/>
    </row>
    <row r="2144" spans="12:14" x14ac:dyDescent="0.2">
      <c r="L2144" s="1"/>
      <c r="M2144" s="1"/>
      <c r="N2144" s="1"/>
    </row>
    <row r="2145" spans="12:14" x14ac:dyDescent="0.2">
      <c r="L2145" s="1"/>
      <c r="M2145" s="1"/>
      <c r="N2145" s="1"/>
    </row>
    <row r="2146" spans="12:14" x14ac:dyDescent="0.2">
      <c r="L2146" s="1"/>
      <c r="M2146" s="1"/>
    </row>
    <row r="2147" spans="12:14" x14ac:dyDescent="0.2">
      <c r="L2147" s="1"/>
      <c r="M2147" s="1"/>
    </row>
    <row r="2148" spans="12:14" x14ac:dyDescent="0.2">
      <c r="L2148" s="1"/>
      <c r="M2148" s="1"/>
      <c r="N2148" s="1"/>
    </row>
    <row r="2149" spans="12:14" x14ac:dyDescent="0.2">
      <c r="L2149" s="1"/>
      <c r="M2149" s="1"/>
      <c r="N2149" s="1"/>
    </row>
    <row r="2150" spans="12:14" x14ac:dyDescent="0.2">
      <c r="L2150" s="1"/>
      <c r="M2150" s="1"/>
      <c r="N2150" s="1"/>
    </row>
    <row r="2151" spans="12:14" x14ac:dyDescent="0.2">
      <c r="L2151" s="1"/>
      <c r="M2151" s="1"/>
      <c r="N2151" s="1"/>
    </row>
    <row r="2152" spans="12:14" x14ac:dyDescent="0.2">
      <c r="L2152" s="1"/>
      <c r="M2152" s="1"/>
      <c r="N2152" s="1"/>
    </row>
    <row r="2153" spans="12:14" x14ac:dyDescent="0.2">
      <c r="L2153" s="1"/>
      <c r="M2153" s="1"/>
    </row>
    <row r="2154" spans="12:14" x14ac:dyDescent="0.2">
      <c r="L2154" s="1"/>
      <c r="M2154" s="1"/>
    </row>
    <row r="2155" spans="12:14" x14ac:dyDescent="0.2">
      <c r="L2155" s="1"/>
      <c r="M2155" s="1"/>
      <c r="N2155" s="1"/>
    </row>
    <row r="2156" spans="12:14" x14ac:dyDescent="0.2">
      <c r="L2156" s="1"/>
      <c r="M2156" s="1"/>
    </row>
    <row r="2157" spans="12:14" x14ac:dyDescent="0.2">
      <c r="L2157" s="1"/>
      <c r="M2157" s="1"/>
      <c r="N2157" s="1"/>
    </row>
    <row r="2158" spans="12:14" x14ac:dyDescent="0.2">
      <c r="L2158" s="1"/>
      <c r="M2158" s="1"/>
      <c r="N2158" s="1"/>
    </row>
    <row r="2159" spans="12:14" x14ac:dyDescent="0.2">
      <c r="L2159" s="1"/>
      <c r="M2159" s="1"/>
      <c r="N2159" s="1"/>
    </row>
    <row r="2160" spans="12:14" x14ac:dyDescent="0.2">
      <c r="L2160" s="1"/>
      <c r="M2160" s="1"/>
      <c r="N2160" s="1"/>
    </row>
    <row r="2161" spans="12:14" x14ac:dyDescent="0.2">
      <c r="L2161" s="1"/>
      <c r="M2161" s="1"/>
    </row>
    <row r="2162" spans="12:14" x14ac:dyDescent="0.2">
      <c r="L2162" s="1"/>
      <c r="M2162" s="1"/>
      <c r="N2162" s="1"/>
    </row>
    <row r="2163" spans="12:14" x14ac:dyDescent="0.2">
      <c r="L2163" s="1"/>
      <c r="M2163" s="1"/>
      <c r="N2163" s="1"/>
    </row>
    <row r="2164" spans="12:14" x14ac:dyDescent="0.2">
      <c r="L2164" s="1"/>
      <c r="M2164" s="1"/>
      <c r="N2164" s="1"/>
    </row>
    <row r="2165" spans="12:14" x14ac:dyDescent="0.2">
      <c r="L2165" s="1"/>
      <c r="M2165" s="1"/>
      <c r="N2165" s="1"/>
    </row>
    <row r="2166" spans="12:14" x14ac:dyDescent="0.2">
      <c r="L2166" s="1"/>
      <c r="M2166" s="1"/>
      <c r="N2166" s="1"/>
    </row>
    <row r="2167" spans="12:14" x14ac:dyDescent="0.2">
      <c r="L2167" s="1"/>
      <c r="M2167" s="1"/>
      <c r="N2167" s="1"/>
    </row>
    <row r="2168" spans="12:14" x14ac:dyDescent="0.2">
      <c r="L2168" s="1"/>
      <c r="M2168" s="1"/>
      <c r="N2168" s="1"/>
    </row>
    <row r="2169" spans="12:14" x14ac:dyDescent="0.2">
      <c r="L2169" s="1"/>
      <c r="M2169" s="1"/>
      <c r="N2169" s="1"/>
    </row>
    <row r="2170" spans="12:14" x14ac:dyDescent="0.2">
      <c r="L2170" s="1"/>
      <c r="M2170" s="1"/>
      <c r="N2170" s="1"/>
    </row>
    <row r="2171" spans="12:14" x14ac:dyDescent="0.2">
      <c r="L2171" s="1"/>
      <c r="M2171" s="1"/>
      <c r="N2171" s="1"/>
    </row>
    <row r="2172" spans="12:14" x14ac:dyDescent="0.2">
      <c r="L2172" s="1"/>
      <c r="M2172" s="1"/>
      <c r="N2172" s="1"/>
    </row>
    <row r="2173" spans="12:14" x14ac:dyDescent="0.2">
      <c r="L2173" s="1"/>
      <c r="M2173" s="1"/>
      <c r="N2173" s="1"/>
    </row>
    <row r="2174" spans="12:14" x14ac:dyDescent="0.2">
      <c r="L2174" s="1"/>
      <c r="M2174" s="1"/>
      <c r="N2174" s="1"/>
    </row>
    <row r="2175" spans="12:14" x14ac:dyDescent="0.2">
      <c r="L2175" s="1"/>
      <c r="M2175" s="1"/>
      <c r="N2175" s="1"/>
    </row>
    <row r="2176" spans="12:14" x14ac:dyDescent="0.2">
      <c r="L2176" s="1"/>
      <c r="M2176" s="1"/>
      <c r="N2176" s="1"/>
    </row>
    <row r="2177" spans="12:14" x14ac:dyDescent="0.2">
      <c r="L2177" s="1"/>
      <c r="M2177" s="1"/>
      <c r="N2177" s="1"/>
    </row>
    <row r="2178" spans="12:14" x14ac:dyDescent="0.2">
      <c r="L2178" s="1"/>
      <c r="M2178" s="1"/>
      <c r="N2178" s="1"/>
    </row>
    <row r="2179" spans="12:14" x14ac:dyDescent="0.2">
      <c r="L2179" s="1"/>
      <c r="M2179" s="1"/>
      <c r="N2179" s="1"/>
    </row>
    <row r="2180" spans="12:14" x14ac:dyDescent="0.2">
      <c r="L2180" s="1"/>
      <c r="M2180" s="1"/>
      <c r="N2180" s="1"/>
    </row>
    <row r="2181" spans="12:14" x14ac:dyDescent="0.2">
      <c r="L2181" s="1"/>
      <c r="M2181" s="1"/>
      <c r="N2181" s="1"/>
    </row>
    <row r="2182" spans="12:14" x14ac:dyDescent="0.2">
      <c r="L2182" s="1"/>
      <c r="M2182" s="1"/>
      <c r="N2182" s="1"/>
    </row>
    <row r="2183" spans="12:14" x14ac:dyDescent="0.2">
      <c r="L2183" s="1"/>
      <c r="M2183" s="1"/>
      <c r="N2183" s="1"/>
    </row>
    <row r="2184" spans="12:14" x14ac:dyDescent="0.2">
      <c r="L2184" s="1"/>
      <c r="M2184" s="1"/>
      <c r="N2184" s="1"/>
    </row>
    <row r="2185" spans="12:14" x14ac:dyDescent="0.2">
      <c r="L2185" s="1"/>
      <c r="M2185" s="1"/>
      <c r="N2185" s="1"/>
    </row>
    <row r="2186" spans="12:14" x14ac:dyDescent="0.2">
      <c r="L2186" s="1"/>
      <c r="M2186" s="1"/>
    </row>
    <row r="2187" spans="12:14" x14ac:dyDescent="0.2">
      <c r="L2187" s="1"/>
      <c r="M2187" s="1"/>
    </row>
    <row r="2188" spans="12:14" x14ac:dyDescent="0.2">
      <c r="L2188" s="1"/>
      <c r="M2188" s="1"/>
      <c r="N2188" s="1"/>
    </row>
    <row r="2189" spans="12:14" x14ac:dyDescent="0.2">
      <c r="L2189" s="1"/>
      <c r="M2189" s="1"/>
      <c r="N2189" s="1"/>
    </row>
    <row r="2190" spans="12:14" x14ac:dyDescent="0.2">
      <c r="L2190" s="1"/>
      <c r="M2190" s="1"/>
      <c r="N2190" s="1"/>
    </row>
    <row r="2191" spans="12:14" x14ac:dyDescent="0.2">
      <c r="L2191" s="1"/>
      <c r="M2191" s="1"/>
      <c r="N2191" s="1"/>
    </row>
    <row r="2192" spans="12:14" x14ac:dyDescent="0.2">
      <c r="L2192" s="1"/>
      <c r="M2192" s="1"/>
    </row>
    <row r="2193" spans="12:13" x14ac:dyDescent="0.2">
      <c r="L2193" s="1"/>
      <c r="M2193" s="1"/>
    </row>
    <row r="2194" spans="12:13" x14ac:dyDescent="0.2">
      <c r="L2194" s="1"/>
      <c r="M21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  <pageSetUpPr fitToPage="1"/>
  </sheetPr>
  <dimension ref="B1:AH63"/>
  <sheetViews>
    <sheetView showGridLines="0" showZeros="0" zoomScale="40" zoomScaleNormal="40" workbookViewId="0">
      <selection activeCell="G11" sqref="G11"/>
    </sheetView>
  </sheetViews>
  <sheetFormatPr baseColWidth="10" defaultColWidth="13.75" defaultRowHeight="15" x14ac:dyDescent="0.25"/>
  <cols>
    <col min="1" max="1" width="11" style="31" customWidth="1"/>
    <col min="2" max="2" width="10.625" style="31" customWidth="1"/>
    <col min="3" max="3" width="13.75" style="34"/>
    <col min="4" max="4" width="10.625" style="34" customWidth="1"/>
    <col min="5" max="8" width="13.75" style="31"/>
    <col min="9" max="9" width="14.375" style="31" customWidth="1"/>
    <col min="10" max="10" width="14.75" style="31" customWidth="1"/>
    <col min="11" max="25" width="13.75" style="31"/>
    <col min="26" max="26" width="13.75" style="31" customWidth="1"/>
    <col min="27" max="27" width="14.625" style="31" customWidth="1"/>
    <col min="28" max="28" width="13.25" style="31" customWidth="1"/>
    <col min="29" max="30" width="0" style="31" hidden="1" customWidth="1"/>
    <col min="31" max="16384" width="13.75" style="31"/>
  </cols>
  <sheetData>
    <row r="1" spans="2:32" x14ac:dyDescent="0.25">
      <c r="C1" s="31"/>
      <c r="D1" s="31"/>
    </row>
    <row r="2" spans="2:32" ht="45" customHeight="1" x14ac:dyDescent="0.25">
      <c r="B2" s="219" t="s">
        <v>1740</v>
      </c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</row>
    <row r="3" spans="2:32" ht="26.25" x14ac:dyDescent="0.25">
      <c r="B3" s="220" t="str">
        <f>TEXT(Historical!H2," mmmm dd, aaaa")</f>
        <v xml:space="preserve"> October 16, Monday</v>
      </c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</row>
    <row r="8" spans="2:32" ht="30" customHeight="1" x14ac:dyDescent="0.25">
      <c r="B8" s="212" t="s">
        <v>136</v>
      </c>
      <c r="C8" s="213"/>
      <c r="D8" s="214"/>
      <c r="E8" s="210" t="s">
        <v>29</v>
      </c>
      <c r="F8" s="210"/>
      <c r="G8" s="210" t="s">
        <v>87</v>
      </c>
      <c r="H8" s="210"/>
      <c r="I8" s="210" t="s">
        <v>151</v>
      </c>
      <c r="J8" s="210"/>
      <c r="K8" s="210" t="s">
        <v>61</v>
      </c>
      <c r="L8" s="210"/>
      <c r="M8" s="218" t="s">
        <v>53</v>
      </c>
      <c r="N8" s="210"/>
      <c r="O8" s="210" t="s">
        <v>59</v>
      </c>
      <c r="P8" s="210"/>
      <c r="Q8" s="210" t="s">
        <v>60</v>
      </c>
      <c r="R8" s="210"/>
      <c r="S8" s="210" t="s">
        <v>116</v>
      </c>
      <c r="T8" s="210"/>
      <c r="U8" s="210" t="s">
        <v>103</v>
      </c>
      <c r="V8" s="210"/>
      <c r="W8" s="210" t="s">
        <v>104</v>
      </c>
      <c r="X8" s="210"/>
      <c r="Y8" s="210" t="s">
        <v>62</v>
      </c>
      <c r="Z8" s="210"/>
      <c r="AA8" s="210" t="s">
        <v>63</v>
      </c>
      <c r="AB8" s="210"/>
    </row>
    <row r="9" spans="2:32" ht="30" customHeight="1" x14ac:dyDescent="0.25">
      <c r="B9" s="215"/>
      <c r="C9" s="216"/>
      <c r="D9" s="217"/>
      <c r="E9" s="53" t="s">
        <v>1741</v>
      </c>
      <c r="F9" s="53" t="s">
        <v>21</v>
      </c>
      <c r="G9" s="53" t="s">
        <v>70</v>
      </c>
      <c r="H9" s="53" t="s">
        <v>21</v>
      </c>
      <c r="I9" s="53" t="s">
        <v>1741</v>
      </c>
      <c r="J9" s="53" t="s">
        <v>21</v>
      </c>
      <c r="K9" s="53" t="s">
        <v>70</v>
      </c>
      <c r="L9" s="53" t="s">
        <v>21</v>
      </c>
      <c r="M9" s="53" t="s">
        <v>1741</v>
      </c>
      <c r="N9" s="53" t="s">
        <v>21</v>
      </c>
      <c r="O9" s="53" t="s">
        <v>70</v>
      </c>
      <c r="P9" s="53" t="s">
        <v>21</v>
      </c>
      <c r="Q9" s="53" t="s">
        <v>70</v>
      </c>
      <c r="R9" s="53" t="s">
        <v>21</v>
      </c>
      <c r="S9" s="53" t="s">
        <v>70</v>
      </c>
      <c r="T9" s="53" t="s">
        <v>21</v>
      </c>
      <c r="U9" s="53" t="s">
        <v>1741</v>
      </c>
      <c r="V9" s="53" t="s">
        <v>21</v>
      </c>
      <c r="W9" s="53" t="s">
        <v>70</v>
      </c>
      <c r="X9" s="53" t="s">
        <v>21</v>
      </c>
      <c r="Y9" s="53" t="s">
        <v>70</v>
      </c>
      <c r="Z9" s="53" t="s">
        <v>21</v>
      </c>
      <c r="AA9" s="53" t="s">
        <v>70</v>
      </c>
      <c r="AB9" s="53" t="s">
        <v>21</v>
      </c>
    </row>
    <row r="10" spans="2:32" ht="30" customHeight="1" x14ac:dyDescent="0.25">
      <c r="B10" s="207" t="s">
        <v>122</v>
      </c>
      <c r="C10" s="208" t="s">
        <v>123</v>
      </c>
      <c r="D10" s="208"/>
      <c r="E10" s="36">
        <f>SUMIFS(Dataset!$AJ:$AJ,Dataset!$F:$F,Resumen!E$8,Dataset!$J:$J,"&gt;="&amp;$AC10,Dataset!$J:$J,"&lt;"&amp;$AD10,Dataset!$AH:$AH,"bono de gobierno",Dataset!$T:$T,"$")</f>
        <v>0</v>
      </c>
      <c r="F10" s="37">
        <f>SUMIFS(Dataset!$AA:$AA,Dataset!$F:$F,Resumen!E$8,Dataset!$J:$J,"&gt;="&amp;$AC10,Dataset!$J:$J,"&lt;"&amp;$AD10,Dataset!$AH:$AH,"bono de gobierno",Dataset!$T:$T,"$")</f>
        <v>0</v>
      </c>
      <c r="G10" s="36">
        <f>SUMIFS(Dataset!$AJ:$AJ,Dataset!$F:$F,Resumen!G$8,Dataset!$J:$J,"&gt;="&amp;$AC10,Dataset!$J:$J,"&lt;"&amp;$AD10,Dataset!$AH:$AH,"bono de gobierno",Dataset!$T:$T,"$")</f>
        <v>0</v>
      </c>
      <c r="H10" s="37">
        <f>SUMIFS(Dataset!$AA:$AA,Dataset!$F:$F,Resumen!G$8,Dataset!$J:$J,"&gt;="&amp;$AC10,Dataset!$J:$J,"&lt;"&amp;$AD10,Dataset!$AH:$AH,"bono de gobierno",Dataset!$T:$T,"$")</f>
        <v>0</v>
      </c>
      <c r="I10" s="36">
        <f>SUMIFS(Dataset!$AJ:$AJ,Dataset!$F:$F,Resumen!I$8,Dataset!$J:$J,"&gt;="&amp;$AC10,Dataset!$J:$J,"&lt;"&amp;$AD10,Dataset!$AH:$AH,"bono de gobierno",Dataset!$T:$T,"$")</f>
        <v>0</v>
      </c>
      <c r="J10" s="37">
        <f>SUMIFS(Dataset!$AA:$AA,Dataset!$F:$F,Resumen!I$8,Dataset!$J:$J,"&gt;="&amp;$AC10,Dataset!$J:$J,"&lt;"&amp;$AD10,Dataset!$AH:$AH,"bono de gobierno",Dataset!$T:$T,"$")</f>
        <v>0</v>
      </c>
      <c r="K10" s="36">
        <f>SUMIFS(Dataset!$AJ:$AJ,Dataset!$F:$F,Resumen!K$8,Dataset!$J:$J,"&gt;="&amp;$AC10,Dataset!$J:$J,"&lt;"&amp;$AD10,Dataset!$AH:$AH,"bono de gobierno",Dataset!$T:$T,"$")</f>
        <v>0</v>
      </c>
      <c r="L10" s="37">
        <f>SUMIFS(Dataset!$AA:$AA,Dataset!$F:$F,Resumen!K$8,Dataset!$J:$J,"&gt;="&amp;$AC10,Dataset!$J:$J,"&lt;"&amp;$AD10,Dataset!$AH:$AH,"bono de gobierno",Dataset!$T:$T,"$")</f>
        <v>0</v>
      </c>
      <c r="M10" s="36">
        <f>SUMIFS(Dataset!$AJ:$AJ,Dataset!$F:$F,Resumen!M$8,Dataset!$J:$J,"&gt;="&amp;$AC10,Dataset!$J:$J,"&lt;"&amp;$AD10,Dataset!$AH:$AH,"bono de gobierno",Dataset!$T:$T,"$")</f>
        <v>0</v>
      </c>
      <c r="N10" s="37">
        <f>SUMIFS(Dataset!$AA:$AA,Dataset!$F:$F,Resumen!M$8,Dataset!$J:$J,"&gt;="&amp;$AC10,Dataset!$J:$J,"&lt;"&amp;$AD10,Dataset!$AH:$AH,"bono de gobierno",Dataset!$T:$T,"$")</f>
        <v>0</v>
      </c>
      <c r="O10" s="36">
        <f>SUMIFS(Dataset!$AJ:$AJ,Dataset!$F:$F,Resumen!O$8,Dataset!$J:$J,"&gt;="&amp;$AC10,Dataset!$J:$J,"&lt;"&amp;$AD10,Dataset!$AH:$AH,"bono de gobierno",Dataset!$T:$T,"$")</f>
        <v>0</v>
      </c>
      <c r="P10" s="37">
        <f>SUMIFS(Dataset!$AA:$AA,Dataset!$F:$F,Resumen!O$8,Dataset!$J:$J,"&gt;="&amp;$AC10,Dataset!$J:$J,"&lt;"&amp;$AD10,Dataset!$AH:$AH,"bono de gobierno",Dataset!$T:$T,"$")</f>
        <v>0</v>
      </c>
      <c r="Q10" s="36">
        <f>SUMIFS(Dataset!$AJ:$AJ,Dataset!$F:$F,Resumen!Q$8,Dataset!$J:$J,"&gt;="&amp;$AC10,Dataset!$J:$J,"&lt;"&amp;$AD10,Dataset!$AH:$AH,"bono de gobierno",Dataset!$T:$T,"$")</f>
        <v>0</v>
      </c>
      <c r="R10" s="37">
        <f>SUMIFS(Dataset!$AA:$AA,Dataset!$F:$F,Resumen!Q$8,Dataset!$J:$J,"&gt;="&amp;$AC10,Dataset!$J:$J,"&lt;"&amp;$AD10,Dataset!$AH:$AH,"bono de gobierno",Dataset!$T:$T,"$")</f>
        <v>0</v>
      </c>
      <c r="S10" s="36">
        <f>SUMIFS(Dataset!$AJ:$AJ,Dataset!$F:$F,Resumen!S$8,Dataset!$J:$J,"&gt;="&amp;$AC10,Dataset!$J:$J,"&lt;"&amp;$AD10,Dataset!$AH:$AH,"bono de gobierno",Dataset!$T:$T,"$")</f>
        <v>0</v>
      </c>
      <c r="T10" s="37">
        <f>SUMIFS(Dataset!$AA:$AA,Dataset!$F:$F,Resumen!S$8,Dataset!$J:$J,"&gt;="&amp;$AC10,Dataset!$J:$J,"&lt;"&amp;$AD10,Dataset!$AH:$AH,"bono de gobierno",Dataset!$T:$T,"$")</f>
        <v>0</v>
      </c>
      <c r="U10" s="36">
        <f>SUMIFS(Dataset!$AJ:$AJ,Dataset!$F:$F,Resumen!U$8,Dataset!$J:$J,"&gt;="&amp;$AC10,Dataset!$J:$J,"&lt;"&amp;$AD10,Dataset!$AH:$AH,"bono de gobierno",Dataset!$T:$T,"$")</f>
        <v>0</v>
      </c>
      <c r="V10" s="37">
        <f>SUMIFS(Dataset!$AA:$AA,Dataset!$F:$F,Resumen!U$8,Dataset!$J:$J,"&gt;="&amp;$AC10,Dataset!$J:$J,"&lt;"&amp;$AD10,Dataset!$AH:$AH,"bono de gobierno",Dataset!$T:$T,"$")</f>
        <v>0</v>
      </c>
      <c r="W10" s="36">
        <f>SUMIFS(Dataset!$AJ:$AJ,Dataset!$F:$F,Resumen!W$8,Dataset!$J:$J,"&gt;="&amp;$AC10,Dataset!$J:$J,"&lt;"&amp;$AD10,Dataset!$AH:$AH,"bono de gobierno",Dataset!$T:$T,"$")</f>
        <v>0</v>
      </c>
      <c r="X10" s="37">
        <f>SUMIFS(Dataset!$AA:$AA,Dataset!$F:$F,Resumen!W$8,Dataset!$J:$J,"&gt;="&amp;$AC10,Dataset!$J:$J,"&lt;"&amp;$AD10,Dataset!$AH:$AH,"bono de gobierno",Dataset!$T:$T,"$")</f>
        <v>0</v>
      </c>
      <c r="Y10" s="36">
        <f>SUMIFS(Dataset!$AJ:$AJ,Dataset!$F:$F,Resumen!Y$8,Dataset!$J:$J,"&gt;="&amp;$AC10,Dataset!$J:$J,"&lt;"&amp;$AD10,Dataset!$AH:$AH,"bono de gobierno",Dataset!$T:$T,"$")</f>
        <v>0</v>
      </c>
      <c r="Z10" s="37">
        <f>SUMIFS(Dataset!$AA:$AA,Dataset!$F:$F,Resumen!Y$8,Dataset!$J:$J,"&gt;="&amp;$AC10,Dataset!$J:$J,"&lt;"&amp;$AD10,Dataset!$AH:$AH,"bono de gobierno",Dataset!$T:$T,"$")</f>
        <v>0</v>
      </c>
      <c r="AA10" s="36">
        <f>SUMIFS(Dataset!$AJ:$AJ,Dataset!$F:$F,Resumen!AA$8,Dataset!$J:$J,"&gt;="&amp;$AC10,Dataset!$J:$J,"&lt;"&amp;$AD10,Dataset!$AH:$AH,"bono de gobierno",Dataset!$T:$T,"$")</f>
        <v>0</v>
      </c>
      <c r="AB10" s="37">
        <f>SUMIFS(Dataset!$AA:$AA,Dataset!$F:$F,Resumen!AA$8,Dataset!$J:$J,"&gt;="&amp;$AC10,Dataset!$J:$J,"&lt;"&amp;$AD10,Dataset!$AH:$AH,"bono de gobierno",Dataset!$T:$T,"$")</f>
        <v>0</v>
      </c>
      <c r="AC10" s="31">
        <v>0</v>
      </c>
      <c r="AD10" s="31">
        <v>3</v>
      </c>
      <c r="AF10" s="32"/>
    </row>
    <row r="11" spans="2:32" ht="30" customHeight="1" x14ac:dyDescent="0.25">
      <c r="B11" s="207"/>
      <c r="C11" s="208" t="s">
        <v>124</v>
      </c>
      <c r="D11" s="208"/>
      <c r="E11" s="38">
        <f>SUMIFS(Dataset!$AJ:$AJ,Dataset!$F:$F,Resumen!E$8,Dataset!$J:$J,"&gt;="&amp;$AC11,Dataset!$J:$J,"&lt;"&amp;$AD11,Dataset!$AH:$AH,"bono de gobierno",Dataset!$T:$T,"$")</f>
        <v>3.0260013134242713E-2</v>
      </c>
      <c r="F11" s="39">
        <f>SUMIFS(Dataset!$AA:$AA,Dataset!$F:$F,Resumen!E$8,Dataset!$J:$J,"&gt;="&amp;$AC11,Dataset!$J:$J,"&lt;"&amp;$AD11,Dataset!$AH:$AH,"bono de gobierno",Dataset!$T:$T,"$")</f>
        <v>-9.8458802956477784E-3</v>
      </c>
      <c r="G11" s="38">
        <f>SUMIFS(Dataset!$AJ:$AJ,Dataset!$F:$F,Resumen!G$8,Dataset!$J:$J,"&gt;="&amp;$AC11,Dataset!$J:$J,"&lt;"&amp;$AD11,Dataset!$AH:$AH,"bono de gobierno",Dataset!$T:$T,"$")</f>
        <v>3.8465821566761468E-2</v>
      </c>
      <c r="H11" s="39">
        <f>SUMIFS(Dataset!$AA:$AA,Dataset!$F:$F,Resumen!G$8,Dataset!$J:$J,"&gt;="&amp;$AC11,Dataset!$J:$J,"&lt;"&amp;$AD11,Dataset!$AH:$AH,"bono de gobierno",Dataset!$T:$T,"$")</f>
        <v>5.4328801951415671E-3</v>
      </c>
      <c r="I11" s="38">
        <f>SUMIFS(Dataset!$AJ:$AJ,Dataset!$F:$F,Resumen!I$8,Dataset!$J:$J,"&gt;="&amp;$AC11,Dataset!$J:$J,"&lt;"&amp;$AD11,Dataset!$AH:$AH,"bono de gobierno",Dataset!$T:$T,"$")</f>
        <v>0</v>
      </c>
      <c r="J11" s="39">
        <f>SUMIFS(Dataset!$AA:$AA,Dataset!$F:$F,Resumen!I$8,Dataset!$J:$J,"&gt;="&amp;$AC11,Dataset!$J:$J,"&lt;"&amp;$AD11,Dataset!$AH:$AH,"bono de gobierno",Dataset!$T:$T,"$")</f>
        <v>0</v>
      </c>
      <c r="K11" s="38">
        <f>SUMIFS(Dataset!$AJ:$AJ,Dataset!$F:$F,Resumen!K$8,Dataset!$J:$J,"&gt;="&amp;$AC11,Dataset!$J:$J,"&lt;"&amp;$AD11,Dataset!$AH:$AH,"bono de gobierno",Dataset!$T:$T,"$")</f>
        <v>4.6086808661414583E-2</v>
      </c>
      <c r="L11" s="39">
        <f>SUMIFS(Dataset!$AA:$AA,Dataset!$F:$F,Resumen!K$8,Dataset!$J:$J,"&gt;="&amp;$AC11,Dataset!$J:$J,"&lt;"&amp;$AD11,Dataset!$AH:$AH,"bono de gobierno",Dataset!$T:$T,"$")</f>
        <v>9.0589995297346449E-3</v>
      </c>
      <c r="M11" s="38">
        <f>SUMIFS(Dataset!$AJ:$AJ,Dataset!$F:$F,Resumen!M$8,Dataset!$J:$J,"&gt;="&amp;$AC11,Dataset!$J:$J,"&lt;"&amp;$AD11,Dataset!$AH:$AH,"bono de gobierno",Dataset!$T:$T,"$")</f>
        <v>0</v>
      </c>
      <c r="N11" s="39">
        <f>SUMIFS(Dataset!$AA:$AA,Dataset!$F:$F,Resumen!M$8,Dataset!$J:$J,"&gt;="&amp;$AC11,Dataset!$J:$J,"&lt;"&amp;$AD11,Dataset!$AH:$AH,"bono de gobierno",Dataset!$T:$T,"$")</f>
        <v>0</v>
      </c>
      <c r="O11" s="38">
        <f>SUMIFS(Dataset!$AJ:$AJ,Dataset!$F:$F,Resumen!O$8,Dataset!$J:$J,"&gt;="&amp;$AC11,Dataset!$J:$J,"&lt;"&amp;$AD11,Dataset!$AH:$AH,"bono de gobierno",Dataset!$T:$T,"$")</f>
        <v>2.2988988059960257E-2</v>
      </c>
      <c r="P11" s="39">
        <f>SUMIFS(Dataset!$AA:$AA,Dataset!$F:$F,Resumen!O$8,Dataset!$J:$J,"&gt;="&amp;$AC11,Dataset!$J:$J,"&lt;"&amp;$AD11,Dataset!$AH:$AH,"bono de gobierno",Dataset!$T:$T,"$")</f>
        <v>1.7206343054818371E-2</v>
      </c>
      <c r="Q11" s="38">
        <f>SUMIFS(Dataset!$AJ:$AJ,Dataset!$F:$F,Resumen!Q$8,Dataset!$J:$J,"&gt;="&amp;$AC11,Dataset!$J:$J,"&lt;"&amp;$AD11,Dataset!$AH:$AH,"bono de gobierno",Dataset!$T:$T,"$")</f>
        <v>0</v>
      </c>
      <c r="R11" s="39">
        <f>SUMIFS(Dataset!$AA:$AA,Dataset!$F:$F,Resumen!Q$8,Dataset!$J:$J,"&gt;="&amp;$AC11,Dataset!$J:$J,"&lt;"&amp;$AD11,Dataset!$AH:$AH,"bono de gobierno",Dataset!$T:$T,"$")</f>
        <v>0</v>
      </c>
      <c r="S11" s="38">
        <f>SUMIFS(Dataset!$AJ:$AJ,Dataset!$F:$F,Resumen!S$8,Dataset!$J:$J,"&gt;="&amp;$AC11,Dataset!$J:$J,"&lt;"&amp;$AD11,Dataset!$AH:$AH,"bono de gobierno",Dataset!$T:$T,"$")</f>
        <v>0</v>
      </c>
      <c r="T11" s="39">
        <f>SUMIFS(Dataset!$AA:$AA,Dataset!$F:$F,Resumen!S$8,Dataset!$J:$J,"&gt;="&amp;$AC11,Dataset!$J:$J,"&lt;"&amp;$AD11,Dataset!$AH:$AH,"bono de gobierno",Dataset!$T:$T,"$")</f>
        <v>0</v>
      </c>
      <c r="U11" s="38">
        <f>SUMIFS(Dataset!$AJ:$AJ,Dataset!$F:$F,Resumen!U$8,Dataset!$J:$J,"&gt;="&amp;$AC11,Dataset!$J:$J,"&lt;"&amp;$AD11,Dataset!$AH:$AH,"bono de gobierno",Dataset!$T:$T,"$")</f>
        <v>0</v>
      </c>
      <c r="V11" s="39">
        <f>SUMIFS(Dataset!$AA:$AA,Dataset!$F:$F,Resumen!U$8,Dataset!$J:$J,"&gt;="&amp;$AC11,Dataset!$J:$J,"&lt;"&amp;$AD11,Dataset!$AH:$AH,"bono de gobierno",Dataset!$T:$T,"$")</f>
        <v>0</v>
      </c>
      <c r="W11" s="38">
        <f>SUMIFS(Dataset!$AJ:$AJ,Dataset!$F:$F,Resumen!W$8,Dataset!$J:$J,"&gt;="&amp;$AC11,Dataset!$J:$J,"&lt;"&amp;$AD11,Dataset!$AH:$AH,"bono de gobierno",Dataset!$T:$T,"$")</f>
        <v>0</v>
      </c>
      <c r="X11" s="39">
        <f>SUMIFS(Dataset!$AA:$AA,Dataset!$F:$F,Resumen!W$8,Dataset!$J:$J,"&gt;="&amp;$AC11,Dataset!$J:$J,"&lt;"&amp;$AD11,Dataset!$AH:$AH,"bono de gobierno",Dataset!$T:$T,"$")</f>
        <v>0</v>
      </c>
      <c r="Y11" s="38">
        <f>SUMIFS(Dataset!$AJ:$AJ,Dataset!$F:$F,Resumen!Y$8,Dataset!$J:$J,"&gt;="&amp;$AC11,Dataset!$J:$J,"&lt;"&amp;$AD11,Dataset!$AH:$AH,"bono de gobierno",Dataset!$T:$T,"$")</f>
        <v>0.47581180857790284</v>
      </c>
      <c r="Z11" s="39">
        <f>SUMIFS(Dataset!$AA:$AA,Dataset!$F:$F,Resumen!Y$8,Dataset!$J:$J,"&gt;="&amp;$AC11,Dataset!$J:$J,"&lt;"&amp;$AD11,Dataset!$AH:$AH,"bono de gobierno",Dataset!$T:$T,"$")</f>
        <v>0.33147419100822234</v>
      </c>
      <c r="AA11" s="38">
        <f>SUMIFS(Dataset!$AJ:$AJ,Dataset!$F:$F,Resumen!AA$8,Dataset!$J:$J,"&gt;="&amp;$AC11,Dataset!$J:$J,"&lt;"&amp;$AD11,Dataset!$AH:$AH,"bono de gobierno",Dataset!$T:$T,"$")</f>
        <v>0.82928633503083571</v>
      </c>
      <c r="AB11" s="39">
        <f>SUMIFS(Dataset!$AA:$AA,Dataset!$F:$F,Resumen!AA$8,Dataset!$J:$J,"&gt;="&amp;$AC11,Dataset!$J:$J,"&lt;"&amp;$AD11,Dataset!$AH:$AH,"bono de gobierno",Dataset!$T:$T,"$")</f>
        <v>0.31647435922513523</v>
      </c>
      <c r="AC11" s="31">
        <v>3</v>
      </c>
      <c r="AD11" s="31">
        <v>5</v>
      </c>
    </row>
    <row r="12" spans="2:32" ht="30" customHeight="1" x14ac:dyDescent="0.25">
      <c r="B12" s="207"/>
      <c r="C12" s="208" t="s">
        <v>125</v>
      </c>
      <c r="D12" s="208"/>
      <c r="E12" s="38">
        <f>SUMIFS(Dataset!$AJ:$AJ,Dataset!$F:$F,Resumen!E$8,Dataset!$J:$J,"&gt;="&amp;$AC12,Dataset!$J:$J,"&lt;"&amp;$AD12,Dataset!$AH:$AH,"bono de gobierno",Dataset!$T:$T,"$")</f>
        <v>0</v>
      </c>
      <c r="F12" s="39">
        <f>SUMIFS(Dataset!$AA:$AA,Dataset!$F:$F,Resumen!E$8,Dataset!$J:$J,"&gt;="&amp;$AC12,Dataset!$J:$J,"&lt;"&amp;$AD12,Dataset!$AH:$AH,"bono de gobierno",Dataset!$T:$T,"$")</f>
        <v>0</v>
      </c>
      <c r="G12" s="38">
        <f>SUMIFS(Dataset!$AJ:$AJ,Dataset!$F:$F,Resumen!G$8,Dataset!$J:$J,"&gt;="&amp;$AC12,Dataset!$J:$J,"&lt;"&amp;$AD12,Dataset!$AH:$AH,"bono de gobierno",Dataset!$T:$T,"$")</f>
        <v>4.1994109134238837E-2</v>
      </c>
      <c r="H12" s="39">
        <f>SUMIFS(Dataset!$AA:$AA,Dataset!$F:$F,Resumen!G$8,Dataset!$J:$J,"&gt;="&amp;$AC12,Dataset!$J:$J,"&lt;"&amp;$AD12,Dataset!$AH:$AH,"bono de gobierno",Dataset!$T:$T,"$")</f>
        <v>3.6045955394485192E-3</v>
      </c>
      <c r="I12" s="38">
        <f>SUMIFS(Dataset!$AJ:$AJ,Dataset!$F:$F,Resumen!I$8,Dataset!$J:$J,"&gt;="&amp;$AC12,Dataset!$J:$J,"&lt;"&amp;$AD12,Dataset!$AH:$AH,"bono de gobierno",Dataset!$T:$T,"$")</f>
        <v>0</v>
      </c>
      <c r="J12" s="39">
        <f>SUMIFS(Dataset!$AA:$AA,Dataset!$F:$F,Resumen!I$8,Dataset!$J:$J,"&gt;="&amp;$AC12,Dataset!$J:$J,"&lt;"&amp;$AD12,Dataset!$AH:$AH,"bono de gobierno",Dataset!$T:$T,"$")</f>
        <v>0</v>
      </c>
      <c r="K12" s="38">
        <f>SUMIFS(Dataset!$AJ:$AJ,Dataset!$F:$F,Resumen!K$8,Dataset!$J:$J,"&gt;="&amp;$AC12,Dataset!$J:$J,"&lt;"&amp;$AD12,Dataset!$AH:$AH,"bono de gobierno",Dataset!$T:$T,"$")</f>
        <v>0</v>
      </c>
      <c r="L12" s="39">
        <f>SUMIFS(Dataset!$AA:$AA,Dataset!$F:$F,Resumen!K$8,Dataset!$J:$J,"&gt;="&amp;$AC12,Dataset!$J:$J,"&lt;"&amp;$AD12,Dataset!$AH:$AH,"bono de gobierno",Dataset!$T:$T,"$")</f>
        <v>0</v>
      </c>
      <c r="M12" s="38">
        <f>SUMIFS(Dataset!$AJ:$AJ,Dataset!$F:$F,Resumen!M$8,Dataset!$J:$J,"&gt;="&amp;$AC12,Dataset!$J:$J,"&lt;"&amp;$AD12,Dataset!$AH:$AH,"bono de gobierno",Dataset!$T:$T,"$")</f>
        <v>0</v>
      </c>
      <c r="N12" s="39">
        <f>SUMIFS(Dataset!$AA:$AA,Dataset!$F:$F,Resumen!M$8,Dataset!$J:$J,"&gt;="&amp;$AC12,Dataset!$J:$J,"&lt;"&amp;$AD12,Dataset!$AH:$AH,"bono de gobierno",Dataset!$T:$T,"$")</f>
        <v>0</v>
      </c>
      <c r="O12" s="38">
        <f>SUMIFS(Dataset!$AJ:$AJ,Dataset!$F:$F,Resumen!O$8,Dataset!$J:$J,"&gt;="&amp;$AC12,Dataset!$J:$J,"&lt;"&amp;$AD12,Dataset!$AH:$AH,"bono de gobierno",Dataset!$T:$T,"$")</f>
        <v>0</v>
      </c>
      <c r="P12" s="39">
        <f>SUMIFS(Dataset!$AA:$AA,Dataset!$F:$F,Resumen!O$8,Dataset!$J:$J,"&gt;="&amp;$AC12,Dataset!$J:$J,"&lt;"&amp;$AD12,Dataset!$AH:$AH,"bono de gobierno",Dataset!$T:$T,"$")</f>
        <v>0</v>
      </c>
      <c r="Q12" s="38">
        <f>SUMIFS(Dataset!$AJ:$AJ,Dataset!$F:$F,Resumen!Q$8,Dataset!$J:$J,"&gt;="&amp;$AC12,Dataset!$J:$J,"&lt;"&amp;$AD12,Dataset!$AH:$AH,"bono de gobierno",Dataset!$T:$T,"$")</f>
        <v>0</v>
      </c>
      <c r="R12" s="39">
        <f>SUMIFS(Dataset!$AA:$AA,Dataset!$F:$F,Resumen!Q$8,Dataset!$J:$J,"&gt;="&amp;$AC12,Dataset!$J:$J,"&lt;"&amp;$AD12,Dataset!$AH:$AH,"bono de gobierno",Dataset!$T:$T,"$")</f>
        <v>0</v>
      </c>
      <c r="S12" s="38">
        <f>SUMIFS(Dataset!$AJ:$AJ,Dataset!$F:$F,Resumen!S$8,Dataset!$J:$J,"&gt;="&amp;$AC12,Dataset!$J:$J,"&lt;"&amp;$AD12,Dataset!$AH:$AH,"bono de gobierno",Dataset!$T:$T,"$")</f>
        <v>0</v>
      </c>
      <c r="T12" s="39">
        <f>SUMIFS(Dataset!$AA:$AA,Dataset!$F:$F,Resumen!S$8,Dataset!$J:$J,"&gt;="&amp;$AC12,Dataset!$J:$J,"&lt;"&amp;$AD12,Dataset!$AH:$AH,"bono de gobierno",Dataset!$T:$T,"$")</f>
        <v>0</v>
      </c>
      <c r="U12" s="38">
        <f>SUMIFS(Dataset!$AJ:$AJ,Dataset!$F:$F,Resumen!U$8,Dataset!$J:$J,"&gt;="&amp;$AC12,Dataset!$J:$J,"&lt;"&amp;$AD12,Dataset!$AH:$AH,"bono de gobierno",Dataset!$T:$T,"$")</f>
        <v>0</v>
      </c>
      <c r="V12" s="39">
        <f>SUMIFS(Dataset!$AA:$AA,Dataset!$F:$F,Resumen!U$8,Dataset!$J:$J,"&gt;="&amp;$AC12,Dataset!$J:$J,"&lt;"&amp;$AD12,Dataset!$AH:$AH,"bono de gobierno",Dataset!$T:$T,"$")</f>
        <v>0</v>
      </c>
      <c r="W12" s="38">
        <f>SUMIFS(Dataset!$AJ:$AJ,Dataset!$F:$F,Resumen!W$8,Dataset!$J:$J,"&gt;="&amp;$AC12,Dataset!$J:$J,"&lt;"&amp;$AD12,Dataset!$AH:$AH,"bono de gobierno",Dataset!$T:$T,"$")</f>
        <v>0</v>
      </c>
      <c r="X12" s="39">
        <f>SUMIFS(Dataset!$AA:$AA,Dataset!$F:$F,Resumen!W$8,Dataset!$J:$J,"&gt;="&amp;$AC12,Dataset!$J:$J,"&lt;"&amp;$AD12,Dataset!$AH:$AH,"bono de gobierno",Dataset!$T:$T,"$")</f>
        <v>0</v>
      </c>
      <c r="Y12" s="38">
        <f>SUMIFS(Dataset!$AJ:$AJ,Dataset!$F:$F,Resumen!Y$8,Dataset!$J:$J,"&gt;="&amp;$AC12,Dataset!$J:$J,"&lt;"&amp;$AD12,Dataset!$AH:$AH,"bono de gobierno",Dataset!$T:$T,"$")</f>
        <v>0</v>
      </c>
      <c r="Z12" s="39">
        <f>SUMIFS(Dataset!$AA:$AA,Dataset!$F:$F,Resumen!Y$8,Dataset!$J:$J,"&gt;="&amp;$AC12,Dataset!$J:$J,"&lt;"&amp;$AD12,Dataset!$AH:$AH,"bono de gobierno",Dataset!$T:$T,"$")</f>
        <v>0</v>
      </c>
      <c r="AA12" s="38">
        <f>SUMIFS(Dataset!$AJ:$AJ,Dataset!$F:$F,Resumen!AA$8,Dataset!$J:$J,"&gt;="&amp;$AC12,Dataset!$J:$J,"&lt;"&amp;$AD12,Dataset!$AH:$AH,"bono de gobierno",Dataset!$T:$T,"$")</f>
        <v>0</v>
      </c>
      <c r="AB12" s="39">
        <f>SUMIFS(Dataset!$AA:$AA,Dataset!$F:$F,Resumen!AA$8,Dataset!$J:$J,"&gt;="&amp;$AC12,Dataset!$J:$J,"&lt;"&amp;$AD12,Dataset!$AH:$AH,"bono de gobierno",Dataset!$T:$T,"$")</f>
        <v>0</v>
      </c>
      <c r="AC12" s="31">
        <v>5</v>
      </c>
      <c r="AD12" s="31">
        <v>10</v>
      </c>
    </row>
    <row r="13" spans="2:32" ht="30" customHeight="1" x14ac:dyDescent="0.25">
      <c r="B13" s="207"/>
      <c r="C13" s="208" t="s">
        <v>126</v>
      </c>
      <c r="D13" s="208"/>
      <c r="E13" s="40">
        <f>SUMIFS(Dataset!$AJ:$AJ,Dataset!$F:$F,Resumen!E$8,Dataset!$J:$J,"&gt;="&amp;$AC13,Dataset!$J:$J,"&lt;"&amp;$AD13,Dataset!$AH:$AH,"bono de gobierno",Dataset!$T:$T,"$")</f>
        <v>0</v>
      </c>
      <c r="F13" s="41">
        <f>SUMIFS(Dataset!$AA:$AA,Dataset!$F:$F,Resumen!E$8,Dataset!$J:$J,"&gt;="&amp;$AC13,Dataset!$J:$J,"&lt;"&amp;$AD13,Dataset!$AH:$AH,"bono de gobierno",Dataset!$T:$T,"$")</f>
        <v>0</v>
      </c>
      <c r="G13" s="40">
        <f>SUMIFS(Dataset!$AJ:$AJ,Dataset!$F:$F,Resumen!G$8,Dataset!$J:$J,"&gt;="&amp;$AC13,Dataset!$J:$J,"&lt;"&amp;$AD13,Dataset!$AH:$AH,"bono de gobierno",Dataset!$T:$T,"$")</f>
        <v>0.11126535041527616</v>
      </c>
      <c r="H13" s="41">
        <f>SUMIFS(Dataset!$AA:$AA,Dataset!$F:$F,Resumen!G$8,Dataset!$J:$J,"&gt;="&amp;$AC13,Dataset!$J:$J,"&lt;"&amp;$AD13,Dataset!$AH:$AH,"bono de gobierno",Dataset!$T:$T,"$")</f>
        <v>4.2628857378879323E-2</v>
      </c>
      <c r="I13" s="40">
        <f>SUMIFS(Dataset!$AJ:$AJ,Dataset!$F:$F,Resumen!I$8,Dataset!$J:$J,"&gt;="&amp;$AC13,Dataset!$J:$J,"&lt;"&amp;$AD13,Dataset!$AH:$AH,"bono de gobierno",Dataset!$T:$T,"$")</f>
        <v>0</v>
      </c>
      <c r="J13" s="41">
        <f>SUMIFS(Dataset!$AA:$AA,Dataset!$F:$F,Resumen!I$8,Dataset!$J:$J,"&gt;="&amp;$AC13,Dataset!$J:$J,"&lt;"&amp;$AD13,Dataset!$AH:$AH,"bono de gobierno",Dataset!$T:$T,"$")</f>
        <v>0</v>
      </c>
      <c r="K13" s="40">
        <f>SUMIFS(Dataset!$AJ:$AJ,Dataset!$F:$F,Resumen!K$8,Dataset!$J:$J,"&gt;="&amp;$AC13,Dataset!$J:$J,"&lt;"&amp;$AD13,Dataset!$AH:$AH,"bono de gobierno",Dataset!$T:$T,"$")</f>
        <v>4.3695801976391967E-2</v>
      </c>
      <c r="L13" s="41">
        <f>SUMIFS(Dataset!$AA:$AA,Dataset!$F:$F,Resumen!K$8,Dataset!$J:$J,"&gt;="&amp;$AC13,Dataset!$J:$J,"&lt;"&amp;$AD13,Dataset!$AH:$AH,"bono de gobierno",Dataset!$T:$T,"$")</f>
        <v>1.2027354702935863E-2</v>
      </c>
      <c r="M13" s="40">
        <f>SUMIFS(Dataset!$AJ:$AJ,Dataset!$F:$F,Resumen!M$8,Dataset!$J:$J,"&gt;="&amp;$AC13,Dataset!$J:$J,"&lt;"&amp;$AD13,Dataset!$AH:$AH,"bono de gobierno",Dataset!$T:$T,"$")</f>
        <v>0</v>
      </c>
      <c r="N13" s="41">
        <f>SUMIFS(Dataset!$AA:$AA,Dataset!$F:$F,Resumen!M$8,Dataset!$J:$J,"&gt;="&amp;$AC13,Dataset!$J:$J,"&lt;"&amp;$AD13,Dataset!$AH:$AH,"bono de gobierno",Dataset!$T:$T,"$")</f>
        <v>0</v>
      </c>
      <c r="O13" s="40">
        <f>SUMIFS(Dataset!$AJ:$AJ,Dataset!$F:$F,Resumen!O$8,Dataset!$J:$J,"&gt;="&amp;$AC13,Dataset!$J:$J,"&lt;"&amp;$AD13,Dataset!$AH:$AH,"bono de gobierno",Dataset!$T:$T,"$")</f>
        <v>0</v>
      </c>
      <c r="P13" s="41">
        <f>SUMIFS(Dataset!$AA:$AA,Dataset!$F:$F,Resumen!O$8,Dataset!$J:$J,"&gt;="&amp;$AC13,Dataset!$J:$J,"&lt;"&amp;$AD13,Dataset!$AH:$AH,"bono de gobierno",Dataset!$T:$T,"$")</f>
        <v>0</v>
      </c>
      <c r="Q13" s="40">
        <f>SUMIFS(Dataset!$AJ:$AJ,Dataset!$F:$F,Resumen!Q$8,Dataset!$J:$J,"&gt;="&amp;$AC13,Dataset!$J:$J,"&lt;"&amp;$AD13,Dataset!$AH:$AH,"bono de gobierno",Dataset!$T:$T,"$")</f>
        <v>0</v>
      </c>
      <c r="R13" s="41">
        <f>SUMIFS(Dataset!$AA:$AA,Dataset!$F:$F,Resumen!Q$8,Dataset!$J:$J,"&gt;="&amp;$AC13,Dataset!$J:$J,"&lt;"&amp;$AD13,Dataset!$AH:$AH,"bono de gobierno",Dataset!$T:$T,"$")</f>
        <v>0</v>
      </c>
      <c r="S13" s="40">
        <f>SUMIFS(Dataset!$AJ:$AJ,Dataset!$F:$F,Resumen!S$8,Dataset!$J:$J,"&gt;="&amp;$AC13,Dataset!$J:$J,"&lt;"&amp;$AD13,Dataset!$AH:$AH,"bono de gobierno",Dataset!$T:$T,"$")</f>
        <v>0</v>
      </c>
      <c r="T13" s="41">
        <f>SUMIFS(Dataset!$AA:$AA,Dataset!$F:$F,Resumen!S$8,Dataset!$J:$J,"&gt;="&amp;$AC13,Dataset!$J:$J,"&lt;"&amp;$AD13,Dataset!$AH:$AH,"bono de gobierno",Dataset!$T:$T,"$")</f>
        <v>0</v>
      </c>
      <c r="U13" s="40">
        <f>SUMIFS(Dataset!$AJ:$AJ,Dataset!$F:$F,Resumen!U$8,Dataset!$J:$J,"&gt;="&amp;$AC13,Dataset!$J:$J,"&lt;"&amp;$AD13,Dataset!$AH:$AH,"bono de gobierno",Dataset!$T:$T,"$")</f>
        <v>0</v>
      </c>
      <c r="V13" s="41">
        <f>SUMIFS(Dataset!$AA:$AA,Dataset!$F:$F,Resumen!U$8,Dataset!$J:$J,"&gt;="&amp;$AC13,Dataset!$J:$J,"&lt;"&amp;$AD13,Dataset!$AH:$AH,"bono de gobierno",Dataset!$T:$T,"$")</f>
        <v>0</v>
      </c>
      <c r="W13" s="40">
        <f>SUMIFS(Dataset!$AJ:$AJ,Dataset!$F:$F,Resumen!W$8,Dataset!$J:$J,"&gt;="&amp;$AC13,Dataset!$J:$J,"&lt;"&amp;$AD13,Dataset!$AH:$AH,"bono de gobierno",Dataset!$T:$T,"$")</f>
        <v>0</v>
      </c>
      <c r="X13" s="41">
        <f>SUMIFS(Dataset!$AA:$AA,Dataset!$F:$F,Resumen!W$8,Dataset!$J:$J,"&gt;="&amp;$AC13,Dataset!$J:$J,"&lt;"&amp;$AD13,Dataset!$AH:$AH,"bono de gobierno",Dataset!$T:$T,"$")</f>
        <v>0</v>
      </c>
      <c r="Y13" s="40">
        <f>SUMIFS(Dataset!$AJ:$AJ,Dataset!$F:$F,Resumen!Y$8,Dataset!$J:$J,"&gt;="&amp;$AC13,Dataset!$J:$J,"&lt;"&amp;$AD13,Dataset!$AH:$AH,"bono de gobierno",Dataset!$T:$T,"$")</f>
        <v>3.3889731478935203E-2</v>
      </c>
      <c r="Z13" s="41">
        <f>SUMIFS(Dataset!$AA:$AA,Dataset!$F:$F,Resumen!Y$8,Dataset!$J:$J,"&gt;="&amp;$AC13,Dataset!$J:$J,"&lt;"&amp;$AD13,Dataset!$AH:$AH,"bono de gobierno",Dataset!$T:$T,"$")</f>
        <v>6.3324476275040106E-2</v>
      </c>
      <c r="AA13" s="40">
        <f>SUMIFS(Dataset!$AJ:$AJ,Dataset!$F:$F,Resumen!AA$8,Dataset!$J:$J,"&gt;="&amp;$AC13,Dataset!$J:$J,"&lt;"&amp;$AD13,Dataset!$AH:$AH,"bono de gobierno",Dataset!$T:$T,"$")</f>
        <v>7.3687255584817812E-2</v>
      </c>
      <c r="AB13" s="41">
        <f>SUMIFS(Dataset!$AA:$AA,Dataset!$F:$F,Resumen!AA$8,Dataset!$J:$J,"&gt;="&amp;$AC13,Dataset!$J:$J,"&lt;"&amp;$AD13,Dataset!$AH:$AH,"bono de gobierno",Dataset!$T:$T,"$")</f>
        <v>8.0532720278851555E-2</v>
      </c>
      <c r="AC13" s="31">
        <v>10</v>
      </c>
      <c r="AD13" s="31">
        <v>100</v>
      </c>
    </row>
    <row r="14" spans="2:32" ht="30" customHeight="1" x14ac:dyDescent="0.25">
      <c r="B14" s="207" t="s">
        <v>127</v>
      </c>
      <c r="C14" s="208" t="s">
        <v>123</v>
      </c>
      <c r="D14" s="208"/>
      <c r="E14" s="36">
        <f>SUMIFS(Dataset!$AJ:$AJ,Dataset!$F:$F,Resumen!E$8,Dataset!$J:$J,"&gt;="&amp;$AC14,Dataset!$J:$J,"&lt;"&amp;$AD14,Dataset!$AH:$AH,"bono de gobierno",Dataset!$T:$T,"UF")</f>
        <v>0</v>
      </c>
      <c r="F14" s="37">
        <f>SUMIFS(Dataset!$AA:$AA,Dataset!$F:$F,Resumen!E$8,Dataset!$J:$J,"&gt;="&amp;$AC14,Dataset!$J:$J,"&lt;"&amp;$AD14,Dataset!$AH:$AH,"bono de gobierno",Dataset!$T:$T,"UF")</f>
        <v>0</v>
      </c>
      <c r="G14" s="36">
        <f>SUMIFS(Dataset!$AJ:$AJ,Dataset!$F:$F,Resumen!G$8,Dataset!$J:$J,"&gt;="&amp;$AC14,Dataset!$J:$J,"&lt;"&amp;$AD14,Dataset!$AH:$AH,"bono de gobierno",Dataset!$T:$T,"UF")</f>
        <v>0</v>
      </c>
      <c r="H14" s="37">
        <f>SUMIFS(Dataset!$AA:$AA,Dataset!$F:$F,Resumen!G$8,Dataset!$J:$J,"&gt;="&amp;$AC14,Dataset!$J:$J,"&lt;"&amp;$AD14,Dataset!$AH:$AH,"bono de gobierno",Dataset!$T:$T,"UF")</f>
        <v>0</v>
      </c>
      <c r="I14" s="36">
        <f>SUMIFS(Dataset!$AJ:$AJ,Dataset!$F:$F,Resumen!I$8,Dataset!$J:$J,"&gt;="&amp;$AC14,Dataset!$J:$J,"&lt;"&amp;$AD14,Dataset!$AH:$AH,"bono de gobierno",Dataset!$T:$T,"UF")</f>
        <v>0</v>
      </c>
      <c r="J14" s="37">
        <f>SUMIFS(Dataset!$AA:$AA,Dataset!$F:$F,Resumen!I$8,Dataset!$J:$J,"&gt;="&amp;$AC14,Dataset!$J:$J,"&lt;"&amp;$AD14,Dataset!$AH:$AH,"bono de gobierno",Dataset!$T:$T,"UF")</f>
        <v>0</v>
      </c>
      <c r="K14" s="36">
        <f>SUMIFS(Dataset!$AJ:$AJ,Dataset!$F:$F,Resumen!K$8,Dataset!$J:$J,"&gt;="&amp;$AC14,Dataset!$J:$J,"&lt;"&amp;$AD14,Dataset!$AH:$AH,"bono de gobierno",Dataset!$T:$T,"UF")</f>
        <v>6.8630792928975146E-3</v>
      </c>
      <c r="L14" s="37">
        <f>SUMIFS(Dataset!$AA:$AA,Dataset!$F:$F,Resumen!K$8,Dataset!$J:$J,"&gt;="&amp;$AC14,Dataset!$J:$J,"&lt;"&amp;$AD14,Dataset!$AH:$AH,"bono de gobierno",Dataset!$T:$T,"UF")</f>
        <v>6.0516068380865179E-3</v>
      </c>
      <c r="M14" s="36">
        <f>SUMIFS(Dataset!$AJ:$AJ,Dataset!$F:$F,Resumen!M$8,Dataset!$J:$J,"&gt;="&amp;$AC14,Dataset!$J:$J,"&lt;"&amp;$AD14,Dataset!$AH:$AH,"bono de gobierno",Dataset!$T:$T,"UF")</f>
        <v>0</v>
      </c>
      <c r="N14" s="37">
        <f>SUMIFS(Dataset!$AA:$AA,Dataset!$F:$F,Resumen!M$8,Dataset!$J:$J,"&gt;="&amp;$AC14,Dataset!$J:$J,"&lt;"&amp;$AD14,Dataset!$AH:$AH,"bono de gobierno",Dataset!$T:$T,"UF")</f>
        <v>0</v>
      </c>
      <c r="O14" s="36">
        <f>SUMIFS(Dataset!$AJ:$AJ,Dataset!$F:$F,Resumen!O$8,Dataset!$J:$J,"&gt;="&amp;$AC14,Dataset!$J:$J,"&lt;"&amp;$AD14,Dataset!$AH:$AH,"bono de gobierno",Dataset!$T:$T,"UF")</f>
        <v>0</v>
      </c>
      <c r="P14" s="37">
        <f>SUMIFS(Dataset!$AA:$AA,Dataset!$F:$F,Resumen!O$8,Dataset!$J:$J,"&gt;="&amp;$AC14,Dataset!$J:$J,"&lt;"&amp;$AD14,Dataset!$AH:$AH,"bono de gobierno",Dataset!$T:$T,"UF")</f>
        <v>0</v>
      </c>
      <c r="Q14" s="36">
        <f>SUMIFS(Dataset!$AJ:$AJ,Dataset!$F:$F,Resumen!Q$8,Dataset!$J:$J,"&gt;="&amp;$AC14,Dataset!$J:$J,"&lt;"&amp;$AD14,Dataset!$AH:$AH,"bono de gobierno",Dataset!$T:$T,"UF")</f>
        <v>0</v>
      </c>
      <c r="R14" s="37">
        <f>SUMIFS(Dataset!$AA:$AA,Dataset!$F:$F,Resumen!Q$8,Dataset!$J:$J,"&gt;="&amp;$AC14,Dataset!$J:$J,"&lt;"&amp;$AD14,Dataset!$AH:$AH,"bono de gobierno",Dataset!$T:$T,"UF")</f>
        <v>0</v>
      </c>
      <c r="S14" s="36">
        <f>SUMIFS(Dataset!$AJ:$AJ,Dataset!$F:$F,Resumen!S$8,Dataset!$J:$J,"&gt;="&amp;$AC14,Dataset!$J:$J,"&lt;"&amp;$AD14,Dataset!$AH:$AH,"bono de gobierno",Dataset!$T:$T,"UF")</f>
        <v>0</v>
      </c>
      <c r="T14" s="37">
        <f>SUMIFS(Dataset!$AA:$AA,Dataset!$F:$F,Resumen!S$8,Dataset!$J:$J,"&gt;="&amp;$AC14,Dataset!$J:$J,"&lt;"&amp;$AD14,Dataset!$AH:$AH,"bono de gobierno",Dataset!$T:$T,"UF")</f>
        <v>0</v>
      </c>
      <c r="U14" s="36">
        <f>SUMIFS(Dataset!$AJ:$AJ,Dataset!$F:$F,Resumen!U$8,Dataset!$J:$J,"&gt;="&amp;$AC14,Dataset!$J:$J,"&lt;"&amp;$AD14,Dataset!$AH:$AH,"bono de gobierno",Dataset!$T:$T,"UF")</f>
        <v>0</v>
      </c>
      <c r="V14" s="37">
        <f>SUMIFS(Dataset!$AA:$AA,Dataset!$F:$F,Resumen!U$8,Dataset!$J:$J,"&gt;="&amp;$AC14,Dataset!$J:$J,"&lt;"&amp;$AD14,Dataset!$AH:$AH,"bono de gobierno",Dataset!$T:$T,"UF")</f>
        <v>0</v>
      </c>
      <c r="W14" s="36">
        <f>SUMIFS(Dataset!$AJ:$AJ,Dataset!$F:$F,Resumen!W$8,Dataset!$J:$J,"&gt;="&amp;$AC14,Dataset!$J:$J,"&lt;"&amp;$AD14,Dataset!$AH:$AH,"bono de gobierno",Dataset!$T:$T,"UF")</f>
        <v>0</v>
      </c>
      <c r="X14" s="37">
        <f>SUMIFS(Dataset!$AA:$AA,Dataset!$F:$F,Resumen!W$8,Dataset!$J:$J,"&gt;="&amp;$AC14,Dataset!$J:$J,"&lt;"&amp;$AD14,Dataset!$AH:$AH,"bono de gobierno",Dataset!$T:$T,"UF")</f>
        <v>0</v>
      </c>
      <c r="Y14" s="36">
        <f>SUMIFS(Dataset!$AJ:$AJ,Dataset!$F:$F,Resumen!Y$8,Dataset!$J:$J,"&gt;="&amp;$AC14,Dataset!$J:$J,"&lt;"&amp;$AD14,Dataset!$AH:$AH,"bono de gobierno",Dataset!$T:$T,"UF")</f>
        <v>1.9198915846870127E-2</v>
      </c>
      <c r="Z14" s="37">
        <f>SUMIFS(Dataset!$AA:$AA,Dataset!$F:$F,Resumen!Y$8,Dataset!$J:$J,"&gt;="&amp;$AC14,Dataset!$J:$J,"&lt;"&amp;$AD14,Dataset!$AH:$AH,"bono de gobierno",Dataset!$T:$T,"UF")</f>
        <v>2.7492506398377473E-2</v>
      </c>
      <c r="AA14" s="36">
        <f>SUMIFS(Dataset!$AJ:$AJ,Dataset!$F:$F,Resumen!AA$8,Dataset!$J:$J,"&gt;="&amp;$AC14,Dataset!$J:$J,"&lt;"&amp;$AD14,Dataset!$AH:$AH,"bono de gobierno",Dataset!$T:$T,"UF")</f>
        <v>4.9009133891632431E-2</v>
      </c>
      <c r="AB14" s="37">
        <f>SUMIFS(Dataset!$AA:$AA,Dataset!$F:$F,Resumen!AA$8,Dataset!$J:$J,"&gt;="&amp;$AC14,Dataset!$J:$J,"&lt;"&amp;$AD14,Dataset!$AH:$AH,"bono de gobierno",Dataset!$T:$T,"UF")</f>
        <v>3.7254094586515824E-2</v>
      </c>
      <c r="AC14" s="31">
        <v>0</v>
      </c>
      <c r="AD14" s="31">
        <v>3</v>
      </c>
    </row>
    <row r="15" spans="2:32" ht="30" customHeight="1" x14ac:dyDescent="0.25">
      <c r="B15" s="207"/>
      <c r="C15" s="208" t="s">
        <v>124</v>
      </c>
      <c r="D15" s="208"/>
      <c r="E15" s="38">
        <f>SUMIFS(Dataset!$AJ:$AJ,Dataset!$F:$F,Resumen!E$8,Dataset!$J:$J,"&gt;="&amp;$AC15,Dataset!$J:$J,"&lt;"&amp;$AD15,Dataset!$AH:$AH,"bono de gobierno",Dataset!$T:$T,"UF")</f>
        <v>3.3835305088131332E-2</v>
      </c>
      <c r="F15" s="39">
        <f>SUMIFS(Dataset!$AA:$AA,Dataset!$F:$F,Resumen!E$8,Dataset!$J:$J,"&gt;="&amp;$AC15,Dataset!$J:$J,"&lt;"&amp;$AD15,Dataset!$AH:$AH,"bono de gobierno",Dataset!$T:$T,"UF")</f>
        <v>-0.12725965763322605</v>
      </c>
      <c r="G15" s="38">
        <f>SUMIFS(Dataset!$AJ:$AJ,Dataset!$F:$F,Resumen!G$8,Dataset!$J:$J,"&gt;="&amp;$AC15,Dataset!$J:$J,"&lt;"&amp;$AD15,Dataset!$AH:$AH,"bono de gobierno",Dataset!$T:$T,"UF")</f>
        <v>1.5997920549318239E-2</v>
      </c>
      <c r="H15" s="39">
        <f>SUMIFS(Dataset!$AA:$AA,Dataset!$F:$F,Resumen!G$8,Dataset!$J:$J,"&gt;="&amp;$AC15,Dataset!$J:$J,"&lt;"&amp;$AD15,Dataset!$AH:$AH,"bono de gobierno",Dataset!$T:$T,"UF")</f>
        <v>1.1837866213954586E-2</v>
      </c>
      <c r="I15" s="38">
        <f>SUMIFS(Dataset!$AJ:$AJ,Dataset!$F:$F,Resumen!I$8,Dataset!$J:$J,"&gt;="&amp;$AC15,Dataset!$J:$J,"&lt;"&amp;$AD15,Dataset!$AH:$AH,"bono de gobierno",Dataset!$T:$T,"UF")</f>
        <v>0</v>
      </c>
      <c r="J15" s="39">
        <f>SUMIFS(Dataset!$AA:$AA,Dataset!$F:$F,Resumen!I$8,Dataset!$J:$J,"&gt;="&amp;$AC15,Dataset!$J:$J,"&lt;"&amp;$AD15,Dataset!$AH:$AH,"bono de gobierno",Dataset!$T:$T,"UF")</f>
        <v>0</v>
      </c>
      <c r="K15" s="38">
        <f>SUMIFS(Dataset!$AJ:$AJ,Dataset!$F:$F,Resumen!K$8,Dataset!$J:$J,"&gt;="&amp;$AC15,Dataset!$J:$J,"&lt;"&amp;$AD15,Dataset!$AH:$AH,"bono de gobierno",Dataset!$T:$T,"UF")</f>
        <v>0.10588035843210733</v>
      </c>
      <c r="L15" s="39">
        <f>SUMIFS(Dataset!$AA:$AA,Dataset!$F:$F,Resumen!K$8,Dataset!$J:$J,"&gt;="&amp;$AC15,Dataset!$J:$J,"&lt;"&amp;$AD15,Dataset!$AH:$AH,"bono de gobierno",Dataset!$T:$T,"UF")</f>
        <v>0.13238296391410354</v>
      </c>
      <c r="M15" s="38">
        <f>SUMIFS(Dataset!$AJ:$AJ,Dataset!$F:$F,Resumen!M$8,Dataset!$J:$J,"&gt;="&amp;$AC15,Dataset!$J:$J,"&lt;"&amp;$AD15,Dataset!$AH:$AH,"bono de gobierno",Dataset!$T:$T,"UF")</f>
        <v>0</v>
      </c>
      <c r="N15" s="39">
        <f>SUMIFS(Dataset!$AA:$AA,Dataset!$F:$F,Resumen!M$8,Dataset!$J:$J,"&gt;="&amp;$AC15,Dataset!$J:$J,"&lt;"&amp;$AD15,Dataset!$AH:$AH,"bono de gobierno",Dataset!$T:$T,"UF")</f>
        <v>0</v>
      </c>
      <c r="O15" s="38">
        <f>SUMIFS(Dataset!$AJ:$AJ,Dataset!$F:$F,Resumen!O$8,Dataset!$J:$J,"&gt;="&amp;$AC15,Dataset!$J:$J,"&lt;"&amp;$AD15,Dataset!$AH:$AH,"bono de gobierno",Dataset!$T:$T,"UF")</f>
        <v>1.884403118710903E-2</v>
      </c>
      <c r="P15" s="39">
        <f>SUMIFS(Dataset!$AA:$AA,Dataset!$F:$F,Resumen!O$8,Dataset!$J:$J,"&gt;="&amp;$AC15,Dataset!$J:$J,"&lt;"&amp;$AD15,Dataset!$AH:$AH,"bono de gobierno",Dataset!$T:$T,"UF")</f>
        <v>0.10636555626717453</v>
      </c>
      <c r="Q15" s="38">
        <f>SUMIFS(Dataset!$AJ:$AJ,Dataset!$F:$F,Resumen!Q$8,Dataset!$J:$J,"&gt;="&amp;$AC15,Dataset!$J:$J,"&lt;"&amp;$AD15,Dataset!$AH:$AH,"bono de gobierno",Dataset!$T:$T,"UF")</f>
        <v>0</v>
      </c>
      <c r="R15" s="39">
        <f>SUMIFS(Dataset!$AA:$AA,Dataset!$F:$F,Resumen!Q$8,Dataset!$J:$J,"&gt;="&amp;$AC15,Dataset!$J:$J,"&lt;"&amp;$AD15,Dataset!$AH:$AH,"bono de gobierno",Dataset!$T:$T,"UF")</f>
        <v>0</v>
      </c>
      <c r="S15" s="38">
        <f>SUMIFS(Dataset!$AJ:$AJ,Dataset!$F:$F,Resumen!S$8,Dataset!$J:$J,"&gt;="&amp;$AC15,Dataset!$J:$J,"&lt;"&amp;$AD15,Dataset!$AH:$AH,"bono de gobierno",Dataset!$T:$T,"UF")</f>
        <v>0</v>
      </c>
      <c r="T15" s="39">
        <f>SUMIFS(Dataset!$AA:$AA,Dataset!$F:$F,Resumen!S$8,Dataset!$J:$J,"&gt;="&amp;$AC15,Dataset!$J:$J,"&lt;"&amp;$AD15,Dataset!$AH:$AH,"bono de gobierno",Dataset!$T:$T,"UF")</f>
        <v>0</v>
      </c>
      <c r="U15" s="38">
        <f>SUMIFS(Dataset!$AJ:$AJ,Dataset!$F:$F,Resumen!U$8,Dataset!$J:$J,"&gt;="&amp;$AC15,Dataset!$J:$J,"&lt;"&amp;$AD15,Dataset!$AH:$AH,"bono de gobierno",Dataset!$T:$T,"UF")</f>
        <v>0</v>
      </c>
      <c r="V15" s="39">
        <f>SUMIFS(Dataset!$AA:$AA,Dataset!$F:$F,Resumen!U$8,Dataset!$J:$J,"&gt;="&amp;$AC15,Dataset!$J:$J,"&lt;"&amp;$AD15,Dataset!$AH:$AH,"bono de gobierno",Dataset!$T:$T,"UF")</f>
        <v>0</v>
      </c>
      <c r="W15" s="38">
        <f>SUMIFS(Dataset!$AJ:$AJ,Dataset!$F:$F,Resumen!W$8,Dataset!$J:$J,"&gt;="&amp;$AC15,Dataset!$J:$J,"&lt;"&amp;$AD15,Dataset!$AH:$AH,"bono de gobierno",Dataset!$T:$T,"UF")</f>
        <v>0</v>
      </c>
      <c r="X15" s="39">
        <f>SUMIFS(Dataset!$AA:$AA,Dataset!$F:$F,Resumen!W$8,Dataset!$J:$J,"&gt;="&amp;$AC15,Dataset!$J:$J,"&lt;"&amp;$AD15,Dataset!$AH:$AH,"bono de gobierno",Dataset!$T:$T,"UF")</f>
        <v>0</v>
      </c>
      <c r="Y15" s="38">
        <f>SUMIFS(Dataset!$AJ:$AJ,Dataset!$F:$F,Resumen!Y$8,Dataset!$J:$J,"&gt;="&amp;$AC15,Dataset!$J:$J,"&lt;"&amp;$AD15,Dataset!$AH:$AH,"bono de gobierno",Dataset!$T:$T,"UF")</f>
        <v>0.11341163864035279</v>
      </c>
      <c r="Z15" s="39">
        <f>SUMIFS(Dataset!$AA:$AA,Dataset!$F:$F,Resumen!Y$8,Dataset!$J:$J,"&gt;="&amp;$AC15,Dataset!$J:$J,"&lt;"&amp;$AD15,Dataset!$AH:$AH,"bono de gobierno",Dataset!$T:$T,"UF")</f>
        <v>0.26077834024516566</v>
      </c>
      <c r="AA15" s="38">
        <f>SUMIFS(Dataset!$AJ:$AJ,Dataset!$F:$F,Resumen!AA$8,Dataset!$J:$J,"&gt;="&amp;$AC15,Dataset!$J:$J,"&lt;"&amp;$AD15,Dataset!$AH:$AH,"bono de gobierno",Dataset!$T:$T,"UF")</f>
        <v>0.21572292008225427</v>
      </c>
      <c r="AB15" s="39">
        <f>SUMIFS(Dataset!$AA:$AA,Dataset!$F:$F,Resumen!AA$8,Dataset!$J:$J,"&gt;="&amp;$AC15,Dataset!$J:$J,"&lt;"&amp;$AD15,Dataset!$AH:$AH,"bono de gobierno",Dataset!$T:$T,"UF")</f>
        <v>0.26641313942312761</v>
      </c>
      <c r="AC15" s="31">
        <v>3</v>
      </c>
      <c r="AD15" s="31">
        <v>5</v>
      </c>
    </row>
    <row r="16" spans="2:32" ht="30" customHeight="1" x14ac:dyDescent="0.25">
      <c r="B16" s="207"/>
      <c r="C16" s="208" t="s">
        <v>125</v>
      </c>
      <c r="D16" s="208"/>
      <c r="E16" s="38">
        <f>SUMIFS(Dataset!$AJ:$AJ,Dataset!$F:$F,Resumen!E$8,Dataset!$J:$J,"&gt;="&amp;$AC16,Dataset!$J:$J,"&lt;"&amp;$AD16,Dataset!$AH:$AH,"bono de gobierno",Dataset!$T:$T,"UF")</f>
        <v>1.8758988262663659E-2</v>
      </c>
      <c r="F16" s="39">
        <f>SUMIFS(Dataset!$AA:$AA,Dataset!$F:$F,Resumen!E$8,Dataset!$J:$J,"&gt;="&amp;$AC16,Dataset!$J:$J,"&lt;"&amp;$AD16,Dataset!$AH:$AH,"bono de gobierno",Dataset!$T:$T,"UF")</f>
        <v>-5.8296565213462929E-2</v>
      </c>
      <c r="G16" s="38">
        <f>SUMIFS(Dataset!$AJ:$AJ,Dataset!$F:$F,Resumen!G$8,Dataset!$J:$J,"&gt;="&amp;$AC16,Dataset!$J:$J,"&lt;"&amp;$AD16,Dataset!$AH:$AH,"bono de gobierno",Dataset!$T:$T,"UF")</f>
        <v>0.13711423242304041</v>
      </c>
      <c r="H16" s="39">
        <f>SUMIFS(Dataset!$AA:$AA,Dataset!$F:$F,Resumen!G$8,Dataset!$J:$J,"&gt;="&amp;$AC16,Dataset!$J:$J,"&lt;"&amp;$AD16,Dataset!$AH:$AH,"bono de gobierno",Dataset!$T:$T,"UF")</f>
        <v>0.15210252393556789</v>
      </c>
      <c r="I16" s="38">
        <f>SUMIFS(Dataset!$AJ:$AJ,Dataset!$F:$F,Resumen!I$8,Dataset!$J:$J,"&gt;="&amp;$AC16,Dataset!$J:$J,"&lt;"&amp;$AD16,Dataset!$AH:$AH,"bono de gobierno",Dataset!$T:$T,"UF")</f>
        <v>0</v>
      </c>
      <c r="J16" s="39">
        <f>SUMIFS(Dataset!$AA:$AA,Dataset!$F:$F,Resumen!I$8,Dataset!$J:$J,"&gt;="&amp;$AC16,Dataset!$J:$J,"&lt;"&amp;$AD16,Dataset!$AH:$AH,"bono de gobierno",Dataset!$T:$T,"UF")</f>
        <v>0</v>
      </c>
      <c r="K16" s="38">
        <f>SUMIFS(Dataset!$AJ:$AJ,Dataset!$F:$F,Resumen!K$8,Dataset!$J:$J,"&gt;="&amp;$AC16,Dataset!$J:$J,"&lt;"&amp;$AD16,Dataset!$AH:$AH,"bono de gobierno",Dataset!$T:$T,"UF")</f>
        <v>9.3189614355034603E-2</v>
      </c>
      <c r="L16" s="39">
        <f>SUMIFS(Dataset!$AA:$AA,Dataset!$F:$F,Resumen!K$8,Dataset!$J:$J,"&gt;="&amp;$AC16,Dataset!$J:$J,"&lt;"&amp;$AD16,Dataset!$AH:$AH,"bono de gobierno",Dataset!$T:$T,"UF")</f>
        <v>0.15510117119430231</v>
      </c>
      <c r="M16" s="38">
        <f>SUMIFS(Dataset!$AJ:$AJ,Dataset!$F:$F,Resumen!M$8,Dataset!$J:$J,"&gt;="&amp;$AC16,Dataset!$J:$J,"&lt;"&amp;$AD16,Dataset!$AH:$AH,"bono de gobierno",Dataset!$T:$T,"UF")</f>
        <v>1.8481690972586014E-2</v>
      </c>
      <c r="N16" s="39">
        <f>SUMIFS(Dataset!$AA:$AA,Dataset!$F:$F,Resumen!M$8,Dataset!$J:$J,"&gt;="&amp;$AC16,Dataset!$J:$J,"&lt;"&amp;$AD16,Dataset!$AH:$AH,"bono de gobierno",Dataset!$T:$T,"UF")</f>
        <v>3.8694420927762718E-3</v>
      </c>
      <c r="O16" s="38">
        <f>SUMIFS(Dataset!$AJ:$AJ,Dataset!$F:$F,Resumen!O$8,Dataset!$J:$J,"&gt;="&amp;$AC16,Dataset!$J:$J,"&lt;"&amp;$AD16,Dataset!$AH:$AH,"bono de gobierno",Dataset!$T:$T,"UF")</f>
        <v>0</v>
      </c>
      <c r="P16" s="39">
        <f>SUMIFS(Dataset!$AA:$AA,Dataset!$F:$F,Resumen!O$8,Dataset!$J:$J,"&gt;="&amp;$AC16,Dataset!$J:$J,"&lt;"&amp;$AD16,Dataset!$AH:$AH,"bono de gobierno",Dataset!$T:$T,"UF")</f>
        <v>0</v>
      </c>
      <c r="Q16" s="38">
        <f>SUMIFS(Dataset!$AJ:$AJ,Dataset!$F:$F,Resumen!Q$8,Dataset!$J:$J,"&gt;="&amp;$AC16,Dataset!$J:$J,"&lt;"&amp;$AD16,Dataset!$AH:$AH,"bono de gobierno",Dataset!$T:$T,"UF")</f>
        <v>0</v>
      </c>
      <c r="R16" s="39">
        <f>SUMIFS(Dataset!$AA:$AA,Dataset!$F:$F,Resumen!Q$8,Dataset!$J:$J,"&gt;="&amp;$AC16,Dataset!$J:$J,"&lt;"&amp;$AD16,Dataset!$AH:$AH,"bono de gobierno",Dataset!$T:$T,"UF")</f>
        <v>0</v>
      </c>
      <c r="S16" s="38">
        <f>SUMIFS(Dataset!$AJ:$AJ,Dataset!$F:$F,Resumen!S$8,Dataset!$J:$J,"&gt;="&amp;$AC16,Dataset!$J:$J,"&lt;"&amp;$AD16,Dataset!$AH:$AH,"bono de gobierno",Dataset!$T:$T,"UF")</f>
        <v>0</v>
      </c>
      <c r="T16" s="39">
        <f>SUMIFS(Dataset!$AA:$AA,Dataset!$F:$F,Resumen!S$8,Dataset!$J:$J,"&gt;="&amp;$AC16,Dataset!$J:$J,"&lt;"&amp;$AD16,Dataset!$AH:$AH,"bono de gobierno",Dataset!$T:$T,"UF")</f>
        <v>0</v>
      </c>
      <c r="U16" s="38">
        <f>SUMIFS(Dataset!$AJ:$AJ,Dataset!$F:$F,Resumen!U$8,Dataset!$J:$J,"&gt;="&amp;$AC16,Dataset!$J:$J,"&lt;"&amp;$AD16,Dataset!$AH:$AH,"bono de gobierno",Dataset!$T:$T,"UF")</f>
        <v>0</v>
      </c>
      <c r="V16" s="39">
        <f>SUMIFS(Dataset!$AA:$AA,Dataset!$F:$F,Resumen!U$8,Dataset!$J:$J,"&gt;="&amp;$AC16,Dataset!$J:$J,"&lt;"&amp;$AD16,Dataset!$AH:$AH,"bono de gobierno",Dataset!$T:$T,"UF")</f>
        <v>0</v>
      </c>
      <c r="W16" s="38">
        <f>SUMIFS(Dataset!$AJ:$AJ,Dataset!$F:$F,Resumen!W$8,Dataset!$J:$J,"&gt;="&amp;$AC16,Dataset!$J:$J,"&lt;"&amp;$AD16,Dataset!$AH:$AH,"bono de gobierno",Dataset!$T:$T,"UF")</f>
        <v>0</v>
      </c>
      <c r="X16" s="39">
        <f>SUMIFS(Dataset!$AA:$AA,Dataset!$F:$F,Resumen!W$8,Dataset!$J:$J,"&gt;="&amp;$AC16,Dataset!$J:$J,"&lt;"&amp;$AD16,Dataset!$AH:$AH,"bono de gobierno",Dataset!$T:$T,"UF")</f>
        <v>0</v>
      </c>
      <c r="Y16" s="38">
        <f>SUMIFS(Dataset!$AJ:$AJ,Dataset!$F:$F,Resumen!Y$8,Dataset!$J:$J,"&gt;="&amp;$AC16,Dataset!$J:$J,"&lt;"&amp;$AD16,Dataset!$AH:$AH,"bono de gobierno",Dataset!$T:$T,"UF")</f>
        <v>6.9092403019324136E-2</v>
      </c>
      <c r="Z16" s="39">
        <f>SUMIFS(Dataset!$AA:$AA,Dataset!$F:$F,Resumen!Y$8,Dataset!$J:$J,"&gt;="&amp;$AC16,Dataset!$J:$J,"&lt;"&amp;$AD16,Dataset!$AH:$AH,"bono de gobierno",Dataset!$T:$T,"UF")</f>
        <v>0.21218147218050629</v>
      </c>
      <c r="AA16" s="38">
        <f>SUMIFS(Dataset!$AJ:$AJ,Dataset!$F:$F,Resumen!AA$8,Dataset!$J:$J,"&gt;="&amp;$AC16,Dataset!$J:$J,"&lt;"&amp;$AD16,Dataset!$AH:$AH,"bono de gobierno",Dataset!$T:$T,"UF")</f>
        <v>0.13366163560053929</v>
      </c>
      <c r="AB16" s="39">
        <f>SUMIFS(Dataset!$AA:$AA,Dataset!$F:$F,Resumen!AA$8,Dataset!$J:$J,"&gt;="&amp;$AC16,Dataset!$J:$J,"&lt;"&amp;$AD16,Dataset!$AH:$AH,"bono de gobierno",Dataset!$T:$T,"UF")</f>
        <v>0.22279469916490813</v>
      </c>
      <c r="AC16" s="31">
        <v>5</v>
      </c>
      <c r="AD16" s="31">
        <v>10</v>
      </c>
    </row>
    <row r="17" spans="2:34" ht="30" customHeight="1" x14ac:dyDescent="0.25">
      <c r="B17" s="207"/>
      <c r="C17" s="208" t="s">
        <v>126</v>
      </c>
      <c r="D17" s="208"/>
      <c r="E17" s="40">
        <f>SUMIFS(Dataset!$AJ:$AJ,Dataset!$F:$F,Resumen!E$8,Dataset!$J:$J,"&gt;="&amp;$AC17,Dataset!$J:$J,"&lt;"&amp;$AD17,Dataset!$AH:$AH,"bono de gobierno",Dataset!$T:$T,"UF")</f>
        <v>0</v>
      </c>
      <c r="F17" s="41">
        <f>SUMIFS(Dataset!$AA:$AA,Dataset!$F:$F,Resumen!E$8,Dataset!$J:$J,"&gt;="&amp;$AC17,Dataset!$J:$J,"&lt;"&amp;$AD17,Dataset!$AH:$AH,"bono de gobierno",Dataset!$T:$T,"UF")</f>
        <v>0</v>
      </c>
      <c r="G17" s="40">
        <f>SUMIFS(Dataset!$AJ:$AJ,Dataset!$F:$F,Resumen!G$8,Dataset!$J:$J,"&gt;="&amp;$AC17,Dataset!$J:$J,"&lt;"&amp;$AD17,Dataset!$AH:$AH,"bono de gobierno",Dataset!$T:$T,"UF")</f>
        <v>0.11834996712264469</v>
      </c>
      <c r="H17" s="41">
        <f>SUMIFS(Dataset!$AA:$AA,Dataset!$F:$F,Resumen!G$8,Dataset!$J:$J,"&gt;="&amp;$AC17,Dataset!$J:$J,"&lt;"&amp;$AD17,Dataset!$AH:$AH,"bono de gobierno",Dataset!$T:$T,"UF")</f>
        <v>0.25465069043361105</v>
      </c>
      <c r="I17" s="40">
        <f>SUMIFS(Dataset!$AJ:$AJ,Dataset!$F:$F,Resumen!I$8,Dataset!$J:$J,"&gt;="&amp;$AC17,Dataset!$J:$J,"&lt;"&amp;$AD17,Dataset!$AH:$AH,"bono de gobierno",Dataset!$T:$T,"UF")</f>
        <v>0</v>
      </c>
      <c r="J17" s="41">
        <f>SUMIFS(Dataset!$AA:$AA,Dataset!$F:$F,Resumen!I$8,Dataset!$J:$J,"&gt;="&amp;$AC17,Dataset!$J:$J,"&lt;"&amp;$AD17,Dataset!$AH:$AH,"bono de gobierno",Dataset!$T:$T,"UF")</f>
        <v>0</v>
      </c>
      <c r="K17" s="40">
        <f>SUMIFS(Dataset!$AJ:$AJ,Dataset!$F:$F,Resumen!K$8,Dataset!$J:$J,"&gt;="&amp;$AC17,Dataset!$J:$J,"&lt;"&amp;$AD17,Dataset!$AH:$AH,"bono de gobierno",Dataset!$T:$T,"UF")</f>
        <v>1.1110334824237386E-2</v>
      </c>
      <c r="L17" s="41">
        <f>SUMIFS(Dataset!$AA:$AA,Dataset!$F:$F,Resumen!K$8,Dataset!$J:$J,"&gt;="&amp;$AC17,Dataset!$J:$J,"&lt;"&amp;$AD17,Dataset!$AH:$AH,"bono de gobierno",Dataset!$T:$T,"UF")</f>
        <v>3.1711313268073936E-2</v>
      </c>
      <c r="M17" s="40">
        <f>SUMIFS(Dataset!$AJ:$AJ,Dataset!$F:$F,Resumen!M$8,Dataset!$J:$J,"&gt;="&amp;$AC17,Dataset!$J:$J,"&lt;"&amp;$AD17,Dataset!$AH:$AH,"bono de gobierno",Dataset!$T:$T,"UF")</f>
        <v>0</v>
      </c>
      <c r="N17" s="41">
        <f>SUMIFS(Dataset!$AA:$AA,Dataset!$F:$F,Resumen!M$8,Dataset!$J:$J,"&gt;="&amp;$AC17,Dataset!$J:$J,"&lt;"&amp;$AD17,Dataset!$AH:$AH,"bono de gobierno",Dataset!$T:$T,"UF")</f>
        <v>0</v>
      </c>
      <c r="O17" s="40">
        <f>SUMIFS(Dataset!$AJ:$AJ,Dataset!$F:$F,Resumen!O$8,Dataset!$J:$J,"&gt;="&amp;$AC17,Dataset!$J:$J,"&lt;"&amp;$AD17,Dataset!$AH:$AH,"bono de gobierno",Dataset!$T:$T,"UF")</f>
        <v>0</v>
      </c>
      <c r="P17" s="41">
        <f>SUMIFS(Dataset!$AA:$AA,Dataset!$F:$F,Resumen!O$8,Dataset!$J:$J,"&gt;="&amp;$AC17,Dataset!$J:$J,"&lt;"&amp;$AD17,Dataset!$AH:$AH,"bono de gobierno",Dataset!$T:$T,"UF")</f>
        <v>0</v>
      </c>
      <c r="Q17" s="40">
        <f>SUMIFS(Dataset!$AJ:$AJ,Dataset!$F:$F,Resumen!Q$8,Dataset!$J:$J,"&gt;="&amp;$AC17,Dataset!$J:$J,"&lt;"&amp;$AD17,Dataset!$AH:$AH,"bono de gobierno",Dataset!$T:$T,"UF")</f>
        <v>0</v>
      </c>
      <c r="R17" s="41">
        <f>SUMIFS(Dataset!$AA:$AA,Dataset!$F:$F,Resumen!Q$8,Dataset!$J:$J,"&gt;="&amp;$AC17,Dataset!$J:$J,"&lt;"&amp;$AD17,Dataset!$AH:$AH,"bono de gobierno",Dataset!$T:$T,"UF")</f>
        <v>0</v>
      </c>
      <c r="S17" s="40">
        <f>SUMIFS(Dataset!$AJ:$AJ,Dataset!$F:$F,Resumen!S$8,Dataset!$J:$J,"&gt;="&amp;$AC17,Dataset!$J:$J,"&lt;"&amp;$AD17,Dataset!$AH:$AH,"bono de gobierno",Dataset!$T:$T,"UF")</f>
        <v>0</v>
      </c>
      <c r="T17" s="41">
        <f>SUMIFS(Dataset!$AA:$AA,Dataset!$F:$F,Resumen!S$8,Dataset!$J:$J,"&gt;="&amp;$AC17,Dataset!$J:$J,"&lt;"&amp;$AD17,Dataset!$AH:$AH,"bono de gobierno",Dataset!$T:$T,"UF")</f>
        <v>0</v>
      </c>
      <c r="U17" s="40">
        <f>SUMIFS(Dataset!$AJ:$AJ,Dataset!$F:$F,Resumen!U$8,Dataset!$J:$J,"&gt;="&amp;$AC17,Dataset!$J:$J,"&lt;"&amp;$AD17,Dataset!$AH:$AH,"bono de gobierno",Dataset!$T:$T,"UF")</f>
        <v>0</v>
      </c>
      <c r="V17" s="41">
        <f>SUMIFS(Dataset!$AA:$AA,Dataset!$F:$F,Resumen!U$8,Dataset!$J:$J,"&gt;="&amp;$AC17,Dataset!$J:$J,"&lt;"&amp;$AD17,Dataset!$AH:$AH,"bono de gobierno",Dataset!$T:$T,"UF")</f>
        <v>0</v>
      </c>
      <c r="W17" s="40">
        <f>SUMIFS(Dataset!$AJ:$AJ,Dataset!$F:$F,Resumen!W$8,Dataset!$J:$J,"&gt;="&amp;$AC17,Dataset!$J:$J,"&lt;"&amp;$AD17,Dataset!$AH:$AH,"bono de gobierno",Dataset!$T:$T,"UF")</f>
        <v>0</v>
      </c>
      <c r="X17" s="41">
        <f>SUMIFS(Dataset!$AA:$AA,Dataset!$F:$F,Resumen!W$8,Dataset!$J:$J,"&gt;="&amp;$AC17,Dataset!$J:$J,"&lt;"&amp;$AD17,Dataset!$AH:$AH,"bono de gobierno",Dataset!$T:$T,"UF")</f>
        <v>0</v>
      </c>
      <c r="Y17" s="40">
        <f>SUMIFS(Dataset!$AJ:$AJ,Dataset!$F:$F,Resumen!Y$8,Dataset!$J:$J,"&gt;="&amp;$AC17,Dataset!$J:$J,"&lt;"&amp;$AD17,Dataset!$AH:$AH,"bono de gobierno",Dataset!$T:$T,"UF")</f>
        <v>1.6549284096201159E-2</v>
      </c>
      <c r="Z17" s="41">
        <f>SUMIFS(Dataset!$AA:$AA,Dataset!$F:$F,Resumen!Y$8,Dataset!$J:$J,"&gt;="&amp;$AC17,Dataset!$J:$J,"&lt;"&amp;$AD17,Dataset!$AH:$AH,"bono de gobierno",Dataset!$T:$T,"UF")</f>
        <v>8.3479266818153597E-2</v>
      </c>
      <c r="AA17" s="40">
        <f>SUMIFS(Dataset!$AJ:$AJ,Dataset!$F:$F,Resumen!AA$8,Dataset!$J:$J,"&gt;="&amp;$AC17,Dataset!$J:$J,"&lt;"&amp;$AD17,Dataset!$AH:$AH,"bono de gobierno",Dataset!$T:$T,"UF")</f>
        <v>2.4977248926819757E-2</v>
      </c>
      <c r="AB17" s="41">
        <f>SUMIFS(Dataset!$AA:$AA,Dataset!$F:$F,Resumen!AA$8,Dataset!$J:$J,"&gt;="&amp;$AC17,Dataset!$J:$J,"&lt;"&amp;$AD17,Dataset!$AH:$AH,"bono de gobierno",Dataset!$T:$T,"UF")</f>
        <v>6.5834979721078032E-2</v>
      </c>
      <c r="AC17" s="31">
        <v>10</v>
      </c>
      <c r="AD17" s="31">
        <v>100</v>
      </c>
    </row>
    <row r="18" spans="2:34" ht="30" customHeight="1" x14ac:dyDescent="0.25">
      <c r="B18" s="207" t="s">
        <v>128</v>
      </c>
      <c r="C18" s="208" t="s">
        <v>123</v>
      </c>
      <c r="D18" s="208"/>
      <c r="E18" s="36">
        <f>SUMIFS(Dataset!$AJ:$AJ,Dataset!$F:$F,Resumen!E$8,Dataset!$J:$J,"&gt;="&amp;$AC18,Dataset!$J:$J,"&lt;"&amp;$AD18,Dataset!$AH:$AH,"bono de gobierno",Dataset!$T:$T,"&lt;&gt;$",Dataset!$T:$T,"&lt;&gt;UF")</f>
        <v>0</v>
      </c>
      <c r="F18" s="37">
        <f>SUMIFS(Dataset!$AA:$AA,Dataset!$F:$F,Resumen!E$8,Dataset!$J:$J,"&gt;="&amp;$AC18,Dataset!$J:$J,"&lt;"&amp;$AD18,Dataset!$AH:$AH,"bono de gobierno",Dataset!$T:$T,"&lt;&gt;$",Dataset!$T:$T,"&lt;&gt;UF")</f>
        <v>0</v>
      </c>
      <c r="G18" s="36">
        <f>SUMIFS(Dataset!$AJ:$AJ,Dataset!$F:$F,Resumen!G$8,Dataset!$J:$J,"&gt;="&amp;$AC18,Dataset!$J:$J,"&lt;"&amp;$AD18,Dataset!$AH:$AH,"bono de gobierno",Dataset!$T:$T,"&lt;&gt;$",Dataset!$T:$T,"&lt;&gt;UF")</f>
        <v>0</v>
      </c>
      <c r="H18" s="37">
        <f>SUMIFS(Dataset!$AA:$AA,Dataset!$F:$F,Resumen!G$8,Dataset!$J:$J,"&gt;="&amp;$AC18,Dataset!$J:$J,"&lt;"&amp;$AD18,Dataset!$AH:$AH,"bono de gobierno",Dataset!$T:$T,"&lt;&gt;$",Dataset!$T:$T,"&lt;&gt;UF")</f>
        <v>0</v>
      </c>
      <c r="I18" s="36">
        <f>SUMIFS(Dataset!$AJ:$AJ,Dataset!$F:$F,Resumen!I$8,Dataset!$J:$J,"&gt;="&amp;$AC18,Dataset!$J:$J,"&lt;"&amp;$AD18,Dataset!$AH:$AH,"bono de gobierno",Dataset!$T:$T,"&lt;&gt;$",Dataset!$T:$T,"&lt;&gt;UF")</f>
        <v>0</v>
      </c>
      <c r="J18" s="37">
        <f>SUMIFS(Dataset!$AA:$AA,Dataset!$F:$F,Resumen!I$8,Dataset!$J:$J,"&gt;="&amp;$AC18,Dataset!$J:$J,"&lt;"&amp;$AD18,Dataset!$AH:$AH,"bono de gobierno",Dataset!$T:$T,"&lt;&gt;$",Dataset!$T:$T,"&lt;&gt;UF")</f>
        <v>0</v>
      </c>
      <c r="K18" s="36">
        <f>SUMIFS(Dataset!$AJ:$AJ,Dataset!$F:$F,Resumen!K$8,Dataset!$J:$J,"&gt;="&amp;$AC18,Dataset!$J:$J,"&lt;"&amp;$AD18,Dataset!$AH:$AH,"bono de gobierno",Dataset!$T:$T,"&lt;&gt;$",Dataset!$T:$T,"&lt;&gt;UF")</f>
        <v>0</v>
      </c>
      <c r="L18" s="37">
        <f>SUMIFS(Dataset!$AA:$AA,Dataset!$F:$F,Resumen!K$8,Dataset!$J:$J,"&gt;="&amp;$AC18,Dataset!$J:$J,"&lt;"&amp;$AD18,Dataset!$AH:$AH,"bono de gobierno",Dataset!$T:$T,"&lt;&gt;$",Dataset!$T:$T,"&lt;&gt;UF")</f>
        <v>0</v>
      </c>
      <c r="M18" s="36">
        <f>SUMIFS(Dataset!$AJ:$AJ,Dataset!$F:$F,Resumen!M$8,Dataset!$J:$J,"&gt;="&amp;$AC18,Dataset!$J:$J,"&lt;"&amp;$AD18,Dataset!$AH:$AH,"bono de gobierno",Dataset!$T:$T,"&lt;&gt;$",Dataset!$T:$T,"&lt;&gt;UF")</f>
        <v>0</v>
      </c>
      <c r="N18" s="37">
        <f>SUMIFS(Dataset!$AA:$AA,Dataset!$F:$F,Resumen!M$8,Dataset!$J:$J,"&gt;="&amp;$AC18,Dataset!$J:$J,"&lt;"&amp;$AD18,Dataset!$AH:$AH,"bono de gobierno",Dataset!$T:$T,"&lt;&gt;$",Dataset!$T:$T,"&lt;&gt;UF")</f>
        <v>0</v>
      </c>
      <c r="O18" s="36">
        <f>SUMIFS(Dataset!$AJ:$AJ,Dataset!$F:$F,Resumen!O$8,Dataset!$J:$J,"&gt;="&amp;$AC18,Dataset!$J:$J,"&lt;"&amp;$AD18,Dataset!$AH:$AH,"bono de gobierno",Dataset!$T:$T,"&lt;&gt;$",Dataset!$T:$T,"&lt;&gt;UF")</f>
        <v>0</v>
      </c>
      <c r="P18" s="37">
        <f>SUMIFS(Dataset!$AA:$AA,Dataset!$F:$F,Resumen!O$8,Dataset!$J:$J,"&gt;="&amp;$AC18,Dataset!$J:$J,"&lt;"&amp;$AD18,Dataset!$AH:$AH,"bono de gobierno",Dataset!$T:$T,"&lt;&gt;$",Dataset!$T:$T,"&lt;&gt;UF")</f>
        <v>0</v>
      </c>
      <c r="Q18" s="36">
        <f>SUMIFS(Dataset!$AJ:$AJ,Dataset!$F:$F,Resumen!Q$8,Dataset!$J:$J,"&gt;="&amp;$AC18,Dataset!$J:$J,"&lt;"&amp;$AD18,Dataset!$AH:$AH,"bono de gobierno",Dataset!$T:$T,"&lt;&gt;$",Dataset!$T:$T,"&lt;&gt;UF")</f>
        <v>0</v>
      </c>
      <c r="R18" s="37">
        <f>SUMIFS(Dataset!$AA:$AA,Dataset!$F:$F,Resumen!Q$8,Dataset!$J:$J,"&gt;="&amp;$AC18,Dataset!$J:$J,"&lt;"&amp;$AD18,Dataset!$AH:$AH,"bono de gobierno",Dataset!$T:$T,"&lt;&gt;$",Dataset!$T:$T,"&lt;&gt;UF")</f>
        <v>0</v>
      </c>
      <c r="S18" s="36">
        <f>SUMIFS(Dataset!$AJ:$AJ,Dataset!$F:$F,Resumen!S$8,Dataset!$J:$J,"&gt;="&amp;$AC18,Dataset!$J:$J,"&lt;"&amp;$AD18,Dataset!$AH:$AH,"bono de gobierno",Dataset!$T:$T,"&lt;&gt;$",Dataset!$T:$T,"&lt;&gt;UF")</f>
        <v>0</v>
      </c>
      <c r="T18" s="37">
        <f>SUMIFS(Dataset!$AA:$AA,Dataset!$F:$F,Resumen!S$8,Dataset!$J:$J,"&gt;="&amp;$AC18,Dataset!$J:$J,"&lt;"&amp;$AD18,Dataset!$AH:$AH,"bono de gobierno",Dataset!$T:$T,"&lt;&gt;$",Dataset!$T:$T,"&lt;&gt;UF")</f>
        <v>0</v>
      </c>
      <c r="U18" s="36">
        <f>SUMIFS(Dataset!$AJ:$AJ,Dataset!$F:$F,Resumen!U$8,Dataset!$J:$J,"&gt;="&amp;$AC18,Dataset!$J:$J,"&lt;"&amp;$AD18,Dataset!$AH:$AH,"bono de gobierno",Dataset!$T:$T,"&lt;&gt;$",Dataset!$T:$T,"&lt;&gt;UF")</f>
        <v>0</v>
      </c>
      <c r="V18" s="37">
        <f>SUMIFS(Dataset!$AA:$AA,Dataset!$F:$F,Resumen!U$8,Dataset!$J:$J,"&gt;="&amp;$AC18,Dataset!$J:$J,"&lt;"&amp;$AD18,Dataset!$AH:$AH,"bono de gobierno",Dataset!$T:$T,"&lt;&gt;$",Dataset!$T:$T,"&lt;&gt;UF")</f>
        <v>0</v>
      </c>
      <c r="W18" s="36">
        <f>SUMIFS(Dataset!$AJ:$AJ,Dataset!$F:$F,Resumen!W$8,Dataset!$J:$J,"&gt;="&amp;$AC18,Dataset!$J:$J,"&lt;"&amp;$AD18,Dataset!$AH:$AH,"bono de gobierno",Dataset!$T:$T,"&lt;&gt;$",Dataset!$T:$T,"&lt;&gt;UF")</f>
        <v>0</v>
      </c>
      <c r="X18" s="37">
        <f>SUMIFS(Dataset!$AA:$AA,Dataset!$F:$F,Resumen!W$8,Dataset!$J:$J,"&gt;="&amp;$AC18,Dataset!$J:$J,"&lt;"&amp;$AD18,Dataset!$AH:$AH,"bono de gobierno",Dataset!$T:$T,"&lt;&gt;$",Dataset!$T:$T,"&lt;&gt;UF")</f>
        <v>0</v>
      </c>
      <c r="Y18" s="36">
        <f>SUMIFS(Dataset!$AJ:$AJ,Dataset!$F:$F,Resumen!Y$8,Dataset!$J:$J,"&gt;="&amp;$AC18,Dataset!$J:$J,"&lt;"&amp;$AD18,Dataset!$AH:$AH,"bono de gobierno",Dataset!$T:$T,"&lt;&gt;$",Dataset!$T:$T,"&lt;&gt;UF")</f>
        <v>0</v>
      </c>
      <c r="Z18" s="37">
        <f>SUMIFS(Dataset!$AA:$AA,Dataset!$F:$F,Resumen!Y$8,Dataset!$J:$J,"&gt;="&amp;$AC18,Dataset!$J:$J,"&lt;"&amp;$AD18,Dataset!$AH:$AH,"bono de gobierno",Dataset!$T:$T,"&lt;&gt;$",Dataset!$T:$T,"&lt;&gt;UF")</f>
        <v>0</v>
      </c>
      <c r="AA18" s="36">
        <f>SUMIFS(Dataset!$AJ:$AJ,Dataset!$F:$F,Resumen!AA$8,Dataset!$J:$J,"&gt;="&amp;$AC18,Dataset!$J:$J,"&lt;"&amp;$AD18,Dataset!$AH:$AH,"bono de gobierno",Dataset!$T:$T,"&lt;&gt;$",Dataset!$T:$T,"&lt;&gt;UF")</f>
        <v>0</v>
      </c>
      <c r="AB18" s="37">
        <f>SUMIFS(Dataset!$AA:$AA,Dataset!$F:$F,Resumen!AA$8,Dataset!$J:$J,"&gt;="&amp;$AC18,Dataset!$J:$J,"&lt;"&amp;$AD18,Dataset!$AH:$AH,"bono de gobierno",Dataset!$T:$T,"&lt;&gt;$",Dataset!$T:$T,"&lt;&gt;UF")</f>
        <v>0</v>
      </c>
      <c r="AC18" s="31">
        <v>0</v>
      </c>
      <c r="AD18" s="31">
        <v>3</v>
      </c>
    </row>
    <row r="19" spans="2:34" ht="30" customHeight="1" x14ac:dyDescent="0.25">
      <c r="B19" s="207"/>
      <c r="C19" s="208" t="s">
        <v>124</v>
      </c>
      <c r="D19" s="208"/>
      <c r="E19" s="38">
        <f>SUMIFS(Dataset!$AJ:$AJ,Dataset!$F:$F,Resumen!E$8,Dataset!$J:$J,"&gt;="&amp;$AC19,Dataset!$J:$J,"&lt;"&amp;$AD19,Dataset!$AH:$AH,"bono de gobierno",Dataset!$T:$T,"&lt;&gt;$",Dataset!$T:$T,"&lt;&gt;UF")</f>
        <v>0</v>
      </c>
      <c r="F19" s="39">
        <f>SUMIFS(Dataset!$AA:$AA,Dataset!$F:$F,Resumen!E$8,Dataset!$J:$J,"&gt;="&amp;$AC19,Dataset!$J:$J,"&lt;"&amp;$AD19,Dataset!$AH:$AH,"bono de gobierno",Dataset!$T:$T,"&lt;&gt;$",Dataset!$T:$T,"&lt;&gt;UF")</f>
        <v>0</v>
      </c>
      <c r="G19" s="38">
        <f>SUMIFS(Dataset!$AJ:$AJ,Dataset!$F:$F,Resumen!G$8,Dataset!$J:$J,"&gt;="&amp;$AC19,Dataset!$J:$J,"&lt;"&amp;$AD19,Dataset!$AH:$AH,"bono de gobierno",Dataset!$T:$T,"&lt;&gt;$",Dataset!$T:$T,"&lt;&gt;UF")</f>
        <v>3.9456361501102324E-4</v>
      </c>
      <c r="H19" s="39">
        <f>SUMIFS(Dataset!$AA:$AA,Dataset!$F:$F,Resumen!G$8,Dataset!$J:$J,"&gt;="&amp;$AC19,Dataset!$J:$J,"&lt;"&amp;$AD19,Dataset!$AH:$AH,"bono de gobierno",Dataset!$T:$T,"&lt;&gt;$",Dataset!$T:$T,"&lt;&gt;UF")</f>
        <v>2.771586652580135E-5</v>
      </c>
      <c r="I19" s="38">
        <f>SUMIFS(Dataset!$AJ:$AJ,Dataset!$F:$F,Resumen!I$8,Dataset!$J:$J,"&gt;="&amp;$AC19,Dataset!$J:$J,"&lt;"&amp;$AD19,Dataset!$AH:$AH,"bono de gobierno",Dataset!$T:$T,"&lt;&gt;$",Dataset!$T:$T,"&lt;&gt;UF")</f>
        <v>8.1843053777581973E-3</v>
      </c>
      <c r="J19" s="39">
        <f>SUMIFS(Dataset!$AA:$AA,Dataset!$F:$F,Resumen!I$8,Dataset!$J:$J,"&gt;="&amp;$AC19,Dataset!$J:$J,"&lt;"&amp;$AD19,Dataset!$AH:$AH,"bono de gobierno",Dataset!$T:$T,"&lt;&gt;$",Dataset!$T:$T,"&lt;&gt;UF")</f>
        <v>-3.5817792586728618E-2</v>
      </c>
      <c r="K19" s="38">
        <f>SUMIFS(Dataset!$AJ:$AJ,Dataset!$F:$F,Resumen!K$8,Dataset!$J:$J,"&gt;="&amp;$AC19,Dataset!$J:$J,"&lt;"&amp;$AD19,Dataset!$AH:$AH,"bono de gobierno",Dataset!$T:$T,"&lt;&gt;$",Dataset!$T:$T,"&lt;&gt;UF")</f>
        <v>0</v>
      </c>
      <c r="L19" s="39">
        <f>SUMIFS(Dataset!$AA:$AA,Dataset!$F:$F,Resumen!K$8,Dataset!$J:$J,"&gt;="&amp;$AC19,Dataset!$J:$J,"&lt;"&amp;$AD19,Dataset!$AH:$AH,"bono de gobierno",Dataset!$T:$T,"&lt;&gt;$",Dataset!$T:$T,"&lt;&gt;UF")</f>
        <v>0</v>
      </c>
      <c r="M19" s="38">
        <f>SUMIFS(Dataset!$AJ:$AJ,Dataset!$F:$F,Resumen!M$8,Dataset!$J:$J,"&gt;="&amp;$AC19,Dataset!$J:$J,"&lt;"&amp;$AD19,Dataset!$AH:$AH,"bono de gobierno",Dataset!$T:$T,"&lt;&gt;$",Dataset!$T:$T,"&lt;&gt;UF")</f>
        <v>0</v>
      </c>
      <c r="N19" s="39">
        <f>SUMIFS(Dataset!$AA:$AA,Dataset!$F:$F,Resumen!M$8,Dataset!$J:$J,"&gt;="&amp;$AC19,Dataset!$J:$J,"&lt;"&amp;$AD19,Dataset!$AH:$AH,"bono de gobierno",Dataset!$T:$T,"&lt;&gt;$",Dataset!$T:$T,"&lt;&gt;UF")</f>
        <v>0</v>
      </c>
      <c r="O19" s="38">
        <f>SUMIFS(Dataset!$AJ:$AJ,Dataset!$F:$F,Resumen!O$8,Dataset!$J:$J,"&gt;="&amp;$AC19,Dataset!$J:$J,"&lt;"&amp;$AD19,Dataset!$AH:$AH,"bono de gobierno",Dataset!$T:$T,"&lt;&gt;$",Dataset!$T:$T,"&lt;&gt;UF")</f>
        <v>0</v>
      </c>
      <c r="P19" s="39">
        <f>SUMIFS(Dataset!$AA:$AA,Dataset!$F:$F,Resumen!O$8,Dataset!$J:$J,"&gt;="&amp;$AC19,Dataset!$J:$J,"&lt;"&amp;$AD19,Dataset!$AH:$AH,"bono de gobierno",Dataset!$T:$T,"&lt;&gt;$",Dataset!$T:$T,"&lt;&gt;UF")</f>
        <v>0</v>
      </c>
      <c r="Q19" s="38">
        <f>SUMIFS(Dataset!$AJ:$AJ,Dataset!$F:$F,Resumen!Q$8,Dataset!$J:$J,"&gt;="&amp;$AC19,Dataset!$J:$J,"&lt;"&amp;$AD19,Dataset!$AH:$AH,"bono de gobierno",Dataset!$T:$T,"&lt;&gt;$",Dataset!$T:$T,"&lt;&gt;UF")</f>
        <v>0</v>
      </c>
      <c r="R19" s="39">
        <f>SUMIFS(Dataset!$AA:$AA,Dataset!$F:$F,Resumen!Q$8,Dataset!$J:$J,"&gt;="&amp;$AC19,Dataset!$J:$J,"&lt;"&amp;$AD19,Dataset!$AH:$AH,"bono de gobierno",Dataset!$T:$T,"&lt;&gt;$",Dataset!$T:$T,"&lt;&gt;UF")</f>
        <v>0</v>
      </c>
      <c r="S19" s="38">
        <f>SUMIFS(Dataset!$AJ:$AJ,Dataset!$F:$F,Resumen!S$8,Dataset!$J:$J,"&gt;="&amp;$AC19,Dataset!$J:$J,"&lt;"&amp;$AD19,Dataset!$AH:$AH,"bono de gobierno",Dataset!$T:$T,"&lt;&gt;$",Dataset!$T:$T,"&lt;&gt;UF")</f>
        <v>0</v>
      </c>
      <c r="T19" s="39">
        <f>SUMIFS(Dataset!$AA:$AA,Dataset!$F:$F,Resumen!S$8,Dataset!$J:$J,"&gt;="&amp;$AC19,Dataset!$J:$J,"&lt;"&amp;$AD19,Dataset!$AH:$AH,"bono de gobierno",Dataset!$T:$T,"&lt;&gt;$",Dataset!$T:$T,"&lt;&gt;UF")</f>
        <v>0</v>
      </c>
      <c r="U19" s="38">
        <f>SUMIFS(Dataset!$AJ:$AJ,Dataset!$F:$F,Resumen!U$8,Dataset!$J:$J,"&gt;="&amp;$AC19,Dataset!$J:$J,"&lt;"&amp;$AD19,Dataset!$AH:$AH,"bono de gobierno",Dataset!$T:$T,"&lt;&gt;$",Dataset!$T:$T,"&lt;&gt;UF")</f>
        <v>0</v>
      </c>
      <c r="V19" s="39">
        <f>SUMIFS(Dataset!$AA:$AA,Dataset!$F:$F,Resumen!U$8,Dataset!$J:$J,"&gt;="&amp;$AC19,Dataset!$J:$J,"&lt;"&amp;$AD19,Dataset!$AH:$AH,"bono de gobierno",Dataset!$T:$T,"&lt;&gt;$",Dataset!$T:$T,"&lt;&gt;UF")</f>
        <v>0</v>
      </c>
      <c r="W19" s="38">
        <f>SUMIFS(Dataset!$AJ:$AJ,Dataset!$F:$F,Resumen!W$8,Dataset!$J:$J,"&gt;="&amp;$AC19,Dataset!$J:$J,"&lt;"&amp;$AD19,Dataset!$AH:$AH,"bono de gobierno",Dataset!$T:$T,"&lt;&gt;$",Dataset!$T:$T,"&lt;&gt;UF")</f>
        <v>0</v>
      </c>
      <c r="X19" s="39">
        <f>SUMIFS(Dataset!$AA:$AA,Dataset!$F:$F,Resumen!W$8,Dataset!$J:$J,"&gt;="&amp;$AC19,Dataset!$J:$J,"&lt;"&amp;$AD19,Dataset!$AH:$AH,"bono de gobierno",Dataset!$T:$T,"&lt;&gt;$",Dataset!$T:$T,"&lt;&gt;UF")</f>
        <v>0</v>
      </c>
      <c r="Y19" s="38">
        <f>SUMIFS(Dataset!$AJ:$AJ,Dataset!$F:$F,Resumen!Y$8,Dataset!$J:$J,"&gt;="&amp;$AC19,Dataset!$J:$J,"&lt;"&amp;$AD19,Dataset!$AH:$AH,"bono de gobierno",Dataset!$T:$T,"&lt;&gt;$",Dataset!$T:$T,"&lt;&gt;UF")</f>
        <v>0</v>
      </c>
      <c r="Z19" s="39">
        <f>SUMIFS(Dataset!$AA:$AA,Dataset!$F:$F,Resumen!Y$8,Dataset!$J:$J,"&gt;="&amp;$AC19,Dataset!$J:$J,"&lt;"&amp;$AD19,Dataset!$AH:$AH,"bono de gobierno",Dataset!$T:$T,"&lt;&gt;$",Dataset!$T:$T,"&lt;&gt;UF")</f>
        <v>0</v>
      </c>
      <c r="AA19" s="38">
        <f>SUMIFS(Dataset!$AJ:$AJ,Dataset!$F:$F,Resumen!AA$8,Dataset!$J:$J,"&gt;="&amp;$AC19,Dataset!$J:$J,"&lt;"&amp;$AD19,Dataset!$AH:$AH,"bono de gobierno",Dataset!$T:$T,"&lt;&gt;$",Dataset!$T:$T,"&lt;&gt;UF")</f>
        <v>0</v>
      </c>
      <c r="AB19" s="39">
        <f>SUMIFS(Dataset!$AA:$AA,Dataset!$F:$F,Resumen!AA$8,Dataset!$J:$J,"&gt;="&amp;$AC19,Dataset!$J:$J,"&lt;"&amp;$AD19,Dataset!$AH:$AH,"bono de gobierno",Dataset!$T:$T,"&lt;&gt;$",Dataset!$T:$T,"&lt;&gt;UF")</f>
        <v>0</v>
      </c>
      <c r="AC19" s="31">
        <v>3</v>
      </c>
      <c r="AD19" s="31">
        <v>5</v>
      </c>
    </row>
    <row r="20" spans="2:34" ht="30" customHeight="1" x14ac:dyDescent="0.25">
      <c r="B20" s="207"/>
      <c r="C20" s="208" t="s">
        <v>125</v>
      </c>
      <c r="D20" s="208"/>
      <c r="E20" s="38">
        <f>SUMIFS(Dataset!$AJ:$AJ,Dataset!$F:$F,Resumen!E$8,Dataset!$J:$J,"&gt;="&amp;$AC20,Dataset!$J:$J,"&lt;"&amp;$AD20,Dataset!$AH:$AH,"bono de gobierno",Dataset!$T:$T,"&lt;&gt;$",Dataset!$T:$T,"&lt;&gt;UF")</f>
        <v>0</v>
      </c>
      <c r="F20" s="39">
        <f>SUMIFS(Dataset!$AA:$AA,Dataset!$F:$F,Resumen!E$8,Dataset!$J:$J,"&gt;="&amp;$AC20,Dataset!$J:$J,"&lt;"&amp;$AD20,Dataset!$AH:$AH,"bono de gobierno",Dataset!$T:$T,"&lt;&gt;$",Dataset!$T:$T,"&lt;&gt;UF")</f>
        <v>0</v>
      </c>
      <c r="G20" s="38">
        <f>SUMIFS(Dataset!$AJ:$AJ,Dataset!$F:$F,Resumen!G$8,Dataset!$J:$J,"&gt;="&amp;$AC20,Dataset!$J:$J,"&lt;"&amp;$AD20,Dataset!$AH:$AH,"bono de gobierno",Dataset!$T:$T,"&lt;&gt;$",Dataset!$T:$T,"&lt;&gt;UF")</f>
        <v>1.3050151683921249E-2</v>
      </c>
      <c r="H20" s="39">
        <f>SUMIFS(Dataset!$AA:$AA,Dataset!$F:$F,Resumen!G$8,Dataset!$J:$J,"&gt;="&amp;$AC20,Dataset!$J:$J,"&lt;"&amp;$AD20,Dataset!$AH:$AH,"bono de gobierno",Dataset!$T:$T,"&lt;&gt;$",Dataset!$T:$T,"&lt;&gt;UF")</f>
        <v>2.6162386025336354E-2</v>
      </c>
      <c r="I20" s="38">
        <f>SUMIFS(Dataset!$AJ:$AJ,Dataset!$F:$F,Resumen!I$8,Dataset!$J:$J,"&gt;="&amp;$AC20,Dataset!$J:$J,"&lt;"&amp;$AD20,Dataset!$AH:$AH,"bono de gobierno",Dataset!$T:$T,"&lt;&gt;$",Dataset!$T:$T,"&lt;&gt;UF")</f>
        <v>0</v>
      </c>
      <c r="J20" s="39">
        <f>SUMIFS(Dataset!$AA:$AA,Dataset!$F:$F,Resumen!I$8,Dataset!$J:$J,"&gt;="&amp;$AC20,Dataset!$J:$J,"&lt;"&amp;$AD20,Dataset!$AH:$AH,"bono de gobierno",Dataset!$T:$T,"&lt;&gt;$",Dataset!$T:$T,"&lt;&gt;UF")</f>
        <v>0</v>
      </c>
      <c r="K20" s="38">
        <f>SUMIFS(Dataset!$AJ:$AJ,Dataset!$F:$F,Resumen!K$8,Dataset!$J:$J,"&gt;="&amp;$AC20,Dataset!$J:$J,"&lt;"&amp;$AD20,Dataset!$AH:$AH,"bono de gobierno",Dataset!$T:$T,"&lt;&gt;$",Dataset!$T:$T,"&lt;&gt;UF")</f>
        <v>0</v>
      </c>
      <c r="L20" s="39">
        <f>SUMIFS(Dataset!$AA:$AA,Dataset!$F:$F,Resumen!K$8,Dataset!$J:$J,"&gt;="&amp;$AC20,Dataset!$J:$J,"&lt;"&amp;$AD20,Dataset!$AH:$AH,"bono de gobierno",Dataset!$T:$T,"&lt;&gt;$",Dataset!$T:$T,"&lt;&gt;UF")</f>
        <v>0</v>
      </c>
      <c r="M20" s="38">
        <f>SUMIFS(Dataset!$AJ:$AJ,Dataset!$F:$F,Resumen!M$8,Dataset!$J:$J,"&gt;="&amp;$AC20,Dataset!$J:$J,"&lt;"&amp;$AD20,Dataset!$AH:$AH,"bono de gobierno",Dataset!$T:$T,"&lt;&gt;$",Dataset!$T:$T,"&lt;&gt;UF")</f>
        <v>0</v>
      </c>
      <c r="N20" s="39">
        <f>SUMIFS(Dataset!$AA:$AA,Dataset!$F:$F,Resumen!M$8,Dataset!$J:$J,"&gt;="&amp;$AC20,Dataset!$J:$J,"&lt;"&amp;$AD20,Dataset!$AH:$AH,"bono de gobierno",Dataset!$T:$T,"&lt;&gt;$",Dataset!$T:$T,"&lt;&gt;UF")</f>
        <v>0</v>
      </c>
      <c r="O20" s="38">
        <f>SUMIFS(Dataset!$AJ:$AJ,Dataset!$F:$F,Resumen!O$8,Dataset!$J:$J,"&gt;="&amp;$AC20,Dataset!$J:$J,"&lt;"&amp;$AD20,Dataset!$AH:$AH,"bono de gobierno",Dataset!$T:$T,"&lt;&gt;$",Dataset!$T:$T,"&lt;&gt;UF")</f>
        <v>0</v>
      </c>
      <c r="P20" s="39">
        <f>SUMIFS(Dataset!$AA:$AA,Dataset!$F:$F,Resumen!O$8,Dataset!$J:$J,"&gt;="&amp;$AC20,Dataset!$J:$J,"&lt;"&amp;$AD20,Dataset!$AH:$AH,"bono de gobierno",Dataset!$T:$T,"&lt;&gt;$",Dataset!$T:$T,"&lt;&gt;UF")</f>
        <v>0</v>
      </c>
      <c r="Q20" s="38">
        <f>SUMIFS(Dataset!$AJ:$AJ,Dataset!$F:$F,Resumen!Q$8,Dataset!$J:$J,"&gt;="&amp;$AC20,Dataset!$J:$J,"&lt;"&amp;$AD20,Dataset!$AH:$AH,"bono de gobierno",Dataset!$T:$T,"&lt;&gt;$",Dataset!$T:$T,"&lt;&gt;UF")</f>
        <v>0</v>
      </c>
      <c r="R20" s="39">
        <f>SUMIFS(Dataset!$AA:$AA,Dataset!$F:$F,Resumen!Q$8,Dataset!$J:$J,"&gt;="&amp;$AC20,Dataset!$J:$J,"&lt;"&amp;$AD20,Dataset!$AH:$AH,"bono de gobierno",Dataset!$T:$T,"&lt;&gt;$",Dataset!$T:$T,"&lt;&gt;UF")</f>
        <v>0</v>
      </c>
      <c r="S20" s="38">
        <f>SUMIFS(Dataset!$AJ:$AJ,Dataset!$F:$F,Resumen!S$8,Dataset!$J:$J,"&gt;="&amp;$AC20,Dataset!$J:$J,"&lt;"&amp;$AD20,Dataset!$AH:$AH,"bono de gobierno",Dataset!$T:$T,"&lt;&gt;$",Dataset!$T:$T,"&lt;&gt;UF")</f>
        <v>0</v>
      </c>
      <c r="T20" s="39">
        <f>SUMIFS(Dataset!$AA:$AA,Dataset!$F:$F,Resumen!S$8,Dataset!$J:$J,"&gt;="&amp;$AC20,Dataset!$J:$J,"&lt;"&amp;$AD20,Dataset!$AH:$AH,"bono de gobierno",Dataset!$T:$T,"&lt;&gt;$",Dataset!$T:$T,"&lt;&gt;UF")</f>
        <v>0</v>
      </c>
      <c r="U20" s="38">
        <f>SUMIFS(Dataset!$AJ:$AJ,Dataset!$F:$F,Resumen!U$8,Dataset!$J:$J,"&gt;="&amp;$AC20,Dataset!$J:$J,"&lt;"&amp;$AD20,Dataset!$AH:$AH,"bono de gobierno",Dataset!$T:$T,"&lt;&gt;$",Dataset!$T:$T,"&lt;&gt;UF")</f>
        <v>0</v>
      </c>
      <c r="V20" s="39">
        <f>SUMIFS(Dataset!$AA:$AA,Dataset!$F:$F,Resumen!U$8,Dataset!$J:$J,"&gt;="&amp;$AC20,Dataset!$J:$J,"&lt;"&amp;$AD20,Dataset!$AH:$AH,"bono de gobierno",Dataset!$T:$T,"&lt;&gt;$",Dataset!$T:$T,"&lt;&gt;UF")</f>
        <v>0</v>
      </c>
      <c r="W20" s="38">
        <f>SUMIFS(Dataset!$AJ:$AJ,Dataset!$F:$F,Resumen!W$8,Dataset!$J:$J,"&gt;="&amp;$AC20,Dataset!$J:$J,"&lt;"&amp;$AD20,Dataset!$AH:$AH,"bono de gobierno",Dataset!$T:$T,"&lt;&gt;$",Dataset!$T:$T,"&lt;&gt;UF")</f>
        <v>0</v>
      </c>
      <c r="X20" s="39">
        <f>SUMIFS(Dataset!$AA:$AA,Dataset!$F:$F,Resumen!W$8,Dataset!$J:$J,"&gt;="&amp;$AC20,Dataset!$J:$J,"&lt;"&amp;$AD20,Dataset!$AH:$AH,"bono de gobierno",Dataset!$T:$T,"&lt;&gt;$",Dataset!$T:$T,"&lt;&gt;UF")</f>
        <v>0</v>
      </c>
      <c r="Y20" s="38">
        <f>SUMIFS(Dataset!$AJ:$AJ,Dataset!$F:$F,Resumen!Y$8,Dataset!$J:$J,"&gt;="&amp;$AC20,Dataset!$J:$J,"&lt;"&amp;$AD20,Dataset!$AH:$AH,"bono de gobierno",Dataset!$T:$T,"&lt;&gt;$",Dataset!$T:$T,"&lt;&gt;UF")</f>
        <v>0</v>
      </c>
      <c r="Z20" s="39">
        <f>SUMIFS(Dataset!$AA:$AA,Dataset!$F:$F,Resumen!Y$8,Dataset!$J:$J,"&gt;="&amp;$AC20,Dataset!$J:$J,"&lt;"&amp;$AD20,Dataset!$AH:$AH,"bono de gobierno",Dataset!$T:$T,"&lt;&gt;$",Dataset!$T:$T,"&lt;&gt;UF")</f>
        <v>0</v>
      </c>
      <c r="AA20" s="38">
        <f>SUMIFS(Dataset!$AJ:$AJ,Dataset!$F:$F,Resumen!AA$8,Dataset!$J:$J,"&gt;="&amp;$AC20,Dataset!$J:$J,"&lt;"&amp;$AD20,Dataset!$AH:$AH,"bono de gobierno",Dataset!$T:$T,"&lt;&gt;$",Dataset!$T:$T,"&lt;&gt;UF")</f>
        <v>0</v>
      </c>
      <c r="AB20" s="39">
        <f>SUMIFS(Dataset!$AA:$AA,Dataset!$F:$F,Resumen!AA$8,Dataset!$J:$J,"&gt;="&amp;$AC20,Dataset!$J:$J,"&lt;"&amp;$AD20,Dataset!$AH:$AH,"bono de gobierno",Dataset!$T:$T,"&lt;&gt;$",Dataset!$T:$T,"&lt;&gt;UF")</f>
        <v>0</v>
      </c>
      <c r="AC20" s="31">
        <v>5</v>
      </c>
      <c r="AD20" s="31">
        <v>10</v>
      </c>
    </row>
    <row r="21" spans="2:34" ht="30" customHeight="1" x14ac:dyDescent="0.25">
      <c r="B21" s="207"/>
      <c r="C21" s="208" t="s">
        <v>126</v>
      </c>
      <c r="D21" s="208"/>
      <c r="E21" s="40">
        <f>SUMIFS(Dataset!$AJ:$AJ,Dataset!$F:$F,Resumen!E$8,Dataset!$J:$J,"&gt;="&amp;$AC21,Dataset!$J:$J,"&lt;"&amp;$AD21,Dataset!$AH:$AH,"bono de gobierno",Dataset!$T:$T,"&lt;&gt;$",Dataset!$T:$T,"&lt;&gt;UF")</f>
        <v>0</v>
      </c>
      <c r="F21" s="41">
        <f>SUMIFS(Dataset!$AA:$AA,Dataset!$F:$F,Resumen!E$8,Dataset!$J:$J,"&gt;="&amp;$AC21,Dataset!$J:$J,"&lt;"&amp;$AD21,Dataset!$AH:$AH,"bono de gobierno",Dataset!$T:$T,"&lt;&gt;$",Dataset!$T:$T,"&lt;&gt;UF")</f>
        <v>0</v>
      </c>
      <c r="G21" s="40">
        <f>SUMIFS(Dataset!$AJ:$AJ,Dataset!$F:$F,Resumen!G$8,Dataset!$J:$J,"&gt;="&amp;$AC21,Dataset!$J:$J,"&lt;"&amp;$AD21,Dataset!$AH:$AH,"bono de gobierno",Dataset!$T:$T,"&lt;&gt;$",Dataset!$T:$T,"&lt;&gt;UF")</f>
        <v>1.6706070887761997E-3</v>
      </c>
      <c r="H21" s="41">
        <f>SUMIFS(Dataset!$AA:$AA,Dataset!$F:$F,Resumen!G$8,Dataset!$J:$J,"&gt;="&amp;$AC21,Dataset!$J:$J,"&lt;"&amp;$AD21,Dataset!$AH:$AH,"bono de gobierno",Dataset!$T:$T,"&lt;&gt;$",Dataset!$T:$T,"&lt;&gt;UF")</f>
        <v>4.155135052155535E-3</v>
      </c>
      <c r="I21" s="40">
        <f>SUMIFS(Dataset!$AJ:$AJ,Dataset!$F:$F,Resumen!I$8,Dataset!$J:$J,"&gt;="&amp;$AC21,Dataset!$J:$J,"&lt;"&amp;$AD21,Dataset!$AH:$AH,"bono de gobierno",Dataset!$T:$T,"&lt;&gt;$",Dataset!$T:$T,"&lt;&gt;UF")</f>
        <v>0</v>
      </c>
      <c r="J21" s="41">
        <f>SUMIFS(Dataset!$AA:$AA,Dataset!$F:$F,Resumen!I$8,Dataset!$J:$J,"&gt;="&amp;$AC21,Dataset!$J:$J,"&lt;"&amp;$AD21,Dataset!$AH:$AH,"bono de gobierno",Dataset!$T:$T,"&lt;&gt;$",Dataset!$T:$T,"&lt;&gt;UF")</f>
        <v>0</v>
      </c>
      <c r="K21" s="40">
        <f>SUMIFS(Dataset!$AJ:$AJ,Dataset!$F:$F,Resumen!K$8,Dataset!$J:$J,"&gt;="&amp;$AC21,Dataset!$J:$J,"&lt;"&amp;$AD21,Dataset!$AH:$AH,"bono de gobierno",Dataset!$T:$T,"&lt;&gt;$",Dataset!$T:$T,"&lt;&gt;UF")</f>
        <v>0</v>
      </c>
      <c r="L21" s="41">
        <f>SUMIFS(Dataset!$AA:$AA,Dataset!$F:$F,Resumen!K$8,Dataset!$J:$J,"&gt;="&amp;$AC21,Dataset!$J:$J,"&lt;"&amp;$AD21,Dataset!$AH:$AH,"bono de gobierno",Dataset!$T:$T,"&lt;&gt;$",Dataset!$T:$T,"&lt;&gt;UF")</f>
        <v>0</v>
      </c>
      <c r="M21" s="40">
        <f>SUMIFS(Dataset!$AJ:$AJ,Dataset!$F:$F,Resumen!M$8,Dataset!$J:$J,"&gt;="&amp;$AC21,Dataset!$J:$J,"&lt;"&amp;$AD21,Dataset!$AH:$AH,"bono de gobierno",Dataset!$T:$T,"&lt;&gt;$",Dataset!$T:$T,"&lt;&gt;UF")</f>
        <v>0</v>
      </c>
      <c r="N21" s="41">
        <f>SUMIFS(Dataset!$AA:$AA,Dataset!$F:$F,Resumen!M$8,Dataset!$J:$J,"&gt;="&amp;$AC21,Dataset!$J:$J,"&lt;"&amp;$AD21,Dataset!$AH:$AH,"bono de gobierno",Dataset!$T:$T,"&lt;&gt;$",Dataset!$T:$T,"&lt;&gt;UF")</f>
        <v>0</v>
      </c>
      <c r="O21" s="40">
        <f>SUMIFS(Dataset!$AJ:$AJ,Dataset!$F:$F,Resumen!O$8,Dataset!$J:$J,"&gt;="&amp;$AC21,Dataset!$J:$J,"&lt;"&amp;$AD21,Dataset!$AH:$AH,"bono de gobierno",Dataset!$T:$T,"&lt;&gt;$",Dataset!$T:$T,"&lt;&gt;UF")</f>
        <v>0</v>
      </c>
      <c r="P21" s="41">
        <f>SUMIFS(Dataset!$AA:$AA,Dataset!$F:$F,Resumen!O$8,Dataset!$J:$J,"&gt;="&amp;$AC21,Dataset!$J:$J,"&lt;"&amp;$AD21,Dataset!$AH:$AH,"bono de gobierno",Dataset!$T:$T,"&lt;&gt;$",Dataset!$T:$T,"&lt;&gt;UF")</f>
        <v>0</v>
      </c>
      <c r="Q21" s="40">
        <f>SUMIFS(Dataset!$AJ:$AJ,Dataset!$F:$F,Resumen!Q$8,Dataset!$J:$J,"&gt;="&amp;$AC21,Dataset!$J:$J,"&lt;"&amp;$AD21,Dataset!$AH:$AH,"bono de gobierno",Dataset!$T:$T,"&lt;&gt;$",Dataset!$T:$T,"&lt;&gt;UF")</f>
        <v>0</v>
      </c>
      <c r="R21" s="41">
        <f>SUMIFS(Dataset!$AA:$AA,Dataset!$F:$F,Resumen!Q$8,Dataset!$J:$J,"&gt;="&amp;$AC21,Dataset!$J:$J,"&lt;"&amp;$AD21,Dataset!$AH:$AH,"bono de gobierno",Dataset!$T:$T,"&lt;&gt;$",Dataset!$T:$T,"&lt;&gt;UF")</f>
        <v>0</v>
      </c>
      <c r="S21" s="40">
        <f>SUMIFS(Dataset!$AJ:$AJ,Dataset!$F:$F,Resumen!S$8,Dataset!$J:$J,"&gt;="&amp;$AC21,Dataset!$J:$J,"&lt;"&amp;$AD21,Dataset!$AH:$AH,"bono de gobierno",Dataset!$T:$T,"&lt;&gt;$",Dataset!$T:$T,"&lt;&gt;UF")</f>
        <v>0</v>
      </c>
      <c r="T21" s="41">
        <f>SUMIFS(Dataset!$AA:$AA,Dataset!$F:$F,Resumen!S$8,Dataset!$J:$J,"&gt;="&amp;$AC21,Dataset!$J:$J,"&lt;"&amp;$AD21,Dataset!$AH:$AH,"bono de gobierno",Dataset!$T:$T,"&lt;&gt;$",Dataset!$T:$T,"&lt;&gt;UF")</f>
        <v>0</v>
      </c>
      <c r="U21" s="40">
        <f>SUMIFS(Dataset!$AJ:$AJ,Dataset!$F:$F,Resumen!U$8,Dataset!$J:$J,"&gt;="&amp;$AC21,Dataset!$J:$J,"&lt;"&amp;$AD21,Dataset!$AH:$AH,"bono de gobierno",Dataset!$T:$T,"&lt;&gt;$",Dataset!$T:$T,"&lt;&gt;UF")</f>
        <v>0</v>
      </c>
      <c r="V21" s="41">
        <f>SUMIFS(Dataset!$AA:$AA,Dataset!$F:$F,Resumen!U$8,Dataset!$J:$J,"&gt;="&amp;$AC21,Dataset!$J:$J,"&lt;"&amp;$AD21,Dataset!$AH:$AH,"bono de gobierno",Dataset!$T:$T,"&lt;&gt;$",Dataset!$T:$T,"&lt;&gt;UF")</f>
        <v>0</v>
      </c>
      <c r="W21" s="40">
        <f>SUMIFS(Dataset!$AJ:$AJ,Dataset!$F:$F,Resumen!W$8,Dataset!$J:$J,"&gt;="&amp;$AC21,Dataset!$J:$J,"&lt;"&amp;$AD21,Dataset!$AH:$AH,"bono de gobierno",Dataset!$T:$T,"&lt;&gt;$",Dataset!$T:$T,"&lt;&gt;UF")</f>
        <v>0</v>
      </c>
      <c r="X21" s="41">
        <f>SUMIFS(Dataset!$AA:$AA,Dataset!$F:$F,Resumen!W$8,Dataset!$J:$J,"&gt;="&amp;$AC21,Dataset!$J:$J,"&lt;"&amp;$AD21,Dataset!$AH:$AH,"bono de gobierno",Dataset!$T:$T,"&lt;&gt;$",Dataset!$T:$T,"&lt;&gt;UF")</f>
        <v>0</v>
      </c>
      <c r="Y21" s="40">
        <f>SUMIFS(Dataset!$AJ:$AJ,Dataset!$F:$F,Resumen!Y$8,Dataset!$J:$J,"&gt;="&amp;$AC21,Dataset!$J:$J,"&lt;"&amp;$AD21,Dataset!$AH:$AH,"bono de gobierno",Dataset!$T:$T,"&lt;&gt;$",Dataset!$T:$T,"&lt;&gt;UF")</f>
        <v>0</v>
      </c>
      <c r="Z21" s="41">
        <f>SUMIFS(Dataset!$AA:$AA,Dataset!$F:$F,Resumen!Y$8,Dataset!$J:$J,"&gt;="&amp;$AC21,Dataset!$J:$J,"&lt;"&amp;$AD21,Dataset!$AH:$AH,"bono de gobierno",Dataset!$T:$T,"&lt;&gt;$",Dataset!$T:$T,"&lt;&gt;UF")</f>
        <v>0</v>
      </c>
      <c r="AA21" s="40">
        <f>SUMIFS(Dataset!$AJ:$AJ,Dataset!$F:$F,Resumen!AA$8,Dataset!$J:$J,"&gt;="&amp;$AC21,Dataset!$J:$J,"&lt;"&amp;$AD21,Dataset!$AH:$AH,"bono de gobierno",Dataset!$T:$T,"&lt;&gt;$",Dataset!$T:$T,"&lt;&gt;UF")</f>
        <v>0</v>
      </c>
      <c r="AB21" s="41">
        <f>SUMIFS(Dataset!$AA:$AA,Dataset!$F:$F,Resumen!AA$8,Dataset!$J:$J,"&gt;="&amp;$AC21,Dataset!$J:$J,"&lt;"&amp;$AD21,Dataset!$AH:$AH,"bono de gobierno",Dataset!$T:$T,"&lt;&gt;$",Dataset!$T:$T,"&lt;&gt;UF")</f>
        <v>0</v>
      </c>
      <c r="AC21" s="31">
        <v>10</v>
      </c>
      <c r="AD21" s="31">
        <v>100</v>
      </c>
    </row>
    <row r="22" spans="2:34" ht="30" customHeight="1" x14ac:dyDescent="0.25">
      <c r="B22" s="207" t="s">
        <v>98</v>
      </c>
      <c r="C22" s="206" t="s">
        <v>129</v>
      </c>
      <c r="D22" s="51" t="s">
        <v>123</v>
      </c>
      <c r="E22" s="36">
        <f>SUMIFS(Dataset!$AJ:$AJ,Dataset!$F:$F,Resumen!E$8,Dataset!$J:$J,"&gt;="&amp;$AC22,Dataset!$J:$J,"&lt;"&amp;$AD22,Dataset!$AH:$AH,"bono corporativo",Dataset!$T:$T,"$",Dataset!$AC:$AC,"*AA*")</f>
        <v>-6.0997972342636732E-3</v>
      </c>
      <c r="F22" s="37">
        <f>SUMIFS(Dataset!$AA:$AA,Dataset!$F:$F,Resumen!E$8,Dataset!$J:$J,"&gt;="&amp;$AC22,Dataset!$J:$J,"&lt;"&amp;$AD22,Dataset!$AH:$AH,"bono corporativo",Dataset!$T:$T,"$",Dataset!$AC:$AC,"*AA*")</f>
        <v>2.0268365513045183E-3</v>
      </c>
      <c r="G22" s="36">
        <f>SUMIFS(Dataset!$AJ:$AJ,Dataset!$F:$F,Resumen!G$8,Dataset!$J:$J,"&gt;="&amp;$AC22,Dataset!$J:$J,"&lt;"&amp;$AD22,Dataset!$AH:$AH,"bono corporativo",Dataset!$T:$T,"$",Dataset!$AC:$AC,"*AA*")</f>
        <v>3.5557936380669168E-2</v>
      </c>
      <c r="H22" s="37">
        <f>SUMIFS(Dataset!$AA:$AA,Dataset!$F:$F,Resumen!G$8,Dataset!$J:$J,"&gt;="&amp;$AC22,Dataset!$J:$J,"&lt;"&amp;$AD22,Dataset!$AH:$AH,"bono corporativo",Dataset!$T:$T,"$",Dataset!$AC:$AC,"*AA*")</f>
        <v>2.4284789700902989E-3</v>
      </c>
      <c r="I22" s="36">
        <f>SUMIFS(Dataset!$AJ:$AJ,Dataset!$F:$F,Resumen!I$8,Dataset!$J:$J,"&gt;="&amp;$AC22,Dataset!$J:$J,"&lt;"&amp;$AD22,Dataset!$AH:$AH,"bono corporativo",Dataset!$T:$T,"$",Dataset!$AC:$AC,"*AA*")</f>
        <v>0</v>
      </c>
      <c r="J22" s="37">
        <f>SUMIFS(Dataset!$AA:$AA,Dataset!$F:$F,Resumen!I$8,Dataset!$J:$J,"&gt;="&amp;$AC22,Dataset!$J:$J,"&lt;"&amp;$AD22,Dataset!$AH:$AH,"bono corporativo",Dataset!$T:$T,"$",Dataset!$AC:$AC,"*AA*")</f>
        <v>0</v>
      </c>
      <c r="K22" s="36">
        <f>SUMIFS(Dataset!$AJ:$AJ,Dataset!$F:$F,Resumen!K$8,Dataset!$J:$J,"&gt;="&amp;$AC22,Dataset!$J:$J,"&lt;"&amp;$AD22,Dataset!$AH:$AH,"bono corporativo",Dataset!$T:$T,"$",Dataset!$AC:$AC,"*AA*")</f>
        <v>6.8084273392217065E-2</v>
      </c>
      <c r="L22" s="37">
        <f>SUMIFS(Dataset!$AA:$AA,Dataset!$F:$F,Resumen!K$8,Dataset!$J:$J,"&gt;="&amp;$AC22,Dataset!$J:$J,"&lt;"&amp;$AD22,Dataset!$AH:$AH,"bono corporativo",Dataset!$T:$T,"$",Dataset!$AC:$AC,"*AA*")</f>
        <v>6.8322877880421986E-3</v>
      </c>
      <c r="M22" s="36">
        <f>SUMIFS(Dataset!$AJ:$AJ,Dataset!$F:$F,Resumen!M$8,Dataset!$J:$J,"&gt;="&amp;$AC22,Dataset!$J:$J,"&lt;"&amp;$AD22,Dataset!$AH:$AH,"bono corporativo",Dataset!$T:$T,"$",Dataset!$AC:$AC,"*AA*")</f>
        <v>5.9337552315964479E-2</v>
      </c>
      <c r="N22" s="37">
        <f>SUMIFS(Dataset!$AA:$AA,Dataset!$F:$F,Resumen!M$8,Dataset!$J:$J,"&gt;="&amp;$AC22,Dataset!$J:$J,"&lt;"&amp;$AD22,Dataset!$AH:$AH,"bono corporativo",Dataset!$T:$T,"$",Dataset!$AC:$AC,"*AA*")</f>
        <v>1.6667838259050945E-2</v>
      </c>
      <c r="O22" s="36">
        <f>SUMIFS(Dataset!$AJ:$AJ,Dataset!$F:$F,Resumen!O$8,Dataset!$J:$J,"&gt;="&amp;$AC22,Dataset!$J:$J,"&lt;"&amp;$AD22,Dataset!$AH:$AH,"bono corporativo",Dataset!$T:$T,"$",Dataset!$AC:$AC,"*AA*")</f>
        <v>5.8356884841913217E-2</v>
      </c>
      <c r="P22" s="37">
        <f>SUMIFS(Dataset!$AA:$AA,Dataset!$F:$F,Resumen!O$8,Dataset!$J:$J,"&gt;="&amp;$AC22,Dataset!$J:$J,"&lt;"&amp;$AD22,Dataset!$AH:$AH,"bono corporativo",Dataset!$T:$T,"$",Dataset!$AC:$AC,"*AA*")</f>
        <v>3.9417974687324289E-2</v>
      </c>
      <c r="Q22" s="36">
        <f>SUMIFS(Dataset!$AJ:$AJ,Dataset!$F:$F,Resumen!Q$8,Dataset!$J:$J,"&gt;="&amp;$AC22,Dataset!$J:$J,"&lt;"&amp;$AD22,Dataset!$AH:$AH,"bono corporativo",Dataset!$T:$T,"$",Dataset!$AC:$AC,"*AA*")</f>
        <v>0</v>
      </c>
      <c r="R22" s="37">
        <f>SUMIFS(Dataset!$AA:$AA,Dataset!$F:$F,Resumen!Q$8,Dataset!$J:$J,"&gt;="&amp;$AC22,Dataset!$J:$J,"&lt;"&amp;$AD22,Dataset!$AH:$AH,"bono corporativo",Dataset!$T:$T,"$",Dataset!$AC:$AC,"*AA*")</f>
        <v>0</v>
      </c>
      <c r="S22" s="36">
        <f>SUMIFS(Dataset!$AJ:$AJ,Dataset!$F:$F,Resumen!S$8,Dataset!$J:$J,"&gt;="&amp;$AC22,Dataset!$J:$J,"&lt;"&amp;$AD22,Dataset!$AH:$AH,"bono corporativo",Dataset!$T:$T,"$",Dataset!$AC:$AC,"*AA*")</f>
        <v>0</v>
      </c>
      <c r="T22" s="37">
        <f>SUMIFS(Dataset!$AA:$AA,Dataset!$F:$F,Resumen!S$8,Dataset!$J:$J,"&gt;="&amp;$AC22,Dataset!$J:$J,"&lt;"&amp;$AD22,Dataset!$AH:$AH,"bono corporativo",Dataset!$T:$T,"$",Dataset!$AC:$AC,"*AA*")</f>
        <v>0</v>
      </c>
      <c r="U22" s="36">
        <f>SUMIFS(Dataset!$AJ:$AJ,Dataset!$F:$F,Resumen!U$8,Dataset!$J:$J,"&gt;="&amp;$AC22,Dataset!$J:$J,"&lt;"&amp;$AD22,Dataset!$AH:$AH,"bono corporativo",Dataset!$T:$T,"$",Dataset!$AC:$AC,"*AA*")</f>
        <v>0</v>
      </c>
      <c r="V22" s="37">
        <f>SUMIFS(Dataset!$AA:$AA,Dataset!$F:$F,Resumen!U$8,Dataset!$J:$J,"&gt;="&amp;$AC22,Dataset!$J:$J,"&lt;"&amp;$AD22,Dataset!$AH:$AH,"bono corporativo",Dataset!$T:$T,"$",Dataset!$AC:$AC,"*AA*")</f>
        <v>0</v>
      </c>
      <c r="W22" s="36">
        <f>SUMIFS(Dataset!$AJ:$AJ,Dataset!$F:$F,Resumen!W$8,Dataset!$J:$J,"&gt;="&amp;$AC22,Dataset!$J:$J,"&lt;"&amp;$AD22,Dataset!$AH:$AH,"bono corporativo",Dataset!$T:$T,"$",Dataset!$AC:$AC,"*AA*")</f>
        <v>0</v>
      </c>
      <c r="X22" s="37">
        <f>SUMIFS(Dataset!$AA:$AA,Dataset!$F:$F,Resumen!W$8,Dataset!$J:$J,"&gt;="&amp;$AC22,Dataset!$J:$J,"&lt;"&amp;$AD22,Dataset!$AH:$AH,"bono corporativo",Dataset!$T:$T,"$",Dataset!$AC:$AC,"*AA*")</f>
        <v>0</v>
      </c>
      <c r="Y22" s="36">
        <f>SUMIFS(Dataset!$AJ:$AJ,Dataset!$F:$F,Resumen!Y$8,Dataset!$J:$J,"&gt;="&amp;$AC22,Dataset!$J:$J,"&lt;"&amp;$AD22,Dataset!$AH:$AH,"bono corporativo",Dataset!$T:$T,"$",Dataset!$AC:$AC,"*AA*")</f>
        <v>0</v>
      </c>
      <c r="Z22" s="37">
        <f>SUMIFS(Dataset!$AA:$AA,Dataset!$F:$F,Resumen!Y$8,Dataset!$J:$J,"&gt;="&amp;$AC22,Dataset!$J:$J,"&lt;"&amp;$AD22,Dataset!$AH:$AH,"bono corporativo",Dataset!$T:$T,"$",Dataset!$AC:$AC,"*AA*")</f>
        <v>0</v>
      </c>
      <c r="AA22" s="36">
        <f>SUMIFS(Dataset!$AJ:$AJ,Dataset!$F:$F,Resumen!AA$8,Dataset!$J:$J,"&gt;="&amp;$AC22,Dataset!$J:$J,"&lt;"&amp;$AD22,Dataset!$AH:$AH,"bono corporativo",Dataset!$T:$T,"$",Dataset!$AC:$AC,"*AA*")</f>
        <v>3.012798611887562E-2</v>
      </c>
      <c r="AB22" s="37">
        <f>SUMIFS(Dataset!$AA:$AA,Dataset!$F:$F,Resumen!AA$8,Dataset!$J:$J,"&gt;="&amp;$AC22,Dataset!$J:$J,"&lt;"&amp;$AD22,Dataset!$AH:$AH,"bono corporativo",Dataset!$T:$T,"$",Dataset!$AC:$AC,"*AA*")</f>
        <v>3.2216524459381187E-3</v>
      </c>
      <c r="AC22" s="31">
        <v>0</v>
      </c>
      <c r="AD22" s="31">
        <v>3</v>
      </c>
    </row>
    <row r="23" spans="2:34" ht="30" customHeight="1" x14ac:dyDescent="0.25">
      <c r="B23" s="207"/>
      <c r="C23" s="206"/>
      <c r="D23" s="51" t="s">
        <v>124</v>
      </c>
      <c r="E23" s="38">
        <f>SUMIFS(Dataset!$AJ:$AJ,Dataset!$F:$F,Resumen!E$8,Dataset!$J:$J,"&gt;="&amp;$AC23,Dataset!$J:$J,"&lt;"&amp;$AD23,Dataset!$AH:$AH,"bono corporativo",Dataset!$T:$T,"$",Dataset!$AC:$AC,"*AA*")</f>
        <v>1.9017724139044869E-2</v>
      </c>
      <c r="F23" s="39">
        <f>SUMIFS(Dataset!$AA:$AA,Dataset!$F:$F,Resumen!E$8,Dataset!$J:$J,"&gt;="&amp;$AC23,Dataset!$J:$J,"&lt;"&amp;$AD23,Dataset!$AH:$AH,"bono corporativo",Dataset!$T:$T,"$",Dataset!$AC:$AC,"*AA*")</f>
        <v>-4.4495218698735696E-3</v>
      </c>
      <c r="G23" s="38">
        <f>SUMIFS(Dataset!$AJ:$AJ,Dataset!$F:$F,Resumen!G$8,Dataset!$J:$J,"&gt;="&amp;$AC23,Dataset!$J:$J,"&lt;"&amp;$AD23,Dataset!$AH:$AH,"bono corporativo",Dataset!$T:$T,"$",Dataset!$AC:$AC,"*AA*")</f>
        <v>3.1743947906953812E-2</v>
      </c>
      <c r="H23" s="39">
        <f>SUMIFS(Dataset!$AA:$AA,Dataset!$F:$F,Resumen!G$8,Dataset!$J:$J,"&gt;="&amp;$AC23,Dataset!$J:$J,"&lt;"&amp;$AD23,Dataset!$AH:$AH,"bono corporativo",Dataset!$T:$T,"$",Dataset!$AC:$AC,"*AA*")</f>
        <v>3.1114163350529789E-3</v>
      </c>
      <c r="I23" s="38">
        <f>SUMIFS(Dataset!$AJ:$AJ,Dataset!$F:$F,Resumen!I$8,Dataset!$J:$J,"&gt;="&amp;$AC23,Dataset!$J:$J,"&lt;"&amp;$AD23,Dataset!$AH:$AH,"bono corporativo",Dataset!$T:$T,"$",Dataset!$AC:$AC,"*AA*")</f>
        <v>0</v>
      </c>
      <c r="J23" s="39">
        <f>SUMIFS(Dataset!$AA:$AA,Dataset!$F:$F,Resumen!I$8,Dataset!$J:$J,"&gt;="&amp;$AC23,Dataset!$J:$J,"&lt;"&amp;$AD23,Dataset!$AH:$AH,"bono corporativo",Dataset!$T:$T,"$",Dataset!$AC:$AC,"*AA*")</f>
        <v>0</v>
      </c>
      <c r="K23" s="38">
        <f>SUMIFS(Dataset!$AJ:$AJ,Dataset!$F:$F,Resumen!K$8,Dataset!$J:$J,"&gt;="&amp;$AC23,Dataset!$J:$J,"&lt;"&amp;$AD23,Dataset!$AH:$AH,"bono corporativo",Dataset!$T:$T,"$",Dataset!$AC:$AC,"*AA*")</f>
        <v>3.2762409070801017E-2</v>
      </c>
      <c r="L23" s="39">
        <f>SUMIFS(Dataset!$AA:$AA,Dataset!$F:$F,Resumen!K$8,Dataset!$J:$J,"&gt;="&amp;$AC23,Dataset!$J:$J,"&lt;"&amp;$AD23,Dataset!$AH:$AH,"bono corporativo",Dataset!$T:$T,"$",Dataset!$AC:$AC,"*AA*")</f>
        <v>3.5483227340937086E-3</v>
      </c>
      <c r="M23" s="38">
        <f>SUMIFS(Dataset!$AJ:$AJ,Dataset!$F:$F,Resumen!M$8,Dataset!$J:$J,"&gt;="&amp;$AC23,Dataset!$J:$J,"&lt;"&amp;$AD23,Dataset!$AH:$AH,"bono corporativo",Dataset!$T:$T,"$",Dataset!$AC:$AC,"*AA*")</f>
        <v>1.479785610461261E-2</v>
      </c>
      <c r="N23" s="39">
        <f>SUMIFS(Dataset!$AA:$AA,Dataset!$F:$F,Resumen!M$8,Dataset!$J:$J,"&gt;="&amp;$AC23,Dataset!$J:$J,"&lt;"&amp;$AD23,Dataset!$AH:$AH,"bono corporativo",Dataset!$T:$T,"$",Dataset!$AC:$AC,"*AA*")</f>
        <v>6.4403509624563742E-3</v>
      </c>
      <c r="O23" s="38">
        <f>SUMIFS(Dataset!$AJ:$AJ,Dataset!$F:$F,Resumen!O$8,Dataset!$J:$J,"&gt;="&amp;$AC23,Dataset!$J:$J,"&lt;"&amp;$AD23,Dataset!$AH:$AH,"bono corporativo",Dataset!$T:$T,"$",Dataset!$AC:$AC,"*AA*")</f>
        <v>1.9635210282513783E-2</v>
      </c>
      <c r="P23" s="39">
        <f>SUMIFS(Dataset!$AA:$AA,Dataset!$F:$F,Resumen!O$8,Dataset!$J:$J,"&gt;="&amp;$AC23,Dataset!$J:$J,"&lt;"&amp;$AD23,Dataset!$AH:$AH,"bono corporativo",Dataset!$T:$T,"$",Dataset!$AC:$AC,"*AA*")</f>
        <v>8.5538971869881346E-3</v>
      </c>
      <c r="Q23" s="38">
        <f>SUMIFS(Dataset!$AJ:$AJ,Dataset!$F:$F,Resumen!Q$8,Dataset!$J:$J,"&gt;="&amp;$AC23,Dataset!$J:$J,"&lt;"&amp;$AD23,Dataset!$AH:$AH,"bono corporativo",Dataset!$T:$T,"$",Dataset!$AC:$AC,"*AA*")</f>
        <v>0</v>
      </c>
      <c r="R23" s="39">
        <f>SUMIFS(Dataset!$AA:$AA,Dataset!$F:$F,Resumen!Q$8,Dataset!$J:$J,"&gt;="&amp;$AC23,Dataset!$J:$J,"&lt;"&amp;$AD23,Dataset!$AH:$AH,"bono corporativo",Dataset!$T:$T,"$",Dataset!$AC:$AC,"*AA*")</f>
        <v>0</v>
      </c>
      <c r="S23" s="38">
        <f>SUMIFS(Dataset!$AJ:$AJ,Dataset!$F:$F,Resumen!S$8,Dataset!$J:$J,"&gt;="&amp;$AC23,Dataset!$J:$J,"&lt;"&amp;$AD23,Dataset!$AH:$AH,"bono corporativo",Dataset!$T:$T,"$",Dataset!$AC:$AC,"*AA*")</f>
        <v>0</v>
      </c>
      <c r="T23" s="39">
        <f>SUMIFS(Dataset!$AA:$AA,Dataset!$F:$F,Resumen!S$8,Dataset!$J:$J,"&gt;="&amp;$AC23,Dataset!$J:$J,"&lt;"&amp;$AD23,Dataset!$AH:$AH,"bono corporativo",Dataset!$T:$T,"$",Dataset!$AC:$AC,"*AA*")</f>
        <v>0</v>
      </c>
      <c r="U23" s="38">
        <f>SUMIFS(Dataset!$AJ:$AJ,Dataset!$F:$F,Resumen!U$8,Dataset!$J:$J,"&gt;="&amp;$AC23,Dataset!$J:$J,"&lt;"&amp;$AD23,Dataset!$AH:$AH,"bono corporativo",Dataset!$T:$T,"$",Dataset!$AC:$AC,"*AA*")</f>
        <v>0</v>
      </c>
      <c r="V23" s="39">
        <f>SUMIFS(Dataset!$AA:$AA,Dataset!$F:$F,Resumen!U$8,Dataset!$J:$J,"&gt;="&amp;$AC23,Dataset!$J:$J,"&lt;"&amp;$AD23,Dataset!$AH:$AH,"bono corporativo",Dataset!$T:$T,"$",Dataset!$AC:$AC,"*AA*")</f>
        <v>0</v>
      </c>
      <c r="W23" s="38">
        <f>SUMIFS(Dataset!$AJ:$AJ,Dataset!$F:$F,Resumen!W$8,Dataset!$J:$J,"&gt;="&amp;$AC23,Dataset!$J:$J,"&lt;"&amp;$AD23,Dataset!$AH:$AH,"bono corporativo",Dataset!$T:$T,"$",Dataset!$AC:$AC,"*AA*")</f>
        <v>0</v>
      </c>
      <c r="X23" s="39">
        <f>SUMIFS(Dataset!$AA:$AA,Dataset!$F:$F,Resumen!W$8,Dataset!$J:$J,"&gt;="&amp;$AC23,Dataset!$J:$J,"&lt;"&amp;$AD23,Dataset!$AH:$AH,"bono corporativo",Dataset!$T:$T,"$",Dataset!$AC:$AC,"*AA*")</f>
        <v>0</v>
      </c>
      <c r="Y23" s="38">
        <f>SUMIFS(Dataset!$AJ:$AJ,Dataset!$F:$F,Resumen!Y$8,Dataset!$J:$J,"&gt;="&amp;$AC23,Dataset!$J:$J,"&lt;"&amp;$AD23,Dataset!$AH:$AH,"bono corporativo",Dataset!$T:$T,"$",Dataset!$AC:$AC,"*AA*")</f>
        <v>0</v>
      </c>
      <c r="Z23" s="39">
        <f>SUMIFS(Dataset!$AA:$AA,Dataset!$F:$F,Resumen!Y$8,Dataset!$J:$J,"&gt;="&amp;$AC23,Dataset!$J:$J,"&lt;"&amp;$AD23,Dataset!$AH:$AH,"bono corporativo",Dataset!$T:$T,"$",Dataset!$AC:$AC,"*AA*")</f>
        <v>0</v>
      </c>
      <c r="AA23" s="38">
        <f>SUMIFS(Dataset!$AJ:$AJ,Dataset!$F:$F,Resumen!AA$8,Dataset!$J:$J,"&gt;="&amp;$AC23,Dataset!$J:$J,"&lt;"&amp;$AD23,Dataset!$AH:$AH,"bono corporativo",Dataset!$T:$T,"$",Dataset!$AC:$AC,"*AA*")</f>
        <v>0</v>
      </c>
      <c r="AB23" s="39">
        <f>SUMIFS(Dataset!$AA:$AA,Dataset!$F:$F,Resumen!AA$8,Dataset!$J:$J,"&gt;="&amp;$AC23,Dataset!$J:$J,"&lt;"&amp;$AD23,Dataset!$AH:$AH,"bono corporativo",Dataset!$T:$T,"$",Dataset!$AC:$AC,"*AA*")</f>
        <v>0</v>
      </c>
      <c r="AC23" s="31">
        <v>3</v>
      </c>
      <c r="AD23" s="31">
        <v>5</v>
      </c>
    </row>
    <row r="24" spans="2:34" ht="30" customHeight="1" x14ac:dyDescent="0.25">
      <c r="B24" s="207"/>
      <c r="C24" s="206"/>
      <c r="D24" s="51" t="s">
        <v>125</v>
      </c>
      <c r="E24" s="38">
        <f>SUMIFS(Dataset!$AJ:$AJ,Dataset!$F:$F,Resumen!E$8,Dataset!$J:$J,"&gt;="&amp;$AC24,Dataset!$J:$J,"&lt;"&amp;$AD24,Dataset!$AH:$AH,"bono corporativo",Dataset!$T:$T,"$",Dataset!$AC:$AC,"*AA*")</f>
        <v>6.2336414456730669E-3</v>
      </c>
      <c r="F24" s="39">
        <f>SUMIFS(Dataset!$AA:$AA,Dataset!$F:$F,Resumen!E$8,Dataset!$J:$J,"&gt;="&amp;$AC24,Dataset!$J:$J,"&lt;"&amp;$AD24,Dataset!$AH:$AH,"bono corporativo",Dataset!$T:$T,"$",Dataset!$AC:$AC,"*AA*")</f>
        <v>-2.9817311808145331E-3</v>
      </c>
      <c r="G24" s="38">
        <f>SUMIFS(Dataset!$AJ:$AJ,Dataset!$F:$F,Resumen!G$8,Dataset!$J:$J,"&gt;="&amp;$AC24,Dataset!$J:$J,"&lt;"&amp;$AD24,Dataset!$AH:$AH,"bono corporativo",Dataset!$T:$T,"$",Dataset!$AC:$AC,"*AA*")</f>
        <v>1.3374701156921315E-2</v>
      </c>
      <c r="H24" s="39">
        <f>SUMIFS(Dataset!$AA:$AA,Dataset!$F:$F,Resumen!G$8,Dataset!$J:$J,"&gt;="&amp;$AC24,Dataset!$J:$J,"&lt;"&amp;$AD24,Dataset!$AH:$AH,"bono corporativo",Dataset!$T:$T,"$",Dataset!$AC:$AC,"*AA*")</f>
        <v>1.3745333046230764E-3</v>
      </c>
      <c r="I24" s="38">
        <f>SUMIFS(Dataset!$AJ:$AJ,Dataset!$F:$F,Resumen!I$8,Dataset!$J:$J,"&gt;="&amp;$AC24,Dataset!$J:$J,"&lt;"&amp;$AD24,Dataset!$AH:$AH,"bono corporativo",Dataset!$T:$T,"$",Dataset!$AC:$AC,"*AA*")</f>
        <v>0</v>
      </c>
      <c r="J24" s="39">
        <f>SUMIFS(Dataset!$AA:$AA,Dataset!$F:$F,Resumen!I$8,Dataset!$J:$J,"&gt;="&amp;$AC24,Dataset!$J:$J,"&lt;"&amp;$AD24,Dataset!$AH:$AH,"bono corporativo",Dataset!$T:$T,"$",Dataset!$AC:$AC,"*AA*")</f>
        <v>0</v>
      </c>
      <c r="K24" s="38">
        <f>SUMIFS(Dataset!$AJ:$AJ,Dataset!$F:$F,Resumen!K$8,Dataset!$J:$J,"&gt;="&amp;$AC24,Dataset!$J:$J,"&lt;"&amp;$AD24,Dataset!$AH:$AH,"bono corporativo",Dataset!$T:$T,"$",Dataset!$AC:$AC,"*AA*")</f>
        <v>1.8695032784534028E-2</v>
      </c>
      <c r="L24" s="39">
        <f>SUMIFS(Dataset!$AA:$AA,Dataset!$F:$F,Resumen!K$8,Dataset!$J:$J,"&gt;="&amp;$AC24,Dataset!$J:$J,"&lt;"&amp;$AD24,Dataset!$AH:$AH,"bono corporativo",Dataset!$T:$T,"$",Dataset!$AC:$AC,"*AA*")</f>
        <v>2.2286731041328621E-3</v>
      </c>
      <c r="M24" s="38">
        <f>SUMIFS(Dataset!$AJ:$AJ,Dataset!$F:$F,Resumen!M$8,Dataset!$J:$J,"&gt;="&amp;$AC24,Dataset!$J:$J,"&lt;"&amp;$AD24,Dataset!$AH:$AH,"bono corporativo",Dataset!$T:$T,"$",Dataset!$AC:$AC,"*AA*")</f>
        <v>1.5172971123108661E-2</v>
      </c>
      <c r="N24" s="39">
        <f>SUMIFS(Dataset!$AA:$AA,Dataset!$F:$F,Resumen!M$8,Dataset!$J:$J,"&gt;="&amp;$AC24,Dataset!$J:$J,"&lt;"&amp;$AD24,Dataset!$AH:$AH,"bono corporativo",Dataset!$T:$T,"$",Dataset!$AC:$AC,"*AA*")</f>
        <v>2.0171458913037362E-3</v>
      </c>
      <c r="O24" s="38">
        <f>SUMIFS(Dataset!$AJ:$AJ,Dataset!$F:$F,Resumen!O$8,Dataset!$J:$J,"&gt;="&amp;$AC24,Dataset!$J:$J,"&lt;"&amp;$AD24,Dataset!$AH:$AH,"bono corporativo",Dataset!$T:$T,"$",Dataset!$AC:$AC,"*AA*")</f>
        <v>0</v>
      </c>
      <c r="P24" s="39">
        <f>SUMIFS(Dataset!$AA:$AA,Dataset!$F:$F,Resumen!O$8,Dataset!$J:$J,"&gt;="&amp;$AC24,Dataset!$J:$J,"&lt;"&amp;$AD24,Dataset!$AH:$AH,"bono corporativo",Dataset!$T:$T,"$",Dataset!$AC:$AC,"*AA*")</f>
        <v>0</v>
      </c>
      <c r="Q24" s="38">
        <f>SUMIFS(Dataset!$AJ:$AJ,Dataset!$F:$F,Resumen!Q$8,Dataset!$J:$J,"&gt;="&amp;$AC24,Dataset!$J:$J,"&lt;"&amp;$AD24,Dataset!$AH:$AH,"bono corporativo",Dataset!$T:$T,"$",Dataset!$AC:$AC,"*AA*")</f>
        <v>0</v>
      </c>
      <c r="R24" s="39">
        <f>SUMIFS(Dataset!$AA:$AA,Dataset!$F:$F,Resumen!Q$8,Dataset!$J:$J,"&gt;="&amp;$AC24,Dataset!$J:$J,"&lt;"&amp;$AD24,Dataset!$AH:$AH,"bono corporativo",Dataset!$T:$T,"$",Dataset!$AC:$AC,"*AA*")</f>
        <v>0</v>
      </c>
      <c r="S24" s="38">
        <f>SUMIFS(Dataset!$AJ:$AJ,Dataset!$F:$F,Resumen!S$8,Dataset!$J:$J,"&gt;="&amp;$AC24,Dataset!$J:$J,"&lt;"&amp;$AD24,Dataset!$AH:$AH,"bono corporativo",Dataset!$T:$T,"$",Dataset!$AC:$AC,"*AA*")</f>
        <v>0</v>
      </c>
      <c r="T24" s="39">
        <f>SUMIFS(Dataset!$AA:$AA,Dataset!$F:$F,Resumen!S$8,Dataset!$J:$J,"&gt;="&amp;$AC24,Dataset!$J:$J,"&lt;"&amp;$AD24,Dataset!$AH:$AH,"bono corporativo",Dataset!$T:$T,"$",Dataset!$AC:$AC,"*AA*")</f>
        <v>0</v>
      </c>
      <c r="U24" s="38">
        <f>SUMIFS(Dataset!$AJ:$AJ,Dataset!$F:$F,Resumen!U$8,Dataset!$J:$J,"&gt;="&amp;$AC24,Dataset!$J:$J,"&lt;"&amp;$AD24,Dataset!$AH:$AH,"bono corporativo",Dataset!$T:$T,"$",Dataset!$AC:$AC,"*AA*")</f>
        <v>0</v>
      </c>
      <c r="V24" s="39">
        <f>SUMIFS(Dataset!$AA:$AA,Dataset!$F:$F,Resumen!U$8,Dataset!$J:$J,"&gt;="&amp;$AC24,Dataset!$J:$J,"&lt;"&amp;$AD24,Dataset!$AH:$AH,"bono corporativo",Dataset!$T:$T,"$",Dataset!$AC:$AC,"*AA*")</f>
        <v>0</v>
      </c>
      <c r="W24" s="38">
        <f>SUMIFS(Dataset!$AJ:$AJ,Dataset!$F:$F,Resumen!W$8,Dataset!$J:$J,"&gt;="&amp;$AC24,Dataset!$J:$J,"&lt;"&amp;$AD24,Dataset!$AH:$AH,"bono corporativo",Dataset!$T:$T,"$",Dataset!$AC:$AC,"*AA*")</f>
        <v>0</v>
      </c>
      <c r="X24" s="39">
        <f>SUMIFS(Dataset!$AA:$AA,Dataset!$F:$F,Resumen!W$8,Dataset!$J:$J,"&gt;="&amp;$AC24,Dataset!$J:$J,"&lt;"&amp;$AD24,Dataset!$AH:$AH,"bono corporativo",Dataset!$T:$T,"$",Dataset!$AC:$AC,"*AA*")</f>
        <v>0</v>
      </c>
      <c r="Y24" s="38">
        <f>SUMIFS(Dataset!$AJ:$AJ,Dataset!$F:$F,Resumen!Y$8,Dataset!$J:$J,"&gt;="&amp;$AC24,Dataset!$J:$J,"&lt;"&amp;$AD24,Dataset!$AH:$AH,"bono corporativo",Dataset!$T:$T,"$",Dataset!$AC:$AC,"*AA*")</f>
        <v>0</v>
      </c>
      <c r="Z24" s="39">
        <f>SUMIFS(Dataset!$AA:$AA,Dataset!$F:$F,Resumen!Y$8,Dataset!$J:$J,"&gt;="&amp;$AC24,Dataset!$J:$J,"&lt;"&amp;$AD24,Dataset!$AH:$AH,"bono corporativo",Dataset!$T:$T,"$",Dataset!$AC:$AC,"*AA*")</f>
        <v>0</v>
      </c>
      <c r="AA24" s="38">
        <f>SUMIFS(Dataset!$AJ:$AJ,Dataset!$F:$F,Resumen!AA$8,Dataset!$J:$J,"&gt;="&amp;$AC24,Dataset!$J:$J,"&lt;"&amp;$AD24,Dataset!$AH:$AH,"bono corporativo",Dataset!$T:$T,"$",Dataset!$AC:$AC,"*AA*")</f>
        <v>0</v>
      </c>
      <c r="AB24" s="39">
        <f>SUMIFS(Dataset!$AA:$AA,Dataset!$F:$F,Resumen!AA$8,Dataset!$J:$J,"&gt;="&amp;$AC24,Dataset!$J:$J,"&lt;"&amp;$AD24,Dataset!$AH:$AH,"bono corporativo",Dataset!$T:$T,"$",Dataset!$AC:$AC,"*AA*")</f>
        <v>0</v>
      </c>
      <c r="AC24" s="31">
        <v>5</v>
      </c>
      <c r="AD24" s="31">
        <v>10</v>
      </c>
    </row>
    <row r="25" spans="2:34" ht="30" customHeight="1" x14ac:dyDescent="0.25">
      <c r="B25" s="207"/>
      <c r="C25" s="206"/>
      <c r="D25" s="51" t="s">
        <v>126</v>
      </c>
      <c r="E25" s="40">
        <f>SUMIFS(Dataset!$AJ:$AJ,Dataset!$F:$F,Resumen!E$8,Dataset!$J:$J,"&gt;="&amp;$AC25,Dataset!$J:$J,"&lt;"&amp;$AD25,Dataset!$AH:$AH,"bono corporativo",Dataset!$T:$T,"$",Dataset!$AC:$AC,"*AA*")</f>
        <v>0</v>
      </c>
      <c r="F25" s="41">
        <f>SUMIFS(Dataset!$AA:$AA,Dataset!$F:$F,Resumen!E$8,Dataset!$J:$J,"&gt;="&amp;$AC25,Dataset!$J:$J,"&lt;"&amp;$AD25,Dataset!$AH:$AH,"bono corporativo",Dataset!$T:$T,"$",Dataset!$AC:$AC,"*AA*")</f>
        <v>0</v>
      </c>
      <c r="G25" s="40">
        <f>SUMIFS(Dataset!$AJ:$AJ,Dataset!$F:$F,Resumen!G$8,Dataset!$J:$J,"&gt;="&amp;$AC25,Dataset!$J:$J,"&lt;"&amp;$AD25,Dataset!$AH:$AH,"bono corporativo",Dataset!$T:$T,"$",Dataset!$AC:$AC,"*AA*")</f>
        <v>0</v>
      </c>
      <c r="H25" s="41">
        <f>SUMIFS(Dataset!$AA:$AA,Dataset!$F:$F,Resumen!G$8,Dataset!$J:$J,"&gt;="&amp;$AC25,Dataset!$J:$J,"&lt;"&amp;$AD25,Dataset!$AH:$AH,"bono corporativo",Dataset!$T:$T,"$",Dataset!$AC:$AC,"*AA*")</f>
        <v>0</v>
      </c>
      <c r="I25" s="40">
        <f>SUMIFS(Dataset!$AJ:$AJ,Dataset!$F:$F,Resumen!I$8,Dataset!$J:$J,"&gt;="&amp;$AC25,Dataset!$J:$J,"&lt;"&amp;$AD25,Dataset!$AH:$AH,"bono corporativo",Dataset!$T:$T,"$",Dataset!$AC:$AC,"*AA*")</f>
        <v>0</v>
      </c>
      <c r="J25" s="41">
        <f>SUMIFS(Dataset!$AA:$AA,Dataset!$F:$F,Resumen!I$8,Dataset!$J:$J,"&gt;="&amp;$AC25,Dataset!$J:$J,"&lt;"&amp;$AD25,Dataset!$AH:$AH,"bono corporativo",Dataset!$T:$T,"$",Dataset!$AC:$AC,"*AA*")</f>
        <v>0</v>
      </c>
      <c r="K25" s="40">
        <f>SUMIFS(Dataset!$AJ:$AJ,Dataset!$F:$F,Resumen!K$8,Dataset!$J:$J,"&gt;="&amp;$AC25,Dataset!$J:$J,"&lt;"&amp;$AD25,Dataset!$AH:$AH,"bono corporativo",Dataset!$T:$T,"$",Dataset!$AC:$AC,"*AA*")</f>
        <v>0</v>
      </c>
      <c r="L25" s="41">
        <f>SUMIFS(Dataset!$AA:$AA,Dataset!$F:$F,Resumen!K$8,Dataset!$J:$J,"&gt;="&amp;$AC25,Dataset!$J:$J,"&lt;"&amp;$AD25,Dataset!$AH:$AH,"bono corporativo",Dataset!$T:$T,"$",Dataset!$AC:$AC,"*AA*")</f>
        <v>0</v>
      </c>
      <c r="M25" s="40">
        <f>SUMIFS(Dataset!$AJ:$AJ,Dataset!$F:$F,Resumen!M$8,Dataset!$J:$J,"&gt;="&amp;$AC25,Dataset!$J:$J,"&lt;"&amp;$AD25,Dataset!$AH:$AH,"bono corporativo",Dataset!$T:$T,"$",Dataset!$AC:$AC,"*AA*")</f>
        <v>0</v>
      </c>
      <c r="N25" s="41">
        <f>SUMIFS(Dataset!$AA:$AA,Dataset!$F:$F,Resumen!M$8,Dataset!$J:$J,"&gt;="&amp;$AC25,Dataset!$J:$J,"&lt;"&amp;$AD25,Dataset!$AH:$AH,"bono corporativo",Dataset!$T:$T,"$",Dataset!$AC:$AC,"*AA*")</f>
        <v>0</v>
      </c>
      <c r="O25" s="40">
        <f>SUMIFS(Dataset!$AJ:$AJ,Dataset!$F:$F,Resumen!O$8,Dataset!$J:$J,"&gt;="&amp;$AC25,Dataset!$J:$J,"&lt;"&amp;$AD25,Dataset!$AH:$AH,"bono corporativo",Dataset!$T:$T,"$",Dataset!$AC:$AC,"*AA*")</f>
        <v>0</v>
      </c>
      <c r="P25" s="41">
        <f>SUMIFS(Dataset!$AA:$AA,Dataset!$F:$F,Resumen!O$8,Dataset!$J:$J,"&gt;="&amp;$AC25,Dataset!$J:$J,"&lt;"&amp;$AD25,Dataset!$AH:$AH,"bono corporativo",Dataset!$T:$T,"$",Dataset!$AC:$AC,"*AA*")</f>
        <v>0</v>
      </c>
      <c r="Q25" s="40">
        <f>SUMIFS(Dataset!$AJ:$AJ,Dataset!$F:$F,Resumen!Q$8,Dataset!$J:$J,"&gt;="&amp;$AC25,Dataset!$J:$J,"&lt;"&amp;$AD25,Dataset!$AH:$AH,"bono corporativo",Dataset!$T:$T,"$",Dataset!$AC:$AC,"*AA*")</f>
        <v>0</v>
      </c>
      <c r="R25" s="41">
        <f>SUMIFS(Dataset!$AA:$AA,Dataset!$F:$F,Resumen!Q$8,Dataset!$J:$J,"&gt;="&amp;$AC25,Dataset!$J:$J,"&lt;"&amp;$AD25,Dataset!$AH:$AH,"bono corporativo",Dataset!$T:$T,"$",Dataset!$AC:$AC,"*AA*")</f>
        <v>0</v>
      </c>
      <c r="S25" s="40">
        <f>SUMIFS(Dataset!$AJ:$AJ,Dataset!$F:$F,Resumen!S$8,Dataset!$J:$J,"&gt;="&amp;$AC25,Dataset!$J:$J,"&lt;"&amp;$AD25,Dataset!$AH:$AH,"bono corporativo",Dataset!$T:$T,"$",Dataset!$AC:$AC,"*AA*")</f>
        <v>0</v>
      </c>
      <c r="T25" s="41">
        <f>SUMIFS(Dataset!$AA:$AA,Dataset!$F:$F,Resumen!S$8,Dataset!$J:$J,"&gt;="&amp;$AC25,Dataset!$J:$J,"&lt;"&amp;$AD25,Dataset!$AH:$AH,"bono corporativo",Dataset!$T:$T,"$",Dataset!$AC:$AC,"*AA*")</f>
        <v>0</v>
      </c>
      <c r="U25" s="40">
        <f>SUMIFS(Dataset!$AJ:$AJ,Dataset!$F:$F,Resumen!U$8,Dataset!$J:$J,"&gt;="&amp;$AC25,Dataset!$J:$J,"&lt;"&amp;$AD25,Dataset!$AH:$AH,"bono corporativo",Dataset!$T:$T,"$",Dataset!$AC:$AC,"*AA*")</f>
        <v>0</v>
      </c>
      <c r="V25" s="41">
        <f>SUMIFS(Dataset!$AA:$AA,Dataset!$F:$F,Resumen!U$8,Dataset!$J:$J,"&gt;="&amp;$AC25,Dataset!$J:$J,"&lt;"&amp;$AD25,Dataset!$AH:$AH,"bono corporativo",Dataset!$T:$T,"$",Dataset!$AC:$AC,"*AA*")</f>
        <v>0</v>
      </c>
      <c r="W25" s="40">
        <f>SUMIFS(Dataset!$AJ:$AJ,Dataset!$F:$F,Resumen!W$8,Dataset!$J:$J,"&gt;="&amp;$AC25,Dataset!$J:$J,"&lt;"&amp;$AD25,Dataset!$AH:$AH,"bono corporativo",Dataset!$T:$T,"$",Dataset!$AC:$AC,"*AA*")</f>
        <v>0</v>
      </c>
      <c r="X25" s="41">
        <f>SUMIFS(Dataset!$AA:$AA,Dataset!$F:$F,Resumen!W$8,Dataset!$J:$J,"&gt;="&amp;$AC25,Dataset!$J:$J,"&lt;"&amp;$AD25,Dataset!$AH:$AH,"bono corporativo",Dataset!$T:$T,"$",Dataset!$AC:$AC,"*AA*")</f>
        <v>0</v>
      </c>
      <c r="Y25" s="40">
        <f>SUMIFS(Dataset!$AJ:$AJ,Dataset!$F:$F,Resumen!Y$8,Dataset!$J:$J,"&gt;="&amp;$AC25,Dataset!$J:$J,"&lt;"&amp;$AD25,Dataset!$AH:$AH,"bono corporativo",Dataset!$T:$T,"$",Dataset!$AC:$AC,"*AA*")</f>
        <v>0</v>
      </c>
      <c r="Z25" s="41">
        <f>SUMIFS(Dataset!$AA:$AA,Dataset!$F:$F,Resumen!Y$8,Dataset!$J:$J,"&gt;="&amp;$AC25,Dataset!$J:$J,"&lt;"&amp;$AD25,Dataset!$AH:$AH,"bono corporativo",Dataset!$T:$T,"$",Dataset!$AC:$AC,"*AA*")</f>
        <v>0</v>
      </c>
      <c r="AA25" s="40">
        <f>SUMIFS(Dataset!$AJ:$AJ,Dataset!$F:$F,Resumen!AA$8,Dataset!$J:$J,"&gt;="&amp;$AC25,Dataset!$J:$J,"&lt;"&amp;$AD25,Dataset!$AH:$AH,"bono corporativo",Dataset!$T:$T,"$",Dataset!$AC:$AC,"*AA*")</f>
        <v>0</v>
      </c>
      <c r="AB25" s="41">
        <f>SUMIFS(Dataset!$AA:$AA,Dataset!$F:$F,Resumen!AA$8,Dataset!$J:$J,"&gt;="&amp;$AC25,Dataset!$J:$J,"&lt;"&amp;$AD25,Dataset!$AH:$AH,"bono corporativo",Dataset!$T:$T,"$",Dataset!$AC:$AC,"*AA*")</f>
        <v>0</v>
      </c>
      <c r="AC25" s="31">
        <v>10</v>
      </c>
      <c r="AD25" s="31">
        <v>100</v>
      </c>
    </row>
    <row r="26" spans="2:34" ht="30" customHeight="1" x14ac:dyDescent="0.25">
      <c r="B26" s="207"/>
      <c r="C26" s="209" t="s">
        <v>130</v>
      </c>
      <c r="D26" s="52" t="s">
        <v>123</v>
      </c>
      <c r="E26" s="42">
        <f>SUMIFS(Dataset!$AJ:$AJ,Dataset!$F:$F,Resumen!E$8,Dataset!$J:$J,"&gt;="&amp;$AC26,Dataset!$J:$J,"&lt;"&amp;$AD26,Dataset!$AH:$AH,"bono corporativo",Dataset!$T:$T,"$",Dataset!$AC:$AC,"&lt;&gt;*AA*")</f>
        <v>-1.7608271234460999E-3</v>
      </c>
      <c r="F26" s="43">
        <f>SUMIFS(Dataset!$AA:$AA,Dataset!$F:$F,Resumen!E$8,Dataset!$J:$J,"&gt;="&amp;$AC26,Dataset!$J:$J,"&lt;"&amp;$AD26,Dataset!$AH:$AH,"bono corporativo",Dataset!$T:$T,"$",Dataset!$AC:$AC,"&lt;&gt;*AA*")</f>
        <v>2.2714721850734323E-3</v>
      </c>
      <c r="G26" s="42">
        <f>SUMIFS(Dataset!$AJ:$AJ,Dataset!$F:$F,Resumen!G$8,Dataset!$J:$J,"&gt;="&amp;$AC26,Dataset!$J:$J,"&lt;"&amp;$AD26,Dataset!$AH:$AH,"bono corporativo",Dataset!$T:$T,"$",Dataset!$AC:$AC,"&lt;&gt;*AA*")</f>
        <v>2.6708236089534577E-3</v>
      </c>
      <c r="H26" s="43">
        <f>SUMIFS(Dataset!$AA:$AA,Dataset!$F:$F,Resumen!G$8,Dataset!$J:$J,"&gt;="&amp;$AC26,Dataset!$J:$J,"&lt;"&amp;$AD26,Dataset!$AH:$AH,"bono corporativo",Dataset!$T:$T,"$",Dataset!$AC:$AC,"&lt;&gt;*AA*")</f>
        <v>5.9830958354801427E-4</v>
      </c>
      <c r="I26" s="42">
        <f>SUMIFS(Dataset!$AJ:$AJ,Dataset!$F:$F,Resumen!I$8,Dataset!$J:$J,"&gt;="&amp;$AC26,Dataset!$J:$J,"&lt;"&amp;$AD26,Dataset!$AH:$AH,"bono corporativo",Dataset!$T:$T,"$",Dataset!$AC:$AC,"&lt;&gt;*AA*")</f>
        <v>0</v>
      </c>
      <c r="J26" s="43">
        <f>SUMIFS(Dataset!$AA:$AA,Dataset!$F:$F,Resumen!I$8,Dataset!$J:$J,"&gt;="&amp;$AC26,Dataset!$J:$J,"&lt;"&amp;$AD26,Dataset!$AH:$AH,"bono corporativo",Dataset!$T:$T,"$",Dataset!$AC:$AC,"&lt;&gt;*AA*")</f>
        <v>0</v>
      </c>
      <c r="K26" s="42">
        <f>SUMIFS(Dataset!$AJ:$AJ,Dataset!$F:$F,Resumen!K$8,Dataset!$J:$J,"&gt;="&amp;$AC26,Dataset!$J:$J,"&lt;"&amp;$AD26,Dataset!$AH:$AH,"bono corporativo",Dataset!$T:$T,"$",Dataset!$AC:$AC,"&lt;&gt;*AA*")</f>
        <v>1.3890358932034815E-3</v>
      </c>
      <c r="L26" s="43">
        <f>SUMIFS(Dataset!$AA:$AA,Dataset!$F:$F,Resumen!K$8,Dataset!$J:$J,"&gt;="&amp;$AC26,Dataset!$J:$J,"&lt;"&amp;$AD26,Dataset!$AH:$AH,"bono corporativo",Dataset!$T:$T,"$",Dataset!$AC:$AC,"&lt;&gt;*AA*")</f>
        <v>4.8760395260145684E-4</v>
      </c>
      <c r="M26" s="42">
        <f>SUMIFS(Dataset!$AJ:$AJ,Dataset!$F:$F,Resumen!M$8,Dataset!$J:$J,"&gt;="&amp;$AC26,Dataset!$J:$J,"&lt;"&amp;$AD26,Dataset!$AH:$AH,"bono corporativo",Dataset!$T:$T,"$",Dataset!$AC:$AC,"&lt;&gt;*AA*")</f>
        <v>-2.368933199008201E-2</v>
      </c>
      <c r="N26" s="43">
        <f>SUMIFS(Dataset!$AA:$AA,Dataset!$F:$F,Resumen!M$8,Dataset!$J:$J,"&gt;="&amp;$AC26,Dataset!$J:$J,"&lt;"&amp;$AD26,Dataset!$AH:$AH,"bono corporativo",Dataset!$T:$T,"$",Dataset!$AC:$AC,"&lt;&gt;*AA*")</f>
        <v>2.814368738279806E-3</v>
      </c>
      <c r="O26" s="42">
        <f>SUMIFS(Dataset!$AJ:$AJ,Dataset!$F:$F,Resumen!O$8,Dataset!$J:$J,"&gt;="&amp;$AC26,Dataset!$J:$J,"&lt;"&amp;$AD26,Dataset!$AH:$AH,"bono corporativo",Dataset!$T:$T,"$",Dataset!$AC:$AC,"&lt;&gt;*AA*")</f>
        <v>2.2744721670277489E-2</v>
      </c>
      <c r="P26" s="43">
        <f>SUMIFS(Dataset!$AA:$AA,Dataset!$F:$F,Resumen!O$8,Dataset!$J:$J,"&gt;="&amp;$AC26,Dataset!$J:$J,"&lt;"&amp;$AD26,Dataset!$AH:$AH,"bono corporativo",Dataset!$T:$T,"$",Dataset!$AC:$AC,"&lt;&gt;*AA*")</f>
        <v>3.6484889465509721E-2</v>
      </c>
      <c r="Q26" s="42">
        <f>SUMIFS(Dataset!$AJ:$AJ,Dataset!$F:$F,Resumen!Q$8,Dataset!$J:$J,"&gt;="&amp;$AC26,Dataset!$J:$J,"&lt;"&amp;$AD26,Dataset!$AH:$AH,"bono corporativo",Dataset!$T:$T,"$",Dataset!$AC:$AC,"&lt;&gt;*AA*")</f>
        <v>0</v>
      </c>
      <c r="R26" s="43">
        <f>SUMIFS(Dataset!$AA:$AA,Dataset!$F:$F,Resumen!Q$8,Dataset!$J:$J,"&gt;="&amp;$AC26,Dataset!$J:$J,"&lt;"&amp;$AD26,Dataset!$AH:$AH,"bono corporativo",Dataset!$T:$T,"$",Dataset!$AC:$AC,"&lt;&gt;*AA*")</f>
        <v>0</v>
      </c>
      <c r="S26" s="42">
        <f>SUMIFS(Dataset!$AJ:$AJ,Dataset!$F:$F,Resumen!S$8,Dataset!$J:$J,"&gt;="&amp;$AC26,Dataset!$J:$J,"&lt;"&amp;$AD26,Dataset!$AH:$AH,"bono corporativo",Dataset!$T:$T,"$",Dataset!$AC:$AC,"&lt;&gt;*AA*")</f>
        <v>0</v>
      </c>
      <c r="T26" s="43">
        <f>SUMIFS(Dataset!$AA:$AA,Dataset!$F:$F,Resumen!S$8,Dataset!$J:$J,"&gt;="&amp;$AC26,Dataset!$J:$J,"&lt;"&amp;$AD26,Dataset!$AH:$AH,"bono corporativo",Dataset!$T:$T,"$",Dataset!$AC:$AC,"&lt;&gt;*AA*")</f>
        <v>0</v>
      </c>
      <c r="U26" s="42">
        <f>SUMIFS(Dataset!$AJ:$AJ,Dataset!$F:$F,Resumen!U$8,Dataset!$J:$J,"&gt;="&amp;$AC26,Dataset!$J:$J,"&lt;"&amp;$AD26,Dataset!$AH:$AH,"bono corporativo",Dataset!$T:$T,"$",Dataset!$AC:$AC,"&lt;&gt;*AA*")</f>
        <v>0</v>
      </c>
      <c r="V26" s="43">
        <f>SUMIFS(Dataset!$AA:$AA,Dataset!$F:$F,Resumen!U$8,Dataset!$J:$J,"&gt;="&amp;$AC26,Dataset!$J:$J,"&lt;"&amp;$AD26,Dataset!$AH:$AH,"bono corporativo",Dataset!$T:$T,"$",Dataset!$AC:$AC,"&lt;&gt;*AA*")</f>
        <v>0</v>
      </c>
      <c r="W26" s="42">
        <f>SUMIFS(Dataset!$AJ:$AJ,Dataset!$F:$F,Resumen!W$8,Dataset!$J:$J,"&gt;="&amp;$AC26,Dataset!$J:$J,"&lt;"&amp;$AD26,Dataset!$AH:$AH,"bono corporativo",Dataset!$T:$T,"$",Dataset!$AC:$AC,"&lt;&gt;*AA*")</f>
        <v>0</v>
      </c>
      <c r="X26" s="43">
        <f>SUMIFS(Dataset!$AA:$AA,Dataset!$F:$F,Resumen!W$8,Dataset!$J:$J,"&gt;="&amp;$AC26,Dataset!$J:$J,"&lt;"&amp;$AD26,Dataset!$AH:$AH,"bono corporativo",Dataset!$T:$T,"$",Dataset!$AC:$AC,"&lt;&gt;*AA*")</f>
        <v>0</v>
      </c>
      <c r="Y26" s="42">
        <f>SUMIFS(Dataset!$AJ:$AJ,Dataset!$F:$F,Resumen!Y$8,Dataset!$J:$J,"&gt;="&amp;$AC26,Dataset!$J:$J,"&lt;"&amp;$AD26,Dataset!$AH:$AH,"bono corporativo",Dataset!$T:$T,"$",Dataset!$AC:$AC,"&lt;&gt;*AA*")</f>
        <v>0</v>
      </c>
      <c r="Z26" s="43">
        <f>SUMIFS(Dataset!$AA:$AA,Dataset!$F:$F,Resumen!Y$8,Dataset!$J:$J,"&gt;="&amp;$AC26,Dataset!$J:$J,"&lt;"&amp;$AD26,Dataset!$AH:$AH,"bono corporativo",Dataset!$T:$T,"$",Dataset!$AC:$AC,"&lt;&gt;*AA*")</f>
        <v>0</v>
      </c>
      <c r="AA26" s="42">
        <f>SUMIFS(Dataset!$AJ:$AJ,Dataset!$F:$F,Resumen!AA$8,Dataset!$J:$J,"&gt;="&amp;$AC26,Dataset!$J:$J,"&lt;"&amp;$AD26,Dataset!$AH:$AH,"bono corporativo",Dataset!$T:$T,"$",Dataset!$AC:$AC,"&lt;&gt;*AA*")</f>
        <v>0</v>
      </c>
      <c r="AB26" s="43">
        <f>SUMIFS(Dataset!$AA:$AA,Dataset!$F:$F,Resumen!AA$8,Dataset!$J:$J,"&gt;="&amp;$AC26,Dataset!$J:$J,"&lt;"&amp;$AD26,Dataset!$AH:$AH,"bono corporativo",Dataset!$T:$T,"$",Dataset!$AC:$AC,"&lt;&gt;*AA*")</f>
        <v>0</v>
      </c>
      <c r="AC26" s="31">
        <v>0</v>
      </c>
      <c r="AD26" s="31">
        <v>3</v>
      </c>
    </row>
    <row r="27" spans="2:34" ht="30" customHeight="1" x14ac:dyDescent="0.25">
      <c r="B27" s="207"/>
      <c r="C27" s="206"/>
      <c r="D27" s="51" t="s">
        <v>124</v>
      </c>
      <c r="E27" s="38">
        <f>SUMIFS(Dataset!$AJ:$AJ,Dataset!$F:$F,Resumen!E$8,Dataset!$J:$J,"&gt;="&amp;$AC27,Dataset!$J:$J,"&lt;"&amp;$AD27,Dataset!$AH:$AH,"bono corporativo",Dataset!$T:$T,"$",Dataset!$AC:$AC,"&lt;&gt;*AA*")</f>
        <v>1.1108860112755558E-2</v>
      </c>
      <c r="F27" s="39">
        <f>SUMIFS(Dataset!$AA:$AA,Dataset!$F:$F,Resumen!E$8,Dataset!$J:$J,"&gt;="&amp;$AC27,Dataset!$J:$J,"&lt;"&amp;$AD27,Dataset!$AH:$AH,"bono corporativo",Dataset!$T:$T,"$",Dataset!$AC:$AC,"&lt;&gt;*AA*")</f>
        <v>-4.116694216183249E-2</v>
      </c>
      <c r="G27" s="38">
        <f>SUMIFS(Dataset!$AJ:$AJ,Dataset!$F:$F,Resumen!G$8,Dataset!$J:$J,"&gt;="&amp;$AC27,Dataset!$J:$J,"&lt;"&amp;$AD27,Dataset!$AH:$AH,"bono corporativo",Dataset!$T:$T,"$",Dataset!$AC:$AC,"&lt;&gt;*AA*")</f>
        <v>1.6937660828206153E-2</v>
      </c>
      <c r="H27" s="39">
        <f>SUMIFS(Dataset!$AA:$AA,Dataset!$F:$F,Resumen!G$8,Dataset!$J:$J,"&gt;="&amp;$AC27,Dataset!$J:$J,"&lt;"&amp;$AD27,Dataset!$AH:$AH,"bono corporativo",Dataset!$T:$T,"$",Dataset!$AC:$AC,"&lt;&gt;*AA*")</f>
        <v>7.8685787700914101E-3</v>
      </c>
      <c r="I27" s="38">
        <f>SUMIFS(Dataset!$AJ:$AJ,Dataset!$F:$F,Resumen!I$8,Dataset!$J:$J,"&gt;="&amp;$AC27,Dataset!$J:$J,"&lt;"&amp;$AD27,Dataset!$AH:$AH,"bono corporativo",Dataset!$T:$T,"$",Dataset!$AC:$AC,"&lt;&gt;*AA*")</f>
        <v>0</v>
      </c>
      <c r="J27" s="39">
        <f>SUMIFS(Dataset!$AA:$AA,Dataset!$F:$F,Resumen!I$8,Dataset!$J:$J,"&gt;="&amp;$AC27,Dataset!$J:$J,"&lt;"&amp;$AD27,Dataset!$AH:$AH,"bono corporativo",Dataset!$T:$T,"$",Dataset!$AC:$AC,"&lt;&gt;*AA*")</f>
        <v>0</v>
      </c>
      <c r="K27" s="38">
        <f>SUMIFS(Dataset!$AJ:$AJ,Dataset!$F:$F,Resumen!K$8,Dataset!$J:$J,"&gt;="&amp;$AC27,Dataset!$J:$J,"&lt;"&amp;$AD27,Dataset!$AH:$AH,"bono corporativo",Dataset!$T:$T,"$",Dataset!$AC:$AC,"&lt;&gt;*AA*")</f>
        <v>1.6357953624800019E-2</v>
      </c>
      <c r="L27" s="39">
        <f>SUMIFS(Dataset!$AA:$AA,Dataset!$F:$F,Resumen!K$8,Dataset!$J:$J,"&gt;="&amp;$AC27,Dataset!$J:$J,"&lt;"&amp;$AD27,Dataset!$AH:$AH,"bono corporativo",Dataset!$T:$T,"$",Dataset!$AC:$AC,"&lt;&gt;*AA*")</f>
        <v>1.2029148457255034E-2</v>
      </c>
      <c r="M27" s="38">
        <f>SUMIFS(Dataset!$AJ:$AJ,Dataset!$F:$F,Resumen!M$8,Dataset!$J:$J,"&gt;="&amp;$AC27,Dataset!$J:$J,"&lt;"&amp;$AD27,Dataset!$AH:$AH,"bono corporativo",Dataset!$T:$T,"$",Dataset!$AC:$AC,"&lt;&gt;*AA*")</f>
        <v>-8.6587247793522594E-3</v>
      </c>
      <c r="N27" s="39">
        <f>SUMIFS(Dataset!$AA:$AA,Dataset!$F:$F,Resumen!M$8,Dataset!$J:$J,"&gt;="&amp;$AC27,Dataset!$J:$J,"&lt;"&amp;$AD27,Dataset!$AH:$AH,"bono corporativo",Dataset!$T:$T,"$",Dataset!$AC:$AC,"&lt;&gt;*AA*")</f>
        <v>-1.8948092401847236E-3</v>
      </c>
      <c r="O27" s="38">
        <f>SUMIFS(Dataset!$AJ:$AJ,Dataset!$F:$F,Resumen!O$8,Dataset!$J:$J,"&gt;="&amp;$AC27,Dataset!$J:$J,"&lt;"&amp;$AD27,Dataset!$AH:$AH,"bono corporativo",Dataset!$T:$T,"$",Dataset!$AC:$AC,"&lt;&gt;*AA*")</f>
        <v>0</v>
      </c>
      <c r="P27" s="39">
        <f>SUMIFS(Dataset!$AA:$AA,Dataset!$F:$F,Resumen!O$8,Dataset!$J:$J,"&gt;="&amp;$AC27,Dataset!$J:$J,"&lt;"&amp;$AD27,Dataset!$AH:$AH,"bono corporativo",Dataset!$T:$T,"$",Dataset!$AC:$AC,"&lt;&gt;*AA*")</f>
        <v>0</v>
      </c>
      <c r="Q27" s="38">
        <f>SUMIFS(Dataset!$AJ:$AJ,Dataset!$F:$F,Resumen!Q$8,Dataset!$J:$J,"&gt;="&amp;$AC27,Dataset!$J:$J,"&lt;"&amp;$AD27,Dataset!$AH:$AH,"bono corporativo",Dataset!$T:$T,"$",Dataset!$AC:$AC,"&lt;&gt;*AA*")</f>
        <v>0</v>
      </c>
      <c r="R27" s="39">
        <f>SUMIFS(Dataset!$AA:$AA,Dataset!$F:$F,Resumen!Q$8,Dataset!$J:$J,"&gt;="&amp;$AC27,Dataset!$J:$J,"&lt;"&amp;$AD27,Dataset!$AH:$AH,"bono corporativo",Dataset!$T:$T,"$",Dataset!$AC:$AC,"&lt;&gt;*AA*")</f>
        <v>0</v>
      </c>
      <c r="S27" s="38">
        <f>SUMIFS(Dataset!$AJ:$AJ,Dataset!$F:$F,Resumen!S$8,Dataset!$J:$J,"&gt;="&amp;$AC27,Dataset!$J:$J,"&lt;"&amp;$AD27,Dataset!$AH:$AH,"bono corporativo",Dataset!$T:$T,"$",Dataset!$AC:$AC,"&lt;&gt;*AA*")</f>
        <v>0</v>
      </c>
      <c r="T27" s="39">
        <f>SUMIFS(Dataset!$AA:$AA,Dataset!$F:$F,Resumen!S$8,Dataset!$J:$J,"&gt;="&amp;$AC27,Dataset!$J:$J,"&lt;"&amp;$AD27,Dataset!$AH:$AH,"bono corporativo",Dataset!$T:$T,"$",Dataset!$AC:$AC,"&lt;&gt;*AA*")</f>
        <v>0</v>
      </c>
      <c r="U27" s="38">
        <f>SUMIFS(Dataset!$AJ:$AJ,Dataset!$F:$F,Resumen!U$8,Dataset!$J:$J,"&gt;="&amp;$AC27,Dataset!$J:$J,"&lt;"&amp;$AD27,Dataset!$AH:$AH,"bono corporativo",Dataset!$T:$T,"$",Dataset!$AC:$AC,"&lt;&gt;*AA*")</f>
        <v>0</v>
      </c>
      <c r="V27" s="39">
        <f>SUMIFS(Dataset!$AA:$AA,Dataset!$F:$F,Resumen!U$8,Dataset!$J:$J,"&gt;="&amp;$AC27,Dataset!$J:$J,"&lt;"&amp;$AD27,Dataset!$AH:$AH,"bono corporativo",Dataset!$T:$T,"$",Dataset!$AC:$AC,"&lt;&gt;*AA*")</f>
        <v>0</v>
      </c>
      <c r="W27" s="38">
        <f>SUMIFS(Dataset!$AJ:$AJ,Dataset!$F:$F,Resumen!W$8,Dataset!$J:$J,"&gt;="&amp;$AC27,Dataset!$J:$J,"&lt;"&amp;$AD27,Dataset!$AH:$AH,"bono corporativo",Dataset!$T:$T,"$",Dataset!$AC:$AC,"&lt;&gt;*AA*")</f>
        <v>0</v>
      </c>
      <c r="X27" s="39">
        <f>SUMIFS(Dataset!$AA:$AA,Dataset!$F:$F,Resumen!W$8,Dataset!$J:$J,"&gt;="&amp;$AC27,Dataset!$J:$J,"&lt;"&amp;$AD27,Dataset!$AH:$AH,"bono corporativo",Dataset!$T:$T,"$",Dataset!$AC:$AC,"&lt;&gt;*AA*")</f>
        <v>0</v>
      </c>
      <c r="Y27" s="38">
        <f>SUMIFS(Dataset!$AJ:$AJ,Dataset!$F:$F,Resumen!Y$8,Dataset!$J:$J,"&gt;="&amp;$AC27,Dataset!$J:$J,"&lt;"&amp;$AD27,Dataset!$AH:$AH,"bono corporativo",Dataset!$T:$T,"$",Dataset!$AC:$AC,"&lt;&gt;*AA*")</f>
        <v>0</v>
      </c>
      <c r="Z27" s="39">
        <f>SUMIFS(Dataset!$AA:$AA,Dataset!$F:$F,Resumen!Y$8,Dataset!$J:$J,"&gt;="&amp;$AC27,Dataset!$J:$J,"&lt;"&amp;$AD27,Dataset!$AH:$AH,"bono corporativo",Dataset!$T:$T,"$",Dataset!$AC:$AC,"&lt;&gt;*AA*")</f>
        <v>0</v>
      </c>
      <c r="AA27" s="38">
        <f>SUMIFS(Dataset!$AJ:$AJ,Dataset!$F:$F,Resumen!AA$8,Dataset!$J:$J,"&gt;="&amp;$AC27,Dataset!$J:$J,"&lt;"&amp;$AD27,Dataset!$AH:$AH,"bono corporativo",Dataset!$T:$T,"$",Dataset!$AC:$AC,"&lt;&gt;*AA*")</f>
        <v>0</v>
      </c>
      <c r="AB27" s="39">
        <f>SUMIFS(Dataset!$AA:$AA,Dataset!$F:$F,Resumen!AA$8,Dataset!$J:$J,"&gt;="&amp;$AC27,Dataset!$J:$J,"&lt;"&amp;$AD27,Dataset!$AH:$AH,"bono corporativo",Dataset!$T:$T,"$",Dataset!$AC:$AC,"&lt;&gt;*AA*")</f>
        <v>0</v>
      </c>
      <c r="AC27" s="31">
        <v>3</v>
      </c>
      <c r="AD27" s="31">
        <v>5</v>
      </c>
    </row>
    <row r="28" spans="2:34" ht="30" customHeight="1" x14ac:dyDescent="0.25">
      <c r="B28" s="207"/>
      <c r="C28" s="206"/>
      <c r="D28" s="51" t="s">
        <v>125</v>
      </c>
      <c r="E28" s="38">
        <f>SUMIFS(Dataset!$AJ:$AJ,Dataset!$F:$F,Resumen!E$8,Dataset!$J:$J,"&gt;="&amp;$AC28,Dataset!$J:$J,"&lt;"&amp;$AD28,Dataset!$AH:$AH,"bono corporativo",Dataset!$T:$T,"$",Dataset!$AC:$AC,"&lt;&gt;*AA*")</f>
        <v>0</v>
      </c>
      <c r="F28" s="39">
        <f>SUMIFS(Dataset!$AA:$AA,Dataset!$F:$F,Resumen!E$8,Dataset!$J:$J,"&gt;="&amp;$AC28,Dataset!$J:$J,"&lt;"&amp;$AD28,Dataset!$AH:$AH,"bono corporativo",Dataset!$T:$T,"$",Dataset!$AC:$AC,"&lt;&gt;*AA*")</f>
        <v>0</v>
      </c>
      <c r="G28" s="38">
        <f>SUMIFS(Dataset!$AJ:$AJ,Dataset!$F:$F,Resumen!G$8,Dataset!$J:$J,"&gt;="&amp;$AC28,Dataset!$J:$J,"&lt;"&amp;$AD28,Dataset!$AH:$AH,"bono corporativo",Dataset!$T:$T,"$",Dataset!$AC:$AC,"&lt;&gt;*AA*")</f>
        <v>3.2807640088637711E-3</v>
      </c>
      <c r="H28" s="39">
        <f>SUMIFS(Dataset!$AA:$AA,Dataset!$F:$F,Resumen!G$8,Dataset!$J:$J,"&gt;="&amp;$AC28,Dataset!$J:$J,"&lt;"&amp;$AD28,Dataset!$AH:$AH,"bono corporativo",Dataset!$T:$T,"$",Dataset!$AC:$AC,"&lt;&gt;*AA*")</f>
        <v>2.9942865115105141E-3</v>
      </c>
      <c r="I28" s="38">
        <f>SUMIFS(Dataset!$AJ:$AJ,Dataset!$F:$F,Resumen!I$8,Dataset!$J:$J,"&gt;="&amp;$AC28,Dataset!$J:$J,"&lt;"&amp;$AD28,Dataset!$AH:$AH,"bono corporativo",Dataset!$T:$T,"$",Dataset!$AC:$AC,"&lt;&gt;*AA*")</f>
        <v>0</v>
      </c>
      <c r="J28" s="39">
        <f>SUMIFS(Dataset!$AA:$AA,Dataset!$F:$F,Resumen!I$8,Dataset!$J:$J,"&gt;="&amp;$AC28,Dataset!$J:$J,"&lt;"&amp;$AD28,Dataset!$AH:$AH,"bono corporativo",Dataset!$T:$T,"$",Dataset!$AC:$AC,"&lt;&gt;*AA*")</f>
        <v>0</v>
      </c>
      <c r="K28" s="38">
        <f>SUMIFS(Dataset!$AJ:$AJ,Dataset!$F:$F,Resumen!K$8,Dataset!$J:$J,"&gt;="&amp;$AC28,Dataset!$J:$J,"&lt;"&amp;$AD28,Dataset!$AH:$AH,"bono corporativo",Dataset!$T:$T,"$",Dataset!$AC:$AC,"&lt;&gt;*AA*")</f>
        <v>1.499821317460108E-3</v>
      </c>
      <c r="L28" s="39">
        <f>SUMIFS(Dataset!$AA:$AA,Dataset!$F:$F,Resumen!K$8,Dataset!$J:$J,"&gt;="&amp;$AC28,Dataset!$J:$J,"&lt;"&amp;$AD28,Dataset!$AH:$AH,"bono corporativo",Dataset!$T:$T,"$",Dataset!$AC:$AC,"&lt;&gt;*AA*")</f>
        <v>2.6887922430131497E-3</v>
      </c>
      <c r="M28" s="38">
        <f>SUMIFS(Dataset!$AJ:$AJ,Dataset!$F:$F,Resumen!M$8,Dataset!$J:$J,"&gt;="&amp;$AC28,Dataset!$J:$J,"&lt;"&amp;$AD28,Dataset!$AH:$AH,"bono corporativo",Dataset!$T:$T,"$",Dataset!$AC:$AC,"&lt;&gt;*AA*")</f>
        <v>0</v>
      </c>
      <c r="N28" s="39">
        <f>SUMIFS(Dataset!$AA:$AA,Dataset!$F:$F,Resumen!M$8,Dataset!$J:$J,"&gt;="&amp;$AC28,Dataset!$J:$J,"&lt;"&amp;$AD28,Dataset!$AH:$AH,"bono corporativo",Dataset!$T:$T,"$",Dataset!$AC:$AC,"&lt;&gt;*AA*")</f>
        <v>0</v>
      </c>
      <c r="O28" s="38">
        <f>SUMIFS(Dataset!$AJ:$AJ,Dataset!$F:$F,Resumen!O$8,Dataset!$J:$J,"&gt;="&amp;$AC28,Dataset!$J:$J,"&lt;"&amp;$AD28,Dataset!$AH:$AH,"bono corporativo",Dataset!$T:$T,"$",Dataset!$AC:$AC,"&lt;&gt;*AA*")</f>
        <v>0</v>
      </c>
      <c r="P28" s="39">
        <f>SUMIFS(Dataset!$AA:$AA,Dataset!$F:$F,Resumen!O$8,Dataset!$J:$J,"&gt;="&amp;$AC28,Dataset!$J:$J,"&lt;"&amp;$AD28,Dataset!$AH:$AH,"bono corporativo",Dataset!$T:$T,"$",Dataset!$AC:$AC,"&lt;&gt;*AA*")</f>
        <v>0</v>
      </c>
      <c r="Q28" s="38">
        <f>SUMIFS(Dataset!$AJ:$AJ,Dataset!$F:$F,Resumen!Q$8,Dataset!$J:$J,"&gt;="&amp;$AC28,Dataset!$J:$J,"&lt;"&amp;$AD28,Dataset!$AH:$AH,"bono corporativo",Dataset!$T:$T,"$",Dataset!$AC:$AC,"&lt;&gt;*AA*")</f>
        <v>0</v>
      </c>
      <c r="R28" s="39">
        <f>SUMIFS(Dataset!$AA:$AA,Dataset!$F:$F,Resumen!Q$8,Dataset!$J:$J,"&gt;="&amp;$AC28,Dataset!$J:$J,"&lt;"&amp;$AD28,Dataset!$AH:$AH,"bono corporativo",Dataset!$T:$T,"$",Dataset!$AC:$AC,"&lt;&gt;*AA*")</f>
        <v>0</v>
      </c>
      <c r="S28" s="38">
        <f>SUMIFS(Dataset!$AJ:$AJ,Dataset!$F:$F,Resumen!S$8,Dataset!$J:$J,"&gt;="&amp;$AC28,Dataset!$J:$J,"&lt;"&amp;$AD28,Dataset!$AH:$AH,"bono corporativo",Dataset!$T:$T,"$",Dataset!$AC:$AC,"&lt;&gt;*AA*")</f>
        <v>0</v>
      </c>
      <c r="T28" s="39">
        <f>SUMIFS(Dataset!$AA:$AA,Dataset!$F:$F,Resumen!S$8,Dataset!$J:$J,"&gt;="&amp;$AC28,Dataset!$J:$J,"&lt;"&amp;$AD28,Dataset!$AH:$AH,"bono corporativo",Dataset!$T:$T,"$",Dataset!$AC:$AC,"&lt;&gt;*AA*")</f>
        <v>0</v>
      </c>
      <c r="U28" s="38">
        <f>SUMIFS(Dataset!$AJ:$AJ,Dataset!$F:$F,Resumen!U$8,Dataset!$J:$J,"&gt;="&amp;$AC28,Dataset!$J:$J,"&lt;"&amp;$AD28,Dataset!$AH:$AH,"bono corporativo",Dataset!$T:$T,"$",Dataset!$AC:$AC,"&lt;&gt;*AA*")</f>
        <v>0</v>
      </c>
      <c r="V28" s="39">
        <f>SUMIFS(Dataset!$AA:$AA,Dataset!$F:$F,Resumen!U$8,Dataset!$J:$J,"&gt;="&amp;$AC28,Dataset!$J:$J,"&lt;"&amp;$AD28,Dataset!$AH:$AH,"bono corporativo",Dataset!$T:$T,"$",Dataset!$AC:$AC,"&lt;&gt;*AA*")</f>
        <v>0</v>
      </c>
      <c r="W28" s="38">
        <f>SUMIFS(Dataset!$AJ:$AJ,Dataset!$F:$F,Resumen!W$8,Dataset!$J:$J,"&gt;="&amp;$AC28,Dataset!$J:$J,"&lt;"&amp;$AD28,Dataset!$AH:$AH,"bono corporativo",Dataset!$T:$T,"$",Dataset!$AC:$AC,"&lt;&gt;*AA*")</f>
        <v>0</v>
      </c>
      <c r="X28" s="39">
        <f>SUMIFS(Dataset!$AA:$AA,Dataset!$F:$F,Resumen!W$8,Dataset!$J:$J,"&gt;="&amp;$AC28,Dataset!$J:$J,"&lt;"&amp;$AD28,Dataset!$AH:$AH,"bono corporativo",Dataset!$T:$T,"$",Dataset!$AC:$AC,"&lt;&gt;*AA*")</f>
        <v>0</v>
      </c>
      <c r="Y28" s="38">
        <f>SUMIFS(Dataset!$AJ:$AJ,Dataset!$F:$F,Resumen!Y$8,Dataset!$J:$J,"&gt;="&amp;$AC28,Dataset!$J:$J,"&lt;"&amp;$AD28,Dataset!$AH:$AH,"bono corporativo",Dataset!$T:$T,"$",Dataset!$AC:$AC,"&lt;&gt;*AA*")</f>
        <v>0</v>
      </c>
      <c r="Z28" s="39">
        <f>SUMIFS(Dataset!$AA:$AA,Dataset!$F:$F,Resumen!Y$8,Dataset!$J:$J,"&gt;="&amp;$AC28,Dataset!$J:$J,"&lt;"&amp;$AD28,Dataset!$AH:$AH,"bono corporativo",Dataset!$T:$T,"$",Dataset!$AC:$AC,"&lt;&gt;*AA*")</f>
        <v>0</v>
      </c>
      <c r="AA28" s="38">
        <f>SUMIFS(Dataset!$AJ:$AJ,Dataset!$F:$F,Resumen!AA$8,Dataset!$J:$J,"&gt;="&amp;$AC28,Dataset!$J:$J,"&lt;"&amp;$AD28,Dataset!$AH:$AH,"bono corporativo",Dataset!$T:$T,"$",Dataset!$AC:$AC,"&lt;&gt;*AA*")</f>
        <v>0</v>
      </c>
      <c r="AB28" s="39">
        <f>SUMIFS(Dataset!$AA:$AA,Dataset!$F:$F,Resumen!AA$8,Dataset!$J:$J,"&gt;="&amp;$AC28,Dataset!$J:$J,"&lt;"&amp;$AD28,Dataset!$AH:$AH,"bono corporativo",Dataset!$T:$T,"$",Dataset!$AC:$AC,"&lt;&gt;*AA*")</f>
        <v>0</v>
      </c>
      <c r="AC28" s="31">
        <v>5</v>
      </c>
      <c r="AD28" s="31">
        <v>10</v>
      </c>
    </row>
    <row r="29" spans="2:34" ht="30" customHeight="1" x14ac:dyDescent="0.25">
      <c r="B29" s="207"/>
      <c r="C29" s="206"/>
      <c r="D29" s="51" t="s">
        <v>126</v>
      </c>
      <c r="E29" s="40">
        <f>SUMIFS(Dataset!$AJ:$AJ,Dataset!$F:$F,Resumen!E$8,Dataset!$J:$J,"&gt;="&amp;$AC29,Dataset!$J:$J,"&lt;"&amp;$AD29,Dataset!$AH:$AH,"bono corporativo",Dataset!$T:$T,"$",Dataset!$AC:$AC,"&lt;&gt;*AA*")</f>
        <v>0</v>
      </c>
      <c r="F29" s="41">
        <f>SUMIFS(Dataset!$AA:$AA,Dataset!$F:$F,Resumen!E$8,Dataset!$J:$J,"&gt;="&amp;$AC29,Dataset!$J:$J,"&lt;"&amp;$AD29,Dataset!$AH:$AH,"bono corporativo",Dataset!$T:$T,"$",Dataset!$AC:$AC,"&lt;&gt;*AA*")</f>
        <v>0</v>
      </c>
      <c r="G29" s="40">
        <f>SUMIFS(Dataset!$AJ:$AJ,Dataset!$F:$F,Resumen!G$8,Dataset!$J:$J,"&gt;="&amp;$AC29,Dataset!$J:$J,"&lt;"&amp;$AD29,Dataset!$AH:$AH,"bono corporativo",Dataset!$T:$T,"$",Dataset!$AC:$AC,"&lt;&gt;*AA*")</f>
        <v>0</v>
      </c>
      <c r="H29" s="41">
        <f>SUMIFS(Dataset!$AA:$AA,Dataset!$F:$F,Resumen!G$8,Dataset!$J:$J,"&gt;="&amp;$AC29,Dataset!$J:$J,"&lt;"&amp;$AD29,Dataset!$AH:$AH,"bono corporativo",Dataset!$T:$T,"$",Dataset!$AC:$AC,"&lt;&gt;*AA*")</f>
        <v>0</v>
      </c>
      <c r="I29" s="40">
        <f>SUMIFS(Dataset!$AJ:$AJ,Dataset!$F:$F,Resumen!I$8,Dataset!$J:$J,"&gt;="&amp;$AC29,Dataset!$J:$J,"&lt;"&amp;$AD29,Dataset!$AH:$AH,"bono corporativo",Dataset!$T:$T,"$",Dataset!$AC:$AC,"&lt;&gt;*AA*")</f>
        <v>0</v>
      </c>
      <c r="J29" s="41">
        <f>SUMIFS(Dataset!$AA:$AA,Dataset!$F:$F,Resumen!I$8,Dataset!$J:$J,"&gt;="&amp;$AC29,Dataset!$J:$J,"&lt;"&amp;$AD29,Dataset!$AH:$AH,"bono corporativo",Dataset!$T:$T,"$",Dataset!$AC:$AC,"&lt;&gt;*AA*")</f>
        <v>0</v>
      </c>
      <c r="K29" s="40">
        <f>SUMIFS(Dataset!$AJ:$AJ,Dataset!$F:$F,Resumen!K$8,Dataset!$J:$J,"&gt;="&amp;$AC29,Dataset!$J:$J,"&lt;"&amp;$AD29,Dataset!$AH:$AH,"bono corporativo",Dataset!$T:$T,"$",Dataset!$AC:$AC,"&lt;&gt;*AA*")</f>
        <v>0</v>
      </c>
      <c r="L29" s="41">
        <f>SUMIFS(Dataset!$AA:$AA,Dataset!$F:$F,Resumen!K$8,Dataset!$J:$J,"&gt;="&amp;$AC29,Dataset!$J:$J,"&lt;"&amp;$AD29,Dataset!$AH:$AH,"bono corporativo",Dataset!$T:$T,"$",Dataset!$AC:$AC,"&lt;&gt;*AA*")</f>
        <v>0</v>
      </c>
      <c r="M29" s="40">
        <f>SUMIFS(Dataset!$AJ:$AJ,Dataset!$F:$F,Resumen!M$8,Dataset!$J:$J,"&gt;="&amp;$AC29,Dataset!$J:$J,"&lt;"&amp;$AD29,Dataset!$AH:$AH,"bono corporativo",Dataset!$T:$T,"$",Dataset!$AC:$AC,"&lt;&gt;*AA*")</f>
        <v>0</v>
      </c>
      <c r="N29" s="41">
        <f>SUMIFS(Dataset!$AA:$AA,Dataset!$F:$F,Resumen!M$8,Dataset!$J:$J,"&gt;="&amp;$AC29,Dataset!$J:$J,"&lt;"&amp;$AD29,Dataset!$AH:$AH,"bono corporativo",Dataset!$T:$T,"$",Dataset!$AC:$AC,"&lt;&gt;*AA*")</f>
        <v>0</v>
      </c>
      <c r="O29" s="40">
        <f>SUMIFS(Dataset!$AJ:$AJ,Dataset!$F:$F,Resumen!O$8,Dataset!$J:$J,"&gt;="&amp;$AC29,Dataset!$J:$J,"&lt;"&amp;$AD29,Dataset!$AH:$AH,"bono corporativo",Dataset!$T:$T,"$",Dataset!$AC:$AC,"&lt;&gt;*AA*")</f>
        <v>0</v>
      </c>
      <c r="P29" s="41">
        <f>SUMIFS(Dataset!$AA:$AA,Dataset!$F:$F,Resumen!O$8,Dataset!$J:$J,"&gt;="&amp;$AC29,Dataset!$J:$J,"&lt;"&amp;$AD29,Dataset!$AH:$AH,"bono corporativo",Dataset!$T:$T,"$",Dataset!$AC:$AC,"&lt;&gt;*AA*")</f>
        <v>0</v>
      </c>
      <c r="Q29" s="40">
        <f>SUMIFS(Dataset!$AJ:$AJ,Dataset!$F:$F,Resumen!Q$8,Dataset!$J:$J,"&gt;="&amp;$AC29,Dataset!$J:$J,"&lt;"&amp;$AD29,Dataset!$AH:$AH,"bono corporativo",Dataset!$T:$T,"$",Dataset!$AC:$AC,"&lt;&gt;*AA*")</f>
        <v>0</v>
      </c>
      <c r="R29" s="41">
        <f>SUMIFS(Dataset!$AA:$AA,Dataset!$F:$F,Resumen!Q$8,Dataset!$J:$J,"&gt;="&amp;$AC29,Dataset!$J:$J,"&lt;"&amp;$AD29,Dataset!$AH:$AH,"bono corporativo",Dataset!$T:$T,"$",Dataset!$AC:$AC,"&lt;&gt;*AA*")</f>
        <v>0</v>
      </c>
      <c r="S29" s="40">
        <f>SUMIFS(Dataset!$AJ:$AJ,Dataset!$F:$F,Resumen!S$8,Dataset!$J:$J,"&gt;="&amp;$AC29,Dataset!$J:$J,"&lt;"&amp;$AD29,Dataset!$AH:$AH,"bono corporativo",Dataset!$T:$T,"$",Dataset!$AC:$AC,"&lt;&gt;*AA*")</f>
        <v>0</v>
      </c>
      <c r="T29" s="41">
        <f>SUMIFS(Dataset!$AA:$AA,Dataset!$F:$F,Resumen!S$8,Dataset!$J:$J,"&gt;="&amp;$AC29,Dataset!$J:$J,"&lt;"&amp;$AD29,Dataset!$AH:$AH,"bono corporativo",Dataset!$T:$T,"$",Dataset!$AC:$AC,"&lt;&gt;*AA*")</f>
        <v>0</v>
      </c>
      <c r="U29" s="40">
        <f>SUMIFS(Dataset!$AJ:$AJ,Dataset!$F:$F,Resumen!U$8,Dataset!$J:$J,"&gt;="&amp;$AC29,Dataset!$J:$J,"&lt;"&amp;$AD29,Dataset!$AH:$AH,"bono corporativo",Dataset!$T:$T,"$",Dataset!$AC:$AC,"&lt;&gt;*AA*")</f>
        <v>0</v>
      </c>
      <c r="V29" s="41">
        <f>SUMIFS(Dataset!$AA:$AA,Dataset!$F:$F,Resumen!U$8,Dataset!$J:$J,"&gt;="&amp;$AC29,Dataset!$J:$J,"&lt;"&amp;$AD29,Dataset!$AH:$AH,"bono corporativo",Dataset!$T:$T,"$",Dataset!$AC:$AC,"&lt;&gt;*AA*")</f>
        <v>0</v>
      </c>
      <c r="W29" s="40">
        <f>SUMIFS(Dataset!$AJ:$AJ,Dataset!$F:$F,Resumen!W$8,Dataset!$J:$J,"&gt;="&amp;$AC29,Dataset!$J:$J,"&lt;"&amp;$AD29,Dataset!$AH:$AH,"bono corporativo",Dataset!$T:$T,"$",Dataset!$AC:$AC,"&lt;&gt;*AA*")</f>
        <v>0</v>
      </c>
      <c r="X29" s="41">
        <f>SUMIFS(Dataset!$AA:$AA,Dataset!$F:$F,Resumen!W$8,Dataset!$J:$J,"&gt;="&amp;$AC29,Dataset!$J:$J,"&lt;"&amp;$AD29,Dataset!$AH:$AH,"bono corporativo",Dataset!$T:$T,"$",Dataset!$AC:$AC,"&lt;&gt;*AA*")</f>
        <v>0</v>
      </c>
      <c r="Y29" s="40">
        <f>SUMIFS(Dataset!$AJ:$AJ,Dataset!$F:$F,Resumen!Y$8,Dataset!$J:$J,"&gt;="&amp;$AC29,Dataset!$J:$J,"&lt;"&amp;$AD29,Dataset!$AH:$AH,"bono corporativo",Dataset!$T:$T,"$",Dataset!$AC:$AC,"&lt;&gt;*AA*")</f>
        <v>0</v>
      </c>
      <c r="Z29" s="41">
        <f>SUMIFS(Dataset!$AA:$AA,Dataset!$F:$F,Resumen!Y$8,Dataset!$J:$J,"&gt;="&amp;$AC29,Dataset!$J:$J,"&lt;"&amp;$AD29,Dataset!$AH:$AH,"bono corporativo",Dataset!$T:$T,"$",Dataset!$AC:$AC,"&lt;&gt;*AA*")</f>
        <v>0</v>
      </c>
      <c r="AA29" s="40">
        <f>SUMIFS(Dataset!$AJ:$AJ,Dataset!$F:$F,Resumen!AA$8,Dataset!$J:$J,"&gt;="&amp;$AC29,Dataset!$J:$J,"&lt;"&amp;$AD29,Dataset!$AH:$AH,"bono corporativo",Dataset!$T:$T,"$",Dataset!$AC:$AC,"&lt;&gt;*AA*")</f>
        <v>0</v>
      </c>
      <c r="AB29" s="41">
        <f>SUMIFS(Dataset!$AA:$AA,Dataset!$F:$F,Resumen!AA$8,Dataset!$J:$J,"&gt;="&amp;$AC29,Dataset!$J:$J,"&lt;"&amp;$AD29,Dataset!$AH:$AH,"bono corporativo",Dataset!$T:$T,"$",Dataset!$AC:$AC,"&lt;&gt;*AA*")</f>
        <v>0</v>
      </c>
      <c r="AC29" s="31">
        <v>10</v>
      </c>
      <c r="AD29" s="31">
        <v>100</v>
      </c>
    </row>
    <row r="30" spans="2:34" ht="30" customHeight="1" x14ac:dyDescent="0.25">
      <c r="B30" s="207" t="s">
        <v>73</v>
      </c>
      <c r="C30" s="206" t="s">
        <v>129</v>
      </c>
      <c r="D30" s="51" t="s">
        <v>123</v>
      </c>
      <c r="E30" s="36">
        <f>SUMIFS(Dataset!$AJ:$AJ,Dataset!$F:$F,Resumen!E$8,Dataset!$J:$J,"&gt;="&amp;$AC30,Dataset!$J:$J,"&lt;"&amp;$AD30,Dataset!$AH:$AH,"bono corporativo",Dataset!$T:$T,"UF",Dataset!$AC:$AC,"*AA*")</f>
        <v>-0.14003453416028339</v>
      </c>
      <c r="F30" s="37">
        <f>SUMIFS(Dataset!$AA:$AA,Dataset!$F:$F,Resumen!E$8,Dataset!$J:$J,"&gt;="&amp;$AC30,Dataset!$J:$J,"&lt;"&amp;$AD30,Dataset!$AH:$AH,"bono corporativo",Dataset!$T:$T,"UF",Dataset!$AC:$AC,"*AA*")</f>
        <v>0.66881957075864296</v>
      </c>
      <c r="G30" s="36">
        <f>SUMIFS(Dataset!$AJ:$AJ,Dataset!$F:$F,Resumen!G$8,Dataset!$J:$J,"&gt;="&amp;$AC30,Dataset!$J:$J,"&lt;"&amp;$AD30,Dataset!$AH:$AH,"bono corporativo",Dataset!$T:$T,"UF",Dataset!$AC:$AC,"*AA*")</f>
        <v>1.6942820235589705E-2</v>
      </c>
      <c r="H30" s="37">
        <f>SUMIFS(Dataset!$AA:$AA,Dataset!$F:$F,Resumen!G$8,Dataset!$J:$J,"&gt;="&amp;$AC30,Dataset!$J:$J,"&lt;"&amp;$AD30,Dataset!$AH:$AH,"bono corporativo",Dataset!$T:$T,"UF",Dataset!$AC:$AC,"*AA*")</f>
        <v>8.8942209071415455E-3</v>
      </c>
      <c r="I30" s="36">
        <f>SUMIFS(Dataset!$AJ:$AJ,Dataset!$F:$F,Resumen!I$8,Dataset!$J:$J,"&gt;="&amp;$AC30,Dataset!$J:$J,"&lt;"&amp;$AD30,Dataset!$AH:$AH,"bono corporativo",Dataset!$T:$T,"UF",Dataset!$AC:$AC,"*AA*")</f>
        <v>0</v>
      </c>
      <c r="J30" s="37">
        <f>SUMIFS(Dataset!$AA:$AA,Dataset!$F:$F,Resumen!I$8,Dataset!$J:$J,"&gt;="&amp;$AC30,Dataset!$J:$J,"&lt;"&amp;$AD30,Dataset!$AH:$AH,"bono corporativo",Dataset!$T:$T,"UF",Dataset!$AC:$AC,"*AA*")</f>
        <v>0</v>
      </c>
      <c r="K30" s="36">
        <f>SUMIFS(Dataset!$AJ:$AJ,Dataset!$F:$F,Resumen!K$8,Dataset!$J:$J,"&gt;="&amp;$AC30,Dataset!$J:$J,"&lt;"&amp;$AD30,Dataset!$AH:$AH,"bono corporativo",Dataset!$T:$T,"UF",Dataset!$AC:$AC,"*AA*")</f>
        <v>3.129137940082332E-2</v>
      </c>
      <c r="L30" s="37">
        <f>SUMIFS(Dataset!$AA:$AA,Dataset!$F:$F,Resumen!K$8,Dataset!$J:$J,"&gt;="&amp;$AC30,Dataset!$J:$J,"&lt;"&amp;$AD30,Dataset!$AH:$AH,"bono corporativo",Dataset!$T:$T,"UF",Dataset!$AC:$AC,"*AA*")</f>
        <v>2.2912994390411834E-2</v>
      </c>
      <c r="M30" s="36">
        <f>SUMIFS(Dataset!$AJ:$AJ,Dataset!$F:$F,Resumen!M$8,Dataset!$J:$J,"&gt;="&amp;$AC30,Dataset!$J:$J,"&lt;"&amp;$AD30,Dataset!$AH:$AH,"bono corporativo",Dataset!$T:$T,"UF",Dataset!$AC:$AC,"*AA*")</f>
        <v>1.891502736138383E-2</v>
      </c>
      <c r="N30" s="37">
        <f>SUMIFS(Dataset!$AA:$AA,Dataset!$F:$F,Resumen!M$8,Dataset!$J:$J,"&gt;="&amp;$AC30,Dataset!$J:$J,"&lt;"&amp;$AD30,Dataset!$AH:$AH,"bono corporativo",Dataset!$T:$T,"UF",Dataset!$AC:$AC,"*AA*")</f>
        <v>4.5934760440170617E-3</v>
      </c>
      <c r="O30" s="36">
        <f>SUMIFS(Dataset!$AJ:$AJ,Dataset!$F:$F,Resumen!O$8,Dataset!$J:$J,"&gt;="&amp;$AC30,Dataset!$J:$J,"&lt;"&amp;$AD30,Dataset!$AH:$AH,"bono corporativo",Dataset!$T:$T,"UF",Dataset!$AC:$AC,"*AA*")</f>
        <v>0.1920644669736182</v>
      </c>
      <c r="P30" s="37">
        <f>SUMIFS(Dataset!$AA:$AA,Dataset!$F:$F,Resumen!O$8,Dataset!$J:$J,"&gt;="&amp;$AC30,Dataset!$J:$J,"&lt;"&amp;$AD30,Dataset!$AH:$AH,"bono corporativo",Dataset!$T:$T,"UF",Dataset!$AC:$AC,"*AA*")</f>
        <v>0.59094930671123969</v>
      </c>
      <c r="Q30" s="36">
        <f>SUMIFS(Dataset!$AJ:$AJ,Dataset!$F:$F,Resumen!Q$8,Dataset!$J:$J,"&gt;="&amp;$AC30,Dataset!$J:$J,"&lt;"&amp;$AD30,Dataset!$AH:$AH,"bono corporativo",Dataset!$T:$T,"UF",Dataset!$AC:$AC,"*AA*")</f>
        <v>0</v>
      </c>
      <c r="R30" s="37">
        <f>SUMIFS(Dataset!$AA:$AA,Dataset!$F:$F,Resumen!Q$8,Dataset!$J:$J,"&gt;="&amp;$AC30,Dataset!$J:$J,"&lt;"&amp;$AD30,Dataset!$AH:$AH,"bono corporativo",Dataset!$T:$T,"UF",Dataset!$AC:$AC,"*AA*")</f>
        <v>0</v>
      </c>
      <c r="S30" s="36">
        <f>SUMIFS(Dataset!$AJ:$AJ,Dataset!$F:$F,Resumen!S$8,Dataset!$J:$J,"&gt;="&amp;$AC30,Dataset!$J:$J,"&lt;"&amp;$AD30,Dataset!$AH:$AH,"bono corporativo",Dataset!$T:$T,"UF",Dataset!$AC:$AC,"*AA*")</f>
        <v>0</v>
      </c>
      <c r="T30" s="37">
        <f>SUMIFS(Dataset!$AA:$AA,Dataset!$F:$F,Resumen!S$8,Dataset!$J:$J,"&gt;="&amp;$AC30,Dataset!$J:$J,"&lt;"&amp;$AD30,Dataset!$AH:$AH,"bono corporativo",Dataset!$T:$T,"UF",Dataset!$AC:$AC,"*AA*")</f>
        <v>0</v>
      </c>
      <c r="U30" s="36">
        <f>SUMIFS(Dataset!$AJ:$AJ,Dataset!$F:$F,Resumen!U$8,Dataset!$J:$J,"&gt;="&amp;$AC30,Dataset!$J:$J,"&lt;"&amp;$AD30,Dataset!$AH:$AH,"bono corporativo",Dataset!$T:$T,"UF",Dataset!$AC:$AC,"*AA*")</f>
        <v>0</v>
      </c>
      <c r="V30" s="37">
        <f>SUMIFS(Dataset!$AA:$AA,Dataset!$F:$F,Resumen!U$8,Dataset!$J:$J,"&gt;="&amp;$AC30,Dataset!$J:$J,"&lt;"&amp;$AD30,Dataset!$AH:$AH,"bono corporativo",Dataset!$T:$T,"UF",Dataset!$AC:$AC,"*AA*")</f>
        <v>0</v>
      </c>
      <c r="W30" s="36">
        <f>SUMIFS(Dataset!$AJ:$AJ,Dataset!$F:$F,Resumen!W$8,Dataset!$J:$J,"&gt;="&amp;$AC30,Dataset!$J:$J,"&lt;"&amp;$AD30,Dataset!$AH:$AH,"bono corporativo",Dataset!$T:$T,"UF",Dataset!$AC:$AC,"*AA*")</f>
        <v>0</v>
      </c>
      <c r="X30" s="37">
        <f>SUMIFS(Dataset!$AA:$AA,Dataset!$F:$F,Resumen!W$8,Dataset!$J:$J,"&gt;="&amp;$AC30,Dataset!$J:$J,"&lt;"&amp;$AD30,Dataset!$AH:$AH,"bono corporativo",Dataset!$T:$T,"UF",Dataset!$AC:$AC,"*AA*")</f>
        <v>0</v>
      </c>
      <c r="Y30" s="36">
        <f>SUMIFS(Dataset!$AJ:$AJ,Dataset!$F:$F,Resumen!Y$8,Dataset!$J:$J,"&gt;="&amp;$AC30,Dataset!$J:$J,"&lt;"&amp;$AD30,Dataset!$AH:$AH,"bono corporativo",Dataset!$T:$T,"UF",Dataset!$AC:$AC,"*AA*")</f>
        <v>0</v>
      </c>
      <c r="Z30" s="37">
        <f>SUMIFS(Dataset!$AA:$AA,Dataset!$F:$F,Resumen!Y$8,Dataset!$J:$J,"&gt;="&amp;$AC30,Dataset!$J:$J,"&lt;"&amp;$AD30,Dataset!$AH:$AH,"bono corporativo",Dataset!$T:$T,"UF",Dataset!$AC:$AC,"*AA*")</f>
        <v>0</v>
      </c>
      <c r="AA30" s="36">
        <f>SUMIFS(Dataset!$AJ:$AJ,Dataset!$F:$F,Resumen!AA$8,Dataset!$J:$J,"&gt;="&amp;$AC30,Dataset!$J:$J,"&lt;"&amp;$AD30,Dataset!$AH:$AH,"bono corporativo",Dataset!$T:$T,"UF",Dataset!$AC:$AC,"*AA*")</f>
        <v>0</v>
      </c>
      <c r="AB30" s="37">
        <f>SUMIFS(Dataset!$AA:$AA,Dataset!$F:$F,Resumen!AA$8,Dataset!$J:$J,"&gt;="&amp;$AC30,Dataset!$J:$J,"&lt;"&amp;$AD30,Dataset!$AH:$AH,"bono corporativo",Dataset!$T:$T,"UF",Dataset!$AC:$AC,"*AA*")</f>
        <v>0</v>
      </c>
      <c r="AC30" s="31">
        <v>0</v>
      </c>
      <c r="AD30" s="31">
        <v>3</v>
      </c>
    </row>
    <row r="31" spans="2:34" ht="30" customHeight="1" x14ac:dyDescent="0.25">
      <c r="B31" s="207"/>
      <c r="C31" s="206"/>
      <c r="D31" s="51" t="s">
        <v>124</v>
      </c>
      <c r="E31" s="38">
        <f>SUMIFS(Dataset!$AJ:$AJ,Dataset!$F:$F,Resumen!E$8,Dataset!$J:$J,"&gt;="&amp;$AC31,Dataset!$J:$J,"&lt;"&amp;$AD31,Dataset!$AH:$AH,"bono corporativo",Dataset!$T:$T,"UF",Dataset!$AC:$AC,"*AA*")</f>
        <v>-5.8010415339597728E-2</v>
      </c>
      <c r="F31" s="39">
        <f>SUMIFS(Dataset!$AA:$AA,Dataset!$F:$F,Resumen!E$8,Dataset!$J:$J,"&gt;="&amp;$AC31,Dataset!$J:$J,"&lt;"&amp;$AD31,Dataset!$AH:$AH,"bono corporativo",Dataset!$T:$T,"UF",Dataset!$AC:$AC,"*AA*")</f>
        <v>0.59098869050742087</v>
      </c>
      <c r="G31" s="38">
        <f>SUMIFS(Dataset!$AJ:$AJ,Dataset!$F:$F,Resumen!G$8,Dataset!$J:$J,"&gt;="&amp;$AC31,Dataset!$J:$J,"&lt;"&amp;$AD31,Dataset!$AH:$AH,"bono corporativo",Dataset!$T:$T,"UF",Dataset!$AC:$AC,"*AA*")</f>
        <v>7.6203244824572525E-2</v>
      </c>
      <c r="H31" s="39">
        <f>SUMIFS(Dataset!$AA:$AA,Dataset!$F:$F,Resumen!G$8,Dataset!$J:$J,"&gt;="&amp;$AC31,Dataset!$J:$J,"&lt;"&amp;$AD31,Dataset!$AH:$AH,"bono corporativo",Dataset!$T:$T,"UF",Dataset!$AC:$AC,"*AA*")</f>
        <v>4.8633979358497774E-2</v>
      </c>
      <c r="I31" s="38">
        <f>SUMIFS(Dataset!$AJ:$AJ,Dataset!$F:$F,Resumen!I$8,Dataset!$J:$J,"&gt;="&amp;$AC31,Dataset!$J:$J,"&lt;"&amp;$AD31,Dataset!$AH:$AH,"bono corporativo",Dataset!$T:$T,"UF",Dataset!$AC:$AC,"*AA*")</f>
        <v>0</v>
      </c>
      <c r="J31" s="39">
        <f>SUMIFS(Dataset!$AA:$AA,Dataset!$F:$F,Resumen!I$8,Dataset!$J:$J,"&gt;="&amp;$AC31,Dataset!$J:$J,"&lt;"&amp;$AD31,Dataset!$AH:$AH,"bono corporativo",Dataset!$T:$T,"UF",Dataset!$AC:$AC,"*AA*")</f>
        <v>0</v>
      </c>
      <c r="K31" s="38">
        <f>SUMIFS(Dataset!$AJ:$AJ,Dataset!$F:$F,Resumen!K$8,Dataset!$J:$J,"&gt;="&amp;$AC31,Dataset!$J:$J,"&lt;"&amp;$AD31,Dataset!$AH:$AH,"bono corporativo",Dataset!$T:$T,"UF",Dataset!$AC:$AC,"*AA*")</f>
        <v>9.9233645842459792E-2</v>
      </c>
      <c r="L31" s="39">
        <f>SUMIFS(Dataset!$AA:$AA,Dataset!$F:$F,Resumen!K$8,Dataset!$J:$J,"&gt;="&amp;$AC31,Dataset!$J:$J,"&lt;"&amp;$AD31,Dataset!$AH:$AH,"bono corporativo",Dataset!$T:$T,"UF",Dataset!$AC:$AC,"*AA*")</f>
        <v>9.964617377670415E-2</v>
      </c>
      <c r="M31" s="38">
        <f>SUMIFS(Dataset!$AJ:$AJ,Dataset!$F:$F,Resumen!M$8,Dataset!$J:$J,"&gt;="&amp;$AC31,Dataset!$J:$J,"&lt;"&amp;$AD31,Dataset!$AH:$AH,"bono corporativo",Dataset!$T:$T,"UF",Dataset!$AC:$AC,"*AA*")</f>
        <v>1.6746255124269128E-2</v>
      </c>
      <c r="N31" s="39">
        <f>SUMIFS(Dataset!$AA:$AA,Dataset!$F:$F,Resumen!M$8,Dataset!$J:$J,"&gt;="&amp;$AC31,Dataset!$J:$J,"&lt;"&amp;$AD31,Dataset!$AH:$AH,"bono corporativo",Dataset!$T:$T,"UF",Dataset!$AC:$AC,"*AA*")</f>
        <v>6.3463438212083591E-3</v>
      </c>
      <c r="O31" s="38">
        <f>SUMIFS(Dataset!$AJ:$AJ,Dataset!$F:$F,Resumen!O$8,Dataset!$J:$J,"&gt;="&amp;$AC31,Dataset!$J:$J,"&lt;"&amp;$AD31,Dataset!$AH:$AH,"bono corporativo",Dataset!$T:$T,"UF",Dataset!$AC:$AC,"*AA*")</f>
        <v>7.3045486116294659E-3</v>
      </c>
      <c r="P31" s="39">
        <f>SUMIFS(Dataset!$AA:$AA,Dataset!$F:$F,Resumen!O$8,Dataset!$J:$J,"&gt;="&amp;$AC31,Dataset!$J:$J,"&lt;"&amp;$AD31,Dataset!$AH:$AH,"bono corporativo",Dataset!$T:$T,"UF",Dataset!$AC:$AC,"*AA*")</f>
        <v>3.104697822189292E-2</v>
      </c>
      <c r="Q31" s="38">
        <f>SUMIFS(Dataset!$AJ:$AJ,Dataset!$F:$F,Resumen!Q$8,Dataset!$J:$J,"&gt;="&amp;$AC31,Dataset!$J:$J,"&lt;"&amp;$AD31,Dataset!$AH:$AH,"bono corporativo",Dataset!$T:$T,"UF",Dataset!$AC:$AC,"*AA*")</f>
        <v>0</v>
      </c>
      <c r="R31" s="39">
        <f>SUMIFS(Dataset!$AA:$AA,Dataset!$F:$F,Resumen!Q$8,Dataset!$J:$J,"&gt;="&amp;$AC31,Dataset!$J:$J,"&lt;"&amp;$AD31,Dataset!$AH:$AH,"bono corporativo",Dataset!$T:$T,"UF",Dataset!$AC:$AC,"*AA*")</f>
        <v>0</v>
      </c>
      <c r="S31" s="38">
        <f>SUMIFS(Dataset!$AJ:$AJ,Dataset!$F:$F,Resumen!S$8,Dataset!$J:$J,"&gt;="&amp;$AC31,Dataset!$J:$J,"&lt;"&amp;$AD31,Dataset!$AH:$AH,"bono corporativo",Dataset!$T:$T,"UF",Dataset!$AC:$AC,"*AA*")</f>
        <v>0</v>
      </c>
      <c r="T31" s="39">
        <f>SUMIFS(Dataset!$AA:$AA,Dataset!$F:$F,Resumen!S$8,Dataset!$J:$J,"&gt;="&amp;$AC31,Dataset!$J:$J,"&lt;"&amp;$AD31,Dataset!$AH:$AH,"bono corporativo",Dataset!$T:$T,"UF",Dataset!$AC:$AC,"*AA*")</f>
        <v>0</v>
      </c>
      <c r="U31" s="38">
        <f>SUMIFS(Dataset!$AJ:$AJ,Dataset!$F:$F,Resumen!U$8,Dataset!$J:$J,"&gt;="&amp;$AC31,Dataset!$J:$J,"&lt;"&amp;$AD31,Dataset!$AH:$AH,"bono corporativo",Dataset!$T:$T,"UF",Dataset!$AC:$AC,"*AA*")</f>
        <v>0</v>
      </c>
      <c r="V31" s="39">
        <f>SUMIFS(Dataset!$AA:$AA,Dataset!$F:$F,Resumen!U$8,Dataset!$J:$J,"&gt;="&amp;$AC31,Dataset!$J:$J,"&lt;"&amp;$AD31,Dataset!$AH:$AH,"bono corporativo",Dataset!$T:$T,"UF",Dataset!$AC:$AC,"*AA*")</f>
        <v>0</v>
      </c>
      <c r="W31" s="38">
        <f>SUMIFS(Dataset!$AJ:$AJ,Dataset!$F:$F,Resumen!W$8,Dataset!$J:$J,"&gt;="&amp;$AC31,Dataset!$J:$J,"&lt;"&amp;$AD31,Dataset!$AH:$AH,"bono corporativo",Dataset!$T:$T,"UF",Dataset!$AC:$AC,"*AA*")</f>
        <v>0</v>
      </c>
      <c r="X31" s="39">
        <f>SUMIFS(Dataset!$AA:$AA,Dataset!$F:$F,Resumen!W$8,Dataset!$J:$J,"&gt;="&amp;$AC31,Dataset!$J:$J,"&lt;"&amp;$AD31,Dataset!$AH:$AH,"bono corporativo",Dataset!$T:$T,"UF",Dataset!$AC:$AC,"*AA*")</f>
        <v>0</v>
      </c>
      <c r="Y31" s="38">
        <f>SUMIFS(Dataset!$AJ:$AJ,Dataset!$F:$F,Resumen!Y$8,Dataset!$J:$J,"&gt;="&amp;$AC31,Dataset!$J:$J,"&lt;"&amp;$AD31,Dataset!$AH:$AH,"bono corporativo",Dataset!$T:$T,"UF",Dataset!$AC:$AC,"*AA*")</f>
        <v>0</v>
      </c>
      <c r="Z31" s="39">
        <f>SUMIFS(Dataset!$AA:$AA,Dataset!$F:$F,Resumen!Y$8,Dataset!$J:$J,"&gt;="&amp;$AC31,Dataset!$J:$J,"&lt;"&amp;$AD31,Dataset!$AH:$AH,"bono corporativo",Dataset!$T:$T,"UF",Dataset!$AC:$AC,"*AA*")</f>
        <v>0</v>
      </c>
      <c r="AA31" s="38">
        <f>SUMIFS(Dataset!$AJ:$AJ,Dataset!$F:$F,Resumen!AA$8,Dataset!$J:$J,"&gt;="&amp;$AC31,Dataset!$J:$J,"&lt;"&amp;$AD31,Dataset!$AH:$AH,"bono corporativo",Dataset!$T:$T,"UF",Dataset!$AC:$AC,"*AA*")</f>
        <v>0</v>
      </c>
      <c r="AB31" s="39">
        <f>SUMIFS(Dataset!$AA:$AA,Dataset!$F:$F,Resumen!AA$8,Dataset!$J:$J,"&gt;="&amp;$AC31,Dataset!$J:$J,"&lt;"&amp;$AD31,Dataset!$AH:$AH,"bono corporativo",Dataset!$T:$T,"UF",Dataset!$AC:$AC,"*AA*")</f>
        <v>0</v>
      </c>
      <c r="AC31" s="31">
        <v>3</v>
      </c>
      <c r="AD31" s="31">
        <v>5</v>
      </c>
    </row>
    <row r="32" spans="2:34" ht="30" customHeight="1" x14ac:dyDescent="0.25">
      <c r="B32" s="207"/>
      <c r="C32" s="206"/>
      <c r="D32" s="51" t="s">
        <v>125</v>
      </c>
      <c r="E32" s="38">
        <f>SUMIFS(Dataset!$AJ:$AJ,Dataset!$F:$F,Resumen!E$8,Dataset!$J:$J,"&gt;="&amp;$AC32,Dataset!$J:$J,"&lt;"&amp;$AD32,Dataset!$AH:$AH,"bono corporativo",Dataset!$T:$T,"UF",Dataset!$AC:$AC,"*AA*")</f>
        <v>4.912152985452941E-3</v>
      </c>
      <c r="F32" s="39">
        <f>SUMIFS(Dataset!$AA:$AA,Dataset!$F:$F,Resumen!E$8,Dataset!$J:$J,"&gt;="&amp;$AC32,Dataset!$J:$J,"&lt;"&amp;$AD32,Dataset!$AH:$AH,"bono corporativo",Dataset!$T:$T,"UF",Dataset!$AC:$AC,"*AA*")</f>
        <v>0.12415831016542139</v>
      </c>
      <c r="G32" s="38">
        <f>SUMIFS(Dataset!$AJ:$AJ,Dataset!$F:$F,Resumen!G$8,Dataset!$J:$J,"&gt;="&amp;$AC32,Dataset!$J:$J,"&lt;"&amp;$AD32,Dataset!$AH:$AH,"bono corporativo",Dataset!$T:$T,"UF",Dataset!$AC:$AC,"*AA*")</f>
        <v>0.12477556181743933</v>
      </c>
      <c r="H32" s="39">
        <f>SUMIFS(Dataset!$AA:$AA,Dataset!$F:$F,Resumen!G$8,Dataset!$J:$J,"&gt;="&amp;$AC32,Dataset!$J:$J,"&lt;"&amp;$AD32,Dataset!$AH:$AH,"bono corporativo",Dataset!$T:$T,"UF",Dataset!$AC:$AC,"*AA*")</f>
        <v>0.14897369523908432</v>
      </c>
      <c r="I32" s="38">
        <f>SUMIFS(Dataset!$AJ:$AJ,Dataset!$F:$F,Resumen!I$8,Dataset!$J:$J,"&gt;="&amp;$AC32,Dataset!$J:$J,"&lt;"&amp;$AD32,Dataset!$AH:$AH,"bono corporativo",Dataset!$T:$T,"UF",Dataset!$AC:$AC,"*AA*")</f>
        <v>0</v>
      </c>
      <c r="J32" s="39">
        <f>SUMIFS(Dataset!$AA:$AA,Dataset!$F:$F,Resumen!I$8,Dataset!$J:$J,"&gt;="&amp;$AC32,Dataset!$J:$J,"&lt;"&amp;$AD32,Dataset!$AH:$AH,"bono corporativo",Dataset!$T:$T,"UF",Dataset!$AC:$AC,"*AA*")</f>
        <v>0</v>
      </c>
      <c r="K32" s="38">
        <f>SUMIFS(Dataset!$AJ:$AJ,Dataset!$F:$F,Resumen!K$8,Dataset!$J:$J,"&gt;="&amp;$AC32,Dataset!$J:$J,"&lt;"&amp;$AD32,Dataset!$AH:$AH,"bono corporativo",Dataset!$T:$T,"UF",Dataset!$AC:$AC,"*AA*")</f>
        <v>0.20037699125197117</v>
      </c>
      <c r="L32" s="39">
        <f>SUMIFS(Dataset!$AA:$AA,Dataset!$F:$F,Resumen!K$8,Dataset!$J:$J,"&gt;="&amp;$AC32,Dataset!$J:$J,"&lt;"&amp;$AD32,Dataset!$AH:$AH,"bono corporativo",Dataset!$T:$T,"UF",Dataset!$AC:$AC,"*AA*")</f>
        <v>0.36199876575208972</v>
      </c>
      <c r="M32" s="38">
        <f>SUMIFS(Dataset!$AJ:$AJ,Dataset!$F:$F,Resumen!M$8,Dataset!$J:$J,"&gt;="&amp;$AC32,Dataset!$J:$J,"&lt;"&amp;$AD32,Dataset!$AH:$AH,"bono corporativo",Dataset!$T:$T,"UF",Dataset!$AC:$AC,"*AA*")</f>
        <v>0.16094497764613797</v>
      </c>
      <c r="N32" s="39">
        <f>SUMIFS(Dataset!$AA:$AA,Dataset!$F:$F,Resumen!M$8,Dataset!$J:$J,"&gt;="&amp;$AC32,Dataset!$J:$J,"&lt;"&amp;$AD32,Dataset!$AH:$AH,"bono corporativo",Dataset!$T:$T,"UF",Dataset!$AC:$AC,"*AA*")</f>
        <v>0.18001789145106425</v>
      </c>
      <c r="O32" s="38">
        <f>SUMIFS(Dataset!$AJ:$AJ,Dataset!$F:$F,Resumen!O$8,Dataset!$J:$J,"&gt;="&amp;$AC32,Dataset!$J:$J,"&lt;"&amp;$AD32,Dataset!$AH:$AH,"bono corporativo",Dataset!$T:$T,"UF",Dataset!$AC:$AC,"*AA*")</f>
        <v>0</v>
      </c>
      <c r="P32" s="39">
        <f>SUMIFS(Dataset!$AA:$AA,Dataset!$F:$F,Resumen!O$8,Dataset!$J:$J,"&gt;="&amp;$AC32,Dataset!$J:$J,"&lt;"&amp;$AD32,Dataset!$AH:$AH,"bono corporativo",Dataset!$T:$T,"UF",Dataset!$AC:$AC,"*AA*")</f>
        <v>0</v>
      </c>
      <c r="Q32" s="38">
        <f>SUMIFS(Dataset!$AJ:$AJ,Dataset!$F:$F,Resumen!Q$8,Dataset!$J:$J,"&gt;="&amp;$AC32,Dataset!$J:$J,"&lt;"&amp;$AD32,Dataset!$AH:$AH,"bono corporativo",Dataset!$T:$T,"UF",Dataset!$AC:$AC,"*AA*")</f>
        <v>0</v>
      </c>
      <c r="R32" s="39">
        <f>SUMIFS(Dataset!$AA:$AA,Dataset!$F:$F,Resumen!Q$8,Dataset!$J:$J,"&gt;="&amp;$AC32,Dataset!$J:$J,"&lt;"&amp;$AD32,Dataset!$AH:$AH,"bono corporativo",Dataset!$T:$T,"UF",Dataset!$AC:$AC,"*AA*")</f>
        <v>0</v>
      </c>
      <c r="S32" s="38">
        <f>SUMIFS(Dataset!$AJ:$AJ,Dataset!$F:$F,Resumen!S$8,Dataset!$J:$J,"&gt;="&amp;$AC32,Dataset!$J:$J,"&lt;"&amp;$AD32,Dataset!$AH:$AH,"bono corporativo",Dataset!$T:$T,"UF",Dataset!$AC:$AC,"*AA*")</f>
        <v>0</v>
      </c>
      <c r="T32" s="39">
        <f>SUMIFS(Dataset!$AA:$AA,Dataset!$F:$F,Resumen!S$8,Dataset!$J:$J,"&gt;="&amp;$AC32,Dataset!$J:$J,"&lt;"&amp;$AD32,Dataset!$AH:$AH,"bono corporativo",Dataset!$T:$T,"UF",Dataset!$AC:$AC,"*AA*")</f>
        <v>0</v>
      </c>
      <c r="U32" s="38">
        <f>SUMIFS(Dataset!$AJ:$AJ,Dataset!$F:$F,Resumen!U$8,Dataset!$J:$J,"&gt;="&amp;$AC32,Dataset!$J:$J,"&lt;"&amp;$AD32,Dataset!$AH:$AH,"bono corporativo",Dataset!$T:$T,"UF",Dataset!$AC:$AC,"*AA*")</f>
        <v>0</v>
      </c>
      <c r="V32" s="39">
        <f>SUMIFS(Dataset!$AA:$AA,Dataset!$F:$F,Resumen!U$8,Dataset!$J:$J,"&gt;="&amp;$AC32,Dataset!$J:$J,"&lt;"&amp;$AD32,Dataset!$AH:$AH,"bono corporativo",Dataset!$T:$T,"UF",Dataset!$AC:$AC,"*AA*")</f>
        <v>0</v>
      </c>
      <c r="W32" s="38">
        <f>SUMIFS(Dataset!$AJ:$AJ,Dataset!$F:$F,Resumen!W$8,Dataset!$J:$J,"&gt;="&amp;$AC32,Dataset!$J:$J,"&lt;"&amp;$AD32,Dataset!$AH:$AH,"bono corporativo",Dataset!$T:$T,"UF",Dataset!$AC:$AC,"*AA*")</f>
        <v>0</v>
      </c>
      <c r="X32" s="39">
        <f>SUMIFS(Dataset!$AA:$AA,Dataset!$F:$F,Resumen!W$8,Dataset!$J:$J,"&gt;="&amp;$AC32,Dataset!$J:$J,"&lt;"&amp;$AD32,Dataset!$AH:$AH,"bono corporativo",Dataset!$T:$T,"UF",Dataset!$AC:$AC,"*AA*")</f>
        <v>0</v>
      </c>
      <c r="Y32" s="38">
        <f>SUMIFS(Dataset!$AJ:$AJ,Dataset!$F:$F,Resumen!Y$8,Dataset!$J:$J,"&gt;="&amp;$AC32,Dataset!$J:$J,"&lt;"&amp;$AD32,Dataset!$AH:$AH,"bono corporativo",Dataset!$T:$T,"UF",Dataset!$AC:$AC,"*AA*")</f>
        <v>0</v>
      </c>
      <c r="Z32" s="39">
        <f>SUMIFS(Dataset!$AA:$AA,Dataset!$F:$F,Resumen!Y$8,Dataset!$J:$J,"&gt;="&amp;$AC32,Dataset!$J:$J,"&lt;"&amp;$AD32,Dataset!$AH:$AH,"bono corporativo",Dataset!$T:$T,"UF",Dataset!$AC:$AC,"*AA*")</f>
        <v>0</v>
      </c>
      <c r="AA32" s="38">
        <f>SUMIFS(Dataset!$AJ:$AJ,Dataset!$F:$F,Resumen!AA$8,Dataset!$J:$J,"&gt;="&amp;$AC32,Dataset!$J:$J,"&lt;"&amp;$AD32,Dataset!$AH:$AH,"bono corporativo",Dataset!$T:$T,"UF",Dataset!$AC:$AC,"*AA*")</f>
        <v>2.0407686494486998E-3</v>
      </c>
      <c r="AB32" s="39">
        <f>SUMIFS(Dataset!$AA:$AA,Dataset!$F:$F,Resumen!AA$8,Dataset!$J:$J,"&gt;="&amp;$AC32,Dataset!$J:$J,"&lt;"&amp;$AD32,Dataset!$AH:$AH,"bono corporativo",Dataset!$T:$T,"UF",Dataset!$AC:$AC,"*AA*")</f>
        <v>3.2849686377658541E-3</v>
      </c>
      <c r="AC32" s="31">
        <v>5</v>
      </c>
      <c r="AD32" s="31">
        <v>10</v>
      </c>
      <c r="AH32" s="33"/>
    </row>
    <row r="33" spans="2:30" ht="30" customHeight="1" x14ac:dyDescent="0.25">
      <c r="B33" s="207"/>
      <c r="C33" s="206"/>
      <c r="D33" s="51" t="s">
        <v>126</v>
      </c>
      <c r="E33" s="40">
        <f>SUMIFS(Dataset!$AJ:$AJ,Dataset!$F:$F,Resumen!E$8,Dataset!$J:$J,"&gt;="&amp;$AC33,Dataset!$J:$J,"&lt;"&amp;$AD33,Dataset!$AH:$AH,"bono corporativo",Dataset!$T:$T,"UF",Dataset!$AC:$AC,"*AA*")</f>
        <v>0</v>
      </c>
      <c r="F33" s="41">
        <f>SUMIFS(Dataset!$AA:$AA,Dataset!$F:$F,Resumen!E$8,Dataset!$J:$J,"&gt;="&amp;$AC33,Dataset!$J:$J,"&lt;"&amp;$AD33,Dataset!$AH:$AH,"bono corporativo",Dataset!$T:$T,"UF",Dataset!$AC:$AC,"*AA*")</f>
        <v>0</v>
      </c>
      <c r="G33" s="40">
        <f>SUMIFS(Dataset!$AJ:$AJ,Dataset!$F:$F,Resumen!G$8,Dataset!$J:$J,"&gt;="&amp;$AC33,Dataset!$J:$J,"&lt;"&amp;$AD33,Dataset!$AH:$AH,"bono corporativo",Dataset!$T:$T,"UF",Dataset!$AC:$AC,"*AA*")</f>
        <v>6.9210143552145997E-2</v>
      </c>
      <c r="H33" s="41">
        <f>SUMIFS(Dataset!$AA:$AA,Dataset!$F:$F,Resumen!G$8,Dataset!$J:$J,"&gt;="&amp;$AC33,Dataset!$J:$J,"&lt;"&amp;$AD33,Dataset!$AH:$AH,"bono corporativo",Dataset!$T:$T,"UF",Dataset!$AC:$AC,"*AA*")</f>
        <v>8.2507531139946369E-2</v>
      </c>
      <c r="I33" s="40">
        <f>SUMIFS(Dataset!$AJ:$AJ,Dataset!$F:$F,Resumen!I$8,Dataset!$J:$J,"&gt;="&amp;$AC33,Dataset!$J:$J,"&lt;"&amp;$AD33,Dataset!$AH:$AH,"bono corporativo",Dataset!$T:$T,"UF",Dataset!$AC:$AC,"*AA*")</f>
        <v>0</v>
      </c>
      <c r="J33" s="41">
        <f>SUMIFS(Dataset!$AA:$AA,Dataset!$F:$F,Resumen!I$8,Dataset!$J:$J,"&gt;="&amp;$AC33,Dataset!$J:$J,"&lt;"&amp;$AD33,Dataset!$AH:$AH,"bono corporativo",Dataset!$T:$T,"UF",Dataset!$AC:$AC,"*AA*")</f>
        <v>0</v>
      </c>
      <c r="K33" s="40">
        <f>SUMIFS(Dataset!$AJ:$AJ,Dataset!$F:$F,Resumen!K$8,Dataset!$J:$J,"&gt;="&amp;$AC33,Dataset!$J:$J,"&lt;"&amp;$AD33,Dataset!$AH:$AH,"bono corporativo",Dataset!$T:$T,"UF",Dataset!$AC:$AC,"*AA*")</f>
        <v>1.4452005567617162E-2</v>
      </c>
      <c r="L33" s="41">
        <f>SUMIFS(Dataset!$AA:$AA,Dataset!$F:$F,Resumen!K$8,Dataset!$J:$J,"&gt;="&amp;$AC33,Dataset!$J:$J,"&lt;"&amp;$AD33,Dataset!$AH:$AH,"bono corporativo",Dataset!$T:$T,"UF",Dataset!$AC:$AC,"*AA*")</f>
        <v>2.5836127027262599E-2</v>
      </c>
      <c r="M33" s="40">
        <f>SUMIFS(Dataset!$AJ:$AJ,Dataset!$F:$F,Resumen!M$8,Dataset!$J:$J,"&gt;="&amp;$AC33,Dataset!$J:$J,"&lt;"&amp;$AD33,Dataset!$AH:$AH,"bono corporativo",Dataset!$T:$T,"UF",Dataset!$AC:$AC,"*AA*")</f>
        <v>4.8388697018749788E-2</v>
      </c>
      <c r="N33" s="41">
        <f>SUMIFS(Dataset!$AA:$AA,Dataset!$F:$F,Resumen!M$8,Dataset!$J:$J,"&gt;="&amp;$AC33,Dataset!$J:$J,"&lt;"&amp;$AD33,Dataset!$AH:$AH,"bono corporativo",Dataset!$T:$T,"UF",Dataset!$AC:$AC,"*AA*")</f>
        <v>5.41230384121201E-2</v>
      </c>
      <c r="O33" s="40">
        <f>SUMIFS(Dataset!$AJ:$AJ,Dataset!$F:$F,Resumen!O$8,Dataset!$J:$J,"&gt;="&amp;$AC33,Dataset!$J:$J,"&lt;"&amp;$AD33,Dataset!$AH:$AH,"bono corporativo",Dataset!$T:$T,"UF",Dataset!$AC:$AC,"*AA*")</f>
        <v>0</v>
      </c>
      <c r="P33" s="41">
        <f>SUMIFS(Dataset!$AA:$AA,Dataset!$F:$F,Resumen!O$8,Dataset!$J:$J,"&gt;="&amp;$AC33,Dataset!$J:$J,"&lt;"&amp;$AD33,Dataset!$AH:$AH,"bono corporativo",Dataset!$T:$T,"UF",Dataset!$AC:$AC,"*AA*")</f>
        <v>0</v>
      </c>
      <c r="Q33" s="40">
        <f>SUMIFS(Dataset!$AJ:$AJ,Dataset!$F:$F,Resumen!Q$8,Dataset!$J:$J,"&gt;="&amp;$AC33,Dataset!$J:$J,"&lt;"&amp;$AD33,Dataset!$AH:$AH,"bono corporativo",Dataset!$T:$T,"UF",Dataset!$AC:$AC,"*AA*")</f>
        <v>0</v>
      </c>
      <c r="R33" s="41">
        <f>SUMIFS(Dataset!$AA:$AA,Dataset!$F:$F,Resumen!Q$8,Dataset!$J:$J,"&gt;="&amp;$AC33,Dataset!$J:$J,"&lt;"&amp;$AD33,Dataset!$AH:$AH,"bono corporativo",Dataset!$T:$T,"UF",Dataset!$AC:$AC,"*AA*")</f>
        <v>0</v>
      </c>
      <c r="S33" s="40">
        <f>SUMIFS(Dataset!$AJ:$AJ,Dataset!$F:$F,Resumen!S$8,Dataset!$J:$J,"&gt;="&amp;$AC33,Dataset!$J:$J,"&lt;"&amp;$AD33,Dataset!$AH:$AH,"bono corporativo",Dataset!$T:$T,"UF",Dataset!$AC:$AC,"*AA*")</f>
        <v>0</v>
      </c>
      <c r="T33" s="41">
        <f>SUMIFS(Dataset!$AA:$AA,Dataset!$F:$F,Resumen!S$8,Dataset!$J:$J,"&gt;="&amp;$AC33,Dataset!$J:$J,"&lt;"&amp;$AD33,Dataset!$AH:$AH,"bono corporativo",Dataset!$T:$T,"UF",Dataset!$AC:$AC,"*AA*")</f>
        <v>0</v>
      </c>
      <c r="U33" s="40">
        <f>SUMIFS(Dataset!$AJ:$AJ,Dataset!$F:$F,Resumen!U$8,Dataset!$J:$J,"&gt;="&amp;$AC33,Dataset!$J:$J,"&lt;"&amp;$AD33,Dataset!$AH:$AH,"bono corporativo",Dataset!$T:$T,"UF",Dataset!$AC:$AC,"*AA*")</f>
        <v>0</v>
      </c>
      <c r="V33" s="41">
        <f>SUMIFS(Dataset!$AA:$AA,Dataset!$F:$F,Resumen!U$8,Dataset!$J:$J,"&gt;="&amp;$AC33,Dataset!$J:$J,"&lt;"&amp;$AD33,Dataset!$AH:$AH,"bono corporativo",Dataset!$T:$T,"UF",Dataset!$AC:$AC,"*AA*")</f>
        <v>0</v>
      </c>
      <c r="W33" s="40">
        <f>SUMIFS(Dataset!$AJ:$AJ,Dataset!$F:$F,Resumen!W$8,Dataset!$J:$J,"&gt;="&amp;$AC33,Dataset!$J:$J,"&lt;"&amp;$AD33,Dataset!$AH:$AH,"bono corporativo",Dataset!$T:$T,"UF",Dataset!$AC:$AC,"*AA*")</f>
        <v>0</v>
      </c>
      <c r="X33" s="41">
        <f>SUMIFS(Dataset!$AA:$AA,Dataset!$F:$F,Resumen!W$8,Dataset!$J:$J,"&gt;="&amp;$AC33,Dataset!$J:$J,"&lt;"&amp;$AD33,Dataset!$AH:$AH,"bono corporativo",Dataset!$T:$T,"UF",Dataset!$AC:$AC,"*AA*")</f>
        <v>0</v>
      </c>
      <c r="Y33" s="40">
        <f>SUMIFS(Dataset!$AJ:$AJ,Dataset!$F:$F,Resumen!Y$8,Dataset!$J:$J,"&gt;="&amp;$AC33,Dataset!$J:$J,"&lt;"&amp;$AD33,Dataset!$AH:$AH,"bono corporativo",Dataset!$T:$T,"UF",Dataset!$AC:$AC,"*AA*")</f>
        <v>0</v>
      </c>
      <c r="Z33" s="41">
        <f>SUMIFS(Dataset!$AA:$AA,Dataset!$F:$F,Resumen!Y$8,Dataset!$J:$J,"&gt;="&amp;$AC33,Dataset!$J:$J,"&lt;"&amp;$AD33,Dataset!$AH:$AH,"bono corporativo",Dataset!$T:$T,"UF",Dataset!$AC:$AC,"*AA*")</f>
        <v>0</v>
      </c>
      <c r="AA33" s="40">
        <f>SUMIFS(Dataset!$AJ:$AJ,Dataset!$F:$F,Resumen!AA$8,Dataset!$J:$J,"&gt;="&amp;$AC33,Dataset!$J:$J,"&lt;"&amp;$AD33,Dataset!$AH:$AH,"bono corporativo",Dataset!$T:$T,"UF",Dataset!$AC:$AC,"*AA*")</f>
        <v>0</v>
      </c>
      <c r="AB33" s="41">
        <f>SUMIFS(Dataset!$AA:$AA,Dataset!$F:$F,Resumen!AA$8,Dataset!$J:$J,"&gt;="&amp;$AC33,Dataset!$J:$J,"&lt;"&amp;$AD33,Dataset!$AH:$AH,"bono corporativo",Dataset!$T:$T,"UF",Dataset!$AC:$AC,"*AA*")</f>
        <v>0</v>
      </c>
      <c r="AC33" s="31">
        <v>10</v>
      </c>
      <c r="AD33" s="31">
        <v>100</v>
      </c>
    </row>
    <row r="34" spans="2:30" ht="30" customHeight="1" x14ac:dyDescent="0.25">
      <c r="B34" s="207"/>
      <c r="C34" s="206" t="s">
        <v>130</v>
      </c>
      <c r="D34" s="52" t="s">
        <v>123</v>
      </c>
      <c r="E34" s="42">
        <f>SUMIFS(Dataset!$AJ:$AJ,Dataset!$F:$F,Resumen!E$8,Dataset!$J:$J,"&gt;="&amp;$AC34,Dataset!$J:$J,"&lt;"&amp;$AD34,Dataset!$AH:$AH,"bono corporativo",Dataset!$T:$T,"UF",Dataset!$AC:$AC,"&lt;&gt;*AA*")</f>
        <v>1.2750835131055216E-2</v>
      </c>
      <c r="F34" s="43">
        <f>SUMIFS(Dataset!$AA:$AA,Dataset!$F:$F,Resumen!E$8,Dataset!$J:$J,"&gt;="&amp;$AC34,Dataset!$J:$J,"&lt;"&amp;$AD34,Dataset!$AH:$AH,"bono corporativo",Dataset!$T:$T,"UF",Dataset!$AC:$AC,"&lt;&gt;*AA*")</f>
        <v>-1.9552425454094805E-2</v>
      </c>
      <c r="G34" s="42">
        <f>SUMIFS(Dataset!$AJ:$AJ,Dataset!$F:$F,Resumen!G$8,Dataset!$J:$J,"&gt;="&amp;$AC34,Dataset!$J:$J,"&lt;"&amp;$AD34,Dataset!$AH:$AH,"bono corporativo",Dataset!$T:$T,"UF",Dataset!$AC:$AC,"&lt;&gt;*AA*")</f>
        <v>3.3431361912697799E-2</v>
      </c>
      <c r="H34" s="43">
        <f>SUMIFS(Dataset!$AA:$AA,Dataset!$F:$F,Resumen!G$8,Dataset!$J:$J,"&gt;="&amp;$AC34,Dataset!$J:$J,"&lt;"&amp;$AD34,Dataset!$AH:$AH,"bono corporativo",Dataset!$T:$T,"UF",Dataset!$AC:$AC,"&lt;&gt;*AA*")</f>
        <v>9.5802957899180415E-3</v>
      </c>
      <c r="I34" s="42">
        <f>SUMIFS(Dataset!$AJ:$AJ,Dataset!$F:$F,Resumen!I$8,Dataset!$J:$J,"&gt;="&amp;$AC34,Dataset!$J:$J,"&lt;"&amp;$AD34,Dataset!$AH:$AH,"bono corporativo",Dataset!$T:$T,"UF",Dataset!$AC:$AC,"&lt;&gt;*AA*")</f>
        <v>0</v>
      </c>
      <c r="J34" s="43">
        <f>SUMIFS(Dataset!$AA:$AA,Dataset!$F:$F,Resumen!I$8,Dataset!$J:$J,"&gt;="&amp;$AC34,Dataset!$J:$J,"&lt;"&amp;$AD34,Dataset!$AH:$AH,"bono corporativo",Dataset!$T:$T,"UF",Dataset!$AC:$AC,"&lt;&gt;*AA*")</f>
        <v>0</v>
      </c>
      <c r="K34" s="42">
        <f>SUMIFS(Dataset!$AJ:$AJ,Dataset!$F:$F,Resumen!K$8,Dataset!$J:$J,"&gt;="&amp;$AC34,Dataset!$J:$J,"&lt;"&amp;$AD34,Dataset!$AH:$AH,"bono corporativo",Dataset!$T:$T,"UF",Dataset!$AC:$AC,"&lt;&gt;*AA*")</f>
        <v>2.3644920151532078E-2</v>
      </c>
      <c r="L34" s="43">
        <f>SUMIFS(Dataset!$AA:$AA,Dataset!$F:$F,Resumen!K$8,Dataset!$J:$J,"&gt;="&amp;$AC34,Dataset!$J:$J,"&lt;"&amp;$AD34,Dataset!$AH:$AH,"bono corporativo",Dataset!$T:$T,"UF",Dataset!$AC:$AC,"&lt;&gt;*AA*")</f>
        <v>9.8111602725392613E-3</v>
      </c>
      <c r="M34" s="42">
        <f>SUMIFS(Dataset!$AJ:$AJ,Dataset!$F:$F,Resumen!M$8,Dataset!$J:$J,"&gt;="&amp;$AC34,Dataset!$J:$J,"&lt;"&amp;$AD34,Dataset!$AH:$AH,"bono corporativo",Dataset!$T:$T,"UF",Dataset!$AC:$AC,"&lt;&gt;*AA*")</f>
        <v>-7.6847638192361289E-2</v>
      </c>
      <c r="N34" s="43">
        <f>SUMIFS(Dataset!$AA:$AA,Dataset!$F:$F,Resumen!M$8,Dataset!$J:$J,"&gt;="&amp;$AC34,Dataset!$J:$J,"&lt;"&amp;$AD34,Dataset!$AH:$AH,"bono corporativo",Dataset!$T:$T,"UF",Dataset!$AC:$AC,"&lt;&gt;*AA*")</f>
        <v>4.6313000294951456E-3</v>
      </c>
      <c r="O34" s="42">
        <f>SUMIFS(Dataset!$AJ:$AJ,Dataset!$F:$F,Resumen!O$8,Dataset!$J:$J,"&gt;="&amp;$AC34,Dataset!$J:$J,"&lt;"&amp;$AD34,Dataset!$AH:$AH,"bono corporativo",Dataset!$T:$T,"UF",Dataset!$AC:$AC,"&lt;&gt;*AA*")</f>
        <v>2.1080075631142708E-2</v>
      </c>
      <c r="P34" s="43">
        <f>SUMIFS(Dataset!$AA:$AA,Dataset!$F:$F,Resumen!O$8,Dataset!$J:$J,"&gt;="&amp;$AC34,Dataset!$J:$J,"&lt;"&amp;$AD34,Dataset!$AH:$AH,"bono corporativo",Dataset!$T:$T,"UF",Dataset!$AC:$AC,"&lt;&gt;*AA*")</f>
        <v>4.5447321571049019E-2</v>
      </c>
      <c r="Q34" s="42">
        <f>SUMIFS(Dataset!$AJ:$AJ,Dataset!$F:$F,Resumen!Q$8,Dataset!$J:$J,"&gt;="&amp;$AC34,Dataset!$J:$J,"&lt;"&amp;$AD34,Dataset!$AH:$AH,"bono corporativo",Dataset!$T:$T,"UF",Dataset!$AC:$AC,"&lt;&gt;*AA*")</f>
        <v>0</v>
      </c>
      <c r="R34" s="43">
        <f>SUMIFS(Dataset!$AA:$AA,Dataset!$F:$F,Resumen!Q$8,Dataset!$J:$J,"&gt;="&amp;$AC34,Dataset!$J:$J,"&lt;"&amp;$AD34,Dataset!$AH:$AH,"bono corporativo",Dataset!$T:$T,"UF",Dataset!$AC:$AC,"&lt;&gt;*AA*")</f>
        <v>0</v>
      </c>
      <c r="S34" s="42">
        <f>SUMIFS(Dataset!$AJ:$AJ,Dataset!$F:$F,Resumen!S$8,Dataset!$J:$J,"&gt;="&amp;$AC34,Dataset!$J:$J,"&lt;"&amp;$AD34,Dataset!$AH:$AH,"bono corporativo",Dataset!$T:$T,"UF",Dataset!$AC:$AC,"&lt;&gt;*AA*")</f>
        <v>0</v>
      </c>
      <c r="T34" s="43">
        <f>SUMIFS(Dataset!$AA:$AA,Dataset!$F:$F,Resumen!S$8,Dataset!$J:$J,"&gt;="&amp;$AC34,Dataset!$J:$J,"&lt;"&amp;$AD34,Dataset!$AH:$AH,"bono corporativo",Dataset!$T:$T,"UF",Dataset!$AC:$AC,"&lt;&gt;*AA*")</f>
        <v>0</v>
      </c>
      <c r="U34" s="42">
        <f>SUMIFS(Dataset!$AJ:$AJ,Dataset!$F:$F,Resumen!U$8,Dataset!$J:$J,"&gt;="&amp;$AC34,Dataset!$J:$J,"&lt;"&amp;$AD34,Dataset!$AH:$AH,"bono corporativo",Dataset!$T:$T,"UF",Dataset!$AC:$AC,"&lt;&gt;*AA*")</f>
        <v>0</v>
      </c>
      <c r="V34" s="43">
        <f>SUMIFS(Dataset!$AA:$AA,Dataset!$F:$F,Resumen!U$8,Dataset!$J:$J,"&gt;="&amp;$AC34,Dataset!$J:$J,"&lt;"&amp;$AD34,Dataset!$AH:$AH,"bono corporativo",Dataset!$T:$T,"UF",Dataset!$AC:$AC,"&lt;&gt;*AA*")</f>
        <v>0</v>
      </c>
      <c r="W34" s="42">
        <f>SUMIFS(Dataset!$AJ:$AJ,Dataset!$F:$F,Resumen!W$8,Dataset!$J:$J,"&gt;="&amp;$AC34,Dataset!$J:$J,"&lt;"&amp;$AD34,Dataset!$AH:$AH,"bono corporativo",Dataset!$T:$T,"UF",Dataset!$AC:$AC,"&lt;&gt;*AA*")</f>
        <v>0</v>
      </c>
      <c r="X34" s="43">
        <f>SUMIFS(Dataset!$AA:$AA,Dataset!$F:$F,Resumen!W$8,Dataset!$J:$J,"&gt;="&amp;$AC34,Dataset!$J:$J,"&lt;"&amp;$AD34,Dataset!$AH:$AH,"bono corporativo",Dataset!$T:$T,"UF",Dataset!$AC:$AC,"&lt;&gt;*AA*")</f>
        <v>0</v>
      </c>
      <c r="Y34" s="42">
        <f>SUMIFS(Dataset!$AJ:$AJ,Dataset!$F:$F,Resumen!Y$8,Dataset!$J:$J,"&gt;="&amp;$AC34,Dataset!$J:$J,"&lt;"&amp;$AD34,Dataset!$AH:$AH,"bono corporativo",Dataset!$T:$T,"UF",Dataset!$AC:$AC,"&lt;&gt;*AA*")</f>
        <v>0</v>
      </c>
      <c r="Z34" s="43">
        <f>SUMIFS(Dataset!$AA:$AA,Dataset!$F:$F,Resumen!Y$8,Dataset!$J:$J,"&gt;="&amp;$AC34,Dataset!$J:$J,"&lt;"&amp;$AD34,Dataset!$AH:$AH,"bono corporativo",Dataset!$T:$T,"UF",Dataset!$AC:$AC,"&lt;&gt;*AA*")</f>
        <v>0</v>
      </c>
      <c r="AA34" s="42">
        <f>SUMIFS(Dataset!$AJ:$AJ,Dataset!$F:$F,Resumen!AA$8,Dataset!$J:$J,"&gt;="&amp;$AC34,Dataset!$J:$J,"&lt;"&amp;$AD34,Dataset!$AH:$AH,"bono corporativo",Dataset!$T:$T,"UF",Dataset!$AC:$AC,"&lt;&gt;*AA*")</f>
        <v>6.153514180388453E-3</v>
      </c>
      <c r="AB34" s="43">
        <f>SUMIFS(Dataset!$AA:$AA,Dataset!$F:$F,Resumen!AA$8,Dataset!$J:$J,"&gt;="&amp;$AC34,Dataset!$J:$J,"&lt;"&amp;$AD34,Dataset!$AH:$AH,"bono corporativo",Dataset!$T:$T,"UF",Dataset!$AC:$AC,"&lt;&gt;*AA*")</f>
        <v>2.2885052622240486E-3</v>
      </c>
      <c r="AC34" s="31">
        <v>0</v>
      </c>
      <c r="AD34" s="31">
        <v>3</v>
      </c>
    </row>
    <row r="35" spans="2:30" ht="30" customHeight="1" x14ac:dyDescent="0.25">
      <c r="B35" s="207"/>
      <c r="C35" s="206"/>
      <c r="D35" s="51" t="s">
        <v>124</v>
      </c>
      <c r="E35" s="38">
        <f>SUMIFS(Dataset!$AJ:$AJ,Dataset!$F:$F,Resumen!E$8,Dataset!$J:$J,"&gt;="&amp;$AC35,Dataset!$J:$J,"&lt;"&amp;$AD35,Dataset!$AH:$AH,"bono corporativo",Dataset!$T:$T,"UF",Dataset!$AC:$AC,"&lt;&gt;*AA*")</f>
        <v>1.5884906519463164E-2</v>
      </c>
      <c r="F35" s="39">
        <f>SUMIFS(Dataset!$AA:$AA,Dataset!$F:$F,Resumen!E$8,Dataset!$J:$J,"&gt;="&amp;$AC35,Dataset!$J:$J,"&lt;"&amp;$AD35,Dataset!$AH:$AH,"bono corporativo",Dataset!$T:$T,"UF",Dataset!$AC:$AC,"&lt;&gt;*AA*")</f>
        <v>-5.8865898147550583E-2</v>
      </c>
      <c r="G35" s="38">
        <f>SUMIFS(Dataset!$AJ:$AJ,Dataset!$F:$F,Resumen!G$8,Dataset!$J:$J,"&gt;="&amp;$AC35,Dataset!$J:$J,"&lt;"&amp;$AD35,Dataset!$AH:$AH,"bono corporativo",Dataset!$T:$T,"UF",Dataset!$AC:$AC,"&lt;&gt;*AA*")</f>
        <v>5.5256014282553466E-2</v>
      </c>
      <c r="H35" s="39">
        <f>SUMIFS(Dataset!$AA:$AA,Dataset!$F:$F,Resumen!G$8,Dataset!$J:$J,"&gt;="&amp;$AC35,Dataset!$J:$J,"&lt;"&amp;$AD35,Dataset!$AH:$AH,"bono corporativo",Dataset!$T:$T,"UF",Dataset!$AC:$AC,"&lt;&gt;*AA*")</f>
        <v>2.3822731046653587E-2</v>
      </c>
      <c r="I35" s="38">
        <f>SUMIFS(Dataset!$AJ:$AJ,Dataset!$F:$F,Resumen!I$8,Dataset!$J:$J,"&gt;="&amp;$AC35,Dataset!$J:$J,"&lt;"&amp;$AD35,Dataset!$AH:$AH,"bono corporativo",Dataset!$T:$T,"UF",Dataset!$AC:$AC,"&lt;&gt;*AA*")</f>
        <v>0</v>
      </c>
      <c r="J35" s="39">
        <f>SUMIFS(Dataset!$AA:$AA,Dataset!$F:$F,Resumen!I$8,Dataset!$J:$J,"&gt;="&amp;$AC35,Dataset!$J:$J,"&lt;"&amp;$AD35,Dataset!$AH:$AH,"bono corporativo",Dataset!$T:$T,"UF",Dataset!$AC:$AC,"&lt;&gt;*AA*")</f>
        <v>0</v>
      </c>
      <c r="K35" s="38">
        <f>SUMIFS(Dataset!$AJ:$AJ,Dataset!$F:$F,Resumen!K$8,Dataset!$J:$J,"&gt;="&amp;$AC35,Dataset!$J:$J,"&lt;"&amp;$AD35,Dataset!$AH:$AH,"bono corporativo",Dataset!$T:$T,"UF",Dataset!$AC:$AC,"&lt;&gt;*AA*")</f>
        <v>3.5763943953603557E-2</v>
      </c>
      <c r="L35" s="39">
        <f>SUMIFS(Dataset!$AA:$AA,Dataset!$F:$F,Resumen!K$8,Dataset!$J:$J,"&gt;="&amp;$AC35,Dataset!$J:$J,"&lt;"&amp;$AD35,Dataset!$AH:$AH,"bono corporativo",Dataset!$T:$T,"UF",Dataset!$AC:$AC,"&lt;&gt;*AA*")</f>
        <v>2.5554720167846823E-2</v>
      </c>
      <c r="M35" s="38">
        <f>SUMIFS(Dataset!$AJ:$AJ,Dataset!$F:$F,Resumen!M$8,Dataset!$J:$J,"&gt;="&amp;$AC35,Dataset!$J:$J,"&lt;"&amp;$AD35,Dataset!$AH:$AH,"bono corporativo",Dataset!$T:$T,"UF",Dataset!$AC:$AC,"&lt;&gt;*AA*")</f>
        <v>-0.11021921183471702</v>
      </c>
      <c r="N35" s="39">
        <f>SUMIFS(Dataset!$AA:$AA,Dataset!$F:$F,Resumen!M$8,Dataset!$J:$J,"&gt;="&amp;$AC35,Dataset!$J:$J,"&lt;"&amp;$AD35,Dataset!$AH:$AH,"bono corporativo",Dataset!$T:$T,"UF",Dataset!$AC:$AC,"&lt;&gt;*AA*")</f>
        <v>1.1218072628579661E-2</v>
      </c>
      <c r="O35" s="38">
        <f>SUMIFS(Dataset!$AJ:$AJ,Dataset!$F:$F,Resumen!O$8,Dataset!$J:$J,"&gt;="&amp;$AC35,Dataset!$J:$J,"&lt;"&amp;$AD35,Dataset!$AH:$AH,"bono corporativo",Dataset!$T:$T,"UF",Dataset!$AC:$AC,"&lt;&gt;*AA*")</f>
        <v>0</v>
      </c>
      <c r="P35" s="39">
        <f>SUMIFS(Dataset!$AA:$AA,Dataset!$F:$F,Resumen!O$8,Dataset!$J:$J,"&gt;="&amp;$AC35,Dataset!$J:$J,"&lt;"&amp;$AD35,Dataset!$AH:$AH,"bono corporativo",Dataset!$T:$T,"UF",Dataset!$AC:$AC,"&lt;&gt;*AA*")</f>
        <v>0</v>
      </c>
      <c r="Q35" s="38">
        <f>SUMIFS(Dataset!$AJ:$AJ,Dataset!$F:$F,Resumen!Q$8,Dataset!$J:$J,"&gt;="&amp;$AC35,Dataset!$J:$J,"&lt;"&amp;$AD35,Dataset!$AH:$AH,"bono corporativo",Dataset!$T:$T,"UF",Dataset!$AC:$AC,"&lt;&gt;*AA*")</f>
        <v>0</v>
      </c>
      <c r="R35" s="39">
        <f>SUMIFS(Dataset!$AA:$AA,Dataset!$F:$F,Resumen!Q$8,Dataset!$J:$J,"&gt;="&amp;$AC35,Dataset!$J:$J,"&lt;"&amp;$AD35,Dataset!$AH:$AH,"bono corporativo",Dataset!$T:$T,"UF",Dataset!$AC:$AC,"&lt;&gt;*AA*")</f>
        <v>0</v>
      </c>
      <c r="S35" s="38">
        <f>SUMIFS(Dataset!$AJ:$AJ,Dataset!$F:$F,Resumen!S$8,Dataset!$J:$J,"&gt;="&amp;$AC35,Dataset!$J:$J,"&lt;"&amp;$AD35,Dataset!$AH:$AH,"bono corporativo",Dataset!$T:$T,"UF",Dataset!$AC:$AC,"&lt;&gt;*AA*")</f>
        <v>0</v>
      </c>
      <c r="T35" s="39">
        <f>SUMIFS(Dataset!$AA:$AA,Dataset!$F:$F,Resumen!S$8,Dataset!$J:$J,"&gt;="&amp;$AC35,Dataset!$J:$J,"&lt;"&amp;$AD35,Dataset!$AH:$AH,"bono corporativo",Dataset!$T:$T,"UF",Dataset!$AC:$AC,"&lt;&gt;*AA*")</f>
        <v>0</v>
      </c>
      <c r="U35" s="38">
        <f>SUMIFS(Dataset!$AJ:$AJ,Dataset!$F:$F,Resumen!U$8,Dataset!$J:$J,"&gt;="&amp;$AC35,Dataset!$J:$J,"&lt;"&amp;$AD35,Dataset!$AH:$AH,"bono corporativo",Dataset!$T:$T,"UF",Dataset!$AC:$AC,"&lt;&gt;*AA*")</f>
        <v>0</v>
      </c>
      <c r="V35" s="39">
        <f>SUMIFS(Dataset!$AA:$AA,Dataset!$F:$F,Resumen!U$8,Dataset!$J:$J,"&gt;="&amp;$AC35,Dataset!$J:$J,"&lt;"&amp;$AD35,Dataset!$AH:$AH,"bono corporativo",Dataset!$T:$T,"UF",Dataset!$AC:$AC,"&lt;&gt;*AA*")</f>
        <v>0</v>
      </c>
      <c r="W35" s="38">
        <f>SUMIFS(Dataset!$AJ:$AJ,Dataset!$F:$F,Resumen!W$8,Dataset!$J:$J,"&gt;="&amp;$AC35,Dataset!$J:$J,"&lt;"&amp;$AD35,Dataset!$AH:$AH,"bono corporativo",Dataset!$T:$T,"UF",Dataset!$AC:$AC,"&lt;&gt;*AA*")</f>
        <v>0</v>
      </c>
      <c r="X35" s="39">
        <f>SUMIFS(Dataset!$AA:$AA,Dataset!$F:$F,Resumen!W$8,Dataset!$J:$J,"&gt;="&amp;$AC35,Dataset!$J:$J,"&lt;"&amp;$AD35,Dataset!$AH:$AH,"bono corporativo",Dataset!$T:$T,"UF",Dataset!$AC:$AC,"&lt;&gt;*AA*")</f>
        <v>0</v>
      </c>
      <c r="Y35" s="38">
        <f>SUMIFS(Dataset!$AJ:$AJ,Dataset!$F:$F,Resumen!Y$8,Dataset!$J:$J,"&gt;="&amp;$AC35,Dataset!$J:$J,"&lt;"&amp;$AD35,Dataset!$AH:$AH,"bono corporativo",Dataset!$T:$T,"UF",Dataset!$AC:$AC,"&lt;&gt;*AA*")</f>
        <v>0</v>
      </c>
      <c r="Z35" s="39">
        <f>SUMIFS(Dataset!$AA:$AA,Dataset!$F:$F,Resumen!Y$8,Dataset!$J:$J,"&gt;="&amp;$AC35,Dataset!$J:$J,"&lt;"&amp;$AD35,Dataset!$AH:$AH,"bono corporativo",Dataset!$T:$T,"UF",Dataset!$AC:$AC,"&lt;&gt;*AA*")</f>
        <v>0</v>
      </c>
      <c r="AA35" s="38">
        <f>SUMIFS(Dataset!$AJ:$AJ,Dataset!$F:$F,Resumen!AA$8,Dataset!$J:$J,"&gt;="&amp;$AC35,Dataset!$J:$J,"&lt;"&amp;$AD35,Dataset!$AH:$AH,"bono corporativo",Dataset!$T:$T,"UF",Dataset!$AC:$AC,"&lt;&gt;*AA*")</f>
        <v>0</v>
      </c>
      <c r="AB35" s="39">
        <f>SUMIFS(Dataset!$AA:$AA,Dataset!$F:$F,Resumen!AA$8,Dataset!$J:$J,"&gt;="&amp;$AC35,Dataset!$J:$J,"&lt;"&amp;$AD35,Dataset!$AH:$AH,"bono corporativo",Dataset!$T:$T,"UF",Dataset!$AC:$AC,"&lt;&gt;*AA*")</f>
        <v>0</v>
      </c>
      <c r="AC35" s="31">
        <v>3</v>
      </c>
      <c r="AD35" s="31">
        <v>5</v>
      </c>
    </row>
    <row r="36" spans="2:30" ht="30" customHeight="1" x14ac:dyDescent="0.25">
      <c r="B36" s="207"/>
      <c r="C36" s="206"/>
      <c r="D36" s="51" t="s">
        <v>125</v>
      </c>
      <c r="E36" s="38">
        <f>SUMIFS(Dataset!$AJ:$AJ,Dataset!$F:$F,Resumen!E$8,Dataset!$J:$J,"&gt;="&amp;$AC36,Dataset!$J:$J,"&lt;"&amp;$AD36,Dataset!$AH:$AH,"bono corporativo",Dataset!$T:$T,"UF",Dataset!$AC:$AC,"&lt;&gt;*AA*")</f>
        <v>2.8945942885167077E-2</v>
      </c>
      <c r="F36" s="39">
        <f>SUMIFS(Dataset!$AA:$AA,Dataset!$F:$F,Resumen!E$8,Dataset!$J:$J,"&gt;="&amp;$AC36,Dataset!$J:$J,"&lt;"&amp;$AD36,Dataset!$AH:$AH,"bono corporativo",Dataset!$T:$T,"UF",Dataset!$AC:$AC,"&lt;&gt;*AA*")</f>
        <v>-6.7846792274573325E-2</v>
      </c>
      <c r="G36" s="38">
        <f>SUMIFS(Dataset!$AJ:$AJ,Dataset!$F:$F,Resumen!G$8,Dataset!$J:$J,"&gt;="&amp;$AC36,Dataset!$J:$J,"&lt;"&amp;$AD36,Dataset!$AH:$AH,"bono corporativo",Dataset!$T:$T,"UF",Dataset!$AC:$AC,"&lt;&gt;*AA*")</f>
        <v>8.9772859097401903E-2</v>
      </c>
      <c r="H36" s="39">
        <f>SUMIFS(Dataset!$AA:$AA,Dataset!$F:$F,Resumen!G$8,Dataset!$J:$J,"&gt;="&amp;$AC36,Dataset!$J:$J,"&lt;"&amp;$AD36,Dataset!$AH:$AH,"bono corporativo",Dataset!$T:$T,"UF",Dataset!$AC:$AC,"&lt;&gt;*AA*")</f>
        <v>5.6118589843444748E-2</v>
      </c>
      <c r="I36" s="38">
        <f>SUMIFS(Dataset!$AJ:$AJ,Dataset!$F:$F,Resumen!I$8,Dataset!$J:$J,"&gt;="&amp;$AC36,Dataset!$J:$J,"&lt;"&amp;$AD36,Dataset!$AH:$AH,"bono corporativo",Dataset!$T:$T,"UF",Dataset!$AC:$AC,"&lt;&gt;*AA*")</f>
        <v>0</v>
      </c>
      <c r="J36" s="39">
        <f>SUMIFS(Dataset!$AA:$AA,Dataset!$F:$F,Resumen!I$8,Dataset!$J:$J,"&gt;="&amp;$AC36,Dataset!$J:$J,"&lt;"&amp;$AD36,Dataset!$AH:$AH,"bono corporativo",Dataset!$T:$T,"UF",Dataset!$AC:$AC,"&lt;&gt;*AA*")</f>
        <v>0</v>
      </c>
      <c r="K36" s="38">
        <f>SUMIFS(Dataset!$AJ:$AJ,Dataset!$F:$F,Resumen!K$8,Dataset!$J:$J,"&gt;="&amp;$AC36,Dataset!$J:$J,"&lt;"&amp;$AD36,Dataset!$AH:$AH,"bono corporativo",Dataset!$T:$T,"UF",Dataset!$AC:$AC,"&lt;&gt;*AA*")</f>
        <v>4.6247188490616785E-2</v>
      </c>
      <c r="L36" s="39">
        <f>SUMIFS(Dataset!$AA:$AA,Dataset!$F:$F,Resumen!K$8,Dataset!$J:$J,"&gt;="&amp;$AC36,Dataset!$J:$J,"&lt;"&amp;$AD36,Dataset!$AH:$AH,"bono corporativo",Dataset!$T:$T,"UF",Dataset!$AC:$AC,"&lt;&gt;*AA*")</f>
        <v>3.4274622573349574E-2</v>
      </c>
      <c r="M36" s="38">
        <f>SUMIFS(Dataset!$AJ:$AJ,Dataset!$F:$F,Resumen!M$8,Dataset!$J:$J,"&gt;="&amp;$AC36,Dataset!$J:$J,"&lt;"&amp;$AD36,Dataset!$AH:$AH,"bono corporativo",Dataset!$T:$T,"UF",Dataset!$AC:$AC,"&lt;&gt;*AA*")</f>
        <v>-0.13841617623572655</v>
      </c>
      <c r="N36" s="39">
        <f>SUMIFS(Dataset!$AA:$AA,Dataset!$F:$F,Resumen!M$8,Dataset!$J:$J,"&gt;="&amp;$AC36,Dataset!$J:$J,"&lt;"&amp;$AD36,Dataset!$AH:$AH,"bono corporativo",Dataset!$T:$T,"UF",Dataset!$AC:$AC,"&lt;&gt;*AA*")</f>
        <v>0.69426190448973524</v>
      </c>
      <c r="O36" s="38">
        <f>SUMIFS(Dataset!$AJ:$AJ,Dataset!$F:$F,Resumen!O$8,Dataset!$J:$J,"&gt;="&amp;$AC36,Dataset!$J:$J,"&lt;"&amp;$AD36,Dataset!$AH:$AH,"bono corporativo",Dataset!$T:$T,"UF",Dataset!$AC:$AC,"&lt;&gt;*AA*")</f>
        <v>0</v>
      </c>
      <c r="P36" s="39">
        <f>SUMIFS(Dataset!$AA:$AA,Dataset!$F:$F,Resumen!O$8,Dataset!$J:$J,"&gt;="&amp;$AC36,Dataset!$J:$J,"&lt;"&amp;$AD36,Dataset!$AH:$AH,"bono corporativo",Dataset!$T:$T,"UF",Dataset!$AC:$AC,"&lt;&gt;*AA*")</f>
        <v>0</v>
      </c>
      <c r="Q36" s="38">
        <f>SUMIFS(Dataset!$AJ:$AJ,Dataset!$F:$F,Resumen!Q$8,Dataset!$J:$J,"&gt;="&amp;$AC36,Dataset!$J:$J,"&lt;"&amp;$AD36,Dataset!$AH:$AH,"bono corporativo",Dataset!$T:$T,"UF",Dataset!$AC:$AC,"&lt;&gt;*AA*")</f>
        <v>0</v>
      </c>
      <c r="R36" s="39">
        <f>SUMIFS(Dataset!$AA:$AA,Dataset!$F:$F,Resumen!Q$8,Dataset!$J:$J,"&gt;="&amp;$AC36,Dataset!$J:$J,"&lt;"&amp;$AD36,Dataset!$AH:$AH,"bono corporativo",Dataset!$T:$T,"UF",Dataset!$AC:$AC,"&lt;&gt;*AA*")</f>
        <v>0</v>
      </c>
      <c r="S36" s="38">
        <f>SUMIFS(Dataset!$AJ:$AJ,Dataset!$F:$F,Resumen!S$8,Dataset!$J:$J,"&gt;="&amp;$AC36,Dataset!$J:$J,"&lt;"&amp;$AD36,Dataset!$AH:$AH,"bono corporativo",Dataset!$T:$T,"UF",Dataset!$AC:$AC,"&lt;&gt;*AA*")</f>
        <v>0</v>
      </c>
      <c r="T36" s="39">
        <f>SUMIFS(Dataset!$AA:$AA,Dataset!$F:$F,Resumen!S$8,Dataset!$J:$J,"&gt;="&amp;$AC36,Dataset!$J:$J,"&lt;"&amp;$AD36,Dataset!$AH:$AH,"bono corporativo",Dataset!$T:$T,"UF",Dataset!$AC:$AC,"&lt;&gt;*AA*")</f>
        <v>0</v>
      </c>
      <c r="U36" s="38">
        <f>SUMIFS(Dataset!$AJ:$AJ,Dataset!$F:$F,Resumen!U$8,Dataset!$J:$J,"&gt;="&amp;$AC36,Dataset!$J:$J,"&lt;"&amp;$AD36,Dataset!$AH:$AH,"bono corporativo",Dataset!$T:$T,"UF",Dataset!$AC:$AC,"&lt;&gt;*AA*")</f>
        <v>0</v>
      </c>
      <c r="V36" s="39">
        <f>SUMIFS(Dataset!$AA:$AA,Dataset!$F:$F,Resumen!U$8,Dataset!$J:$J,"&gt;="&amp;$AC36,Dataset!$J:$J,"&lt;"&amp;$AD36,Dataset!$AH:$AH,"bono corporativo",Dataset!$T:$T,"UF",Dataset!$AC:$AC,"&lt;&gt;*AA*")</f>
        <v>0</v>
      </c>
      <c r="W36" s="38">
        <f>SUMIFS(Dataset!$AJ:$AJ,Dataset!$F:$F,Resumen!W$8,Dataset!$J:$J,"&gt;="&amp;$AC36,Dataset!$J:$J,"&lt;"&amp;$AD36,Dataset!$AH:$AH,"bono corporativo",Dataset!$T:$T,"UF",Dataset!$AC:$AC,"&lt;&gt;*AA*")</f>
        <v>0</v>
      </c>
      <c r="X36" s="39">
        <f>SUMIFS(Dataset!$AA:$AA,Dataset!$F:$F,Resumen!W$8,Dataset!$J:$J,"&gt;="&amp;$AC36,Dataset!$J:$J,"&lt;"&amp;$AD36,Dataset!$AH:$AH,"bono corporativo",Dataset!$T:$T,"UF",Dataset!$AC:$AC,"&lt;&gt;*AA*")</f>
        <v>0</v>
      </c>
      <c r="Y36" s="38">
        <f>SUMIFS(Dataset!$AJ:$AJ,Dataset!$F:$F,Resumen!Y$8,Dataset!$J:$J,"&gt;="&amp;$AC36,Dataset!$J:$J,"&lt;"&amp;$AD36,Dataset!$AH:$AH,"bono corporativo",Dataset!$T:$T,"UF",Dataset!$AC:$AC,"&lt;&gt;*AA*")</f>
        <v>0</v>
      </c>
      <c r="Z36" s="39">
        <f>SUMIFS(Dataset!$AA:$AA,Dataset!$F:$F,Resumen!Y$8,Dataset!$J:$J,"&gt;="&amp;$AC36,Dataset!$J:$J,"&lt;"&amp;$AD36,Dataset!$AH:$AH,"bono corporativo",Dataset!$T:$T,"UF",Dataset!$AC:$AC,"&lt;&gt;*AA*")</f>
        <v>0</v>
      </c>
      <c r="AA36" s="38">
        <f>SUMIFS(Dataset!$AJ:$AJ,Dataset!$F:$F,Resumen!AA$8,Dataset!$J:$J,"&gt;="&amp;$AC36,Dataset!$J:$J,"&lt;"&amp;$AD36,Dataset!$AH:$AH,"bono corporativo",Dataset!$T:$T,"UF",Dataset!$AC:$AC,"&lt;&gt;*AA*")</f>
        <v>0</v>
      </c>
      <c r="AB36" s="39">
        <f>SUMIFS(Dataset!$AA:$AA,Dataset!$F:$F,Resumen!AA$8,Dataset!$J:$J,"&gt;="&amp;$AC36,Dataset!$J:$J,"&lt;"&amp;$AD36,Dataset!$AH:$AH,"bono corporativo",Dataset!$T:$T,"UF",Dataset!$AC:$AC,"&lt;&gt;*AA*")</f>
        <v>0</v>
      </c>
      <c r="AC36" s="31">
        <v>5</v>
      </c>
      <c r="AD36" s="31">
        <v>10</v>
      </c>
    </row>
    <row r="37" spans="2:30" ht="30" customHeight="1" x14ac:dyDescent="0.25">
      <c r="B37" s="207"/>
      <c r="C37" s="206"/>
      <c r="D37" s="51" t="s">
        <v>126</v>
      </c>
      <c r="E37" s="40">
        <f>SUMIFS(Dataset!$AJ:$AJ,Dataset!$F:$F,Resumen!E$8,Dataset!$J:$J,"&gt;="&amp;$AC37,Dataset!$J:$J,"&lt;"&amp;$AD37,Dataset!$AH:$AH,"bono corporativo",Dataset!$T:$T,"UF",Dataset!$AC:$AC,"&lt;&gt;*AA*")</f>
        <v>0</v>
      </c>
      <c r="F37" s="41">
        <f>SUMIFS(Dataset!$AA:$AA,Dataset!$F:$F,Resumen!E$8,Dataset!$J:$J,"&gt;="&amp;$AC37,Dataset!$J:$J,"&lt;"&amp;$AD37,Dataset!$AH:$AH,"bono corporativo",Dataset!$T:$T,"UF",Dataset!$AC:$AC,"&lt;&gt;*AA*")</f>
        <v>0</v>
      </c>
      <c r="G37" s="40">
        <f>SUMIFS(Dataset!$AJ:$AJ,Dataset!$F:$F,Resumen!G$8,Dataset!$J:$J,"&gt;="&amp;$AC37,Dataset!$J:$J,"&lt;"&amp;$AD37,Dataset!$AH:$AH,"bono corporativo",Dataset!$T:$T,"UF",Dataset!$AC:$AC,"&lt;&gt;*AA*")</f>
        <v>6.115397731605212E-2</v>
      </c>
      <c r="H37" s="41">
        <f>SUMIFS(Dataset!$AA:$AA,Dataset!$F:$F,Resumen!G$8,Dataset!$J:$J,"&gt;="&amp;$AC37,Dataset!$J:$J,"&lt;"&amp;$AD37,Dataset!$AH:$AH,"bono corporativo",Dataset!$T:$T,"UF",Dataset!$AC:$AC,"&lt;&gt;*AA*")</f>
        <v>7.6032239239754051E-2</v>
      </c>
      <c r="I37" s="40">
        <f>SUMIFS(Dataset!$AJ:$AJ,Dataset!$F:$F,Resumen!I$8,Dataset!$J:$J,"&gt;="&amp;$AC37,Dataset!$J:$J,"&lt;"&amp;$AD37,Dataset!$AH:$AH,"bono corporativo",Dataset!$T:$T,"UF",Dataset!$AC:$AC,"&lt;&gt;*AA*")</f>
        <v>0</v>
      </c>
      <c r="J37" s="41">
        <f>SUMIFS(Dataset!$AA:$AA,Dataset!$F:$F,Resumen!I$8,Dataset!$J:$J,"&gt;="&amp;$AC37,Dataset!$J:$J,"&lt;"&amp;$AD37,Dataset!$AH:$AH,"bono corporativo",Dataset!$T:$T,"UF",Dataset!$AC:$AC,"&lt;&gt;*AA*")</f>
        <v>0</v>
      </c>
      <c r="K37" s="40">
        <f>SUMIFS(Dataset!$AJ:$AJ,Dataset!$F:$F,Resumen!K$8,Dataset!$J:$J,"&gt;="&amp;$AC37,Dataset!$J:$J,"&lt;"&amp;$AD37,Dataset!$AH:$AH,"bono corporativo",Dataset!$T:$T,"UF",Dataset!$AC:$AC,"&lt;&gt;*AA*")</f>
        <v>2.1573692906045834E-2</v>
      </c>
      <c r="L37" s="41">
        <f>SUMIFS(Dataset!$AA:$AA,Dataset!$F:$F,Resumen!K$8,Dataset!$J:$J,"&gt;="&amp;$AC37,Dataset!$J:$J,"&lt;"&amp;$AD37,Dataset!$AH:$AH,"bono corporativo",Dataset!$T:$T,"UF",Dataset!$AC:$AC,"&lt;&gt;*AA*")</f>
        <v>3.8805309236972965E-2</v>
      </c>
      <c r="M37" s="40">
        <f>SUMIFS(Dataset!$AJ:$AJ,Dataset!$F:$F,Resumen!M$8,Dataset!$J:$J,"&gt;="&amp;$AC37,Dataset!$J:$J,"&lt;"&amp;$AD37,Dataset!$AH:$AH,"bono corporativo",Dataset!$T:$T,"UF",Dataset!$AC:$AC,"&lt;&gt;*AA*")</f>
        <v>-9.6694770096091467E-2</v>
      </c>
      <c r="N37" s="41">
        <f>SUMIFS(Dataset!$AA:$AA,Dataset!$F:$F,Resumen!M$8,Dataset!$J:$J,"&gt;="&amp;$AC37,Dataset!$J:$J,"&lt;"&amp;$AD37,Dataset!$AH:$AH,"bono corporativo",Dataset!$T:$T,"UF",Dataset!$AC:$AC,"&lt;&gt;*AA*")</f>
        <v>-8.2605756269036296E-2</v>
      </c>
      <c r="O37" s="40">
        <f>SUMIFS(Dataset!$AJ:$AJ,Dataset!$F:$F,Resumen!O$8,Dataset!$J:$J,"&gt;="&amp;$AC37,Dataset!$J:$J,"&lt;"&amp;$AD37,Dataset!$AH:$AH,"bono corporativo",Dataset!$T:$T,"UF",Dataset!$AC:$AC,"&lt;&gt;*AA*")</f>
        <v>0</v>
      </c>
      <c r="P37" s="41">
        <f>SUMIFS(Dataset!$AA:$AA,Dataset!$F:$F,Resumen!O$8,Dataset!$J:$J,"&gt;="&amp;$AC37,Dataset!$J:$J,"&lt;"&amp;$AD37,Dataset!$AH:$AH,"bono corporativo",Dataset!$T:$T,"UF",Dataset!$AC:$AC,"&lt;&gt;*AA*")</f>
        <v>0</v>
      </c>
      <c r="Q37" s="40">
        <f>SUMIFS(Dataset!$AJ:$AJ,Dataset!$F:$F,Resumen!Q$8,Dataset!$J:$J,"&gt;="&amp;$AC37,Dataset!$J:$J,"&lt;"&amp;$AD37,Dataset!$AH:$AH,"bono corporativo",Dataset!$T:$T,"UF",Dataset!$AC:$AC,"&lt;&gt;*AA*")</f>
        <v>0</v>
      </c>
      <c r="R37" s="41">
        <f>SUMIFS(Dataset!$AA:$AA,Dataset!$F:$F,Resumen!Q$8,Dataset!$J:$J,"&gt;="&amp;$AC37,Dataset!$J:$J,"&lt;"&amp;$AD37,Dataset!$AH:$AH,"bono corporativo",Dataset!$T:$T,"UF",Dataset!$AC:$AC,"&lt;&gt;*AA*")</f>
        <v>0</v>
      </c>
      <c r="S37" s="40">
        <f>SUMIFS(Dataset!$AJ:$AJ,Dataset!$F:$F,Resumen!S$8,Dataset!$J:$J,"&gt;="&amp;$AC37,Dataset!$J:$J,"&lt;"&amp;$AD37,Dataset!$AH:$AH,"bono corporativo",Dataset!$T:$T,"UF",Dataset!$AC:$AC,"&lt;&gt;*AA*")</f>
        <v>0</v>
      </c>
      <c r="T37" s="41">
        <f>SUMIFS(Dataset!$AA:$AA,Dataset!$F:$F,Resumen!S$8,Dataset!$J:$J,"&gt;="&amp;$AC37,Dataset!$J:$J,"&lt;"&amp;$AD37,Dataset!$AH:$AH,"bono corporativo",Dataset!$T:$T,"UF",Dataset!$AC:$AC,"&lt;&gt;*AA*")</f>
        <v>0</v>
      </c>
      <c r="U37" s="40">
        <f>SUMIFS(Dataset!$AJ:$AJ,Dataset!$F:$F,Resumen!U$8,Dataset!$J:$J,"&gt;="&amp;$AC37,Dataset!$J:$J,"&lt;"&amp;$AD37,Dataset!$AH:$AH,"bono corporativo",Dataset!$T:$T,"UF",Dataset!$AC:$AC,"&lt;&gt;*AA*")</f>
        <v>0</v>
      </c>
      <c r="V37" s="41">
        <f>SUMIFS(Dataset!$AA:$AA,Dataset!$F:$F,Resumen!U$8,Dataset!$J:$J,"&gt;="&amp;$AC37,Dataset!$J:$J,"&lt;"&amp;$AD37,Dataset!$AH:$AH,"bono corporativo",Dataset!$T:$T,"UF",Dataset!$AC:$AC,"&lt;&gt;*AA*")</f>
        <v>0</v>
      </c>
      <c r="W37" s="40">
        <f>SUMIFS(Dataset!$AJ:$AJ,Dataset!$F:$F,Resumen!W$8,Dataset!$J:$J,"&gt;="&amp;$AC37,Dataset!$J:$J,"&lt;"&amp;$AD37,Dataset!$AH:$AH,"bono corporativo",Dataset!$T:$T,"UF",Dataset!$AC:$AC,"&lt;&gt;*AA*")</f>
        <v>0</v>
      </c>
      <c r="X37" s="41">
        <f>SUMIFS(Dataset!$AA:$AA,Dataset!$F:$F,Resumen!W$8,Dataset!$J:$J,"&gt;="&amp;$AC37,Dataset!$J:$J,"&lt;"&amp;$AD37,Dataset!$AH:$AH,"bono corporativo",Dataset!$T:$T,"UF",Dataset!$AC:$AC,"&lt;&gt;*AA*")</f>
        <v>0</v>
      </c>
      <c r="Y37" s="40">
        <f>SUMIFS(Dataset!$AJ:$AJ,Dataset!$F:$F,Resumen!Y$8,Dataset!$J:$J,"&gt;="&amp;$AC37,Dataset!$J:$J,"&lt;"&amp;$AD37,Dataset!$AH:$AH,"bono corporativo",Dataset!$T:$T,"UF",Dataset!$AC:$AC,"&lt;&gt;*AA*")</f>
        <v>0</v>
      </c>
      <c r="Z37" s="41">
        <f>SUMIFS(Dataset!$AA:$AA,Dataset!$F:$F,Resumen!Y$8,Dataset!$J:$J,"&gt;="&amp;$AC37,Dataset!$J:$J,"&lt;"&amp;$AD37,Dataset!$AH:$AH,"bono corporativo",Dataset!$T:$T,"UF",Dataset!$AC:$AC,"&lt;&gt;*AA*")</f>
        <v>0</v>
      </c>
      <c r="AA37" s="40">
        <f>SUMIFS(Dataset!$AJ:$AJ,Dataset!$F:$F,Resumen!AA$8,Dataset!$J:$J,"&gt;="&amp;$AC37,Dataset!$J:$J,"&lt;"&amp;$AD37,Dataset!$AH:$AH,"bono corporativo",Dataset!$T:$T,"UF",Dataset!$AC:$AC,"&lt;&gt;*AA*")</f>
        <v>0</v>
      </c>
      <c r="AB37" s="41">
        <f>SUMIFS(Dataset!$AA:$AA,Dataset!$F:$F,Resumen!AA$8,Dataset!$J:$J,"&gt;="&amp;$AC37,Dataset!$J:$J,"&lt;"&amp;$AD37,Dataset!$AH:$AH,"bono corporativo",Dataset!$T:$T,"UF",Dataset!$AC:$AC,"&lt;&gt;*AA*")</f>
        <v>0</v>
      </c>
      <c r="AC37" s="31">
        <v>10</v>
      </c>
      <c r="AD37" s="31">
        <v>100</v>
      </c>
    </row>
    <row r="38" spans="2:30" ht="30" customHeight="1" x14ac:dyDescent="0.25">
      <c r="B38" s="207" t="s">
        <v>131</v>
      </c>
      <c r="C38" s="206" t="s">
        <v>129</v>
      </c>
      <c r="D38" s="51" t="s">
        <v>123</v>
      </c>
      <c r="E38" s="36">
        <f>SUMIFS(Dataset!$AJ:$AJ,Dataset!$F:$F,Resumen!E$8,Dataset!$J:$J,"&gt;="&amp;$AC38,Dataset!$J:$J,"&lt;"&amp;$AD38,Dataset!$AH:$AH,"bono corporativo",Dataset!$T:$T,"&lt;&gt;UF",Dataset!$T:$T,"&lt;&gt;$",Dataset!$AC:$AC,"*AA*")</f>
        <v>0</v>
      </c>
      <c r="F38" s="37">
        <f>SUMIFS(Dataset!$AA:$AA,Dataset!$F:$F,Resumen!E$8,Dataset!$J:$J,"&gt;="&amp;$AC38,Dataset!$J:$J,"&lt;"&amp;$AD38,Dataset!$AH:$AH,"bono corporativo",Dataset!$T:$T,"&lt;&gt;UF",Dataset!$T:$T,"&lt;&gt;$",Dataset!$AC:$AC,"*AA*")</f>
        <v>0</v>
      </c>
      <c r="G38" s="36">
        <f>SUMIFS(Dataset!$AJ:$AJ,Dataset!$F:$F,Resumen!G$8,Dataset!$J:$J,"&gt;="&amp;$AC38,Dataset!$J:$J,"&lt;"&amp;$AD38,Dataset!$AH:$AH,"bono corporativo",Dataset!$T:$T,"&lt;&gt;UF",Dataset!$T:$T,"&lt;&gt;$",Dataset!$AC:$AC,"*AA*")</f>
        <v>7.9722677636864423E-4</v>
      </c>
      <c r="H38" s="37">
        <f>SUMIFS(Dataset!$AA:$AA,Dataset!$F:$F,Resumen!G$8,Dataset!$J:$J,"&gt;="&amp;$AC38,Dataset!$J:$J,"&lt;"&amp;$AD38,Dataset!$AH:$AH,"bono corporativo",Dataset!$T:$T,"&lt;&gt;UF",Dataset!$T:$T,"&lt;&gt;$",Dataset!$AC:$AC,"*AA*")</f>
        <v>6.372406672540997E-4</v>
      </c>
      <c r="I38" s="36">
        <f>SUMIFS(Dataset!$AJ:$AJ,Dataset!$F:$F,Resumen!I$8,Dataset!$J:$J,"&gt;="&amp;$AC38,Dataset!$J:$J,"&lt;"&amp;$AD38,Dataset!$AH:$AH,"bono corporativo",Dataset!$T:$T,"&lt;&gt;UF",Dataset!$T:$T,"&lt;&gt;$",Dataset!$AC:$AC,"*AA*")</f>
        <v>5.4094283379169531E-3</v>
      </c>
      <c r="J38" s="37">
        <f>SUMIFS(Dataset!$AA:$AA,Dataset!$F:$F,Resumen!I$8,Dataset!$J:$J,"&gt;="&amp;$AC38,Dataset!$J:$J,"&lt;"&amp;$AD38,Dataset!$AH:$AH,"bono corporativo",Dataset!$T:$T,"&lt;&gt;UF",Dataset!$T:$T,"&lt;&gt;$",Dataset!$AC:$AC,"*AA*")</f>
        <v>8.5005324767132152E-4</v>
      </c>
      <c r="K38" s="36">
        <f>SUMIFS(Dataset!$AJ:$AJ,Dataset!$F:$F,Resumen!K$8,Dataset!$J:$J,"&gt;="&amp;$AC38,Dataset!$J:$J,"&lt;"&amp;$AD38,Dataset!$AH:$AH,"bono corporativo",Dataset!$T:$T,"&lt;&gt;UF",Dataset!$T:$T,"&lt;&gt;$",Dataset!$AC:$AC,"*AA*")</f>
        <v>0</v>
      </c>
      <c r="L38" s="37">
        <f>SUMIFS(Dataset!$AA:$AA,Dataset!$F:$F,Resumen!K$8,Dataset!$J:$J,"&gt;="&amp;$AC38,Dataset!$J:$J,"&lt;"&amp;$AD38,Dataset!$AH:$AH,"bono corporativo",Dataset!$T:$T,"&lt;&gt;UF",Dataset!$T:$T,"&lt;&gt;$",Dataset!$AC:$AC,"*AA*")</f>
        <v>0</v>
      </c>
      <c r="M38" s="36">
        <f>SUMIFS(Dataset!$AJ:$AJ,Dataset!$F:$F,Resumen!M$8,Dataset!$J:$J,"&gt;="&amp;$AC38,Dataset!$J:$J,"&lt;"&amp;$AD38,Dataset!$AH:$AH,"bono corporativo",Dataset!$T:$T,"&lt;&gt;UF",Dataset!$T:$T,"&lt;&gt;$",Dataset!$AC:$AC,"*AA*")</f>
        <v>0</v>
      </c>
      <c r="N38" s="37">
        <f>SUMIFS(Dataset!$AA:$AA,Dataset!$F:$F,Resumen!M$8,Dataset!$J:$J,"&gt;="&amp;$AC38,Dataset!$J:$J,"&lt;"&amp;$AD38,Dataset!$AH:$AH,"bono corporativo",Dataset!$T:$T,"&lt;&gt;UF",Dataset!$T:$T,"&lt;&gt;$",Dataset!$AC:$AC,"*AA*")</f>
        <v>0</v>
      </c>
      <c r="O38" s="36">
        <f>SUMIFS(Dataset!$AJ:$AJ,Dataset!$F:$F,Resumen!O$8,Dataset!$J:$J,"&gt;="&amp;$AC38,Dataset!$J:$J,"&lt;"&amp;$AD38,Dataset!$AH:$AH,"bono corporativo",Dataset!$T:$T,"&lt;&gt;UF",Dataset!$T:$T,"&lt;&gt;$",Dataset!$AC:$AC,"*AA*")</f>
        <v>0</v>
      </c>
      <c r="P38" s="37">
        <f>SUMIFS(Dataset!$AA:$AA,Dataset!$F:$F,Resumen!O$8,Dataset!$J:$J,"&gt;="&amp;$AC38,Dataset!$J:$J,"&lt;"&amp;$AD38,Dataset!$AH:$AH,"bono corporativo",Dataset!$T:$T,"&lt;&gt;UF",Dataset!$T:$T,"&lt;&gt;$",Dataset!$AC:$AC,"*AA*")</f>
        <v>0</v>
      </c>
      <c r="Q38" s="36">
        <f>SUMIFS(Dataset!$AJ:$AJ,Dataset!$F:$F,Resumen!Q$8,Dataset!$J:$J,"&gt;="&amp;$AC38,Dataset!$J:$J,"&lt;"&amp;$AD38,Dataset!$AH:$AH,"bono corporativo",Dataset!$T:$T,"&lt;&gt;UF",Dataset!$T:$T,"&lt;&gt;$",Dataset!$AC:$AC,"*AA*")</f>
        <v>0</v>
      </c>
      <c r="R38" s="37">
        <f>SUMIFS(Dataset!$AA:$AA,Dataset!$F:$F,Resumen!Q$8,Dataset!$J:$J,"&gt;="&amp;$AC38,Dataset!$J:$J,"&lt;"&amp;$AD38,Dataset!$AH:$AH,"bono corporativo",Dataset!$T:$T,"&lt;&gt;UF",Dataset!$T:$T,"&lt;&gt;$",Dataset!$AC:$AC,"*AA*")</f>
        <v>0</v>
      </c>
      <c r="S38" s="36">
        <f>SUMIFS(Dataset!$AJ:$AJ,Dataset!$F:$F,Resumen!S$8,Dataset!$J:$J,"&gt;="&amp;$AC38,Dataset!$J:$J,"&lt;"&amp;$AD38,Dataset!$AH:$AH,"bono corporativo",Dataset!$T:$T,"&lt;&gt;UF",Dataset!$T:$T,"&lt;&gt;$",Dataset!$AC:$AC,"*AA*")</f>
        <v>2.6139373988524887E-2</v>
      </c>
      <c r="T38" s="37">
        <f>SUMIFS(Dataset!$AA:$AA,Dataset!$F:$F,Resumen!S$8,Dataset!$J:$J,"&gt;="&amp;$AC38,Dataset!$J:$J,"&lt;"&amp;$AD38,Dataset!$AH:$AH,"bono corporativo",Dataset!$T:$T,"&lt;&gt;UF",Dataset!$T:$T,"&lt;&gt;$",Dataset!$AC:$AC,"*AA*")</f>
        <v>-4.1669249301243809E-4</v>
      </c>
      <c r="U38" s="36">
        <f>SUMIFS(Dataset!$AJ:$AJ,Dataset!$F:$F,Resumen!U$8,Dataset!$J:$J,"&gt;="&amp;$AC38,Dataset!$J:$J,"&lt;"&amp;$AD38,Dataset!$AH:$AH,"bono corporativo",Dataset!$T:$T,"&lt;&gt;UF",Dataset!$T:$T,"&lt;&gt;$",Dataset!$AC:$AC,"*AA*")</f>
        <v>0</v>
      </c>
      <c r="V38" s="37">
        <f>SUMIFS(Dataset!$AA:$AA,Dataset!$F:$F,Resumen!U$8,Dataset!$J:$J,"&gt;="&amp;$AC38,Dataset!$J:$J,"&lt;"&amp;$AD38,Dataset!$AH:$AH,"bono corporativo",Dataset!$T:$T,"&lt;&gt;UF",Dataset!$T:$T,"&lt;&gt;$",Dataset!$AC:$AC,"*AA*")</f>
        <v>0</v>
      </c>
      <c r="W38" s="36">
        <f>SUMIFS(Dataset!$AJ:$AJ,Dataset!$F:$F,Resumen!W$8,Dataset!$J:$J,"&gt;="&amp;$AC38,Dataset!$J:$J,"&lt;"&amp;$AD38,Dataset!$AH:$AH,"bono corporativo",Dataset!$T:$T,"&lt;&gt;UF",Dataset!$T:$T,"&lt;&gt;$",Dataset!$AC:$AC,"*AA*")</f>
        <v>0</v>
      </c>
      <c r="X38" s="37">
        <f>SUMIFS(Dataset!$AA:$AA,Dataset!$F:$F,Resumen!W$8,Dataset!$J:$J,"&gt;="&amp;$AC38,Dataset!$J:$J,"&lt;"&amp;$AD38,Dataset!$AH:$AH,"bono corporativo",Dataset!$T:$T,"&lt;&gt;UF",Dataset!$T:$T,"&lt;&gt;$",Dataset!$AC:$AC,"*AA*")</f>
        <v>0</v>
      </c>
      <c r="Y38" s="36">
        <f>SUMIFS(Dataset!$AJ:$AJ,Dataset!$F:$F,Resumen!Y$8,Dataset!$J:$J,"&gt;="&amp;$AC38,Dataset!$J:$J,"&lt;"&amp;$AD38,Dataset!$AH:$AH,"bono corporativo",Dataset!$T:$T,"&lt;&gt;UF",Dataset!$T:$T,"&lt;&gt;$",Dataset!$AC:$AC,"*AA*")</f>
        <v>0</v>
      </c>
      <c r="Z38" s="37">
        <f>SUMIFS(Dataset!$AA:$AA,Dataset!$F:$F,Resumen!Y$8,Dataset!$J:$J,"&gt;="&amp;$AC38,Dataset!$J:$J,"&lt;"&amp;$AD38,Dataset!$AH:$AH,"bono corporativo",Dataset!$T:$T,"&lt;&gt;UF",Dataset!$T:$T,"&lt;&gt;$",Dataset!$AC:$AC,"*AA*")</f>
        <v>0</v>
      </c>
      <c r="AA38" s="36">
        <f>SUMIFS(Dataset!$AJ:$AJ,Dataset!$F:$F,Resumen!AA$8,Dataset!$J:$J,"&gt;="&amp;$AC38,Dataset!$J:$J,"&lt;"&amp;$AD38,Dataset!$AH:$AH,"bono corporativo",Dataset!$T:$T,"&lt;&gt;UF",Dataset!$T:$T,"&lt;&gt;$",Dataset!$AC:$AC,"*AA*")</f>
        <v>0</v>
      </c>
      <c r="AB38" s="37">
        <f>SUMIFS(Dataset!$AA:$AA,Dataset!$F:$F,Resumen!AA$8,Dataset!$J:$J,"&gt;="&amp;$AC38,Dataset!$J:$J,"&lt;"&amp;$AD38,Dataset!$AH:$AH,"bono corporativo",Dataset!$T:$T,"&lt;&gt;UF",Dataset!$T:$T,"&lt;&gt;$",Dataset!$AC:$AC,"*AA*")</f>
        <v>0</v>
      </c>
      <c r="AC38" s="31">
        <v>0</v>
      </c>
      <c r="AD38" s="31">
        <v>3</v>
      </c>
    </row>
    <row r="39" spans="2:30" ht="30" customHeight="1" x14ac:dyDescent="0.25">
      <c r="B39" s="207"/>
      <c r="C39" s="206"/>
      <c r="D39" s="51" t="s">
        <v>124</v>
      </c>
      <c r="E39" s="38">
        <f>SUMIFS(Dataset!$AJ:$AJ,Dataset!$F:$F,Resumen!E$8,Dataset!$J:$J,"&gt;="&amp;$AC39,Dataset!$J:$J,"&lt;"&amp;$AD39,Dataset!$AH:$AH,"bono corporativo",Dataset!$T:$T,"&lt;&gt;UF",Dataset!$T:$T,"&lt;&gt;$",Dataset!$AC:$AC,"*AA*")</f>
        <v>0</v>
      </c>
      <c r="F39" s="39">
        <f>SUMIFS(Dataset!$AA:$AA,Dataset!$F:$F,Resumen!E$8,Dataset!$J:$J,"&gt;="&amp;$AC39,Dataset!$J:$J,"&lt;"&amp;$AD39,Dataset!$AH:$AH,"bono corporativo",Dataset!$T:$T,"&lt;&gt;UF",Dataset!$T:$T,"&lt;&gt;$",Dataset!$AC:$AC,"*AA*")</f>
        <v>0</v>
      </c>
      <c r="G39" s="38">
        <f>SUMIFS(Dataset!$AJ:$AJ,Dataset!$F:$F,Resumen!G$8,Dataset!$J:$J,"&gt;="&amp;$AC39,Dataset!$J:$J,"&lt;"&amp;$AD39,Dataset!$AH:$AH,"bono corporativo",Dataset!$T:$T,"&lt;&gt;UF",Dataset!$T:$T,"&lt;&gt;$",Dataset!$AC:$AC,"*AA*")</f>
        <v>2.6778643001099337E-3</v>
      </c>
      <c r="H39" s="39">
        <f>SUMIFS(Dataset!$AA:$AA,Dataset!$F:$F,Resumen!G$8,Dataset!$J:$J,"&gt;="&amp;$AC39,Dataset!$J:$J,"&lt;"&amp;$AD39,Dataset!$AH:$AH,"bono corporativo",Dataset!$T:$T,"&lt;&gt;UF",Dataset!$T:$T,"&lt;&gt;$",Dataset!$AC:$AC,"*AA*")</f>
        <v>2.1404750618021304E-3</v>
      </c>
      <c r="I39" s="38">
        <f>SUMIFS(Dataset!$AJ:$AJ,Dataset!$F:$F,Resumen!I$8,Dataset!$J:$J,"&gt;="&amp;$AC39,Dataset!$J:$J,"&lt;"&amp;$AD39,Dataset!$AH:$AH,"bono corporativo",Dataset!$T:$T,"&lt;&gt;UF",Dataset!$T:$T,"&lt;&gt;$",Dataset!$AC:$AC,"*AA*")</f>
        <v>3.2143756188704686E-2</v>
      </c>
      <c r="J39" s="39">
        <f>SUMIFS(Dataset!$AA:$AA,Dataset!$F:$F,Resumen!I$8,Dataset!$J:$J,"&gt;="&amp;$AC39,Dataset!$J:$J,"&lt;"&amp;$AD39,Dataset!$AH:$AH,"bono corporativo",Dataset!$T:$T,"&lt;&gt;UF",Dataset!$T:$T,"&lt;&gt;$",Dataset!$AC:$AC,"*AA*")</f>
        <v>9.0495207842844899E-3</v>
      </c>
      <c r="K39" s="38">
        <f>SUMIFS(Dataset!$AJ:$AJ,Dataset!$F:$F,Resumen!K$8,Dataset!$J:$J,"&gt;="&amp;$AC39,Dataset!$J:$J,"&lt;"&amp;$AD39,Dataset!$AH:$AH,"bono corporativo",Dataset!$T:$T,"&lt;&gt;UF",Dataset!$T:$T,"&lt;&gt;$",Dataset!$AC:$AC,"*AA*")</f>
        <v>0</v>
      </c>
      <c r="L39" s="39">
        <f>SUMIFS(Dataset!$AA:$AA,Dataset!$F:$F,Resumen!K$8,Dataset!$J:$J,"&gt;="&amp;$AC39,Dataset!$J:$J,"&lt;"&amp;$AD39,Dataset!$AH:$AH,"bono corporativo",Dataset!$T:$T,"&lt;&gt;UF",Dataset!$T:$T,"&lt;&gt;$",Dataset!$AC:$AC,"*AA*")</f>
        <v>0</v>
      </c>
      <c r="M39" s="38">
        <f>SUMIFS(Dataset!$AJ:$AJ,Dataset!$F:$F,Resumen!M$8,Dataset!$J:$J,"&gt;="&amp;$AC39,Dataset!$J:$J,"&lt;"&amp;$AD39,Dataset!$AH:$AH,"bono corporativo",Dataset!$T:$T,"&lt;&gt;UF",Dataset!$T:$T,"&lt;&gt;$",Dataset!$AC:$AC,"*AA*")</f>
        <v>0</v>
      </c>
      <c r="N39" s="39">
        <f>SUMIFS(Dataset!$AA:$AA,Dataset!$F:$F,Resumen!M$8,Dataset!$J:$J,"&gt;="&amp;$AC39,Dataset!$J:$J,"&lt;"&amp;$AD39,Dataset!$AH:$AH,"bono corporativo",Dataset!$T:$T,"&lt;&gt;UF",Dataset!$T:$T,"&lt;&gt;$",Dataset!$AC:$AC,"*AA*")</f>
        <v>0</v>
      </c>
      <c r="O39" s="38">
        <f>SUMIFS(Dataset!$AJ:$AJ,Dataset!$F:$F,Resumen!O$8,Dataset!$J:$J,"&gt;="&amp;$AC39,Dataset!$J:$J,"&lt;"&amp;$AD39,Dataset!$AH:$AH,"bono corporativo",Dataset!$T:$T,"&lt;&gt;UF",Dataset!$T:$T,"&lt;&gt;$",Dataset!$AC:$AC,"*AA*")</f>
        <v>0</v>
      </c>
      <c r="P39" s="39">
        <f>SUMIFS(Dataset!$AA:$AA,Dataset!$F:$F,Resumen!O$8,Dataset!$J:$J,"&gt;="&amp;$AC39,Dataset!$J:$J,"&lt;"&amp;$AD39,Dataset!$AH:$AH,"bono corporativo",Dataset!$T:$T,"&lt;&gt;UF",Dataset!$T:$T,"&lt;&gt;$",Dataset!$AC:$AC,"*AA*")</f>
        <v>0</v>
      </c>
      <c r="Q39" s="38">
        <f>SUMIFS(Dataset!$AJ:$AJ,Dataset!$F:$F,Resumen!Q$8,Dataset!$J:$J,"&gt;="&amp;$AC39,Dataset!$J:$J,"&lt;"&amp;$AD39,Dataset!$AH:$AH,"bono corporativo",Dataset!$T:$T,"&lt;&gt;UF",Dataset!$T:$T,"&lt;&gt;$",Dataset!$AC:$AC,"*AA*")</f>
        <v>0</v>
      </c>
      <c r="R39" s="39">
        <f>SUMIFS(Dataset!$AA:$AA,Dataset!$F:$F,Resumen!Q$8,Dataset!$J:$J,"&gt;="&amp;$AC39,Dataset!$J:$J,"&lt;"&amp;$AD39,Dataset!$AH:$AH,"bono corporativo",Dataset!$T:$T,"&lt;&gt;UF",Dataset!$T:$T,"&lt;&gt;$",Dataset!$AC:$AC,"*AA*")</f>
        <v>0</v>
      </c>
      <c r="S39" s="38">
        <f>SUMIFS(Dataset!$AJ:$AJ,Dataset!$F:$F,Resumen!S$8,Dataset!$J:$J,"&gt;="&amp;$AC39,Dataset!$J:$J,"&lt;"&amp;$AD39,Dataset!$AH:$AH,"bono corporativo",Dataset!$T:$T,"&lt;&gt;UF",Dataset!$T:$T,"&lt;&gt;$",Dataset!$AC:$AC,"*AA*")</f>
        <v>0</v>
      </c>
      <c r="T39" s="39">
        <f>SUMIFS(Dataset!$AA:$AA,Dataset!$F:$F,Resumen!S$8,Dataset!$J:$J,"&gt;="&amp;$AC39,Dataset!$J:$J,"&lt;"&amp;$AD39,Dataset!$AH:$AH,"bono corporativo",Dataset!$T:$T,"&lt;&gt;UF",Dataset!$T:$T,"&lt;&gt;$",Dataset!$AC:$AC,"*AA*")</f>
        <v>0</v>
      </c>
      <c r="U39" s="38">
        <f>SUMIFS(Dataset!$AJ:$AJ,Dataset!$F:$F,Resumen!U$8,Dataset!$J:$J,"&gt;="&amp;$AC39,Dataset!$J:$J,"&lt;"&amp;$AD39,Dataset!$AH:$AH,"bono corporativo",Dataset!$T:$T,"&lt;&gt;UF",Dataset!$T:$T,"&lt;&gt;$",Dataset!$AC:$AC,"*AA*")</f>
        <v>0</v>
      </c>
      <c r="V39" s="39">
        <f>SUMIFS(Dataset!$AA:$AA,Dataset!$F:$F,Resumen!U$8,Dataset!$J:$J,"&gt;="&amp;$AC39,Dataset!$J:$J,"&lt;"&amp;$AD39,Dataset!$AH:$AH,"bono corporativo",Dataset!$T:$T,"&lt;&gt;UF",Dataset!$T:$T,"&lt;&gt;$",Dataset!$AC:$AC,"*AA*")</f>
        <v>0</v>
      </c>
      <c r="W39" s="38">
        <f>SUMIFS(Dataset!$AJ:$AJ,Dataset!$F:$F,Resumen!W$8,Dataset!$J:$J,"&gt;="&amp;$AC39,Dataset!$J:$J,"&lt;"&amp;$AD39,Dataset!$AH:$AH,"bono corporativo",Dataset!$T:$T,"&lt;&gt;UF",Dataset!$T:$T,"&lt;&gt;$",Dataset!$AC:$AC,"*AA*")</f>
        <v>0</v>
      </c>
      <c r="X39" s="39">
        <f>SUMIFS(Dataset!$AA:$AA,Dataset!$F:$F,Resumen!W$8,Dataset!$J:$J,"&gt;="&amp;$AC39,Dataset!$J:$J,"&lt;"&amp;$AD39,Dataset!$AH:$AH,"bono corporativo",Dataset!$T:$T,"&lt;&gt;UF",Dataset!$T:$T,"&lt;&gt;$",Dataset!$AC:$AC,"*AA*")</f>
        <v>0</v>
      </c>
      <c r="Y39" s="38">
        <f>SUMIFS(Dataset!$AJ:$AJ,Dataset!$F:$F,Resumen!Y$8,Dataset!$J:$J,"&gt;="&amp;$AC39,Dataset!$J:$J,"&lt;"&amp;$AD39,Dataset!$AH:$AH,"bono corporativo",Dataset!$T:$T,"&lt;&gt;UF",Dataset!$T:$T,"&lt;&gt;$",Dataset!$AC:$AC,"*AA*")</f>
        <v>0</v>
      </c>
      <c r="Z39" s="39">
        <f>SUMIFS(Dataset!$AA:$AA,Dataset!$F:$F,Resumen!Y$8,Dataset!$J:$J,"&gt;="&amp;$AC39,Dataset!$J:$J,"&lt;"&amp;$AD39,Dataset!$AH:$AH,"bono corporativo",Dataset!$T:$T,"&lt;&gt;UF",Dataset!$T:$T,"&lt;&gt;$",Dataset!$AC:$AC,"*AA*")</f>
        <v>0</v>
      </c>
      <c r="AA39" s="38">
        <f>SUMIFS(Dataset!$AJ:$AJ,Dataset!$F:$F,Resumen!AA$8,Dataset!$J:$J,"&gt;="&amp;$AC39,Dataset!$J:$J,"&lt;"&amp;$AD39,Dataset!$AH:$AH,"bono corporativo",Dataset!$T:$T,"&lt;&gt;UF",Dataset!$T:$T,"&lt;&gt;$",Dataset!$AC:$AC,"*AA*")</f>
        <v>0</v>
      </c>
      <c r="AB39" s="39">
        <f>SUMIFS(Dataset!$AA:$AA,Dataset!$F:$F,Resumen!AA$8,Dataset!$J:$J,"&gt;="&amp;$AC39,Dataset!$J:$J,"&lt;"&amp;$AD39,Dataset!$AH:$AH,"bono corporativo",Dataset!$T:$T,"&lt;&gt;UF",Dataset!$T:$T,"&lt;&gt;$",Dataset!$AC:$AC,"*AA*")</f>
        <v>0</v>
      </c>
      <c r="AC39" s="31">
        <v>3</v>
      </c>
      <c r="AD39" s="31">
        <v>5</v>
      </c>
    </row>
    <row r="40" spans="2:30" ht="30" customHeight="1" x14ac:dyDescent="0.25">
      <c r="B40" s="207"/>
      <c r="C40" s="206"/>
      <c r="D40" s="51" t="s">
        <v>125</v>
      </c>
      <c r="E40" s="38">
        <f>SUMIFS(Dataset!$AJ:$AJ,Dataset!$F:$F,Resumen!E$8,Dataset!$J:$J,"&gt;="&amp;$AC40,Dataset!$J:$J,"&lt;"&amp;$AD40,Dataset!$AH:$AH,"bono corporativo",Dataset!$T:$T,"&lt;&gt;UF",Dataset!$T:$T,"&lt;&gt;$",Dataset!$AC:$AC,"*AA*")</f>
        <v>1.6312585542762735E-2</v>
      </c>
      <c r="F40" s="39">
        <f>SUMIFS(Dataset!$AA:$AA,Dataset!$F:$F,Resumen!E$8,Dataset!$J:$J,"&gt;="&amp;$AC40,Dataset!$J:$J,"&lt;"&amp;$AD40,Dataset!$AH:$AH,"bono corporativo",Dataset!$T:$T,"&lt;&gt;UF",Dataset!$T:$T,"&lt;&gt;$",Dataset!$AC:$AC,"*AA*")</f>
        <v>2.1266651507562958E-2</v>
      </c>
      <c r="G40" s="38">
        <f>SUMIFS(Dataset!$AJ:$AJ,Dataset!$F:$F,Resumen!G$8,Dataset!$J:$J,"&gt;="&amp;$AC40,Dataset!$J:$J,"&lt;"&amp;$AD40,Dataset!$AH:$AH,"bono corporativo",Dataset!$T:$T,"&lt;&gt;UF",Dataset!$T:$T,"&lt;&gt;$",Dataset!$AC:$AC,"*AA*")</f>
        <v>1.0469965369116622E-2</v>
      </c>
      <c r="H40" s="39">
        <f>SUMIFS(Dataset!$AA:$AA,Dataset!$F:$F,Resumen!G$8,Dataset!$J:$J,"&gt;="&amp;$AC40,Dataset!$J:$J,"&lt;"&amp;$AD40,Dataset!$AH:$AH,"bono corporativo",Dataset!$T:$T,"&lt;&gt;UF",Dataset!$T:$T,"&lt;&gt;$",Dataset!$AC:$AC,"*AA*")</f>
        <v>8.368870584519926E-3</v>
      </c>
      <c r="I40" s="38">
        <f>SUMIFS(Dataset!$AJ:$AJ,Dataset!$F:$F,Resumen!I$8,Dataset!$J:$J,"&gt;="&amp;$AC40,Dataset!$J:$J,"&lt;"&amp;$AD40,Dataset!$AH:$AH,"bono corporativo",Dataset!$T:$T,"&lt;&gt;UF",Dataset!$T:$T,"&lt;&gt;$",Dataset!$AC:$AC,"*AA*")</f>
        <v>0.12855733435256064</v>
      </c>
      <c r="J40" s="39">
        <f>SUMIFS(Dataset!$AA:$AA,Dataset!$F:$F,Resumen!I$8,Dataset!$J:$J,"&gt;="&amp;$AC40,Dataset!$J:$J,"&lt;"&amp;$AD40,Dataset!$AH:$AH,"bono corporativo",Dataset!$T:$T,"&lt;&gt;UF",Dataset!$T:$T,"&lt;&gt;$",Dataset!$AC:$AC,"*AA*")</f>
        <v>-4.4700832712422624E-2</v>
      </c>
      <c r="K40" s="38">
        <f>SUMIFS(Dataset!$AJ:$AJ,Dataset!$F:$F,Resumen!K$8,Dataset!$J:$J,"&gt;="&amp;$AC40,Dataset!$J:$J,"&lt;"&amp;$AD40,Dataset!$AH:$AH,"bono corporativo",Dataset!$T:$T,"&lt;&gt;UF",Dataset!$T:$T,"&lt;&gt;$",Dataset!$AC:$AC,"*AA*")</f>
        <v>0</v>
      </c>
      <c r="L40" s="39">
        <f>SUMIFS(Dataset!$AA:$AA,Dataset!$F:$F,Resumen!K$8,Dataset!$J:$J,"&gt;="&amp;$AC40,Dataset!$J:$J,"&lt;"&amp;$AD40,Dataset!$AH:$AH,"bono corporativo",Dataset!$T:$T,"&lt;&gt;UF",Dataset!$T:$T,"&lt;&gt;$",Dataset!$AC:$AC,"*AA*")</f>
        <v>0</v>
      </c>
      <c r="M40" s="38">
        <f>SUMIFS(Dataset!$AJ:$AJ,Dataset!$F:$F,Resumen!M$8,Dataset!$J:$J,"&gt;="&amp;$AC40,Dataset!$J:$J,"&lt;"&amp;$AD40,Dataset!$AH:$AH,"bono corporativo",Dataset!$T:$T,"&lt;&gt;UF",Dataset!$T:$T,"&lt;&gt;$",Dataset!$AC:$AC,"*AA*")</f>
        <v>0</v>
      </c>
      <c r="N40" s="39">
        <f>SUMIFS(Dataset!$AA:$AA,Dataset!$F:$F,Resumen!M$8,Dataset!$J:$J,"&gt;="&amp;$AC40,Dataset!$J:$J,"&lt;"&amp;$AD40,Dataset!$AH:$AH,"bono corporativo",Dataset!$T:$T,"&lt;&gt;UF",Dataset!$T:$T,"&lt;&gt;$",Dataset!$AC:$AC,"*AA*")</f>
        <v>0</v>
      </c>
      <c r="O40" s="38">
        <f>SUMIFS(Dataset!$AJ:$AJ,Dataset!$F:$F,Resumen!O$8,Dataset!$J:$J,"&gt;="&amp;$AC40,Dataset!$J:$J,"&lt;"&amp;$AD40,Dataset!$AH:$AH,"bono corporativo",Dataset!$T:$T,"&lt;&gt;UF",Dataset!$T:$T,"&lt;&gt;$",Dataset!$AC:$AC,"*AA*")</f>
        <v>0</v>
      </c>
      <c r="P40" s="39">
        <f>SUMIFS(Dataset!$AA:$AA,Dataset!$F:$F,Resumen!O$8,Dataset!$J:$J,"&gt;="&amp;$AC40,Dataset!$J:$J,"&lt;"&amp;$AD40,Dataset!$AH:$AH,"bono corporativo",Dataset!$T:$T,"&lt;&gt;UF",Dataset!$T:$T,"&lt;&gt;$",Dataset!$AC:$AC,"*AA*")</f>
        <v>0</v>
      </c>
      <c r="Q40" s="38">
        <f>SUMIFS(Dataset!$AJ:$AJ,Dataset!$F:$F,Resumen!Q$8,Dataset!$J:$J,"&gt;="&amp;$AC40,Dataset!$J:$J,"&lt;"&amp;$AD40,Dataset!$AH:$AH,"bono corporativo",Dataset!$T:$T,"&lt;&gt;UF",Dataset!$T:$T,"&lt;&gt;$",Dataset!$AC:$AC,"*AA*")</f>
        <v>0</v>
      </c>
      <c r="R40" s="39">
        <f>SUMIFS(Dataset!$AA:$AA,Dataset!$F:$F,Resumen!Q$8,Dataset!$J:$J,"&gt;="&amp;$AC40,Dataset!$J:$J,"&lt;"&amp;$AD40,Dataset!$AH:$AH,"bono corporativo",Dataset!$T:$T,"&lt;&gt;UF",Dataset!$T:$T,"&lt;&gt;$",Dataset!$AC:$AC,"*AA*")</f>
        <v>0</v>
      </c>
      <c r="S40" s="38">
        <f>SUMIFS(Dataset!$AJ:$AJ,Dataset!$F:$F,Resumen!S$8,Dataset!$J:$J,"&gt;="&amp;$AC40,Dataset!$J:$J,"&lt;"&amp;$AD40,Dataset!$AH:$AH,"bono corporativo",Dataset!$T:$T,"&lt;&gt;UF",Dataset!$T:$T,"&lt;&gt;$",Dataset!$AC:$AC,"*AA*")</f>
        <v>0</v>
      </c>
      <c r="T40" s="39">
        <f>SUMIFS(Dataset!$AA:$AA,Dataset!$F:$F,Resumen!S$8,Dataset!$J:$J,"&gt;="&amp;$AC40,Dataset!$J:$J,"&lt;"&amp;$AD40,Dataset!$AH:$AH,"bono corporativo",Dataset!$T:$T,"&lt;&gt;UF",Dataset!$T:$T,"&lt;&gt;$",Dataset!$AC:$AC,"*AA*")</f>
        <v>0</v>
      </c>
      <c r="U40" s="38">
        <f>SUMIFS(Dataset!$AJ:$AJ,Dataset!$F:$F,Resumen!U$8,Dataset!$J:$J,"&gt;="&amp;$AC40,Dataset!$J:$J,"&lt;"&amp;$AD40,Dataset!$AH:$AH,"bono corporativo",Dataset!$T:$T,"&lt;&gt;UF",Dataset!$T:$T,"&lt;&gt;$",Dataset!$AC:$AC,"*AA*")</f>
        <v>0</v>
      </c>
      <c r="V40" s="39">
        <f>SUMIFS(Dataset!$AA:$AA,Dataset!$F:$F,Resumen!U$8,Dataset!$J:$J,"&gt;="&amp;$AC40,Dataset!$J:$J,"&lt;"&amp;$AD40,Dataset!$AH:$AH,"bono corporativo",Dataset!$T:$T,"&lt;&gt;UF",Dataset!$T:$T,"&lt;&gt;$",Dataset!$AC:$AC,"*AA*")</f>
        <v>0</v>
      </c>
      <c r="W40" s="38">
        <f>SUMIFS(Dataset!$AJ:$AJ,Dataset!$F:$F,Resumen!W$8,Dataset!$J:$J,"&gt;="&amp;$AC40,Dataset!$J:$J,"&lt;"&amp;$AD40,Dataset!$AH:$AH,"bono corporativo",Dataset!$T:$T,"&lt;&gt;UF",Dataset!$T:$T,"&lt;&gt;$",Dataset!$AC:$AC,"*AA*")</f>
        <v>0</v>
      </c>
      <c r="X40" s="39">
        <f>SUMIFS(Dataset!$AA:$AA,Dataset!$F:$F,Resumen!W$8,Dataset!$J:$J,"&gt;="&amp;$AC40,Dataset!$J:$J,"&lt;"&amp;$AD40,Dataset!$AH:$AH,"bono corporativo",Dataset!$T:$T,"&lt;&gt;UF",Dataset!$T:$T,"&lt;&gt;$",Dataset!$AC:$AC,"*AA*")</f>
        <v>0</v>
      </c>
      <c r="Y40" s="38">
        <f>SUMIFS(Dataset!$AJ:$AJ,Dataset!$F:$F,Resumen!Y$8,Dataset!$J:$J,"&gt;="&amp;$AC40,Dataset!$J:$J,"&lt;"&amp;$AD40,Dataset!$AH:$AH,"bono corporativo",Dataset!$T:$T,"&lt;&gt;UF",Dataset!$T:$T,"&lt;&gt;$",Dataset!$AC:$AC,"*AA*")</f>
        <v>0</v>
      </c>
      <c r="Z40" s="39">
        <f>SUMIFS(Dataset!$AA:$AA,Dataset!$F:$F,Resumen!Y$8,Dataset!$J:$J,"&gt;="&amp;$AC40,Dataset!$J:$J,"&lt;"&amp;$AD40,Dataset!$AH:$AH,"bono corporativo",Dataset!$T:$T,"&lt;&gt;UF",Dataset!$T:$T,"&lt;&gt;$",Dataset!$AC:$AC,"*AA*")</f>
        <v>0</v>
      </c>
      <c r="AA40" s="38">
        <f>SUMIFS(Dataset!$AJ:$AJ,Dataset!$F:$F,Resumen!AA$8,Dataset!$J:$J,"&gt;="&amp;$AC40,Dataset!$J:$J,"&lt;"&amp;$AD40,Dataset!$AH:$AH,"bono corporativo",Dataset!$T:$T,"&lt;&gt;UF",Dataset!$T:$T,"&lt;&gt;$",Dataset!$AC:$AC,"*AA*")</f>
        <v>0</v>
      </c>
      <c r="AB40" s="39">
        <f>SUMIFS(Dataset!$AA:$AA,Dataset!$F:$F,Resumen!AA$8,Dataset!$J:$J,"&gt;="&amp;$AC40,Dataset!$J:$J,"&lt;"&amp;$AD40,Dataset!$AH:$AH,"bono corporativo",Dataset!$T:$T,"&lt;&gt;UF",Dataset!$T:$T,"&lt;&gt;$",Dataset!$AC:$AC,"*AA*")</f>
        <v>0</v>
      </c>
      <c r="AC40" s="31">
        <v>5</v>
      </c>
      <c r="AD40" s="31">
        <v>10</v>
      </c>
    </row>
    <row r="41" spans="2:30" ht="30" customHeight="1" x14ac:dyDescent="0.25">
      <c r="B41" s="207"/>
      <c r="C41" s="206"/>
      <c r="D41" s="51" t="s">
        <v>126</v>
      </c>
      <c r="E41" s="40">
        <f>SUMIFS(Dataset!$AJ:$AJ,Dataset!$F:$F,Resumen!E$8,Dataset!$J:$J,"&gt;="&amp;$AC41,Dataset!$J:$J,"&lt;"&amp;$AD41,Dataset!$AH:$AH,"bono corporativo",Dataset!$T:$T,"&lt;&gt;UF",Dataset!$T:$T,"&lt;&gt;$",Dataset!$AC:$AC,"*AA*")</f>
        <v>0</v>
      </c>
      <c r="F41" s="41">
        <f>SUMIFS(Dataset!$AA:$AA,Dataset!$F:$F,Resumen!E$8,Dataset!$J:$J,"&gt;="&amp;$AC41,Dataset!$J:$J,"&lt;"&amp;$AD41,Dataset!$AH:$AH,"bono corporativo",Dataset!$T:$T,"&lt;&gt;UF",Dataset!$T:$T,"&lt;&gt;$",Dataset!$AC:$AC,"*AA*")</f>
        <v>0</v>
      </c>
      <c r="G41" s="40">
        <f>SUMIFS(Dataset!$AJ:$AJ,Dataset!$F:$F,Resumen!G$8,Dataset!$J:$J,"&gt;="&amp;$AC41,Dataset!$J:$J,"&lt;"&amp;$AD41,Dataset!$AH:$AH,"bono corporativo",Dataset!$T:$T,"&lt;&gt;UF",Dataset!$T:$T,"&lt;&gt;$",Dataset!$AC:$AC,"*AA*")</f>
        <v>2.6000990128404945E-3</v>
      </c>
      <c r="H41" s="41">
        <f>SUMIFS(Dataset!$AA:$AA,Dataset!$F:$F,Resumen!G$8,Dataset!$J:$J,"&gt;="&amp;$AC41,Dataset!$J:$J,"&lt;"&amp;$AD41,Dataset!$AH:$AH,"bono corporativo",Dataset!$T:$T,"&lt;&gt;UF",Dataset!$T:$T,"&lt;&gt;$",Dataset!$AC:$AC,"*AA*")</f>
        <v>2.078315579685251E-3</v>
      </c>
      <c r="I41" s="40">
        <f>SUMIFS(Dataset!$AJ:$AJ,Dataset!$F:$F,Resumen!I$8,Dataset!$J:$J,"&gt;="&amp;$AC41,Dataset!$J:$J,"&lt;"&amp;$AD41,Dataset!$AH:$AH,"bono corporativo",Dataset!$T:$T,"&lt;&gt;UF",Dataset!$T:$T,"&lt;&gt;$",Dataset!$AC:$AC,"*AA*")</f>
        <v>1.2195264976915301E-2</v>
      </c>
      <c r="J41" s="41">
        <f>SUMIFS(Dataset!$AA:$AA,Dataset!$F:$F,Resumen!I$8,Dataset!$J:$J,"&gt;="&amp;$AC41,Dataset!$J:$J,"&lt;"&amp;$AD41,Dataset!$AH:$AH,"bono corporativo",Dataset!$T:$T,"&lt;&gt;UF",Dataset!$T:$T,"&lt;&gt;$",Dataset!$AC:$AC,"*AA*")</f>
        <v>-7.5348114684759382E-2</v>
      </c>
      <c r="K41" s="40">
        <f>SUMIFS(Dataset!$AJ:$AJ,Dataset!$F:$F,Resumen!K$8,Dataset!$J:$J,"&gt;="&amp;$AC41,Dataset!$J:$J,"&lt;"&amp;$AD41,Dataset!$AH:$AH,"bono corporativo",Dataset!$T:$T,"&lt;&gt;UF",Dataset!$T:$T,"&lt;&gt;$",Dataset!$AC:$AC,"*AA*")</f>
        <v>0</v>
      </c>
      <c r="L41" s="41">
        <f>SUMIFS(Dataset!$AA:$AA,Dataset!$F:$F,Resumen!K$8,Dataset!$J:$J,"&gt;="&amp;$AC41,Dataset!$J:$J,"&lt;"&amp;$AD41,Dataset!$AH:$AH,"bono corporativo",Dataset!$T:$T,"&lt;&gt;UF",Dataset!$T:$T,"&lt;&gt;$",Dataset!$AC:$AC,"*AA*")</f>
        <v>0</v>
      </c>
      <c r="M41" s="40">
        <f>SUMIFS(Dataset!$AJ:$AJ,Dataset!$F:$F,Resumen!M$8,Dataset!$J:$J,"&gt;="&amp;$AC41,Dataset!$J:$J,"&lt;"&amp;$AD41,Dataset!$AH:$AH,"bono corporativo",Dataset!$T:$T,"&lt;&gt;UF",Dataset!$T:$T,"&lt;&gt;$",Dataset!$AC:$AC,"*AA*")</f>
        <v>0</v>
      </c>
      <c r="N41" s="41">
        <f>SUMIFS(Dataset!$AA:$AA,Dataset!$F:$F,Resumen!M$8,Dataset!$J:$J,"&gt;="&amp;$AC41,Dataset!$J:$J,"&lt;"&amp;$AD41,Dataset!$AH:$AH,"bono corporativo",Dataset!$T:$T,"&lt;&gt;UF",Dataset!$T:$T,"&lt;&gt;$",Dataset!$AC:$AC,"*AA*")</f>
        <v>0</v>
      </c>
      <c r="O41" s="40">
        <f>SUMIFS(Dataset!$AJ:$AJ,Dataset!$F:$F,Resumen!O$8,Dataset!$J:$J,"&gt;="&amp;$AC41,Dataset!$J:$J,"&lt;"&amp;$AD41,Dataset!$AH:$AH,"bono corporativo",Dataset!$T:$T,"&lt;&gt;UF",Dataset!$T:$T,"&lt;&gt;$",Dataset!$AC:$AC,"*AA*")</f>
        <v>0</v>
      </c>
      <c r="P41" s="41">
        <f>SUMIFS(Dataset!$AA:$AA,Dataset!$F:$F,Resumen!O$8,Dataset!$J:$J,"&gt;="&amp;$AC41,Dataset!$J:$J,"&lt;"&amp;$AD41,Dataset!$AH:$AH,"bono corporativo",Dataset!$T:$T,"&lt;&gt;UF",Dataset!$T:$T,"&lt;&gt;$",Dataset!$AC:$AC,"*AA*")</f>
        <v>0</v>
      </c>
      <c r="Q41" s="40">
        <f>SUMIFS(Dataset!$AJ:$AJ,Dataset!$F:$F,Resumen!Q$8,Dataset!$J:$J,"&gt;="&amp;$AC41,Dataset!$J:$J,"&lt;"&amp;$AD41,Dataset!$AH:$AH,"bono corporativo",Dataset!$T:$T,"&lt;&gt;UF",Dataset!$T:$T,"&lt;&gt;$",Dataset!$AC:$AC,"*AA*")</f>
        <v>0</v>
      </c>
      <c r="R41" s="41">
        <f>SUMIFS(Dataset!$AA:$AA,Dataset!$F:$F,Resumen!Q$8,Dataset!$J:$J,"&gt;="&amp;$AC41,Dataset!$J:$J,"&lt;"&amp;$AD41,Dataset!$AH:$AH,"bono corporativo",Dataset!$T:$T,"&lt;&gt;UF",Dataset!$T:$T,"&lt;&gt;$",Dataset!$AC:$AC,"*AA*")</f>
        <v>0</v>
      </c>
      <c r="S41" s="40">
        <f>SUMIFS(Dataset!$AJ:$AJ,Dataset!$F:$F,Resumen!S$8,Dataset!$J:$J,"&gt;="&amp;$AC41,Dataset!$J:$J,"&lt;"&amp;$AD41,Dataset!$AH:$AH,"bono corporativo",Dataset!$T:$T,"&lt;&gt;UF",Dataset!$T:$T,"&lt;&gt;$",Dataset!$AC:$AC,"*AA*")</f>
        <v>0</v>
      </c>
      <c r="T41" s="41">
        <f>SUMIFS(Dataset!$AA:$AA,Dataset!$F:$F,Resumen!S$8,Dataset!$J:$J,"&gt;="&amp;$AC41,Dataset!$J:$J,"&lt;"&amp;$AD41,Dataset!$AH:$AH,"bono corporativo",Dataset!$T:$T,"&lt;&gt;UF",Dataset!$T:$T,"&lt;&gt;$",Dataset!$AC:$AC,"*AA*")</f>
        <v>0</v>
      </c>
      <c r="U41" s="40">
        <f>SUMIFS(Dataset!$AJ:$AJ,Dataset!$F:$F,Resumen!U$8,Dataset!$J:$J,"&gt;="&amp;$AC41,Dataset!$J:$J,"&lt;"&amp;$AD41,Dataset!$AH:$AH,"bono corporativo",Dataset!$T:$T,"&lt;&gt;UF",Dataset!$T:$T,"&lt;&gt;$",Dataset!$AC:$AC,"*AA*")</f>
        <v>0</v>
      </c>
      <c r="V41" s="41">
        <f>SUMIFS(Dataset!$AA:$AA,Dataset!$F:$F,Resumen!U$8,Dataset!$J:$J,"&gt;="&amp;$AC41,Dataset!$J:$J,"&lt;"&amp;$AD41,Dataset!$AH:$AH,"bono corporativo",Dataset!$T:$T,"&lt;&gt;UF",Dataset!$T:$T,"&lt;&gt;$",Dataset!$AC:$AC,"*AA*")</f>
        <v>0</v>
      </c>
      <c r="W41" s="40">
        <f>SUMIFS(Dataset!$AJ:$AJ,Dataset!$F:$F,Resumen!W$8,Dataset!$J:$J,"&gt;="&amp;$AC41,Dataset!$J:$J,"&lt;"&amp;$AD41,Dataset!$AH:$AH,"bono corporativo",Dataset!$T:$T,"&lt;&gt;UF",Dataset!$T:$T,"&lt;&gt;$",Dataset!$AC:$AC,"*AA*")</f>
        <v>0</v>
      </c>
      <c r="X41" s="41">
        <f>SUMIFS(Dataset!$AA:$AA,Dataset!$F:$F,Resumen!W$8,Dataset!$J:$J,"&gt;="&amp;$AC41,Dataset!$J:$J,"&lt;"&amp;$AD41,Dataset!$AH:$AH,"bono corporativo",Dataset!$T:$T,"&lt;&gt;UF",Dataset!$T:$T,"&lt;&gt;$",Dataset!$AC:$AC,"*AA*")</f>
        <v>0</v>
      </c>
      <c r="Y41" s="40">
        <f>SUMIFS(Dataset!$AJ:$AJ,Dataset!$F:$F,Resumen!Y$8,Dataset!$J:$J,"&gt;="&amp;$AC41,Dataset!$J:$J,"&lt;"&amp;$AD41,Dataset!$AH:$AH,"bono corporativo",Dataset!$T:$T,"&lt;&gt;UF",Dataset!$T:$T,"&lt;&gt;$",Dataset!$AC:$AC,"*AA*")</f>
        <v>0</v>
      </c>
      <c r="Z41" s="41">
        <f>SUMIFS(Dataset!$AA:$AA,Dataset!$F:$F,Resumen!Y$8,Dataset!$J:$J,"&gt;="&amp;$AC41,Dataset!$J:$J,"&lt;"&amp;$AD41,Dataset!$AH:$AH,"bono corporativo",Dataset!$T:$T,"&lt;&gt;UF",Dataset!$T:$T,"&lt;&gt;$",Dataset!$AC:$AC,"*AA*")</f>
        <v>0</v>
      </c>
      <c r="AA41" s="40">
        <f>SUMIFS(Dataset!$AJ:$AJ,Dataset!$F:$F,Resumen!AA$8,Dataset!$J:$J,"&gt;="&amp;$AC41,Dataset!$J:$J,"&lt;"&amp;$AD41,Dataset!$AH:$AH,"bono corporativo",Dataset!$T:$T,"&lt;&gt;UF",Dataset!$T:$T,"&lt;&gt;$",Dataset!$AC:$AC,"*AA*")</f>
        <v>0</v>
      </c>
      <c r="AB41" s="41">
        <f>SUMIFS(Dataset!$AA:$AA,Dataset!$F:$F,Resumen!AA$8,Dataset!$J:$J,"&gt;="&amp;$AC41,Dataset!$J:$J,"&lt;"&amp;$AD41,Dataset!$AH:$AH,"bono corporativo",Dataset!$T:$T,"&lt;&gt;UF",Dataset!$T:$T,"&lt;&gt;$",Dataset!$AC:$AC,"*AA*")</f>
        <v>0</v>
      </c>
      <c r="AC41" s="31">
        <v>10</v>
      </c>
      <c r="AD41" s="31">
        <v>100</v>
      </c>
    </row>
    <row r="42" spans="2:30" ht="30" customHeight="1" x14ac:dyDescent="0.25">
      <c r="B42" s="207"/>
      <c r="C42" s="206" t="s">
        <v>130</v>
      </c>
      <c r="D42" s="51" t="s">
        <v>123</v>
      </c>
      <c r="E42" s="42">
        <f>SUMIFS(Dataset!$AJ:$AJ,Dataset!$F:$F,Resumen!E$8,Dataset!$J:$J,"&gt;="&amp;$AC42,Dataset!$J:$J,"&lt;"&amp;$AD42,Dataset!$AH:$AH,"bono corporativo",Dataset!$T:$T,"&lt;&gt;UF",Dataset!$T:$T,"&lt;&gt;$",Dataset!$AC:$AC,"&lt;&gt;*AA*")</f>
        <v>0</v>
      </c>
      <c r="F42" s="43">
        <f>SUMIFS(Dataset!$AA:$AA,Dataset!$F:$F,Resumen!E$8,Dataset!$J:$J,"&gt;="&amp;$AC42,Dataset!$J:$J,"&lt;"&amp;$AD42,Dataset!$AH:$AH,"bono corporativo",Dataset!$T:$T,"&lt;&gt;UF",Dataset!$T:$T,"&lt;&gt;$",Dataset!$AC:$AC,"&lt;&gt;*AA*")</f>
        <v>0</v>
      </c>
      <c r="G42" s="42">
        <f>SUMIFS(Dataset!$AJ:$AJ,Dataset!$F:$F,Resumen!G$8,Dataset!$J:$J,"&gt;="&amp;$AC42,Dataset!$J:$J,"&lt;"&amp;$AD42,Dataset!$AH:$AH,"bono corporativo",Dataset!$T:$T,"&lt;&gt;UF",Dataset!$T:$T,"&lt;&gt;$",Dataset!$AC:$AC,"&lt;&gt;*AA*")</f>
        <v>2.2497936332410849E-3</v>
      </c>
      <c r="H42" s="43">
        <f>SUMIFS(Dataset!$AA:$AA,Dataset!$F:$F,Resumen!G$8,Dataset!$J:$J,"&gt;="&amp;$AC42,Dataset!$J:$J,"&lt;"&amp;$AD42,Dataset!$AH:$AH,"bono corporativo",Dataset!$T:$T,"&lt;&gt;UF",Dataset!$T:$T,"&lt;&gt;$",Dataset!$AC:$AC,"&lt;&gt;*AA*")</f>
        <v>1.7983088859118272E-3</v>
      </c>
      <c r="I42" s="42">
        <f>SUMIFS(Dataset!$AJ:$AJ,Dataset!$F:$F,Resumen!I$8,Dataset!$J:$J,"&gt;="&amp;$AC42,Dataset!$J:$J,"&lt;"&amp;$AD42,Dataset!$AH:$AH,"bono corporativo",Dataset!$T:$T,"&lt;&gt;UF",Dataset!$T:$T,"&lt;&gt;$",Dataset!$AC:$AC,"&lt;&gt;*AA*")</f>
        <v>-0.10746539119703115</v>
      </c>
      <c r="J42" s="43">
        <f>SUMIFS(Dataset!$AA:$AA,Dataset!$F:$F,Resumen!I$8,Dataset!$J:$J,"&gt;="&amp;$AC42,Dataset!$J:$J,"&lt;"&amp;$AD42,Dataset!$AH:$AH,"bono corporativo",Dataset!$T:$T,"&lt;&gt;UF",Dataset!$T:$T,"&lt;&gt;$",Dataset!$AC:$AC,"&lt;&gt;*AA*")</f>
        <v>6.2553096448891662E-2</v>
      </c>
      <c r="K42" s="42">
        <f>SUMIFS(Dataset!$AJ:$AJ,Dataset!$F:$F,Resumen!K$8,Dataset!$J:$J,"&gt;="&amp;$AC42,Dataset!$J:$J,"&lt;"&amp;$AD42,Dataset!$AH:$AH,"bono corporativo",Dataset!$T:$T,"&lt;&gt;UF",Dataset!$T:$T,"&lt;&gt;$",Dataset!$AC:$AC,"&lt;&gt;*AA*")</f>
        <v>0</v>
      </c>
      <c r="L42" s="43">
        <f>SUMIFS(Dataset!$AA:$AA,Dataset!$F:$F,Resumen!K$8,Dataset!$J:$J,"&gt;="&amp;$AC42,Dataset!$J:$J,"&lt;"&amp;$AD42,Dataset!$AH:$AH,"bono corporativo",Dataset!$T:$T,"&lt;&gt;UF",Dataset!$T:$T,"&lt;&gt;$",Dataset!$AC:$AC,"&lt;&gt;*AA*")</f>
        <v>0</v>
      </c>
      <c r="M42" s="42">
        <f>SUMIFS(Dataset!$AJ:$AJ,Dataset!$F:$F,Resumen!M$8,Dataset!$J:$J,"&gt;="&amp;$AC42,Dataset!$J:$J,"&lt;"&amp;$AD42,Dataset!$AH:$AH,"bono corporativo",Dataset!$T:$T,"&lt;&gt;UF",Dataset!$T:$T,"&lt;&gt;$",Dataset!$AC:$AC,"&lt;&gt;*AA*")</f>
        <v>1.3906110412917679E-2</v>
      </c>
      <c r="N42" s="43">
        <f>SUMIFS(Dataset!$AA:$AA,Dataset!$F:$F,Resumen!M$8,Dataset!$J:$J,"&gt;="&amp;$AC42,Dataset!$J:$J,"&lt;"&amp;$AD42,Dataset!$AH:$AH,"bono corporativo",Dataset!$T:$T,"&lt;&gt;UF",Dataset!$T:$T,"&lt;&gt;$",Dataset!$AC:$AC,"&lt;&gt;*AA*")</f>
        <v>7.2184987119953595E-2</v>
      </c>
      <c r="O42" s="42">
        <f>SUMIFS(Dataset!$AJ:$AJ,Dataset!$F:$F,Resumen!O$8,Dataset!$J:$J,"&gt;="&amp;$AC42,Dataset!$J:$J,"&lt;"&amp;$AD42,Dataset!$AH:$AH,"bono corporativo",Dataset!$T:$T,"&lt;&gt;UF",Dataset!$T:$T,"&lt;&gt;$",Dataset!$AC:$AC,"&lt;&gt;*AA*")</f>
        <v>0</v>
      </c>
      <c r="P42" s="43">
        <f>SUMIFS(Dataset!$AA:$AA,Dataset!$F:$F,Resumen!O$8,Dataset!$J:$J,"&gt;="&amp;$AC42,Dataset!$J:$J,"&lt;"&amp;$AD42,Dataset!$AH:$AH,"bono corporativo",Dataset!$T:$T,"&lt;&gt;UF",Dataset!$T:$T,"&lt;&gt;$",Dataset!$AC:$AC,"&lt;&gt;*AA*")</f>
        <v>0</v>
      </c>
      <c r="Q42" s="42">
        <f>SUMIFS(Dataset!$AJ:$AJ,Dataset!$F:$F,Resumen!Q$8,Dataset!$J:$J,"&gt;="&amp;$AC42,Dataset!$J:$J,"&lt;"&amp;$AD42,Dataset!$AH:$AH,"bono corporativo",Dataset!$T:$T,"&lt;&gt;UF",Dataset!$T:$T,"&lt;&gt;$",Dataset!$AC:$AC,"&lt;&gt;*AA*")</f>
        <v>0</v>
      </c>
      <c r="R42" s="43">
        <f>SUMIFS(Dataset!$AA:$AA,Dataset!$F:$F,Resumen!Q$8,Dataset!$J:$J,"&gt;="&amp;$AC42,Dataset!$J:$J,"&lt;"&amp;$AD42,Dataset!$AH:$AH,"bono corporativo",Dataset!$T:$T,"&lt;&gt;UF",Dataset!$T:$T,"&lt;&gt;$",Dataset!$AC:$AC,"&lt;&gt;*AA*")</f>
        <v>0</v>
      </c>
      <c r="S42" s="42">
        <f>SUMIFS(Dataset!$AJ:$AJ,Dataset!$F:$F,Resumen!S$8,Dataset!$J:$J,"&gt;="&amp;$AC42,Dataset!$J:$J,"&lt;"&amp;$AD42,Dataset!$AH:$AH,"bono corporativo",Dataset!$T:$T,"&lt;&gt;UF",Dataset!$T:$T,"&lt;&gt;$",Dataset!$AC:$AC,"&lt;&gt;*AA*")</f>
        <v>0</v>
      </c>
      <c r="T42" s="43">
        <f>SUMIFS(Dataset!$AA:$AA,Dataset!$F:$F,Resumen!S$8,Dataset!$J:$J,"&gt;="&amp;$AC42,Dataset!$J:$J,"&lt;"&amp;$AD42,Dataset!$AH:$AH,"bono corporativo",Dataset!$T:$T,"&lt;&gt;UF",Dataset!$T:$T,"&lt;&gt;$",Dataset!$AC:$AC,"&lt;&gt;*AA*")</f>
        <v>0</v>
      </c>
      <c r="U42" s="42">
        <f>SUMIFS(Dataset!$AJ:$AJ,Dataset!$F:$F,Resumen!U$8,Dataset!$J:$J,"&gt;="&amp;$AC42,Dataset!$J:$J,"&lt;"&amp;$AD42,Dataset!$AH:$AH,"bono corporativo",Dataset!$T:$T,"&lt;&gt;UF",Dataset!$T:$T,"&lt;&gt;$",Dataset!$AC:$AC,"&lt;&gt;*AA*")</f>
        <v>0</v>
      </c>
      <c r="V42" s="43">
        <f>SUMIFS(Dataset!$AA:$AA,Dataset!$F:$F,Resumen!U$8,Dataset!$J:$J,"&gt;="&amp;$AC42,Dataset!$J:$J,"&lt;"&amp;$AD42,Dataset!$AH:$AH,"bono corporativo",Dataset!$T:$T,"&lt;&gt;UF",Dataset!$T:$T,"&lt;&gt;$",Dataset!$AC:$AC,"&lt;&gt;*AA*")</f>
        <v>0</v>
      </c>
      <c r="W42" s="42">
        <f>SUMIFS(Dataset!$AJ:$AJ,Dataset!$F:$F,Resumen!W$8,Dataset!$J:$J,"&gt;="&amp;$AC42,Dataset!$J:$J,"&lt;"&amp;$AD42,Dataset!$AH:$AH,"bono corporativo",Dataset!$T:$T,"&lt;&gt;UF",Dataset!$T:$T,"&lt;&gt;$",Dataset!$AC:$AC,"&lt;&gt;*AA*")</f>
        <v>0</v>
      </c>
      <c r="X42" s="43">
        <f>SUMIFS(Dataset!$AA:$AA,Dataset!$F:$F,Resumen!W$8,Dataset!$J:$J,"&gt;="&amp;$AC42,Dataset!$J:$J,"&lt;"&amp;$AD42,Dataset!$AH:$AH,"bono corporativo",Dataset!$T:$T,"&lt;&gt;UF",Dataset!$T:$T,"&lt;&gt;$",Dataset!$AC:$AC,"&lt;&gt;*AA*")</f>
        <v>0</v>
      </c>
      <c r="Y42" s="42">
        <f>SUMIFS(Dataset!$AJ:$AJ,Dataset!$F:$F,Resumen!Y$8,Dataset!$J:$J,"&gt;="&amp;$AC42,Dataset!$J:$J,"&lt;"&amp;$AD42,Dataset!$AH:$AH,"bono corporativo",Dataset!$T:$T,"&lt;&gt;UF",Dataset!$T:$T,"&lt;&gt;$",Dataset!$AC:$AC,"&lt;&gt;*AA*")</f>
        <v>0</v>
      </c>
      <c r="Z42" s="43">
        <f>SUMIFS(Dataset!$AA:$AA,Dataset!$F:$F,Resumen!Y$8,Dataset!$J:$J,"&gt;="&amp;$AC42,Dataset!$J:$J,"&lt;"&amp;$AD42,Dataset!$AH:$AH,"bono corporativo",Dataset!$T:$T,"&lt;&gt;UF",Dataset!$T:$T,"&lt;&gt;$",Dataset!$AC:$AC,"&lt;&gt;*AA*")</f>
        <v>0</v>
      </c>
      <c r="AA42" s="42">
        <f>SUMIFS(Dataset!$AJ:$AJ,Dataset!$F:$F,Resumen!AA$8,Dataset!$J:$J,"&gt;="&amp;$AC42,Dataset!$J:$J,"&lt;"&amp;$AD42,Dataset!$AH:$AH,"bono corporativo",Dataset!$T:$T,"&lt;&gt;UF",Dataset!$T:$T,"&lt;&gt;$",Dataset!$AC:$AC,"&lt;&gt;*AA*")</f>
        <v>0</v>
      </c>
      <c r="AB42" s="43">
        <f>SUMIFS(Dataset!$AA:$AA,Dataset!$F:$F,Resumen!AA$8,Dataset!$J:$J,"&gt;="&amp;$AC42,Dataset!$J:$J,"&lt;"&amp;$AD42,Dataset!$AH:$AH,"bono corporativo",Dataset!$T:$T,"&lt;&gt;UF",Dataset!$T:$T,"&lt;&gt;$",Dataset!$AC:$AC,"&lt;&gt;*AA*")</f>
        <v>0</v>
      </c>
      <c r="AC42" s="31">
        <v>0</v>
      </c>
      <c r="AD42" s="31">
        <v>3</v>
      </c>
    </row>
    <row r="43" spans="2:30" ht="30" customHeight="1" x14ac:dyDescent="0.25">
      <c r="B43" s="207"/>
      <c r="C43" s="206"/>
      <c r="D43" s="51" t="s">
        <v>124</v>
      </c>
      <c r="E43" s="38">
        <f>SUMIFS(Dataset!$AJ:$AJ,Dataset!$F:$F,Resumen!E$8,Dataset!$J:$J,"&gt;="&amp;$AC43,Dataset!$J:$J,"&lt;"&amp;$AD43,Dataset!$AH:$AH,"bono corporativo",Dataset!$T:$T,"&lt;&gt;UF",Dataset!$T:$T,"&lt;&gt;$",Dataset!$AC:$AC,"&lt;&gt;*AA*")</f>
        <v>0</v>
      </c>
      <c r="F43" s="39">
        <f>SUMIFS(Dataset!$AA:$AA,Dataset!$F:$F,Resumen!E$8,Dataset!$J:$J,"&gt;="&amp;$AC43,Dataset!$J:$J,"&lt;"&amp;$AD43,Dataset!$AH:$AH,"bono corporativo",Dataset!$T:$T,"&lt;&gt;UF",Dataset!$T:$T,"&lt;&gt;$",Dataset!$AC:$AC,"&lt;&gt;*AA*")</f>
        <v>0</v>
      </c>
      <c r="G43" s="38">
        <f>SUMIFS(Dataset!$AJ:$AJ,Dataset!$F:$F,Resumen!G$8,Dataset!$J:$J,"&gt;="&amp;$AC43,Dataset!$J:$J,"&lt;"&amp;$AD43,Dataset!$AH:$AH,"bono corporativo",Dataset!$T:$T,"&lt;&gt;UF",Dataset!$T:$T,"&lt;&gt;$",Dataset!$AC:$AC,"&lt;&gt;*AA*")</f>
        <v>7.3502418887016006E-3</v>
      </c>
      <c r="H43" s="39">
        <f>SUMIFS(Dataset!$AA:$AA,Dataset!$F:$F,Resumen!G$8,Dataset!$J:$J,"&gt;="&amp;$AC43,Dataset!$J:$J,"&lt;"&amp;$AD43,Dataset!$AH:$AH,"bono corporativo",Dataset!$T:$T,"&lt;&gt;UF",Dataset!$T:$T,"&lt;&gt;$",Dataset!$AC:$AC,"&lt;&gt;*AA*")</f>
        <v>5.8752078887392761E-3</v>
      </c>
      <c r="I43" s="38">
        <f>SUMIFS(Dataset!$AJ:$AJ,Dataset!$F:$F,Resumen!I$8,Dataset!$J:$J,"&gt;="&amp;$AC43,Dataset!$J:$J,"&lt;"&amp;$AD43,Dataset!$AH:$AH,"bono corporativo",Dataset!$T:$T,"&lt;&gt;UF",Dataset!$T:$T,"&lt;&gt;$",Dataset!$AC:$AC,"&lt;&gt;*AA*")</f>
        <v>-6.8405133944297106E-2</v>
      </c>
      <c r="J43" s="39">
        <f>SUMIFS(Dataset!$AA:$AA,Dataset!$F:$F,Resumen!I$8,Dataset!$J:$J,"&gt;="&amp;$AC43,Dataset!$J:$J,"&lt;"&amp;$AD43,Dataset!$AH:$AH,"bono corporativo",Dataset!$T:$T,"&lt;&gt;UF",Dataset!$T:$T,"&lt;&gt;$",Dataset!$AC:$AC,"&lt;&gt;*AA*")</f>
        <v>0.11178638371229892</v>
      </c>
      <c r="K43" s="38">
        <f>SUMIFS(Dataset!$AJ:$AJ,Dataset!$F:$F,Resumen!K$8,Dataset!$J:$J,"&gt;="&amp;$AC43,Dataset!$J:$J,"&lt;"&amp;$AD43,Dataset!$AH:$AH,"bono corporativo",Dataset!$T:$T,"&lt;&gt;UF",Dataset!$T:$T,"&lt;&gt;$",Dataset!$AC:$AC,"&lt;&gt;*AA*")</f>
        <v>0</v>
      </c>
      <c r="L43" s="39">
        <f>SUMIFS(Dataset!$AA:$AA,Dataset!$F:$F,Resumen!K$8,Dataset!$J:$J,"&gt;="&amp;$AC43,Dataset!$J:$J,"&lt;"&amp;$AD43,Dataset!$AH:$AH,"bono corporativo",Dataset!$T:$T,"&lt;&gt;UF",Dataset!$T:$T,"&lt;&gt;$",Dataset!$AC:$AC,"&lt;&gt;*AA*")</f>
        <v>0</v>
      </c>
      <c r="M43" s="38">
        <f>SUMIFS(Dataset!$AJ:$AJ,Dataset!$F:$F,Resumen!M$8,Dataset!$J:$J,"&gt;="&amp;$AC43,Dataset!$J:$J,"&lt;"&amp;$AD43,Dataset!$AH:$AH,"bono corporativo",Dataset!$T:$T,"&lt;&gt;UF",Dataset!$T:$T,"&lt;&gt;$",Dataset!$AC:$AC,"&lt;&gt;*AA*")</f>
        <v>1.5089084484267535E-2</v>
      </c>
      <c r="N43" s="39">
        <f>SUMIFS(Dataset!$AA:$AA,Dataset!$F:$F,Resumen!M$8,Dataset!$J:$J,"&gt;="&amp;$AC43,Dataset!$J:$J,"&lt;"&amp;$AD43,Dataset!$AH:$AH,"bono corporativo",Dataset!$T:$T,"&lt;&gt;UF",Dataset!$T:$T,"&lt;&gt;$",Dataset!$AC:$AC,"&lt;&gt;*AA*")</f>
        <v>7.8325666689440201E-2</v>
      </c>
      <c r="O43" s="38">
        <f>SUMIFS(Dataset!$AJ:$AJ,Dataset!$F:$F,Resumen!O$8,Dataset!$J:$J,"&gt;="&amp;$AC43,Dataset!$J:$J,"&lt;"&amp;$AD43,Dataset!$AH:$AH,"bono corporativo",Dataset!$T:$T,"&lt;&gt;UF",Dataset!$T:$T,"&lt;&gt;$",Dataset!$AC:$AC,"&lt;&gt;*AA*")</f>
        <v>0</v>
      </c>
      <c r="P43" s="39">
        <f>SUMIFS(Dataset!$AA:$AA,Dataset!$F:$F,Resumen!O$8,Dataset!$J:$J,"&gt;="&amp;$AC43,Dataset!$J:$J,"&lt;"&amp;$AD43,Dataset!$AH:$AH,"bono corporativo",Dataset!$T:$T,"&lt;&gt;UF",Dataset!$T:$T,"&lt;&gt;$",Dataset!$AC:$AC,"&lt;&gt;*AA*")</f>
        <v>0</v>
      </c>
      <c r="Q43" s="38">
        <f>SUMIFS(Dataset!$AJ:$AJ,Dataset!$F:$F,Resumen!Q$8,Dataset!$J:$J,"&gt;="&amp;$AC43,Dataset!$J:$J,"&lt;"&amp;$AD43,Dataset!$AH:$AH,"bono corporativo",Dataset!$T:$T,"&lt;&gt;UF",Dataset!$T:$T,"&lt;&gt;$",Dataset!$AC:$AC,"&lt;&gt;*AA*")</f>
        <v>0</v>
      </c>
      <c r="R43" s="39">
        <f>SUMIFS(Dataset!$AA:$AA,Dataset!$F:$F,Resumen!Q$8,Dataset!$J:$J,"&gt;="&amp;$AC43,Dataset!$J:$J,"&lt;"&amp;$AD43,Dataset!$AH:$AH,"bono corporativo",Dataset!$T:$T,"&lt;&gt;UF",Dataset!$T:$T,"&lt;&gt;$",Dataset!$AC:$AC,"&lt;&gt;*AA*")</f>
        <v>0</v>
      </c>
      <c r="S43" s="38">
        <f>SUMIFS(Dataset!$AJ:$AJ,Dataset!$F:$F,Resumen!S$8,Dataset!$J:$J,"&gt;="&amp;$AC43,Dataset!$J:$J,"&lt;"&amp;$AD43,Dataset!$AH:$AH,"bono corporativo",Dataset!$T:$T,"&lt;&gt;UF",Dataset!$T:$T,"&lt;&gt;$",Dataset!$AC:$AC,"&lt;&gt;*AA*")</f>
        <v>0</v>
      </c>
      <c r="T43" s="39">
        <f>SUMIFS(Dataset!$AA:$AA,Dataset!$F:$F,Resumen!S$8,Dataset!$J:$J,"&gt;="&amp;$AC43,Dataset!$J:$J,"&lt;"&amp;$AD43,Dataset!$AH:$AH,"bono corporativo",Dataset!$T:$T,"&lt;&gt;UF",Dataset!$T:$T,"&lt;&gt;$",Dataset!$AC:$AC,"&lt;&gt;*AA*")</f>
        <v>0</v>
      </c>
      <c r="U43" s="38">
        <f>SUMIFS(Dataset!$AJ:$AJ,Dataset!$F:$F,Resumen!U$8,Dataset!$J:$J,"&gt;="&amp;$AC43,Dataset!$J:$J,"&lt;"&amp;$AD43,Dataset!$AH:$AH,"bono corporativo",Dataset!$T:$T,"&lt;&gt;UF",Dataset!$T:$T,"&lt;&gt;$",Dataset!$AC:$AC,"&lt;&gt;*AA*")</f>
        <v>0</v>
      </c>
      <c r="V43" s="39">
        <f>SUMIFS(Dataset!$AA:$AA,Dataset!$F:$F,Resumen!U$8,Dataset!$J:$J,"&gt;="&amp;$AC43,Dataset!$J:$J,"&lt;"&amp;$AD43,Dataset!$AH:$AH,"bono corporativo",Dataset!$T:$T,"&lt;&gt;UF",Dataset!$T:$T,"&lt;&gt;$",Dataset!$AC:$AC,"&lt;&gt;*AA*")</f>
        <v>0</v>
      </c>
      <c r="W43" s="38">
        <f>SUMIFS(Dataset!$AJ:$AJ,Dataset!$F:$F,Resumen!W$8,Dataset!$J:$J,"&gt;="&amp;$AC43,Dataset!$J:$J,"&lt;"&amp;$AD43,Dataset!$AH:$AH,"bono corporativo",Dataset!$T:$T,"&lt;&gt;UF",Dataset!$T:$T,"&lt;&gt;$",Dataset!$AC:$AC,"&lt;&gt;*AA*")</f>
        <v>0</v>
      </c>
      <c r="X43" s="39">
        <f>SUMIFS(Dataset!$AA:$AA,Dataset!$F:$F,Resumen!W$8,Dataset!$J:$J,"&gt;="&amp;$AC43,Dataset!$J:$J,"&lt;"&amp;$AD43,Dataset!$AH:$AH,"bono corporativo",Dataset!$T:$T,"&lt;&gt;UF",Dataset!$T:$T,"&lt;&gt;$",Dataset!$AC:$AC,"&lt;&gt;*AA*")</f>
        <v>0</v>
      </c>
      <c r="Y43" s="38">
        <f>SUMIFS(Dataset!$AJ:$AJ,Dataset!$F:$F,Resumen!Y$8,Dataset!$J:$J,"&gt;="&amp;$AC43,Dataset!$J:$J,"&lt;"&amp;$AD43,Dataset!$AH:$AH,"bono corporativo",Dataset!$T:$T,"&lt;&gt;UF",Dataset!$T:$T,"&lt;&gt;$",Dataset!$AC:$AC,"&lt;&gt;*AA*")</f>
        <v>0</v>
      </c>
      <c r="Z43" s="39">
        <f>SUMIFS(Dataset!$AA:$AA,Dataset!$F:$F,Resumen!Y$8,Dataset!$J:$J,"&gt;="&amp;$AC43,Dataset!$J:$J,"&lt;"&amp;$AD43,Dataset!$AH:$AH,"bono corporativo",Dataset!$T:$T,"&lt;&gt;UF",Dataset!$T:$T,"&lt;&gt;$",Dataset!$AC:$AC,"&lt;&gt;*AA*")</f>
        <v>0</v>
      </c>
      <c r="AA43" s="38">
        <f>SUMIFS(Dataset!$AJ:$AJ,Dataset!$F:$F,Resumen!AA$8,Dataset!$J:$J,"&gt;="&amp;$AC43,Dataset!$J:$J,"&lt;"&amp;$AD43,Dataset!$AH:$AH,"bono corporativo",Dataset!$T:$T,"&lt;&gt;UF",Dataset!$T:$T,"&lt;&gt;$",Dataset!$AC:$AC,"&lt;&gt;*AA*")</f>
        <v>0</v>
      </c>
      <c r="AB43" s="39">
        <f>SUMIFS(Dataset!$AA:$AA,Dataset!$F:$F,Resumen!AA$8,Dataset!$J:$J,"&gt;="&amp;$AC43,Dataset!$J:$J,"&lt;"&amp;$AD43,Dataset!$AH:$AH,"bono corporativo",Dataset!$T:$T,"&lt;&gt;UF",Dataset!$T:$T,"&lt;&gt;$",Dataset!$AC:$AC,"&lt;&gt;*AA*")</f>
        <v>0</v>
      </c>
      <c r="AC43" s="31">
        <v>3</v>
      </c>
      <c r="AD43" s="31">
        <v>5</v>
      </c>
    </row>
    <row r="44" spans="2:30" ht="30" customHeight="1" x14ac:dyDescent="0.25">
      <c r="B44" s="207"/>
      <c r="C44" s="206"/>
      <c r="D44" s="51" t="s">
        <v>125</v>
      </c>
      <c r="E44" s="38">
        <f>SUMIFS(Dataset!$AJ:$AJ,Dataset!$F:$F,Resumen!E$8,Dataset!$J:$J,"&gt;="&amp;$AC44,Dataset!$J:$J,"&lt;"&amp;$AD44,Dataset!$AH:$AH,"bono corporativo",Dataset!$T:$T,"&lt;&gt;UF",Dataset!$T:$T,"&lt;&gt;$",Dataset!$AC:$AC,"&lt;&gt;*AA*")</f>
        <v>0</v>
      </c>
      <c r="F44" s="39">
        <f>SUMIFS(Dataset!$AA:$AA,Dataset!$F:$F,Resumen!E$8,Dataset!$J:$J,"&gt;="&amp;$AC44,Dataset!$J:$J,"&lt;"&amp;$AD44,Dataset!$AH:$AH,"bono corporativo",Dataset!$T:$T,"&lt;&gt;UF",Dataset!$T:$T,"&lt;&gt;$",Dataset!$AC:$AC,"&lt;&gt;*AA*")</f>
        <v>0</v>
      </c>
      <c r="G44" s="38">
        <f>SUMIFS(Dataset!$AJ:$AJ,Dataset!$F:$F,Resumen!G$8,Dataset!$J:$J,"&gt;="&amp;$AC44,Dataset!$J:$J,"&lt;"&amp;$AD44,Dataset!$AH:$AH,"bono corporativo",Dataset!$T:$T,"&lt;&gt;UF",Dataset!$T:$T,"&lt;&gt;$",Dataset!$AC:$AC,"&lt;&gt;*AA*")</f>
        <v>1.971877949133477E-2</v>
      </c>
      <c r="H44" s="39">
        <f>SUMIFS(Dataset!$AA:$AA,Dataset!$F:$F,Resumen!G$8,Dataset!$J:$J,"&gt;="&amp;$AC44,Dataset!$J:$J,"&lt;"&amp;$AD44,Dataset!$AH:$AH,"bono corporativo",Dataset!$T:$T,"&lt;&gt;UF",Dataset!$T:$T,"&lt;&gt;$",Dataset!$AC:$AC,"&lt;&gt;*AA*")</f>
        <v>1.5761648470628116E-2</v>
      </c>
      <c r="I44" s="38">
        <f>SUMIFS(Dataset!$AJ:$AJ,Dataset!$F:$F,Resumen!I$8,Dataset!$J:$J,"&gt;="&amp;$AC44,Dataset!$J:$J,"&lt;"&amp;$AD44,Dataset!$AH:$AH,"bono corporativo",Dataset!$T:$T,"&lt;&gt;UF",Dataset!$T:$T,"&lt;&gt;$",Dataset!$AC:$AC,"&lt;&gt;*AA*")</f>
        <v>9.4649707970333619E-2</v>
      </c>
      <c r="J44" s="39">
        <f>SUMIFS(Dataset!$AA:$AA,Dataset!$F:$F,Resumen!I$8,Dataset!$J:$J,"&gt;="&amp;$AC44,Dataset!$J:$J,"&lt;"&amp;$AD44,Dataset!$AH:$AH,"bono corporativo",Dataset!$T:$T,"&lt;&gt;UF",Dataset!$T:$T,"&lt;&gt;$",Dataset!$AC:$AC,"&lt;&gt;*AA*")</f>
        <v>6.5630591705862107E-2</v>
      </c>
      <c r="K44" s="38">
        <f>SUMIFS(Dataset!$AJ:$AJ,Dataset!$F:$F,Resumen!K$8,Dataset!$J:$J,"&gt;="&amp;$AC44,Dataset!$J:$J,"&lt;"&amp;$AD44,Dataset!$AH:$AH,"bono corporativo",Dataset!$T:$T,"&lt;&gt;UF",Dataset!$T:$T,"&lt;&gt;$",Dataset!$AC:$AC,"&lt;&gt;*AA*")</f>
        <v>0</v>
      </c>
      <c r="L44" s="39">
        <f>SUMIFS(Dataset!$AA:$AA,Dataset!$F:$F,Resumen!K$8,Dataset!$J:$J,"&gt;="&amp;$AC44,Dataset!$J:$J,"&lt;"&amp;$AD44,Dataset!$AH:$AH,"bono corporativo",Dataset!$T:$T,"&lt;&gt;UF",Dataset!$T:$T,"&lt;&gt;$",Dataset!$AC:$AC,"&lt;&gt;*AA*")</f>
        <v>0</v>
      </c>
      <c r="M44" s="38">
        <f>SUMIFS(Dataset!$AJ:$AJ,Dataset!$F:$F,Resumen!M$8,Dataset!$J:$J,"&gt;="&amp;$AC44,Dataset!$J:$J,"&lt;"&amp;$AD44,Dataset!$AH:$AH,"bono corporativo",Dataset!$T:$T,"&lt;&gt;UF",Dataset!$T:$T,"&lt;&gt;$",Dataset!$AC:$AC,"&lt;&gt;*AA*")</f>
        <v>2.0677283002998668E-2</v>
      </c>
      <c r="N44" s="39">
        <f>SUMIFS(Dataset!$AA:$AA,Dataset!$F:$F,Resumen!M$8,Dataset!$J:$J,"&gt;="&amp;$AC44,Dataset!$J:$J,"&lt;"&amp;$AD44,Dataset!$AH:$AH,"bono corporativo",Dataset!$T:$T,"&lt;&gt;UF",Dataset!$T:$T,"&lt;&gt;$",Dataset!$AC:$AC,"&lt;&gt;*AA*")</f>
        <v>0.10733334936421882</v>
      </c>
      <c r="O44" s="38">
        <f>SUMIFS(Dataset!$AJ:$AJ,Dataset!$F:$F,Resumen!O$8,Dataset!$J:$J,"&gt;="&amp;$AC44,Dataset!$J:$J,"&lt;"&amp;$AD44,Dataset!$AH:$AH,"bono corporativo",Dataset!$T:$T,"&lt;&gt;UF",Dataset!$T:$T,"&lt;&gt;$",Dataset!$AC:$AC,"&lt;&gt;*AA*")</f>
        <v>0</v>
      </c>
      <c r="P44" s="39">
        <f>SUMIFS(Dataset!$AA:$AA,Dataset!$F:$F,Resumen!O$8,Dataset!$J:$J,"&gt;="&amp;$AC44,Dataset!$J:$J,"&lt;"&amp;$AD44,Dataset!$AH:$AH,"bono corporativo",Dataset!$T:$T,"&lt;&gt;UF",Dataset!$T:$T,"&lt;&gt;$",Dataset!$AC:$AC,"&lt;&gt;*AA*")</f>
        <v>0</v>
      </c>
      <c r="Q44" s="38">
        <f>SUMIFS(Dataset!$AJ:$AJ,Dataset!$F:$F,Resumen!Q$8,Dataset!$J:$J,"&gt;="&amp;$AC44,Dataset!$J:$J,"&lt;"&amp;$AD44,Dataset!$AH:$AH,"bono corporativo",Dataset!$T:$T,"&lt;&gt;UF",Dataset!$T:$T,"&lt;&gt;$",Dataset!$AC:$AC,"&lt;&gt;*AA*")</f>
        <v>0</v>
      </c>
      <c r="R44" s="39">
        <f>SUMIFS(Dataset!$AA:$AA,Dataset!$F:$F,Resumen!Q$8,Dataset!$J:$J,"&gt;="&amp;$AC44,Dataset!$J:$J,"&lt;"&amp;$AD44,Dataset!$AH:$AH,"bono corporativo",Dataset!$T:$T,"&lt;&gt;UF",Dataset!$T:$T,"&lt;&gt;$",Dataset!$AC:$AC,"&lt;&gt;*AA*")</f>
        <v>0</v>
      </c>
      <c r="S44" s="38">
        <f>SUMIFS(Dataset!$AJ:$AJ,Dataset!$F:$F,Resumen!S$8,Dataset!$J:$J,"&gt;="&amp;$AC44,Dataset!$J:$J,"&lt;"&amp;$AD44,Dataset!$AH:$AH,"bono corporativo",Dataset!$T:$T,"&lt;&gt;UF",Dataset!$T:$T,"&lt;&gt;$",Dataset!$AC:$AC,"&lt;&gt;*AA*")</f>
        <v>0</v>
      </c>
      <c r="T44" s="39">
        <f>SUMIFS(Dataset!$AA:$AA,Dataset!$F:$F,Resumen!S$8,Dataset!$J:$J,"&gt;="&amp;$AC44,Dataset!$J:$J,"&lt;"&amp;$AD44,Dataset!$AH:$AH,"bono corporativo",Dataset!$T:$T,"&lt;&gt;UF",Dataset!$T:$T,"&lt;&gt;$",Dataset!$AC:$AC,"&lt;&gt;*AA*")</f>
        <v>0</v>
      </c>
      <c r="U44" s="38">
        <f>SUMIFS(Dataset!$AJ:$AJ,Dataset!$F:$F,Resumen!U$8,Dataset!$J:$J,"&gt;="&amp;$AC44,Dataset!$J:$J,"&lt;"&amp;$AD44,Dataset!$AH:$AH,"bono corporativo",Dataset!$T:$T,"&lt;&gt;UF",Dataset!$T:$T,"&lt;&gt;$",Dataset!$AC:$AC,"&lt;&gt;*AA*")</f>
        <v>0</v>
      </c>
      <c r="V44" s="39">
        <f>SUMIFS(Dataset!$AA:$AA,Dataset!$F:$F,Resumen!U$8,Dataset!$J:$J,"&gt;="&amp;$AC44,Dataset!$J:$J,"&lt;"&amp;$AD44,Dataset!$AH:$AH,"bono corporativo",Dataset!$T:$T,"&lt;&gt;UF",Dataset!$T:$T,"&lt;&gt;$",Dataset!$AC:$AC,"&lt;&gt;*AA*")</f>
        <v>0</v>
      </c>
      <c r="W44" s="38">
        <f>SUMIFS(Dataset!$AJ:$AJ,Dataset!$F:$F,Resumen!W$8,Dataset!$J:$J,"&gt;="&amp;$AC44,Dataset!$J:$J,"&lt;"&amp;$AD44,Dataset!$AH:$AH,"bono corporativo",Dataset!$T:$T,"&lt;&gt;UF",Dataset!$T:$T,"&lt;&gt;$",Dataset!$AC:$AC,"&lt;&gt;*AA*")</f>
        <v>0</v>
      </c>
      <c r="X44" s="39">
        <f>SUMIFS(Dataset!$AA:$AA,Dataset!$F:$F,Resumen!W$8,Dataset!$J:$J,"&gt;="&amp;$AC44,Dataset!$J:$J,"&lt;"&amp;$AD44,Dataset!$AH:$AH,"bono corporativo",Dataset!$T:$T,"&lt;&gt;UF",Dataset!$T:$T,"&lt;&gt;$",Dataset!$AC:$AC,"&lt;&gt;*AA*")</f>
        <v>0</v>
      </c>
      <c r="Y44" s="38">
        <f>SUMIFS(Dataset!$AJ:$AJ,Dataset!$F:$F,Resumen!Y$8,Dataset!$J:$J,"&gt;="&amp;$AC44,Dataset!$J:$J,"&lt;"&amp;$AD44,Dataset!$AH:$AH,"bono corporativo",Dataset!$T:$T,"&lt;&gt;UF",Dataset!$T:$T,"&lt;&gt;$",Dataset!$AC:$AC,"&lt;&gt;*AA*")</f>
        <v>0</v>
      </c>
      <c r="Z44" s="39">
        <f>SUMIFS(Dataset!$AA:$AA,Dataset!$F:$F,Resumen!Y$8,Dataset!$J:$J,"&gt;="&amp;$AC44,Dataset!$J:$J,"&lt;"&amp;$AD44,Dataset!$AH:$AH,"bono corporativo",Dataset!$T:$T,"&lt;&gt;UF",Dataset!$T:$T,"&lt;&gt;$",Dataset!$AC:$AC,"&lt;&gt;*AA*")</f>
        <v>0</v>
      </c>
      <c r="AA44" s="38">
        <f>SUMIFS(Dataset!$AJ:$AJ,Dataset!$F:$F,Resumen!AA$8,Dataset!$J:$J,"&gt;="&amp;$AC44,Dataset!$J:$J,"&lt;"&amp;$AD44,Dataset!$AH:$AH,"bono corporativo",Dataset!$T:$T,"&lt;&gt;UF",Dataset!$T:$T,"&lt;&gt;$",Dataset!$AC:$AC,"&lt;&gt;*AA*")</f>
        <v>0</v>
      </c>
      <c r="AB44" s="39">
        <f>SUMIFS(Dataset!$AA:$AA,Dataset!$F:$F,Resumen!AA$8,Dataset!$J:$J,"&gt;="&amp;$AC44,Dataset!$J:$J,"&lt;"&amp;$AD44,Dataset!$AH:$AH,"bono corporativo",Dataset!$T:$T,"&lt;&gt;UF",Dataset!$T:$T,"&lt;&gt;$",Dataset!$AC:$AC,"&lt;&gt;*AA*")</f>
        <v>0</v>
      </c>
      <c r="AC44" s="31">
        <v>5</v>
      </c>
      <c r="AD44" s="31">
        <v>10</v>
      </c>
    </row>
    <row r="45" spans="2:30" ht="30" customHeight="1" x14ac:dyDescent="0.25">
      <c r="B45" s="207"/>
      <c r="C45" s="206"/>
      <c r="D45" s="51" t="s">
        <v>126</v>
      </c>
      <c r="E45" s="40">
        <f>SUMIFS(Dataset!$AJ:$AJ,Dataset!$F:$F,Resumen!E$8,Dataset!$J:$J,"&gt;="&amp;$AC45,Dataset!$J:$J,"&lt;"&amp;$AD45,Dataset!$AH:$AH,"bono corporativo",Dataset!$T:$T,"&lt;&gt;UF",Dataset!$T:$T,"&lt;&gt;$",Dataset!$AC:$AC,"&lt;&gt;*AA*")</f>
        <v>0</v>
      </c>
      <c r="F45" s="41">
        <f>SUMIFS(Dataset!$AA:$AA,Dataset!$F:$F,Resumen!E$8,Dataset!$J:$J,"&gt;="&amp;$AC45,Dataset!$J:$J,"&lt;"&amp;$AD45,Dataset!$AH:$AH,"bono corporativo",Dataset!$T:$T,"&lt;&gt;UF",Dataset!$T:$T,"&lt;&gt;$",Dataset!$AC:$AC,"&lt;&gt;*AA*")</f>
        <v>0</v>
      </c>
      <c r="G45" s="40">
        <f>SUMIFS(Dataset!$AJ:$AJ,Dataset!$F:$F,Resumen!G$8,Dataset!$J:$J,"&gt;="&amp;$AC45,Dataset!$J:$J,"&lt;"&amp;$AD45,Dataset!$AH:$AH,"bono corporativo",Dataset!$T:$T,"&lt;&gt;UF",Dataset!$T:$T,"&lt;&gt;$",Dataset!$AC:$AC,"&lt;&gt;*AA*")</f>
        <v>1.9511710731977266E-3</v>
      </c>
      <c r="H45" s="41">
        <f>SUMIFS(Dataset!$AA:$AA,Dataset!$F:$F,Resumen!G$8,Dataset!$J:$J,"&gt;="&amp;$AC45,Dataset!$J:$J,"&lt;"&amp;$AD45,Dataset!$AH:$AH,"bono corporativo",Dataset!$T:$T,"&lt;&gt;UF",Dataset!$T:$T,"&lt;&gt;$",Dataset!$AC:$AC,"&lt;&gt;*AA*")</f>
        <v>1.5596133916561709E-3</v>
      </c>
      <c r="I45" s="40">
        <f>SUMIFS(Dataset!$AJ:$AJ,Dataset!$F:$F,Resumen!I$8,Dataset!$J:$J,"&gt;="&amp;$AC45,Dataset!$J:$J,"&lt;"&amp;$AD45,Dataset!$AH:$AH,"bono corporativo",Dataset!$T:$T,"&lt;&gt;UF",Dataset!$T:$T,"&lt;&gt;$",Dataset!$AC:$AC,"&lt;&gt;*AA*")</f>
        <v>-0.12433526166177913</v>
      </c>
      <c r="J45" s="41">
        <f>SUMIFS(Dataset!$AA:$AA,Dataset!$F:$F,Resumen!I$8,Dataset!$J:$J,"&gt;="&amp;$AC45,Dataset!$J:$J,"&lt;"&amp;$AD45,Dataset!$AH:$AH,"bono corporativo",Dataset!$T:$T,"&lt;&gt;UF",Dataset!$T:$T,"&lt;&gt;$",Dataset!$AC:$AC,"&lt;&gt;*AA*")</f>
        <v>0.90599709408490137</v>
      </c>
      <c r="K45" s="40">
        <f>SUMIFS(Dataset!$AJ:$AJ,Dataset!$F:$F,Resumen!K$8,Dataset!$J:$J,"&gt;="&amp;$AC45,Dataset!$J:$J,"&lt;"&amp;$AD45,Dataset!$AH:$AH,"bono corporativo",Dataset!$T:$T,"&lt;&gt;UF",Dataset!$T:$T,"&lt;&gt;$",Dataset!$AC:$AC,"&lt;&gt;*AA*")</f>
        <v>0</v>
      </c>
      <c r="L45" s="41">
        <f>SUMIFS(Dataset!$AA:$AA,Dataset!$F:$F,Resumen!K$8,Dataset!$J:$J,"&gt;="&amp;$AC45,Dataset!$J:$J,"&lt;"&amp;$AD45,Dataset!$AH:$AH,"bono corporativo",Dataset!$T:$T,"&lt;&gt;UF",Dataset!$T:$T,"&lt;&gt;$",Dataset!$AC:$AC,"&lt;&gt;*AA*")</f>
        <v>0</v>
      </c>
      <c r="M45" s="40">
        <f>SUMIFS(Dataset!$AJ:$AJ,Dataset!$F:$F,Resumen!M$8,Dataset!$J:$J,"&gt;="&amp;$AC45,Dataset!$J:$J,"&lt;"&amp;$AD45,Dataset!$AH:$AH,"bono corporativo",Dataset!$T:$T,"&lt;&gt;UF",Dataset!$T:$T,"&lt;&gt;$",Dataset!$AC:$AC,"&lt;&gt;*AA*")</f>
        <v>0</v>
      </c>
      <c r="N45" s="41">
        <f>SUMIFS(Dataset!$AA:$AA,Dataset!$F:$F,Resumen!M$8,Dataset!$J:$J,"&gt;="&amp;$AC45,Dataset!$J:$J,"&lt;"&amp;$AD45,Dataset!$AH:$AH,"bono corporativo",Dataset!$T:$T,"&lt;&gt;UF",Dataset!$T:$T,"&lt;&gt;$",Dataset!$AC:$AC,"&lt;&gt;*AA*")</f>
        <v>0</v>
      </c>
      <c r="O45" s="40">
        <f>SUMIFS(Dataset!$AJ:$AJ,Dataset!$F:$F,Resumen!O$8,Dataset!$J:$J,"&gt;="&amp;$AC45,Dataset!$J:$J,"&lt;"&amp;$AD45,Dataset!$AH:$AH,"bono corporativo",Dataset!$T:$T,"&lt;&gt;UF",Dataset!$T:$T,"&lt;&gt;$",Dataset!$AC:$AC,"&lt;&gt;*AA*")</f>
        <v>0</v>
      </c>
      <c r="P45" s="41">
        <f>SUMIFS(Dataset!$AA:$AA,Dataset!$F:$F,Resumen!O$8,Dataset!$J:$J,"&gt;="&amp;$AC45,Dataset!$J:$J,"&lt;"&amp;$AD45,Dataset!$AH:$AH,"bono corporativo",Dataset!$T:$T,"&lt;&gt;UF",Dataset!$T:$T,"&lt;&gt;$",Dataset!$AC:$AC,"&lt;&gt;*AA*")</f>
        <v>0</v>
      </c>
      <c r="Q45" s="40">
        <f>SUMIFS(Dataset!$AJ:$AJ,Dataset!$F:$F,Resumen!Q$8,Dataset!$J:$J,"&gt;="&amp;$AC45,Dataset!$J:$J,"&lt;"&amp;$AD45,Dataset!$AH:$AH,"bono corporativo",Dataset!$T:$T,"&lt;&gt;UF",Dataset!$T:$T,"&lt;&gt;$",Dataset!$AC:$AC,"&lt;&gt;*AA*")</f>
        <v>0</v>
      </c>
      <c r="R45" s="41">
        <f>SUMIFS(Dataset!$AA:$AA,Dataset!$F:$F,Resumen!Q$8,Dataset!$J:$J,"&gt;="&amp;$AC45,Dataset!$J:$J,"&lt;"&amp;$AD45,Dataset!$AH:$AH,"bono corporativo",Dataset!$T:$T,"&lt;&gt;UF",Dataset!$T:$T,"&lt;&gt;$",Dataset!$AC:$AC,"&lt;&gt;*AA*")</f>
        <v>0</v>
      </c>
      <c r="S45" s="40">
        <f>SUMIFS(Dataset!$AJ:$AJ,Dataset!$F:$F,Resumen!S$8,Dataset!$J:$J,"&gt;="&amp;$AC45,Dataset!$J:$J,"&lt;"&amp;$AD45,Dataset!$AH:$AH,"bono corporativo",Dataset!$T:$T,"&lt;&gt;UF",Dataset!$T:$T,"&lt;&gt;$",Dataset!$AC:$AC,"&lt;&gt;*AA*")</f>
        <v>0</v>
      </c>
      <c r="T45" s="41">
        <f>SUMIFS(Dataset!$AA:$AA,Dataset!$F:$F,Resumen!S$8,Dataset!$J:$J,"&gt;="&amp;$AC45,Dataset!$J:$J,"&lt;"&amp;$AD45,Dataset!$AH:$AH,"bono corporativo",Dataset!$T:$T,"&lt;&gt;UF",Dataset!$T:$T,"&lt;&gt;$",Dataset!$AC:$AC,"&lt;&gt;*AA*")</f>
        <v>0</v>
      </c>
      <c r="U45" s="40">
        <f>SUMIFS(Dataset!$AJ:$AJ,Dataset!$F:$F,Resumen!U$8,Dataset!$J:$J,"&gt;="&amp;$AC45,Dataset!$J:$J,"&lt;"&amp;$AD45,Dataset!$AH:$AH,"bono corporativo",Dataset!$T:$T,"&lt;&gt;UF",Dataset!$T:$T,"&lt;&gt;$",Dataset!$AC:$AC,"&lt;&gt;*AA*")</f>
        <v>0</v>
      </c>
      <c r="V45" s="41">
        <f>SUMIFS(Dataset!$AA:$AA,Dataset!$F:$F,Resumen!U$8,Dataset!$J:$J,"&gt;="&amp;$AC45,Dataset!$J:$J,"&lt;"&amp;$AD45,Dataset!$AH:$AH,"bono corporativo",Dataset!$T:$T,"&lt;&gt;UF",Dataset!$T:$T,"&lt;&gt;$",Dataset!$AC:$AC,"&lt;&gt;*AA*")</f>
        <v>0</v>
      </c>
      <c r="W45" s="40">
        <f>SUMIFS(Dataset!$AJ:$AJ,Dataset!$F:$F,Resumen!W$8,Dataset!$J:$J,"&gt;="&amp;$AC45,Dataset!$J:$J,"&lt;"&amp;$AD45,Dataset!$AH:$AH,"bono corporativo",Dataset!$T:$T,"&lt;&gt;UF",Dataset!$T:$T,"&lt;&gt;$",Dataset!$AC:$AC,"&lt;&gt;*AA*")</f>
        <v>0</v>
      </c>
      <c r="X45" s="41">
        <f>SUMIFS(Dataset!$AA:$AA,Dataset!$F:$F,Resumen!W$8,Dataset!$J:$J,"&gt;="&amp;$AC45,Dataset!$J:$J,"&lt;"&amp;$AD45,Dataset!$AH:$AH,"bono corporativo",Dataset!$T:$T,"&lt;&gt;UF",Dataset!$T:$T,"&lt;&gt;$",Dataset!$AC:$AC,"&lt;&gt;*AA*")</f>
        <v>0</v>
      </c>
      <c r="Y45" s="40">
        <f>SUMIFS(Dataset!$AJ:$AJ,Dataset!$F:$F,Resumen!Y$8,Dataset!$J:$J,"&gt;="&amp;$AC45,Dataset!$J:$J,"&lt;"&amp;$AD45,Dataset!$AH:$AH,"bono corporativo",Dataset!$T:$T,"&lt;&gt;UF",Dataset!$T:$T,"&lt;&gt;$",Dataset!$AC:$AC,"&lt;&gt;*AA*")</f>
        <v>0</v>
      </c>
      <c r="Z45" s="41">
        <f>SUMIFS(Dataset!$AA:$AA,Dataset!$F:$F,Resumen!Y$8,Dataset!$J:$J,"&gt;="&amp;$AC45,Dataset!$J:$J,"&lt;"&amp;$AD45,Dataset!$AH:$AH,"bono corporativo",Dataset!$T:$T,"&lt;&gt;UF",Dataset!$T:$T,"&lt;&gt;$",Dataset!$AC:$AC,"&lt;&gt;*AA*")</f>
        <v>0</v>
      </c>
      <c r="AA45" s="40">
        <f>SUMIFS(Dataset!$AJ:$AJ,Dataset!$F:$F,Resumen!AA$8,Dataset!$J:$J,"&gt;="&amp;$AC45,Dataset!$J:$J,"&lt;"&amp;$AD45,Dataset!$AH:$AH,"bono corporativo",Dataset!$T:$T,"&lt;&gt;UF",Dataset!$T:$T,"&lt;&gt;$",Dataset!$AC:$AC,"&lt;&gt;*AA*")</f>
        <v>0</v>
      </c>
      <c r="AB45" s="41">
        <f>SUMIFS(Dataset!$AA:$AA,Dataset!$F:$F,Resumen!AA$8,Dataset!$J:$J,"&gt;="&amp;$AC45,Dataset!$J:$J,"&lt;"&amp;$AD45,Dataset!$AH:$AH,"bono corporativo",Dataset!$T:$T,"&lt;&gt;UF",Dataset!$T:$T,"&lt;&gt;$",Dataset!$AC:$AC,"&lt;&gt;*AA*")</f>
        <v>0</v>
      </c>
      <c r="AC45" s="31">
        <v>10</v>
      </c>
      <c r="AD45" s="31">
        <v>100</v>
      </c>
    </row>
    <row r="46" spans="2:30" ht="30" customHeight="1" x14ac:dyDescent="0.25">
      <c r="B46" s="207" t="s">
        <v>132</v>
      </c>
      <c r="C46" s="208" t="s">
        <v>133</v>
      </c>
      <c r="D46" s="208"/>
      <c r="E46" s="36">
        <f>SUMIFS(Dataset!$AJ:$AJ,Dataset!$F:$F,Resumen!E$8,Dataset!$J:$J,"&gt;="&amp;$AC46/365,Dataset!$J:$J,"&lt;"&amp;$AD46/365,Dataset!$AH:$AH,"deposito")+SUMIFS(Dataset!$AJ:$AJ,Dataset!$F:$F,Resumen!E$8,Dataset!$J:$J,"&gt;="&amp;$AC46/365,Dataset!$J:$J,"&lt;"&amp;$AD46/365,Dataset!$AH:$AH,"*factura*")</f>
        <v>3.533943069055395E-3</v>
      </c>
      <c r="F46" s="37">
        <f>SUMIFS(Dataset!$AA:$AA,Dataset!$F:$F,Resumen!E$8,Dataset!$J:$J,"&gt;="&amp;$AC46/365,Dataset!$J:$J,"&lt;"&amp;$AD46/365,Dataset!$AH:$AH,"deposito")+SUMIFS(Dataset!$AA:$AA,Dataset!$F:$F,Resumen!E$8,Dataset!$J:$J,"&gt;="&amp;$AC46/365,Dataset!$J:$J,"&lt;"&amp;$AD46/365,Dataset!$AH:$AH,"*factura*")</f>
        <v>4.5183322231707193E-4</v>
      </c>
      <c r="G46" s="36">
        <f>SUMIFS(Dataset!$AJ:$AJ,Dataset!$F:$F,Resumen!G$8,Dataset!$J:$J,"&gt;="&amp;$AC46/365,Dataset!$J:$J,"&lt;"&amp;$AD46/365,Dataset!$AH:$AH,"deposito")+SUMIFS(Dataset!$AJ:$AJ,Dataset!$F:$F,Resumen!G$8,Dataset!$J:$J,"&gt;="&amp;$AC46/365,Dataset!$J:$J,"&lt;"&amp;$AD46/365,Dataset!$AH:$AH,"*factura*")</f>
        <v>1.9229780376483928E-3</v>
      </c>
      <c r="H46" s="37">
        <f>SUMIFS(Dataset!$AA:$AA,Dataset!$F:$F,Resumen!G$8,Dataset!$J:$J,"&gt;="&amp;$AC46/365,Dataset!$J:$J,"&lt;"&amp;$AD46/365,Dataset!$AH:$AH,"deposito")+SUMIFS(Dataset!$AA:$AA,Dataset!$F:$F,Resumen!G$8,Dataset!$J:$J,"&gt;="&amp;$AC46/365,Dataset!$J:$J,"&lt;"&amp;$AD46/365,Dataset!$AH:$AH,"*factura*")</f>
        <v>1.3091883501332892E-5</v>
      </c>
      <c r="I46" s="36">
        <f>SUMIFS(Dataset!$AJ:$AJ,Dataset!$F:$F,Resumen!I$8,Dataset!$J:$J,"&gt;="&amp;$AC46/365,Dataset!$J:$J,"&lt;"&amp;$AD46/365,Dataset!$AH:$AH,"deposito")+SUMIFS(Dataset!$AJ:$AJ,Dataset!$F:$F,Resumen!I$8,Dataset!$J:$J,"&gt;="&amp;$AC46/365,Dataset!$J:$J,"&lt;"&amp;$AD46/365,Dataset!$AH:$AH,"*factura*")</f>
        <v>0</v>
      </c>
      <c r="J46" s="37">
        <f>SUMIFS(Dataset!$AA:$AA,Dataset!$F:$F,Resumen!I$8,Dataset!$J:$J,"&gt;="&amp;$AC46/365,Dataset!$J:$J,"&lt;"&amp;$AD46/365,Dataset!$AH:$AH,"deposito")+SUMIFS(Dataset!$AA:$AA,Dataset!$F:$F,Resumen!I$8,Dataset!$J:$J,"&gt;="&amp;$AC46/365,Dataset!$J:$J,"&lt;"&amp;$AD46/365,Dataset!$AH:$AH,"*factura*")</f>
        <v>0</v>
      </c>
      <c r="K46" s="36">
        <f>SUMIFS(Dataset!$AJ:$AJ,Dataset!$F:$F,Resumen!K$8,Dataset!$J:$J,"&gt;="&amp;$AC46/365,Dataset!$J:$J,"&lt;"&amp;$AD46/365,Dataset!$AH:$AH,"deposito")+SUMIFS(Dataset!$AJ:$AJ,Dataset!$F:$F,Resumen!K$8,Dataset!$J:$J,"&gt;="&amp;$AC46/365,Dataset!$J:$J,"&lt;"&amp;$AD46/365,Dataset!$AH:$AH,"*factura*")</f>
        <v>3.7986918883490282E-2</v>
      </c>
      <c r="L46" s="37">
        <f>SUMIFS(Dataset!$AA:$AA,Dataset!$F:$F,Resumen!K$8,Dataset!$J:$J,"&gt;="&amp;$AC46/365,Dataset!$J:$J,"&lt;"&amp;$AD46/365,Dataset!$AH:$AH,"deposito")+SUMIFS(Dataset!$AA:$AA,Dataset!$F:$F,Resumen!K$8,Dataset!$J:$J,"&gt;="&amp;$AC46/365,Dataset!$J:$J,"&lt;"&amp;$AD46/365,Dataset!$AH:$AH,"*factura*")</f>
        <v>3.4928432640556821E-4</v>
      </c>
      <c r="M46" s="36">
        <f>SUMIFS(Dataset!$AJ:$AJ,Dataset!$F:$F,Resumen!M$8,Dataset!$J:$J,"&gt;="&amp;$AC46/365,Dataset!$J:$J,"&lt;"&amp;$AD46/365,Dataset!$AH:$AH,"deposito")+SUMIFS(Dataset!$AJ:$AJ,Dataset!$F:$F,Resumen!M$8,Dataset!$J:$J,"&gt;="&amp;$AC46/365,Dataset!$J:$J,"&lt;"&amp;$AD46/365,Dataset!$AH:$AH,"*factura*")</f>
        <v>1.1628437456313163E-2</v>
      </c>
      <c r="N46" s="37">
        <f>SUMIFS(Dataset!$AA:$AA,Dataset!$F:$F,Resumen!M$8,Dataset!$J:$J,"&gt;="&amp;$AC46/365,Dataset!$J:$J,"&lt;"&amp;$AD46/365,Dataset!$AH:$AH,"deposito")+SUMIFS(Dataset!$AA:$AA,Dataset!$F:$F,Resumen!M$8,Dataset!$J:$J,"&gt;="&amp;$AC46/365,Dataset!$J:$J,"&lt;"&amp;$AD46/365,Dataset!$AH:$AH,"*factura*")</f>
        <v>-2.2049187529783198E-5</v>
      </c>
      <c r="O46" s="36">
        <f>SUMIFS(Dataset!$AJ:$AJ,Dataset!$F:$F,Resumen!O$8,Dataset!$J:$J,"&gt;="&amp;$AC46/365,Dataset!$J:$J,"&lt;"&amp;$AD46/365,Dataset!$AH:$AH,"deposito")+SUMIFS(Dataset!$AJ:$AJ,Dataset!$F:$F,Resumen!O$8,Dataset!$J:$J,"&gt;="&amp;$AC46/365,Dataset!$J:$J,"&lt;"&amp;$AD46/365,Dataset!$AH:$AH,"*factura*")</f>
        <v>0.10920902368893967</v>
      </c>
      <c r="P46" s="37">
        <f>SUMIFS(Dataset!$AA:$AA,Dataset!$F:$F,Resumen!O$8,Dataset!$J:$J,"&gt;="&amp;$AC46/365,Dataset!$J:$J,"&lt;"&amp;$AD46/365,Dataset!$AH:$AH,"deposito")+SUMIFS(Dataset!$AA:$AA,Dataset!$F:$F,Resumen!O$8,Dataset!$J:$J,"&gt;="&amp;$AC46/365,Dataset!$J:$J,"&lt;"&amp;$AD46/365,Dataset!$AH:$AH,"*factura*")</f>
        <v>1.3639462632243866E-2</v>
      </c>
      <c r="Q46" s="36">
        <f>SUMIFS(Dataset!$AJ:$AJ,Dataset!$F:$F,Resumen!Q$8,Dataset!$J:$J,"&gt;="&amp;$AC46/365,Dataset!$J:$J,"&lt;"&amp;$AD46/365,Dataset!$AH:$AH,"deposito")+SUMIFS(Dataset!$AJ:$AJ,Dataset!$F:$F,Resumen!Q$8,Dataset!$J:$J,"&gt;="&amp;$AC46/365,Dataset!$J:$J,"&lt;"&amp;$AD46/365,Dataset!$AH:$AH,"*factura*")</f>
        <v>0.66925455123635502</v>
      </c>
      <c r="R46" s="37">
        <f>SUMIFS(Dataset!$AA:$AA,Dataset!$F:$F,Resumen!Q$8,Dataset!$J:$J,"&gt;="&amp;$AC46/365,Dataset!$J:$J,"&lt;"&amp;$AD46/365,Dataset!$AH:$AH,"deposito")+SUMIFS(Dataset!$AA:$AA,Dataset!$F:$F,Resumen!Q$8,Dataset!$J:$J,"&gt;="&amp;$AC46/365,Dataset!$J:$J,"&lt;"&amp;$AD46/365,Dataset!$AH:$AH,"*factura*")</f>
        <v>0.53533211068389974</v>
      </c>
      <c r="S46" s="36">
        <f>SUMIFS(Dataset!$AJ:$AJ,Dataset!$F:$F,Resumen!S$8,Dataset!$J:$J,"&gt;="&amp;$AC46/365,Dataset!$J:$J,"&lt;"&amp;$AD46/365,Dataset!$AH:$AH,"deposito")+SUMIFS(Dataset!$AJ:$AJ,Dataset!$F:$F,Resumen!S$8,Dataset!$J:$J,"&gt;="&amp;$AC46/365,Dataset!$J:$J,"&lt;"&amp;$AD46/365,Dataset!$AH:$AH,"*factura*")</f>
        <v>0.90308731529955055</v>
      </c>
      <c r="T46" s="37">
        <f>SUMIFS(Dataset!$AA:$AA,Dataset!$F:$F,Resumen!S$8,Dataset!$J:$J,"&gt;="&amp;$AC46/365,Dataset!$J:$J,"&lt;"&amp;$AD46/365,Dataset!$AH:$AH,"deposito")+SUMIFS(Dataset!$AA:$AA,Dataset!$F:$F,Resumen!S$8,Dataset!$J:$J,"&gt;="&amp;$AC46/365,Dataset!$J:$J,"&lt;"&amp;$AD46/365,Dataset!$AH:$AH,"*factura*")</f>
        <v>2.124928690120406E-3</v>
      </c>
      <c r="U46" s="36">
        <f>SUMIFS(Dataset!$AJ:$AJ,Dataset!$F:$F,Resumen!U$8,Dataset!$J:$J,"&gt;="&amp;$AC46/365,Dataset!$J:$J,"&lt;"&amp;$AD46/365,Dataset!$AH:$AH,"deposito")+SUMIFS(Dataset!$AJ:$AJ,Dataset!$F:$F,Resumen!U$8,Dataset!$J:$J,"&gt;="&amp;$AC46/365,Dataset!$J:$J,"&lt;"&amp;$AD46/365,Dataset!$AH:$AH,"*factura*")</f>
        <v>0</v>
      </c>
      <c r="V46" s="37">
        <f>SUMIFS(Dataset!$AA:$AA,Dataset!$F:$F,Resumen!U$8,Dataset!$J:$J,"&gt;="&amp;$AC46/365,Dataset!$J:$J,"&lt;"&amp;$AD46/365,Dataset!$AH:$AH,"deposito")+SUMIFS(Dataset!$AA:$AA,Dataset!$F:$F,Resumen!U$8,Dataset!$J:$J,"&gt;="&amp;$AC46/365,Dataset!$J:$J,"&lt;"&amp;$AD46/365,Dataset!$AH:$AH,"*factura*")</f>
        <v>0</v>
      </c>
      <c r="W46" s="36">
        <f>SUMIFS(Dataset!$AJ:$AJ,Dataset!$F:$F,Resumen!W$8,Dataset!$J:$J,"&gt;="&amp;$AC46/365,Dataset!$J:$J,"&lt;"&amp;$AD46/365,Dataset!$AH:$AH,"deposito")+SUMIFS(Dataset!$AJ:$AJ,Dataset!$F:$F,Resumen!W$8,Dataset!$J:$J,"&gt;="&amp;$AC46/365,Dataset!$J:$J,"&lt;"&amp;$AD46/365,Dataset!$AH:$AH,"*factura*")</f>
        <v>0</v>
      </c>
      <c r="X46" s="37">
        <f>SUMIFS(Dataset!$AA:$AA,Dataset!$F:$F,Resumen!W$8,Dataset!$J:$J,"&gt;="&amp;$AC46/365,Dataset!$J:$J,"&lt;"&amp;$AD46/365,Dataset!$AH:$AH,"deposito")+SUMIFS(Dataset!$AA:$AA,Dataset!$F:$F,Resumen!W$8,Dataset!$J:$J,"&gt;="&amp;$AC46/365,Dataset!$J:$J,"&lt;"&amp;$AD46/365,Dataset!$AH:$AH,"*factura*")</f>
        <v>0</v>
      </c>
      <c r="Y46" s="36">
        <f>SUMIFS(Dataset!$AJ:$AJ,Dataset!$F:$F,Resumen!Y$8,Dataset!$J:$J,"&gt;="&amp;$AC46/365,Dataset!$J:$J,"&lt;"&amp;$AD46/365,Dataset!$AH:$AH,"deposito")+SUMIFS(Dataset!$AJ:$AJ,Dataset!$F:$F,Resumen!Y$8,Dataset!$J:$J,"&gt;="&amp;$AC46/365,Dataset!$J:$J,"&lt;"&amp;$AD46/365,Dataset!$AH:$AH,"*factura*")</f>
        <v>4.9284088113719274E-2</v>
      </c>
      <c r="Z46" s="37">
        <f>SUMIFS(Dataset!$AA:$AA,Dataset!$F:$F,Resumen!Y$8,Dataset!$J:$J,"&gt;="&amp;$AC46/365,Dataset!$J:$J,"&lt;"&amp;$AD46/365,Dataset!$AH:$AH,"deposito")+SUMIFS(Dataset!$AA:$AA,Dataset!$F:$F,Resumen!Y$8,Dataset!$J:$J,"&gt;="&amp;$AC46/365,Dataset!$J:$J,"&lt;"&amp;$AD46/365,Dataset!$AH:$AH,"*factura*")</f>
        <v>1.0635661557048387E-3</v>
      </c>
      <c r="AA46" s="36">
        <f>SUMIFS(Dataset!$AJ:$AJ,Dataset!$F:$F,Resumen!AA$8,Dataset!$J:$J,"&gt;="&amp;$AC46/365,Dataset!$J:$J,"&lt;"&amp;$AD46/365,Dataset!$AH:$AH,"deposito")+SUMIFS(Dataset!$AJ:$AJ,Dataset!$F:$F,Resumen!AA$8,Dataset!$J:$J,"&gt;="&amp;$AC46/365,Dataset!$J:$J,"&lt;"&amp;$AD46/365,Dataset!$AH:$AH,"*factura*")</f>
        <v>2.249151441262421E-2</v>
      </c>
      <c r="AB46" s="37">
        <f>SUMIFS(Dataset!$AA:$AA,Dataset!$F:$F,Resumen!AA$8,Dataset!$J:$J,"&gt;="&amp;$AC46/365,Dataset!$J:$J,"&lt;"&amp;$AD46/365,Dataset!$AH:$AH,"deposito")+SUMIFS(Dataset!$AA:$AA,Dataset!$F:$F,Resumen!AA$8,Dataset!$J:$J,"&gt;="&amp;$AC46/365,Dataset!$J:$J,"&lt;"&amp;$AD46/365,Dataset!$AH:$AH,"*factura*")</f>
        <v>2.1322762088610235E-4</v>
      </c>
      <c r="AC46" s="31">
        <v>0</v>
      </c>
      <c r="AD46" s="31">
        <v>90</v>
      </c>
    </row>
    <row r="47" spans="2:30" ht="30" customHeight="1" x14ac:dyDescent="0.25">
      <c r="B47" s="207"/>
      <c r="C47" s="208" t="s">
        <v>134</v>
      </c>
      <c r="D47" s="208"/>
      <c r="E47" s="38">
        <f>SUMIFS(Dataset!$AJ:$AJ,Dataset!$F:$F,Resumen!E$8,Dataset!$J:$J,"&gt;="&amp;$AC47/365,Dataset!$J:$J,"&lt;"&amp;$AD47/365,Dataset!$AH:$AH,"deposito")+SUMIFS(Dataset!$AJ:$AJ,Dataset!$F:$F,Resumen!E$8,Dataset!$J:$J,"&gt;="&amp;$AC47/365,Dataset!$J:$J,"&lt;"&amp;$AD47/365,Dataset!$AH:$AH,"*factura*")</f>
        <v>2.900946678873598E-4</v>
      </c>
      <c r="F47" s="39">
        <f>SUMIFS(Dataset!$AA:$AA,Dataset!$F:$F,Resumen!E$8,Dataset!$J:$J,"&gt;="&amp;$AC47/365,Dataset!$J:$J,"&lt;"&amp;$AD47/365,Dataset!$AH:$AH,"deposito")+SUMIFS(Dataset!$AA:$AA,Dataset!$F:$F,Resumen!E$8,Dataset!$J:$J,"&gt;="&amp;$AC47/365,Dataset!$J:$J,"&lt;"&amp;$AD47/365,Dataset!$AH:$AH,"*factura*")</f>
        <v>5.4963982297342766E-5</v>
      </c>
      <c r="G47" s="38">
        <f>SUMIFS(Dataset!$AJ:$AJ,Dataset!$F:$F,Resumen!G$8,Dataset!$J:$J,"&gt;="&amp;$AC47/365,Dataset!$J:$J,"&lt;"&amp;$AD47/365,Dataset!$AH:$AH,"deposito")+SUMIFS(Dataset!$AJ:$AJ,Dataset!$F:$F,Resumen!G$8,Dataset!$J:$J,"&gt;="&amp;$AC47/365,Dataset!$J:$J,"&lt;"&amp;$AD47/365,Dataset!$AH:$AH,"*factura*")</f>
        <v>1.1608286213510165E-3</v>
      </c>
      <c r="H47" s="39">
        <f>SUMIFS(Dataset!$AA:$AA,Dataset!$F:$F,Resumen!G$8,Dataset!$J:$J,"&gt;="&amp;$AC47/365,Dataset!$J:$J,"&lt;"&amp;$AD47/365,Dataset!$AH:$AH,"deposito")+SUMIFS(Dataset!$AA:$AA,Dataset!$F:$F,Resumen!G$8,Dataset!$J:$J,"&gt;="&amp;$AC47/365,Dataset!$J:$J,"&lt;"&amp;$AD47/365,Dataset!$AH:$AH,"*factura*")</f>
        <v>1.5790760782658367E-5</v>
      </c>
      <c r="I47" s="38">
        <f>SUMIFS(Dataset!$AJ:$AJ,Dataset!$F:$F,Resumen!I$8,Dataset!$J:$J,"&gt;="&amp;$AC47/365,Dataset!$J:$J,"&lt;"&amp;$AD47/365,Dataset!$AH:$AH,"deposito")+SUMIFS(Dataset!$AJ:$AJ,Dataset!$F:$F,Resumen!I$8,Dataset!$J:$J,"&gt;="&amp;$AC47/365,Dataset!$J:$J,"&lt;"&amp;$AD47/365,Dataset!$AH:$AH,"*factura*")</f>
        <v>0</v>
      </c>
      <c r="J47" s="39">
        <f>SUMIFS(Dataset!$AA:$AA,Dataset!$F:$F,Resumen!I$8,Dataset!$J:$J,"&gt;="&amp;$AC47/365,Dataset!$J:$J,"&lt;"&amp;$AD47/365,Dataset!$AH:$AH,"deposito")+SUMIFS(Dataset!$AA:$AA,Dataset!$F:$F,Resumen!I$8,Dataset!$J:$J,"&gt;="&amp;$AC47/365,Dataset!$J:$J,"&lt;"&amp;$AD47/365,Dataset!$AH:$AH,"*factura*")</f>
        <v>0</v>
      </c>
      <c r="K47" s="38">
        <f>SUMIFS(Dataset!$AJ:$AJ,Dataset!$F:$F,Resumen!K$8,Dataset!$J:$J,"&gt;="&amp;$AC47/365,Dataset!$J:$J,"&lt;"&amp;$AD47/365,Dataset!$AH:$AH,"deposito")+SUMIFS(Dataset!$AJ:$AJ,Dataset!$F:$F,Resumen!K$8,Dataset!$J:$J,"&gt;="&amp;$AC47/365,Dataset!$J:$J,"&lt;"&amp;$AD47/365,Dataset!$AH:$AH,"*factura*")</f>
        <v>2.6845534660222121E-2</v>
      </c>
      <c r="L47" s="39">
        <f>SUMIFS(Dataset!$AA:$AA,Dataset!$F:$F,Resumen!K$8,Dataset!$J:$J,"&gt;="&amp;$AC47/365,Dataset!$J:$J,"&lt;"&amp;$AD47/365,Dataset!$AH:$AH,"deposito")+SUMIFS(Dataset!$AA:$AA,Dataset!$F:$F,Resumen!K$8,Dataset!$J:$J,"&gt;="&amp;$AC47/365,Dataset!$J:$J,"&lt;"&amp;$AD47/365,Dataset!$AH:$AH,"*factura*")</f>
        <v>2.0147656042773122E-3</v>
      </c>
      <c r="M47" s="38">
        <f>SUMIFS(Dataset!$AJ:$AJ,Dataset!$F:$F,Resumen!M$8,Dataset!$J:$J,"&gt;="&amp;$AC47/365,Dataset!$J:$J,"&lt;"&amp;$AD47/365,Dataset!$AH:$AH,"deposito")+SUMIFS(Dataset!$AJ:$AJ,Dataset!$F:$F,Resumen!M$8,Dataset!$J:$J,"&gt;="&amp;$AC47/365,Dataset!$J:$J,"&lt;"&amp;$AD47/365,Dataset!$AH:$AH,"*factura*")</f>
        <v>1.3726531802368423E-3</v>
      </c>
      <c r="N47" s="39">
        <f>SUMIFS(Dataset!$AA:$AA,Dataset!$F:$F,Resumen!M$8,Dataset!$J:$J,"&gt;="&amp;$AC47/365,Dataset!$J:$J,"&lt;"&amp;$AD47/365,Dataset!$AH:$AH,"deposito")+SUMIFS(Dataset!$AA:$AA,Dataset!$F:$F,Resumen!M$8,Dataset!$J:$J,"&gt;="&amp;$AC47/365,Dataset!$J:$J,"&lt;"&amp;$AD47/365,Dataset!$AH:$AH,"*factura*")</f>
        <v>5.8964874432067401E-6</v>
      </c>
      <c r="O47" s="38">
        <f>SUMIFS(Dataset!$AJ:$AJ,Dataset!$F:$F,Resumen!O$8,Dataset!$J:$J,"&gt;="&amp;$AC47/365,Dataset!$J:$J,"&lt;"&amp;$AD47/365,Dataset!$AH:$AH,"deposito")+SUMIFS(Dataset!$AJ:$AJ,Dataset!$F:$F,Resumen!O$8,Dataset!$J:$J,"&gt;="&amp;$AC47/365,Dataset!$J:$J,"&lt;"&amp;$AD47/365,Dataset!$AH:$AH,"*factura*")</f>
        <v>0.43329489157657147</v>
      </c>
      <c r="P47" s="39">
        <f>SUMIFS(Dataset!$AA:$AA,Dataset!$F:$F,Resumen!O$8,Dataset!$J:$J,"&gt;="&amp;$AC47/365,Dataset!$J:$J,"&lt;"&amp;$AD47/365,Dataset!$AH:$AH,"deposito")+SUMIFS(Dataset!$AA:$AA,Dataset!$F:$F,Resumen!O$8,Dataset!$J:$J,"&gt;="&amp;$AC47/365,Dataset!$J:$J,"&lt;"&amp;$AD47/365,Dataset!$AH:$AH,"*factura*")</f>
        <v>8.673306535209567E-2</v>
      </c>
      <c r="Q47" s="38">
        <f>SUMIFS(Dataset!$AJ:$AJ,Dataset!$F:$F,Resumen!Q$8,Dataset!$J:$J,"&gt;="&amp;$AC47/365,Dataset!$J:$J,"&lt;"&amp;$AD47/365,Dataset!$AH:$AH,"deposito")+SUMIFS(Dataset!$AJ:$AJ,Dataset!$F:$F,Resumen!Q$8,Dataset!$J:$J,"&gt;="&amp;$AC47/365,Dataset!$J:$J,"&lt;"&amp;$AD47/365,Dataset!$AH:$AH,"*factura*")</f>
        <v>0.16365107090162256</v>
      </c>
      <c r="R47" s="39">
        <f>SUMIFS(Dataset!$AA:$AA,Dataset!$F:$F,Resumen!Q$8,Dataset!$J:$J,"&gt;="&amp;$AC47/365,Dataset!$J:$J,"&lt;"&amp;$AD47/365,Dataset!$AH:$AH,"deposito")+SUMIFS(Dataset!$AA:$AA,Dataset!$F:$F,Resumen!Q$8,Dataset!$J:$J,"&gt;="&amp;$AC47/365,Dataset!$J:$J,"&lt;"&amp;$AD47/365,Dataset!$AH:$AH,"*factura*")</f>
        <v>0.20037094100927169</v>
      </c>
      <c r="S47" s="38">
        <f>SUMIFS(Dataset!$AJ:$AJ,Dataset!$F:$F,Resumen!S$8,Dataset!$J:$J,"&gt;="&amp;$AC47/365,Dataset!$J:$J,"&lt;"&amp;$AD47/365,Dataset!$AH:$AH,"deposito")+SUMIFS(Dataset!$AJ:$AJ,Dataset!$F:$F,Resumen!S$8,Dataset!$J:$J,"&gt;="&amp;$AC47/365,Dataset!$J:$J,"&lt;"&amp;$AD47/365,Dataset!$AH:$AH,"*factura*")</f>
        <v>2.0403050061062317E-2</v>
      </c>
      <c r="T47" s="39">
        <f>SUMIFS(Dataset!$AA:$AA,Dataset!$F:$F,Resumen!S$8,Dataset!$J:$J,"&gt;="&amp;$AC47/365,Dataset!$J:$J,"&lt;"&amp;$AD47/365,Dataset!$AH:$AH,"deposito")+SUMIFS(Dataset!$AA:$AA,Dataset!$F:$F,Resumen!S$8,Dataset!$J:$J,"&gt;="&amp;$AC47/365,Dataset!$J:$J,"&lt;"&amp;$AD47/365,Dataset!$AH:$AH,"*factura*")</f>
        <v>1.3222143028360187E-4</v>
      </c>
      <c r="U47" s="38">
        <f>SUMIFS(Dataset!$AJ:$AJ,Dataset!$F:$F,Resumen!U$8,Dataset!$J:$J,"&gt;="&amp;$AC47/365,Dataset!$J:$J,"&lt;"&amp;$AD47/365,Dataset!$AH:$AH,"deposito")+SUMIFS(Dataset!$AJ:$AJ,Dataset!$F:$F,Resumen!U$8,Dataset!$J:$J,"&gt;="&amp;$AC47/365,Dataset!$J:$J,"&lt;"&amp;$AD47/365,Dataset!$AH:$AH,"*factura*")</f>
        <v>0</v>
      </c>
      <c r="V47" s="39">
        <f>SUMIFS(Dataset!$AA:$AA,Dataset!$F:$F,Resumen!U$8,Dataset!$J:$J,"&gt;="&amp;$AC47/365,Dataset!$J:$J,"&lt;"&amp;$AD47/365,Dataset!$AH:$AH,"deposito")+SUMIFS(Dataset!$AA:$AA,Dataset!$F:$F,Resumen!U$8,Dataset!$J:$J,"&gt;="&amp;$AC47/365,Dataset!$J:$J,"&lt;"&amp;$AD47/365,Dataset!$AH:$AH,"*factura*")</f>
        <v>0</v>
      </c>
      <c r="W47" s="38">
        <f>SUMIFS(Dataset!$AJ:$AJ,Dataset!$F:$F,Resumen!W$8,Dataset!$J:$J,"&gt;="&amp;$AC47/365,Dataset!$J:$J,"&lt;"&amp;$AD47/365,Dataset!$AH:$AH,"deposito")+SUMIFS(Dataset!$AJ:$AJ,Dataset!$F:$F,Resumen!W$8,Dataset!$J:$J,"&gt;="&amp;$AC47/365,Dataset!$J:$J,"&lt;"&amp;$AD47/365,Dataset!$AH:$AH,"*factura*")</f>
        <v>0</v>
      </c>
      <c r="X47" s="39">
        <f>SUMIFS(Dataset!$AA:$AA,Dataset!$F:$F,Resumen!W$8,Dataset!$J:$J,"&gt;="&amp;$AC47/365,Dataset!$J:$J,"&lt;"&amp;$AD47/365,Dataset!$AH:$AH,"deposito")+SUMIFS(Dataset!$AA:$AA,Dataset!$F:$F,Resumen!W$8,Dataset!$J:$J,"&gt;="&amp;$AC47/365,Dataset!$J:$J,"&lt;"&amp;$AD47/365,Dataset!$AH:$AH,"*factura*")</f>
        <v>0</v>
      </c>
      <c r="Y47" s="38">
        <f>SUMIFS(Dataset!$AJ:$AJ,Dataset!$F:$F,Resumen!Y$8,Dataset!$J:$J,"&gt;="&amp;$AC47/365,Dataset!$J:$J,"&lt;"&amp;$AD47/365,Dataset!$AH:$AH,"deposito")+SUMIFS(Dataset!$AJ:$AJ,Dataset!$F:$F,Resumen!Y$8,Dataset!$J:$J,"&gt;="&amp;$AC47/365,Dataset!$J:$J,"&lt;"&amp;$AD47/365,Dataset!$AH:$AH,"*factura*")</f>
        <v>0.19246421913271697</v>
      </c>
      <c r="Z47" s="39">
        <f>SUMIFS(Dataset!$AA:$AA,Dataset!$F:$F,Resumen!Y$8,Dataset!$J:$J,"&gt;="&amp;$AC47/365,Dataset!$J:$J,"&lt;"&amp;$AD47/365,Dataset!$AH:$AH,"deposito")+SUMIFS(Dataset!$AA:$AA,Dataset!$F:$F,Resumen!Y$8,Dataset!$J:$J,"&gt;="&amp;$AC47/365,Dataset!$J:$J,"&lt;"&amp;$AD47/365,Dataset!$AH:$AH,"*factura*")</f>
        <v>1.7323939515068613E-2</v>
      </c>
      <c r="AA47" s="38">
        <f>SUMIFS(Dataset!$AJ:$AJ,Dataset!$F:$F,Resumen!AA$8,Dataset!$J:$J,"&gt;="&amp;$AC47/365,Dataset!$J:$J,"&lt;"&amp;$AD47/365,Dataset!$AH:$AH,"deposito")+SUMIFS(Dataset!$AJ:$AJ,Dataset!$F:$F,Resumen!AA$8,Dataset!$J:$J,"&gt;="&amp;$AC47/365,Dataset!$J:$J,"&lt;"&amp;$AD47/365,Dataset!$AH:$AH,"*factura*")</f>
        <v>3.4898293893877275E-2</v>
      </c>
      <c r="AB47" s="39">
        <f>SUMIFS(Dataset!$AA:$AA,Dataset!$F:$F,Resumen!AA$8,Dataset!$J:$J,"&gt;="&amp;$AC47/365,Dataset!$J:$J,"&lt;"&amp;$AD47/365,Dataset!$AH:$AH,"deposito")+SUMIFS(Dataset!$AA:$AA,Dataset!$F:$F,Resumen!AA$8,Dataset!$J:$J,"&gt;="&amp;$AC47/365,Dataset!$J:$J,"&lt;"&amp;$AD47/365,Dataset!$AH:$AH,"*factura*")</f>
        <v>1.0276512437321144E-3</v>
      </c>
      <c r="AC47" s="31">
        <v>90</v>
      </c>
      <c r="AD47" s="31">
        <v>180</v>
      </c>
    </row>
    <row r="48" spans="2:30" ht="30" customHeight="1" x14ac:dyDescent="0.25">
      <c r="B48" s="207"/>
      <c r="C48" s="208" t="s">
        <v>135</v>
      </c>
      <c r="D48" s="208"/>
      <c r="E48" s="40">
        <f>SUMIFS(Dataset!$AJ:$AJ,Dataset!$F:$F,Resumen!E$8,Dataset!$J:$J,"&gt;="&amp;$AC48/365,Dataset!$J:$J,"&lt;"&amp;$AD48/365,Dataset!$AH:$AH,"deposito")+SUMIFS(Dataset!$AJ:$AJ,Dataset!$F:$F,Resumen!E$8,Dataset!$J:$J,"&gt;="&amp;$AC48/365,Dataset!$J:$J,"&lt;"&amp;$AD48/365,Dataset!$AH:$AH,"*factura*")</f>
        <v>2.9262973329625425E-3</v>
      </c>
      <c r="F48" s="41">
        <f>SUMIFS(Dataset!$AA:$AA,Dataset!$F:$F,Resumen!E$8,Dataset!$J:$J,"&gt;="&amp;$AC48/365,Dataset!$J:$J,"&lt;"&amp;$AD48/365,Dataset!$AH:$AH,"deposito")+SUMIFS(Dataset!$AA:$AA,Dataset!$F:$F,Resumen!E$8,Dataset!$J:$J,"&gt;="&amp;$AC48/365,Dataset!$J:$J,"&lt;"&amp;$AD48/365,Dataset!$AH:$AH,"*factura*")</f>
        <v>7.5125512513094157E-4</v>
      </c>
      <c r="G48" s="40">
        <f>SUMIFS(Dataset!$AJ:$AJ,Dataset!$F:$F,Resumen!G$8,Dataset!$J:$J,"&gt;="&amp;$AC48/365,Dataset!$J:$J,"&lt;"&amp;$AD48/365,Dataset!$AH:$AH,"deposito")+SUMIFS(Dataset!$AJ:$AJ,Dataset!$F:$F,Resumen!G$8,Dataset!$J:$J,"&gt;="&amp;$AC48/365,Dataset!$J:$J,"&lt;"&amp;$AD48/365,Dataset!$AH:$AH,"*factura*")</f>
        <v>1.4156790937005156E-3</v>
      </c>
      <c r="H48" s="41">
        <f>SUMIFS(Dataset!$AA:$AA,Dataset!$F:$F,Resumen!G$8,Dataset!$J:$J,"&gt;="&amp;$AC48/365,Dataset!$J:$J,"&lt;"&amp;$AD48/365,Dataset!$AH:$AH,"deposito")+SUMIFS(Dataset!$AA:$AA,Dataset!$F:$F,Resumen!G$8,Dataset!$J:$J,"&gt;="&amp;$AC48/365,Dataset!$J:$J,"&lt;"&amp;$AD48/365,Dataset!$AH:$AH,"*factura*")</f>
        <v>3.9710043257747811E-5</v>
      </c>
      <c r="I48" s="40">
        <f>SUMIFS(Dataset!$AJ:$AJ,Dataset!$F:$F,Resumen!I$8,Dataset!$J:$J,"&gt;="&amp;$AC48/365,Dataset!$J:$J,"&lt;"&amp;$AD48/365,Dataset!$AH:$AH,"deposito")+SUMIFS(Dataset!$AJ:$AJ,Dataset!$F:$F,Resumen!I$8,Dataset!$J:$J,"&gt;="&amp;$AC48/365,Dataset!$J:$J,"&lt;"&amp;$AD48/365,Dataset!$AH:$AH,"*factura*")</f>
        <v>0</v>
      </c>
      <c r="J48" s="41">
        <f>SUMIFS(Dataset!$AA:$AA,Dataset!$F:$F,Resumen!I$8,Dataset!$J:$J,"&gt;="&amp;$AC48/365,Dataset!$J:$J,"&lt;"&amp;$AD48/365,Dataset!$AH:$AH,"deposito")+SUMIFS(Dataset!$AA:$AA,Dataset!$F:$F,Resumen!I$8,Dataset!$J:$J,"&gt;="&amp;$AC48/365,Dataset!$J:$J,"&lt;"&amp;$AD48/365,Dataset!$AH:$AH,"*factura*")</f>
        <v>0</v>
      </c>
      <c r="K48" s="40">
        <f>SUMIFS(Dataset!$AJ:$AJ,Dataset!$F:$F,Resumen!K$8,Dataset!$J:$J,"&gt;="&amp;$AC48/365,Dataset!$J:$J,"&lt;"&amp;$AD48/365,Dataset!$AH:$AH,"deposito")+SUMIFS(Dataset!$AJ:$AJ,Dataset!$F:$F,Resumen!K$8,Dataset!$J:$J,"&gt;="&amp;$AC48/365,Dataset!$J:$J,"&lt;"&amp;$AD48/365,Dataset!$AH:$AH,"*factura*")</f>
        <v>1.3010355872923332E-2</v>
      </c>
      <c r="L48" s="41">
        <f>SUMIFS(Dataset!$AA:$AA,Dataset!$F:$F,Resumen!K$8,Dataset!$J:$J,"&gt;="&amp;$AC48/365,Dataset!$J:$J,"&lt;"&amp;$AD48/365,Dataset!$AH:$AH,"deposito")+SUMIFS(Dataset!$AA:$AA,Dataset!$F:$F,Resumen!K$8,Dataset!$J:$J,"&gt;="&amp;$AC48/365,Dataset!$J:$J,"&lt;"&amp;$AD48/365,Dataset!$AH:$AH,"*factura*")</f>
        <v>4.4398124753456801E-4</v>
      </c>
      <c r="M48" s="40">
        <f>SUMIFS(Dataset!$AJ:$AJ,Dataset!$F:$F,Resumen!M$8,Dataset!$J:$J,"&gt;="&amp;$AC48/365,Dataset!$J:$J,"&lt;"&amp;$AD48/365,Dataset!$AH:$AH,"deposito")+SUMIFS(Dataset!$AJ:$AJ,Dataset!$F:$F,Resumen!M$8,Dataset!$J:$J,"&gt;="&amp;$AC48/365,Dataset!$J:$J,"&lt;"&amp;$AD48/365,Dataset!$AH:$AH,"*factura*")</f>
        <v>1.3884119495627414E-4</v>
      </c>
      <c r="N48" s="41">
        <f>SUMIFS(Dataset!$AA:$AA,Dataset!$F:$F,Resumen!M$8,Dataset!$J:$J,"&gt;="&amp;$AC48/365,Dataset!$J:$J,"&lt;"&amp;$AD48/365,Dataset!$AH:$AH,"deposito")+SUMIFS(Dataset!$AA:$AA,Dataset!$F:$F,Resumen!M$8,Dataset!$J:$J,"&gt;="&amp;$AC48/365,Dataset!$J:$J,"&lt;"&amp;$AD48/365,Dataset!$AH:$AH,"*factura*")</f>
        <v>6.2417004626361244E-6</v>
      </c>
      <c r="O48" s="40">
        <f>SUMIFS(Dataset!$AJ:$AJ,Dataset!$F:$F,Resumen!O$8,Dataset!$J:$J,"&gt;="&amp;$AC48/365,Dataset!$J:$J,"&lt;"&amp;$AD48/365,Dataset!$AH:$AH,"deposito")+SUMIFS(Dataset!$AJ:$AJ,Dataset!$F:$F,Resumen!O$8,Dataset!$J:$J,"&gt;="&amp;$AC48/365,Dataset!$J:$J,"&lt;"&amp;$AD48/365,Dataset!$AH:$AH,"*factura*")</f>
        <v>9.4477157476324819E-2</v>
      </c>
      <c r="P48" s="41">
        <f>SUMIFS(Dataset!$AA:$AA,Dataset!$F:$F,Resumen!O$8,Dataset!$J:$J,"&gt;="&amp;$AC48/365,Dataset!$J:$J,"&lt;"&amp;$AD48/365,Dataset!$AH:$AH,"deposito")+SUMIFS(Dataset!$AA:$AA,Dataset!$F:$F,Resumen!O$8,Dataset!$J:$J,"&gt;="&amp;$AC48/365,Dataset!$J:$J,"&lt;"&amp;$AD48/365,Dataset!$AH:$AH,"*factura*")</f>
        <v>2.4155204849663426E-2</v>
      </c>
      <c r="Q48" s="40">
        <f>SUMIFS(Dataset!$AJ:$AJ,Dataset!$F:$F,Resumen!Q$8,Dataset!$J:$J,"&gt;="&amp;$AC48/365,Dataset!$J:$J,"&lt;"&amp;$AD48/365,Dataset!$AH:$AH,"deposito")+SUMIFS(Dataset!$AJ:$AJ,Dataset!$F:$F,Resumen!Q$8,Dataset!$J:$J,"&gt;="&amp;$AC48/365,Dataset!$J:$J,"&lt;"&amp;$AD48/365,Dataset!$AH:$AH,"*factura*")</f>
        <v>0.167094377862022</v>
      </c>
      <c r="R48" s="41">
        <f>SUMIFS(Dataset!$AA:$AA,Dataset!$F:$F,Resumen!Q$8,Dataset!$J:$J,"&gt;="&amp;$AC48/365,Dataset!$J:$J,"&lt;"&amp;$AD48/365,Dataset!$AH:$AH,"deposito")+SUMIFS(Dataset!$AA:$AA,Dataset!$F:$F,Resumen!Q$8,Dataset!$J:$J,"&gt;="&amp;$AC48/365,Dataset!$J:$J,"&lt;"&amp;$AD48/365,Dataset!$AH:$AH,"*factura*")</f>
        <v>0.26429694830682909</v>
      </c>
      <c r="S48" s="40">
        <f>SUMIFS(Dataset!$AJ:$AJ,Dataset!$F:$F,Resumen!S$8,Dataset!$J:$J,"&gt;="&amp;$AC48/365,Dataset!$J:$J,"&lt;"&amp;$AD48/365,Dataset!$AH:$AH,"deposito")+SUMIFS(Dataset!$AJ:$AJ,Dataset!$F:$F,Resumen!S$8,Dataset!$J:$J,"&gt;="&amp;$AC48/365,Dataset!$J:$J,"&lt;"&amp;$AD48/365,Dataset!$AH:$AH,"*factura*")</f>
        <v>0</v>
      </c>
      <c r="T48" s="41">
        <f>SUMIFS(Dataset!$AA:$AA,Dataset!$F:$F,Resumen!S$8,Dataset!$J:$J,"&gt;="&amp;$AC48/365,Dataset!$J:$J,"&lt;"&amp;$AD48/365,Dataset!$AH:$AH,"deposito")+SUMIFS(Dataset!$AA:$AA,Dataset!$F:$F,Resumen!S$8,Dataset!$J:$J,"&gt;="&amp;$AC48/365,Dataset!$J:$J,"&lt;"&amp;$AD48/365,Dataset!$AH:$AH,"*factura*")</f>
        <v>0</v>
      </c>
      <c r="U48" s="40">
        <f>SUMIFS(Dataset!$AJ:$AJ,Dataset!$F:$F,Resumen!U$8,Dataset!$J:$J,"&gt;="&amp;$AC48/365,Dataset!$J:$J,"&lt;"&amp;$AD48/365,Dataset!$AH:$AH,"deposito")+SUMIFS(Dataset!$AJ:$AJ,Dataset!$F:$F,Resumen!U$8,Dataset!$J:$J,"&gt;="&amp;$AC48/365,Dataset!$J:$J,"&lt;"&amp;$AD48/365,Dataset!$AH:$AH,"*factura*")</f>
        <v>0</v>
      </c>
      <c r="V48" s="41">
        <f>SUMIFS(Dataset!$AA:$AA,Dataset!$F:$F,Resumen!U$8,Dataset!$J:$J,"&gt;="&amp;$AC48/365,Dataset!$J:$J,"&lt;"&amp;$AD48/365,Dataset!$AH:$AH,"deposito")+SUMIFS(Dataset!$AA:$AA,Dataset!$F:$F,Resumen!U$8,Dataset!$J:$J,"&gt;="&amp;$AC48/365,Dataset!$J:$J,"&lt;"&amp;$AD48/365,Dataset!$AH:$AH,"*factura*")</f>
        <v>0</v>
      </c>
      <c r="W48" s="40">
        <f>SUMIFS(Dataset!$AJ:$AJ,Dataset!$F:$F,Resumen!W$8,Dataset!$J:$J,"&gt;="&amp;$AC48/365,Dataset!$J:$J,"&lt;"&amp;$AD48/365,Dataset!$AH:$AH,"deposito")+SUMIFS(Dataset!$AJ:$AJ,Dataset!$F:$F,Resumen!W$8,Dataset!$J:$J,"&gt;="&amp;$AC48/365,Dataset!$J:$J,"&lt;"&amp;$AD48/365,Dataset!$AH:$AH,"*factura*")</f>
        <v>0</v>
      </c>
      <c r="X48" s="41">
        <f>SUMIFS(Dataset!$AA:$AA,Dataset!$F:$F,Resumen!W$8,Dataset!$J:$J,"&gt;="&amp;$AC48/365,Dataset!$J:$J,"&lt;"&amp;$AD48/365,Dataset!$AH:$AH,"deposito")+SUMIFS(Dataset!$AA:$AA,Dataset!$F:$F,Resumen!W$8,Dataset!$J:$J,"&gt;="&amp;$AC48/365,Dataset!$J:$J,"&lt;"&amp;$AD48/365,Dataset!$AH:$AH,"*factura*")</f>
        <v>0</v>
      </c>
      <c r="Y48" s="40">
        <f>SUMIFS(Dataset!$AJ:$AJ,Dataset!$F:$F,Resumen!Y$8,Dataset!$J:$J,"&gt;="&amp;$AC48/365,Dataset!$J:$J,"&lt;"&amp;$AD48/365,Dataset!$AH:$AH,"deposito")+SUMIFS(Dataset!$AJ:$AJ,Dataset!$F:$F,Resumen!Y$8,Dataset!$J:$J,"&gt;="&amp;$AC48/365,Dataset!$J:$J,"&lt;"&amp;$AD48/365,Dataset!$AH:$AH,"*factura*")</f>
        <v>2.6021170938280797E-2</v>
      </c>
      <c r="Z48" s="41">
        <f>SUMIFS(Dataset!$AA:$AA,Dataset!$F:$F,Resumen!Y$8,Dataset!$J:$J,"&gt;="&amp;$AC48/365,Dataset!$J:$J,"&lt;"&amp;$AD48/365,Dataset!$AH:$AH,"deposito")+SUMIFS(Dataset!$AA:$AA,Dataset!$F:$F,Resumen!Y$8,Dataset!$J:$J,"&gt;="&amp;$AC48/365,Dataset!$J:$J,"&lt;"&amp;$AD48/365,Dataset!$AH:$AH,"*factura*")</f>
        <v>2.3256911608833574E-3</v>
      </c>
      <c r="AA48" s="40">
        <f>SUMIFS(Dataset!$AJ:$AJ,Dataset!$F:$F,Resumen!AA$8,Dataset!$J:$J,"&gt;="&amp;$AC48/365,Dataset!$J:$J,"&lt;"&amp;$AD48/365,Dataset!$AH:$AH,"deposito")+SUMIFS(Dataset!$AJ:$AJ,Dataset!$F:$F,Resumen!AA$8,Dataset!$J:$J,"&gt;="&amp;$AC48/365,Dataset!$J:$J,"&lt;"&amp;$AD48/365,Dataset!$AH:$AH,"*factura*")</f>
        <v>6.5017286928254706E-3</v>
      </c>
      <c r="AB48" s="41">
        <f>SUMIFS(Dataset!$AA:$AA,Dataset!$F:$F,Resumen!AA$8,Dataset!$J:$J,"&gt;="&amp;$AC48/365,Dataset!$J:$J,"&lt;"&amp;$AD48/365,Dataset!$AH:$AH,"deposito")+SUMIFS(Dataset!$AA:$AA,Dataset!$F:$F,Resumen!AA$8,Dataset!$J:$J,"&gt;="&amp;$AC48/365,Dataset!$J:$J,"&lt;"&amp;$AD48/365,Dataset!$AH:$AH,"*factura*")</f>
        <v>2.4402093632323386E-4</v>
      </c>
      <c r="AC48" s="31">
        <v>180</v>
      </c>
      <c r="AD48" s="31">
        <v>10000</v>
      </c>
    </row>
    <row r="49" spans="2:30" ht="30" customHeight="1" x14ac:dyDescent="0.35">
      <c r="B49" s="205" t="s">
        <v>37</v>
      </c>
      <c r="C49" s="205"/>
      <c r="D49" s="205"/>
      <c r="E49" s="44">
        <f>SUMIFS(Dataset!$AJ:$AJ,Dataset!$F:$F,Resumen!E$8,Dataset!$AH:$AH,"&lt;&gt;deposito",Dataset!$AH:$AH,"&lt;&gt;bono de gobierno",Dataset!$AH:$AH,"&lt;&gt;bono corporativo",Dataset!$AH:$AH,"&lt;&gt;factura")</f>
        <v>1.1342835412743338E-3</v>
      </c>
      <c r="F49" s="45">
        <f>SUMIFS(Dataset!$AA:$AA,Dataset!$F:$F,Resumen!E$8,Dataset!$AH:$AH,"&lt;&gt;deposito",Dataset!$AH:$AH,"&lt;&gt;bono de gobierno",Dataset!$AH:$AH,"&lt;&gt;bono corporativo",Dataset!$AH:$AH,"&lt;&gt;factura")</f>
        <v>-2.0524169774095317E-2</v>
      </c>
      <c r="G49" s="44">
        <f>SUMIFS(Dataset!$AJ:$AJ,Dataset!$F:$F,Resumen!G$8,Dataset!$AH:$AH,"&lt;&gt;deposito",Dataset!$AH:$AH,"&lt;&gt;bono de gobierno",Dataset!$AH:$AH,"&lt;&gt;bono corporativo",Dataset!$AH:$AH,"&lt;&gt;factura")</f>
        <v>-0.16092916782561933</v>
      </c>
      <c r="H49" s="45">
        <f>SUMIFS(Dataset!$AA:$AA,Dataset!$F:$F,Resumen!G$8,Dataset!$AH:$AH,"&lt;&gt;deposito",Dataset!$AH:$AH,"&lt;&gt;bono de gobierno",Dataset!$AH:$AH,"&lt;&gt;bono corporativo",Dataset!$AH:$AH,"&lt;&gt;factura")</f>
        <v>-1.1829809897716186E-2</v>
      </c>
      <c r="I49" s="44">
        <f>SUMIFS(Dataset!$AJ:$AJ,Dataset!$F:$F,Resumen!I$8,Dataset!$AH:$AH,"&lt;&gt;deposito",Dataset!$AH:$AH,"&lt;&gt;bono de gobierno",Dataset!$AH:$AH,"&lt;&gt;bono corporativo",Dataset!$AH:$AH,"&lt;&gt;factura")</f>
        <v>1.9065989598917865E-2</v>
      </c>
      <c r="J49" s="45">
        <f>SUMIFS(Dataset!$AA:$AA,Dataset!$F:$F,Resumen!I$8,Dataset!$AH:$AH,"&lt;&gt;deposito",Dataset!$AH:$AH,"&lt;&gt;bono de gobierno",Dataset!$AH:$AH,"&lt;&gt;bono corporativo",Dataset!$AH:$AH,"&lt;&gt;factura")</f>
        <v>0</v>
      </c>
      <c r="K49" s="44">
        <f>SUMIFS(Dataset!$AJ:$AJ,Dataset!$F:$F,Resumen!K$8,Dataset!$AH:$AH,"&lt;&gt;deposito",Dataset!$AH:$AH,"&lt;&gt;bono de gobierno",Dataset!$AH:$AH,"&lt;&gt;bono corporativo",Dataset!$AH:$AH,"&lt;&gt;factura")</f>
        <v>3.9588993935954766E-3</v>
      </c>
      <c r="L49" s="45">
        <f>SUMIFS(Dataset!$AA:$AA,Dataset!$F:$F,Resumen!K$8,Dataset!$AH:$AH,"&lt;&gt;deposito",Dataset!$AH:$AH,"&lt;&gt;bono de gobierno",Dataset!$AH:$AH,"&lt;&gt;bono corporativo",Dataset!$AH:$AH,"&lt;&gt;factura")</f>
        <v>4.2038578982298022E-3</v>
      </c>
      <c r="M49" s="44">
        <f>SUMIFS(Dataset!$AJ:$AJ,Dataset!$F:$F,Resumen!M$8,Dataset!$AH:$AH,"&lt;&gt;deposito",Dataset!$AH:$AH,"&lt;&gt;bono de gobierno",Dataset!$AH:$AH,"&lt;&gt;bono corporativo",Dataset!$AH:$AH,"&lt;&gt;factura")</f>
        <v>1.5112095145293101E-2</v>
      </c>
      <c r="N49" s="45">
        <f>SUMIFS(Dataset!$AA:$AA,Dataset!$F:$F,Resumen!M$8,Dataset!$AH:$AH,"&lt;&gt;deposito",Dataset!$AH:$AH,"&lt;&gt;bono de gobierno",Dataset!$AH:$AH,"&lt;&gt;bono corporativo",Dataset!$AH:$AH,"&lt;&gt;factura")</f>
        <v>-0.16033469948485451</v>
      </c>
      <c r="O49" s="44">
        <f>SUMIFS(Dataset!$AJ:$AJ,Dataset!$F:$F,Resumen!O$8,Dataset!$AH:$AH,"&lt;&gt;deposito",Dataset!$AH:$AH,"&lt;&gt;bono de gobierno",Dataset!$AH:$AH,"&lt;&gt;bono corporativo",Dataset!$AH:$AH,"&lt;&gt;factura")</f>
        <v>0</v>
      </c>
      <c r="P49" s="45">
        <f>SUMIFS(Dataset!$AA:$AA,Dataset!$F:$F,Resumen!O$8,Dataset!$AH:$AH,"&lt;&gt;deposito",Dataset!$AH:$AH,"&lt;&gt;bono de gobierno",Dataset!$AH:$AH,"&lt;&gt;bono corporativo",Dataset!$AH:$AH,"&lt;&gt;factura")</f>
        <v>0</v>
      </c>
      <c r="Q49" s="44">
        <f>SUMIFS(Dataset!$AJ:$AJ,Dataset!$F:$F,Resumen!Q$8,Dataset!$AH:$AH,"&lt;&gt;deposito",Dataset!$AH:$AH,"&lt;&gt;bono de gobierno",Dataset!$AH:$AH,"&lt;&gt;bono corporativo",Dataset!$AH:$AH,"&lt;&gt;factura")</f>
        <v>0</v>
      </c>
      <c r="R49" s="45">
        <f>SUMIFS(Dataset!$AA:$AA,Dataset!$F:$F,Resumen!Q$8,Dataset!$AH:$AH,"&lt;&gt;deposito",Dataset!$AH:$AH,"&lt;&gt;bono de gobierno",Dataset!$AH:$AH,"&lt;&gt;bono corporativo",Dataset!$AH:$AH,"&lt;&gt;factura")</f>
        <v>0</v>
      </c>
      <c r="S49" s="44">
        <f>SUMIFS(Dataset!$AJ:$AJ,Dataset!$F:$F,Resumen!S$8,Dataset!$AH:$AH,"&lt;&gt;deposito",Dataset!$AH:$AH,"&lt;&gt;bono de gobierno",Dataset!$AH:$AH,"&lt;&gt;bono corporativo",Dataset!$AH:$AH,"&lt;&gt;factura")</f>
        <v>5.0370260650862322E-2</v>
      </c>
      <c r="T49" s="45">
        <f>SUMIFS(Dataset!$AA:$AA,Dataset!$F:$F,Resumen!S$8,Dataset!$AH:$AH,"&lt;&gt;deposito",Dataset!$AH:$AH,"&lt;&gt;bono de gobierno",Dataset!$AH:$AH,"&lt;&gt;bono corporativo",Dataset!$AH:$AH,"&lt;&gt;factura")</f>
        <v>0.99815954237260807</v>
      </c>
      <c r="U49" s="44">
        <f>SUMIFS(Dataset!$AJ:$AJ,Dataset!$F:$F,Resumen!U$8,Dataset!$AH:$AH,"&lt;&gt;deposito",Dataset!$AH:$AH,"&lt;&gt;bono de gobierno",Dataset!$AH:$AH,"&lt;&gt;bono corporativo",Dataset!$AH:$AH,"&lt;&gt;factura")</f>
        <v>-9.9999999895322711E-9</v>
      </c>
      <c r="V49" s="45">
        <f>SUMIFS(Dataset!$AA:$AA,Dataset!$F:$F,Resumen!U$8,Dataset!$AH:$AH,"&lt;&gt;deposito",Dataset!$AH:$AH,"&lt;&gt;bono de gobierno",Dataset!$AH:$AH,"&lt;&gt;bono corporativo",Dataset!$AH:$AH,"&lt;&gt;factura")</f>
        <v>0.99999999999999978</v>
      </c>
      <c r="W49" s="44">
        <f>SUMIFS(Dataset!$AJ:$AJ,Dataset!$F:$F,Resumen!W$8,Dataset!$AH:$AH,"&lt;&gt;deposito",Dataset!$AH:$AH,"&lt;&gt;bono de gobierno",Dataset!$AH:$AH,"&lt;&gt;bono corporativo",Dataset!$AH:$AH,"&lt;&gt;factura")</f>
        <v>0.99999999999999989</v>
      </c>
      <c r="X49" s="45">
        <f>SUMIFS(Dataset!$AA:$AA,Dataset!$F:$F,Resumen!W$8,Dataset!$AH:$AH,"&lt;&gt;deposito",Dataset!$AH:$AH,"&lt;&gt;bono de gobierno",Dataset!$AH:$AH,"&lt;&gt;bono corporativo",Dataset!$AH:$AH,"&lt;&gt;factura")</f>
        <v>1.0000000000000002</v>
      </c>
      <c r="Y49" s="44">
        <f>SUMIFS(Dataset!$AJ:$AJ,Dataset!$F:$F,Resumen!Y$8,Dataset!$AH:$AH,"&lt;&gt;deposito",Dataset!$AH:$AH,"&lt;&gt;bono de gobierno",Dataset!$AH:$AH,"&lt;&gt;bono corporativo",Dataset!$AH:$AH,"&lt;&gt;factura")</f>
        <v>4.2767401556966676E-3</v>
      </c>
      <c r="Z49" s="45">
        <f>SUMIFS(Dataset!$AA:$AA,Dataset!$F:$F,Resumen!Y$8,Dataset!$AH:$AH,"&lt;&gt;deposito",Dataset!$AH:$AH,"&lt;&gt;bono de gobierno",Dataset!$AH:$AH,"&lt;&gt;bono corporativo",Dataset!$AH:$AH,"&lt;&gt;factura")</f>
        <v>5.5655024287760459E-4</v>
      </c>
      <c r="AA49" s="44">
        <f>SUMIFS(Dataset!$AJ:$AJ,Dataset!$F:$F,Resumen!AA$8,Dataset!$AH:$AH,"&lt;&gt;deposito",Dataset!$AH:$AH,"&lt;&gt;bono de gobierno",Dataset!$AH:$AH,"&lt;&gt;bono corporativo",Dataset!$AH:$AH,"&lt;&gt;factura")</f>
        <v>-0.42855833506493896</v>
      </c>
      <c r="AB49" s="45">
        <f>SUMIFS(Dataset!$AA:$AA,Dataset!$F:$F,Resumen!AA$8,Dataset!$AH:$AH,"&lt;&gt;deposito",Dataset!$AH:$AH,"&lt;&gt;bono de gobierno",Dataset!$AH:$AH,"&lt;&gt;bono corporativo",Dataset!$AH:$AH,"&lt;&gt;factura")</f>
        <v>4.1598145351425659E-4</v>
      </c>
    </row>
    <row r="50" spans="2:30" ht="30" customHeight="1" x14ac:dyDescent="0.35">
      <c r="B50" s="211" t="s">
        <v>66</v>
      </c>
      <c r="C50" s="211"/>
      <c r="D50" s="211"/>
      <c r="E50" s="46">
        <f>SUM(E10:E49)</f>
        <v>1.0785643211885798E-15</v>
      </c>
      <c r="F50" s="47">
        <f t="shared" ref="F50:AB50" si="0">SUM(F10:F49)</f>
        <v>1.0000000000000002</v>
      </c>
      <c r="G50" s="46">
        <f t="shared" si="0"/>
        <v>1.0000000000000002</v>
      </c>
      <c r="H50" s="47">
        <f t="shared" si="0"/>
        <v>0.99999999999999989</v>
      </c>
      <c r="I50" s="46">
        <f>SUM(I10:I49)</f>
        <v>-1.1102230246251565E-16</v>
      </c>
      <c r="J50" s="47">
        <f>SUM(J10:J49)</f>
        <v>0.99999999999999922</v>
      </c>
      <c r="K50" s="46">
        <f t="shared" si="0"/>
        <v>1</v>
      </c>
      <c r="L50" s="47">
        <f t="shared" si="0"/>
        <v>0.99999999999999933</v>
      </c>
      <c r="M50" s="46">
        <f t="shared" si="0"/>
        <v>-2.3816320584534825E-2</v>
      </c>
      <c r="N50" s="47">
        <f t="shared" si="0"/>
        <v>1.0000000000000002</v>
      </c>
      <c r="O50" s="46">
        <f t="shared" si="0"/>
        <v>1.0000000000000002</v>
      </c>
      <c r="P50" s="47">
        <f t="shared" si="0"/>
        <v>0.99999999999999967</v>
      </c>
      <c r="Q50" s="46">
        <f t="shared" si="0"/>
        <v>0.99999999999999956</v>
      </c>
      <c r="R50" s="47">
        <f t="shared" si="0"/>
        <v>1.0000000000000004</v>
      </c>
      <c r="S50" s="46">
        <f t="shared" si="0"/>
        <v>1</v>
      </c>
      <c r="T50" s="47">
        <f t="shared" si="0"/>
        <v>0.99999999999999967</v>
      </c>
      <c r="U50" s="46">
        <f t="shared" si="0"/>
        <v>-9.9999999895322711E-9</v>
      </c>
      <c r="V50" s="47">
        <f t="shared" si="0"/>
        <v>0.99999999999999978</v>
      </c>
      <c r="W50" s="46">
        <f t="shared" si="0"/>
        <v>0.99999999999999989</v>
      </c>
      <c r="X50" s="47">
        <f t="shared" si="0"/>
        <v>1.0000000000000002</v>
      </c>
      <c r="Y50" s="46">
        <f t="shared" si="0"/>
        <v>1</v>
      </c>
      <c r="Z50" s="47">
        <f t="shared" si="0"/>
        <v>0.99999999999999989</v>
      </c>
      <c r="AA50" s="46">
        <f t="shared" si="0"/>
        <v>1.0000000000000007</v>
      </c>
      <c r="AB50" s="47">
        <f t="shared" si="0"/>
        <v>1</v>
      </c>
    </row>
    <row r="51" spans="2:30" ht="30" customHeight="1" x14ac:dyDescent="0.35">
      <c r="B51" s="205" t="s">
        <v>39</v>
      </c>
      <c r="C51" s="205"/>
      <c r="D51" s="205"/>
      <c r="E51" s="44">
        <f>SUMIFS(Dataset!$AJ:$AJ,Dataset!$F:$F,Resumen!E$8,Dataset!$T:$T,$B51)</f>
        <v>8.2387297996700276E-2</v>
      </c>
      <c r="F51" s="45">
        <f>SUMIFS(Dataset!$AA:$AA,Dataset!$F:$F,Resumen!E$8,Dataset!$T:$T,$B51)</f>
        <v>-5.2887714442045049E-2</v>
      </c>
      <c r="G51" s="44">
        <f>SUMIFS(Dataset!$AJ:$AJ,Dataset!$F:$F,Resumen!G$8,Dataset!$T:$T,$B51)</f>
        <v>0.31810548224950469</v>
      </c>
      <c r="H51" s="45">
        <f>SUMIFS(Dataset!$AA:$AA,Dataset!$F:$F,Resumen!G$8,Dataset!$T:$T,$B51)</f>
        <v>7.0110529275927425E-2</v>
      </c>
      <c r="I51" s="44">
        <f>SUMIFS(Dataset!$AJ:$AJ,Dataset!$F:$F,Resumen!I$8,Dataset!$T:$T,$B51)</f>
        <v>0</v>
      </c>
      <c r="J51" s="45">
        <f>SUMIFS(Dataset!$AA:$AA,Dataset!$F:$F,Resumen!I$8,Dataset!$T:$T,$B51)</f>
        <v>0</v>
      </c>
      <c r="K51" s="44">
        <f>SUMIFS(Dataset!$AJ:$AJ,Dataset!$F:$F,Resumen!K$8,Dataset!$T:$T,$B51)</f>
        <v>0.30327972034653217</v>
      </c>
      <c r="L51" s="45">
        <f>SUMIFS(Dataset!$AA:$AA,Dataset!$F:$F,Resumen!K$8,Dataset!$T:$T,$B51)</f>
        <v>5.0173642451052609E-2</v>
      </c>
      <c r="M51" s="44">
        <f>SUMIFS(Dataset!$AJ:$AJ,Dataset!$F:$F,Resumen!M$8,Dataset!$T:$T,$B51)</f>
        <v>0.11610010249599859</v>
      </c>
      <c r="N51" s="45">
        <f>SUMIFS(Dataset!$AA:$AA,Dataset!$F:$F,Resumen!M$8,Dataset!$T:$T,$B51)</f>
        <v>2.6034983611282203E-2</v>
      </c>
      <c r="O51" s="44">
        <f>SUMIFS(Dataset!$AJ:$AJ,Dataset!$F:$F,Resumen!O$8,Dataset!$T:$T,$B51)</f>
        <v>0.76070687759650057</v>
      </c>
      <c r="P51" s="45">
        <f>SUMIFS(Dataset!$AA:$AA,Dataset!$F:$F,Resumen!O$8,Dataset!$T:$T,$B51)</f>
        <v>0.22619083722864347</v>
      </c>
      <c r="Q51" s="44">
        <f>SUMIFS(Dataset!$AJ:$AJ,Dataset!$F:$F,Resumen!Q$8,Dataset!$T:$T,$B51)</f>
        <v>0.99999999999999989</v>
      </c>
      <c r="R51" s="45">
        <f>SUMIFS(Dataset!$AA:$AA,Dataset!$F:$F,Resumen!Q$8,Dataset!$T:$T,$B51)</f>
        <v>0.99999999999999989</v>
      </c>
      <c r="S51" s="44">
        <f>SUMIFS(Dataset!$AJ:$AJ,Dataset!$F:$F,Resumen!S$8,Dataset!$T:$T,$B51)</f>
        <v>5.242879814506636E-2</v>
      </c>
      <c r="T51" s="45">
        <f>SUMIFS(Dataset!$AA:$AA,Dataset!$F:$F,Resumen!S$8,Dataset!$T:$T,$B51)</f>
        <v>1.4007952208023322E-3</v>
      </c>
      <c r="U51" s="44">
        <f>SUMIFS(Dataset!$AJ:$AJ,Dataset!$F:$F,Resumen!U$8,Dataset!$T:$T,$B51)</f>
        <v>-9.9999999895322711E-9</v>
      </c>
      <c r="V51" s="45">
        <f>SUMIFS(Dataset!$AA:$AA,Dataset!$F:$F,Resumen!U$8,Dataset!$T:$T,$B51)</f>
        <v>0.99999999999999978</v>
      </c>
      <c r="W51" s="44">
        <f>SUMIFS(Dataset!$AJ:$AJ,Dataset!$F:$F,Resumen!W$8,Dataset!$T:$T,$B51)</f>
        <v>0.99999999999999989</v>
      </c>
      <c r="X51" s="45">
        <f>SUMIFS(Dataset!$AA:$AA,Dataset!$F:$F,Resumen!W$8,Dataset!$T:$T,$B51)</f>
        <v>1.0000000000000002</v>
      </c>
      <c r="Y51" s="44">
        <f>SUMIFS(Dataset!$AJ:$AJ,Dataset!$F:$F,Resumen!Y$8,Dataset!$T:$T,$B51)</f>
        <v>0.76751544340952282</v>
      </c>
      <c r="Z51" s="45">
        <f>SUMIFS(Dataset!$AA:$AA,Dataset!$F:$F,Resumen!Y$8,Dataset!$T:$T,$B51)</f>
        <v>0.40950241541128735</v>
      </c>
      <c r="AA51" s="44">
        <f>SUMIFS(Dataset!$AJ:$AJ,Dataset!$F:$F,Resumen!AA$8,Dataset!$T:$T,$B51)</f>
        <v>1.0011517419991833</v>
      </c>
      <c r="AB51" s="45">
        <f>SUMIFS(Dataset!$AA:$AA,Dataset!$F:$F,Resumen!AA$8,Dataset!$T:$T,$B51)</f>
        <v>0.40171363175086644</v>
      </c>
    </row>
    <row r="52" spans="2:30" ht="30" customHeight="1" x14ac:dyDescent="0.35">
      <c r="B52" s="205" t="s">
        <v>32</v>
      </c>
      <c r="C52" s="205"/>
      <c r="D52" s="205"/>
      <c r="E52" s="44">
        <f>SUMIFS(Dataset!$AJ:$AJ,Dataset!$F:$F,Resumen!E$8,Dataset!$T:$T,$B52)</f>
        <v>-8.2956818627947529E-2</v>
      </c>
      <c r="F52" s="45">
        <f>SUMIFS(Dataset!$AA:$AA,Dataset!$F:$F,Resumen!E$8,Dataset!$T:$T,$B52)</f>
        <v>1.0521452327085783</v>
      </c>
      <c r="G52" s="44">
        <f>SUMIFS(Dataset!$AJ:$AJ,Dataset!$F:$F,Resumen!G$8,Dataset!$T:$T,$B52)</f>
        <v>0.79820810313345625</v>
      </c>
      <c r="H52" s="45">
        <f>SUMIFS(Dataset!$AA:$AA,Dataset!$F:$F,Resumen!G$8,Dataset!$T:$T,$B52)</f>
        <v>0.87315436314757422</v>
      </c>
      <c r="I52" s="44">
        <f>SUMIFS(Dataset!$AJ:$AJ,Dataset!$F:$F,Resumen!I$8,Dataset!$T:$T,$B52)</f>
        <v>0</v>
      </c>
      <c r="J52" s="45">
        <f>SUMIFS(Dataset!$AA:$AA,Dataset!$F:$F,Resumen!I$8,Dataset!$T:$T,$B52)</f>
        <v>0</v>
      </c>
      <c r="K52" s="44">
        <f>SUMIFS(Dataset!$AJ:$AJ,Dataset!$F:$F,Resumen!K$8,Dataset!$T:$T,$B52)</f>
        <v>0.69672027965346794</v>
      </c>
      <c r="L52" s="45">
        <f>SUMIFS(Dataset!$AA:$AA,Dataset!$F:$F,Resumen!K$8,Dataset!$T:$T,$B52)</f>
        <v>0.94982635754894662</v>
      </c>
      <c r="M52" s="44">
        <f>SUMIFS(Dataset!$AJ:$AJ,Dataset!$F:$F,Resumen!M$8,Dataset!$T:$T,$B52)</f>
        <v>-0.15870114823576961</v>
      </c>
      <c r="N52" s="45">
        <f>SUMIFS(Dataset!$AA:$AA,Dataset!$F:$F,Resumen!M$8,Dataset!$T:$T,$B52)</f>
        <v>0.87645571269995948</v>
      </c>
      <c r="O52" s="44">
        <f>SUMIFS(Dataset!$AJ:$AJ,Dataset!$F:$F,Resumen!O$8,Dataset!$T:$T,$B52)</f>
        <v>0.23929312240349943</v>
      </c>
      <c r="P52" s="45">
        <f>SUMIFS(Dataset!$AA:$AA,Dataset!$F:$F,Resumen!O$8,Dataset!$T:$T,$B52)</f>
        <v>0.77380916277135592</v>
      </c>
      <c r="Q52" s="44">
        <f>SUMIFS(Dataset!$AJ:$AJ,Dataset!$F:$F,Resumen!Q$8,Dataset!$T:$T,$B52)</f>
        <v>0</v>
      </c>
      <c r="R52" s="45">
        <f>SUMIFS(Dataset!$AA:$AA,Dataset!$F:$F,Resumen!Q$8,Dataset!$T:$T,$B52)</f>
        <v>0</v>
      </c>
      <c r="S52" s="44">
        <f>SUMIFS(Dataset!$AJ:$AJ,Dataset!$F:$F,Resumen!S$8,Dataset!$T:$T,$B52)</f>
        <v>0</v>
      </c>
      <c r="T52" s="45">
        <f>SUMIFS(Dataset!$AA:$AA,Dataset!$F:$F,Resumen!S$8,Dataset!$T:$T,$B52)</f>
        <v>0</v>
      </c>
      <c r="U52" s="44">
        <f>SUMIFS(Dataset!$AJ:$AJ,Dataset!$F:$F,Resumen!U$8,Dataset!$T:$T,$B52)</f>
        <v>0</v>
      </c>
      <c r="V52" s="45">
        <f>SUMIFS(Dataset!$AA:$AA,Dataset!$F:$F,Resumen!U$8,Dataset!$T:$T,$B52)</f>
        <v>0</v>
      </c>
      <c r="W52" s="44">
        <f>SUMIFS(Dataset!$AJ:$AJ,Dataset!$F:$F,Resumen!W$8,Dataset!$T:$T,$B52)</f>
        <v>0</v>
      </c>
      <c r="X52" s="45">
        <f>SUMIFS(Dataset!$AA:$AA,Dataset!$F:$F,Resumen!W$8,Dataset!$T:$T,$B52)</f>
        <v>0</v>
      </c>
      <c r="Y52" s="44">
        <f>SUMIFS(Dataset!$AJ:$AJ,Dataset!$F:$F,Resumen!Y$8,Dataset!$T:$T,$B52)</f>
        <v>0.23129440783470978</v>
      </c>
      <c r="Z52" s="45">
        <f>SUMIFS(Dataset!$AA:$AA,Dataset!$F:$F,Resumen!Y$8,Dataset!$T:$T,$B52)</f>
        <v>0.58994103434583489</v>
      </c>
      <c r="AA52" s="44">
        <f>SUMIFS(Dataset!$AJ:$AJ,Dataset!$F:$F,Resumen!AA$8,Dataset!$T:$T,$B52)</f>
        <v>0.43156522133108288</v>
      </c>
      <c r="AB52" s="45">
        <f>SUMIFS(Dataset!$AA:$AA,Dataset!$F:$F,Resumen!AA$8,Dataset!$T:$T,$B52)</f>
        <v>0.59787038679561944</v>
      </c>
    </row>
    <row r="53" spans="2:30" ht="30" customHeight="1" x14ac:dyDescent="0.35">
      <c r="B53" s="205" t="s">
        <v>30</v>
      </c>
      <c r="C53" s="205"/>
      <c r="D53" s="205"/>
      <c r="E53" s="44">
        <f>SUMIFS(Dataset!$AJ:$AJ,Dataset!$F:$F,Resumen!E$8,Dataset!$T:$T,$B53)</f>
        <v>5.6952063124852785E-4</v>
      </c>
      <c r="F53" s="45">
        <f>SUMIFS(Dataset!$AA:$AA,Dataset!$F:$F,Resumen!E$8,Dataset!$T:$T,$B53)</f>
        <v>7.4248173346764222E-4</v>
      </c>
      <c r="G53" s="44">
        <f>SUMIFS(Dataset!$AJ:$AJ,Dataset!$F:$F,Resumen!G$8,Dataset!$T:$T,$B53)</f>
        <v>3.3409894516246312E-2</v>
      </c>
      <c r="H53" s="45">
        <f>SUMIFS(Dataset!$AA:$AA,Dataset!$F:$F,Resumen!G$8,Dataset!$T:$T,$B53)</f>
        <v>2.6417586499006395E-2</v>
      </c>
      <c r="I53" s="44">
        <f>SUMIFS(Dataset!$AJ:$AJ,Dataset!$F:$F,Resumen!I$8,Dataset!$T:$T,$B53)</f>
        <v>-1.5265566588595902E-16</v>
      </c>
      <c r="J53" s="45">
        <f>SUMIFS(Dataset!$AA:$AA,Dataset!$F:$F,Resumen!I$8,Dataset!$T:$T,$B53)</f>
        <v>0.99999999999999767</v>
      </c>
      <c r="K53" s="44">
        <f>SUMIFS(Dataset!$AJ:$AJ,Dataset!$F:$F,Resumen!K$8,Dataset!$T:$T,$B53)</f>
        <v>0</v>
      </c>
      <c r="L53" s="45">
        <f>SUMIFS(Dataset!$AA:$AA,Dataset!$F:$F,Resumen!K$8,Dataset!$T:$T,$B53)</f>
        <v>0</v>
      </c>
      <c r="M53" s="44">
        <f>SUMIFS(Dataset!$AJ:$AJ,Dataset!$F:$F,Resumen!M$8,Dataset!$T:$T,$B53)</f>
        <v>1.8784725155236166E-2</v>
      </c>
      <c r="N53" s="45">
        <f>SUMIFS(Dataset!$AA:$AA,Dataset!$F:$F,Resumen!M$8,Dataset!$T:$T,$B53)</f>
        <v>9.7509303688758098E-2</v>
      </c>
      <c r="O53" s="44">
        <f>SUMIFS(Dataset!$AJ:$AJ,Dataset!$F:$F,Resumen!O$8,Dataset!$T:$T,$B53)</f>
        <v>0</v>
      </c>
      <c r="P53" s="45">
        <f>SUMIFS(Dataset!$AA:$AA,Dataset!$F:$F,Resumen!O$8,Dataset!$T:$T,$B53)</f>
        <v>0</v>
      </c>
      <c r="Q53" s="44">
        <f>SUMIFS(Dataset!$AJ:$AJ,Dataset!$F:$F,Resumen!Q$8,Dataset!$T:$T,$B53)</f>
        <v>0</v>
      </c>
      <c r="R53" s="45">
        <f>SUMIFS(Dataset!$AA:$AA,Dataset!$F:$F,Resumen!Q$8,Dataset!$T:$T,$B53)</f>
        <v>0</v>
      </c>
      <c r="S53" s="44">
        <f>SUMIFS(Dataset!$AJ:$AJ,Dataset!$F:$F,Resumen!S$8,Dataset!$T:$T,$B53)</f>
        <v>0.9475712018549336</v>
      </c>
      <c r="T53" s="45">
        <f>SUMIFS(Dataset!$AA:$AA,Dataset!$F:$F,Resumen!S$8,Dataset!$T:$T,$B53)</f>
        <v>0.99859920477919717</v>
      </c>
      <c r="U53" s="44">
        <f>SUMIFS(Dataset!$AJ:$AJ,Dataset!$F:$F,Resumen!U$8,Dataset!$T:$T,$B53)</f>
        <v>0</v>
      </c>
      <c r="V53" s="45">
        <f>SUMIFS(Dataset!$AA:$AA,Dataset!$F:$F,Resumen!U$8,Dataset!$T:$T,$B53)</f>
        <v>0</v>
      </c>
      <c r="W53" s="44">
        <f>SUMIFS(Dataset!$AJ:$AJ,Dataset!$F:$F,Resumen!W$8,Dataset!$T:$T,$B53)</f>
        <v>0</v>
      </c>
      <c r="X53" s="45">
        <f>SUMIFS(Dataset!$AA:$AA,Dataset!$F:$F,Resumen!W$8,Dataset!$T:$T,$B53)</f>
        <v>0</v>
      </c>
      <c r="Y53" s="44">
        <f>SUMIFS(Dataset!$AJ:$AJ,Dataset!$F:$F,Resumen!Y$8,Dataset!$T:$T,$B53)</f>
        <v>1.1775515816893813E-3</v>
      </c>
      <c r="Z53" s="45">
        <f>SUMIFS(Dataset!$AA:$AA,Dataset!$F:$F,Resumen!Y$8,Dataset!$T:$T,$B53)</f>
        <v>5.5325566824858093E-4</v>
      </c>
      <c r="AA53" s="44">
        <f>SUMIFS(Dataset!$AJ:$AJ,Dataset!$F:$F,Resumen!AA$8,Dataset!$T:$T,$B53)</f>
        <v>1.642034599356854E-3</v>
      </c>
      <c r="AB53" s="45">
        <f>SUMIFS(Dataset!$AA:$AA,Dataset!$F:$F,Resumen!AA$8,Dataset!$T:$T,$B53)</f>
        <v>3.9512128575969641E-4</v>
      </c>
    </row>
    <row r="54" spans="2:30" ht="30" customHeight="1" x14ac:dyDescent="0.35">
      <c r="B54" s="205" t="s">
        <v>49</v>
      </c>
      <c r="C54" s="205"/>
      <c r="D54" s="205"/>
      <c r="E54" s="44">
        <f>SUMIFS(Dataset!$AJ:$AJ,Dataset!$F:$F,Resumen!E$8,Dataset!$T:$T,$B54)</f>
        <v>0</v>
      </c>
      <c r="F54" s="45">
        <f>SUMIFS(Dataset!$AA:$AA,Dataset!$F:$F,Resumen!E$8,Dataset!$T:$T,$B54)</f>
        <v>0</v>
      </c>
      <c r="G54" s="44">
        <f>SUMIFS(Dataset!$AJ:$AJ,Dataset!$F:$F,Resumen!G$8,Dataset!$T:$T,$B54)</f>
        <v>0</v>
      </c>
      <c r="H54" s="45">
        <f>SUMIFS(Dataset!$AA:$AA,Dataset!$F:$F,Resumen!G$8,Dataset!$T:$T,$B54)</f>
        <v>0</v>
      </c>
      <c r="I54" s="44">
        <f>SUMIFS(Dataset!$AJ:$AJ,Dataset!$F:$F,Resumen!I$8,Dataset!$T:$T,$B54)</f>
        <v>0</v>
      </c>
      <c r="J54" s="45">
        <f>SUMIFS(Dataset!$AA:$AA,Dataset!$F:$F,Resumen!I$8,Dataset!$T:$T,$B54)</f>
        <v>0</v>
      </c>
      <c r="K54" s="44">
        <f>SUMIFS(Dataset!$AJ:$AJ,Dataset!$F:$F,Resumen!K$8,Dataset!$T:$T,$B54)</f>
        <v>0</v>
      </c>
      <c r="L54" s="45">
        <f>SUMIFS(Dataset!$AA:$AA,Dataset!$F:$F,Resumen!K$8,Dataset!$T:$T,$B54)</f>
        <v>0</v>
      </c>
      <c r="M54" s="44">
        <f>SUMIFS(Dataset!$AJ:$AJ,Dataset!$F:$F,Resumen!M$8,Dataset!$T:$T,$B54)</f>
        <v>0</v>
      </c>
      <c r="N54" s="45">
        <f>SUMIFS(Dataset!$AA:$AA,Dataset!$F:$F,Resumen!M$8,Dataset!$T:$T,$B54)</f>
        <v>0</v>
      </c>
      <c r="O54" s="44">
        <f>SUMIFS(Dataset!$AJ:$AJ,Dataset!$F:$F,Resumen!O$8,Dataset!$T:$T,$B54)</f>
        <v>0</v>
      </c>
      <c r="P54" s="45">
        <f>SUMIFS(Dataset!$AA:$AA,Dataset!$F:$F,Resumen!O$8,Dataset!$T:$T,$B54)</f>
        <v>0</v>
      </c>
      <c r="Q54" s="44">
        <f>SUMIFS(Dataset!$AJ:$AJ,Dataset!$F:$F,Resumen!Q$8,Dataset!$T:$T,$B54)</f>
        <v>0</v>
      </c>
      <c r="R54" s="45">
        <f>SUMIFS(Dataset!$AA:$AA,Dataset!$F:$F,Resumen!Q$8,Dataset!$T:$T,$B54)</f>
        <v>0</v>
      </c>
      <c r="S54" s="44">
        <f>SUMIFS(Dataset!$AJ:$AJ,Dataset!$F:$F,Resumen!S$8,Dataset!$T:$T,$B54)</f>
        <v>0</v>
      </c>
      <c r="T54" s="45">
        <f>SUMIFS(Dataset!$AA:$AA,Dataset!$F:$F,Resumen!S$8,Dataset!$T:$T,$B54)</f>
        <v>0</v>
      </c>
      <c r="U54" s="44">
        <f>SUMIFS(Dataset!$AJ:$AJ,Dataset!$F:$F,Resumen!U$8,Dataset!$T:$T,$B54)</f>
        <v>0</v>
      </c>
      <c r="V54" s="45">
        <f>SUMIFS(Dataset!$AA:$AA,Dataset!$F:$F,Resumen!U$8,Dataset!$T:$T,$B54)</f>
        <v>0</v>
      </c>
      <c r="W54" s="44">
        <f>SUMIFS(Dataset!$AJ:$AJ,Dataset!$F:$F,Resumen!W$8,Dataset!$T:$T,$B54)</f>
        <v>0</v>
      </c>
      <c r="X54" s="45">
        <f>SUMIFS(Dataset!$AA:$AA,Dataset!$F:$F,Resumen!W$8,Dataset!$T:$T,$B54)</f>
        <v>0</v>
      </c>
      <c r="Y54" s="44">
        <f>SUMIFS(Dataset!$AJ:$AJ,Dataset!$F:$F,Resumen!Y$8,Dataset!$T:$T,$B54)</f>
        <v>1.2597174078113789E-5</v>
      </c>
      <c r="Z54" s="45">
        <f>SUMIFS(Dataset!$AA:$AA,Dataset!$F:$F,Resumen!Y$8,Dataset!$T:$T,$B54)</f>
        <v>3.2945746290236313E-6</v>
      </c>
      <c r="AA54" s="44">
        <f>SUMIFS(Dataset!$AJ:$AJ,Dataset!$F:$F,Resumen!AA$8,Dataset!$T:$T,$B54)</f>
        <v>1.0399405947018875E-4</v>
      </c>
      <c r="AB54" s="45">
        <f>SUMIFS(Dataset!$AA:$AA,Dataset!$F:$F,Resumen!AA$8,Dataset!$T:$T,$B54)</f>
        <v>2.0860167754560179E-5</v>
      </c>
    </row>
    <row r="55" spans="2:30" ht="30" customHeight="1" x14ac:dyDescent="0.35">
      <c r="B55" s="202" t="s">
        <v>145</v>
      </c>
      <c r="C55" s="203"/>
      <c r="D55" s="204"/>
      <c r="E55" s="44">
        <f>SUMIFS(Dataset!$AJ:$AJ,Dataset!$F:$F,Resumen!E$8,Dataset!$T:$T,$B55)</f>
        <v>0</v>
      </c>
      <c r="F55" s="48">
        <f>SUMIFS(Dataset!$AA:$AA,Dataset!$F:$F,Resumen!E$8,Dataset!$T:$T,$B55)</f>
        <v>0</v>
      </c>
      <c r="G55" s="44">
        <f>SUMIFS(Dataset!$AJ:$AJ,Dataset!$F:$F,Resumen!G$8,Dataset!$T:$T,$B55)</f>
        <v>1.4720758772697448E-2</v>
      </c>
      <c r="H55" s="48">
        <f>SUMIFS(Dataset!$AA:$AA,Dataset!$F:$F,Resumen!G$8,Dataset!$T:$T,$B55)</f>
        <v>3.0317521077491888E-2</v>
      </c>
      <c r="I55" s="44">
        <f>SUMIFS(Dataset!$AJ:$AJ,Dataset!$F:$F,Resumen!I$8,Dataset!$T:$T,$B55)</f>
        <v>0</v>
      </c>
      <c r="J55" s="48">
        <f>SUMIFS(Dataset!$AA:$AA,Dataset!$F:$F,Resumen!I$8,Dataset!$T:$T,$B55)</f>
        <v>0</v>
      </c>
      <c r="K55" s="44">
        <f>SUMIFS(Dataset!$AJ:$AJ,Dataset!$F:$F,Resumen!K$8,Dataset!$T:$T,$B55)</f>
        <v>0</v>
      </c>
      <c r="L55" s="48">
        <f>SUMIFS(Dataset!$AA:$AA,Dataset!$F:$F,Resumen!K$8,Dataset!$T:$T,$B55)</f>
        <v>0</v>
      </c>
      <c r="M55" s="44">
        <f>SUMIFS(Dataset!$AJ:$AJ,Dataset!$F:$F,Resumen!M$8,Dataset!$T:$T,$B55)</f>
        <v>0</v>
      </c>
      <c r="N55" s="48">
        <f>SUMIFS(Dataset!$AA:$AA,Dataset!$F:$F,Resumen!M$8,Dataset!$T:$T,$B55)</f>
        <v>0</v>
      </c>
      <c r="O55" s="44">
        <f>SUMIFS(Dataset!$AJ:$AJ,Dataset!$F:$F,Resumen!O$8,Dataset!$T:$T,$B55)</f>
        <v>0</v>
      </c>
      <c r="P55" s="48">
        <f>SUMIFS(Dataset!$AA:$AA,Dataset!$F:$F,Resumen!O$8,Dataset!$T:$T,$B55)</f>
        <v>0</v>
      </c>
      <c r="Q55" s="44">
        <f>SUMIFS(Dataset!$AJ:$AJ,Dataset!$F:$F,Resumen!Q$8,Dataset!$T:$T,$B55)</f>
        <v>0</v>
      </c>
      <c r="R55" s="48">
        <f>SUMIFS(Dataset!$AA:$AA,Dataset!$F:$F,Resumen!Q$8,Dataset!$T:$T,$B55)</f>
        <v>0</v>
      </c>
      <c r="S55" s="44">
        <f>SUMIFS(Dataset!$AJ:$AJ,Dataset!$F:$F,Resumen!S$8,Dataset!$T:$T,$B55)</f>
        <v>0</v>
      </c>
      <c r="T55" s="48">
        <f>SUMIFS(Dataset!$AA:$AA,Dataset!$F:$F,Resumen!S$8,Dataset!$T:$T,$B55)</f>
        <v>0</v>
      </c>
      <c r="U55" s="44">
        <f>SUMIFS(Dataset!$AJ:$AJ,Dataset!$F:$F,Resumen!U$8,Dataset!$T:$T,$B55)</f>
        <v>0</v>
      </c>
      <c r="V55" s="48">
        <f>SUMIFS(Dataset!$AA:$AA,Dataset!$F:$F,Resumen!U$8,Dataset!$T:$T,$B55)</f>
        <v>0</v>
      </c>
      <c r="W55" s="44">
        <f>SUMIFS(Dataset!$AJ:$AJ,Dataset!$F:$F,Resumen!W$8,Dataset!$T:$T,$B55)</f>
        <v>0</v>
      </c>
      <c r="X55" s="48">
        <f>SUMIFS(Dataset!$AA:$AA,Dataset!$F:$F,Resumen!W$8,Dataset!$T:$T,$B55)</f>
        <v>0</v>
      </c>
      <c r="Y55" s="44">
        <f>SUMIFS(Dataset!$AJ:$AJ,Dataset!$F:$F,Resumen!Y$8,Dataset!$T:$T,$B55)</f>
        <v>0</v>
      </c>
      <c r="Z55" s="48">
        <f>SUMIFS(Dataset!$AA:$AA,Dataset!$F:$F,Resumen!Y$8,Dataset!$T:$T,$B55)</f>
        <v>0</v>
      </c>
      <c r="AA55" s="44">
        <f>SUMIFS(Dataset!$AJ:$AJ,Dataset!$F:$F,Resumen!AA$8,Dataset!$T:$T,$B55)</f>
        <v>0</v>
      </c>
      <c r="AB55" s="48">
        <f>SUMIFS(Dataset!$AA:$AA,Dataset!$F:$F,Resumen!AA$8,Dataset!$T:$T,$B55)</f>
        <v>0</v>
      </c>
    </row>
    <row r="56" spans="2:30" ht="30" customHeight="1" x14ac:dyDescent="0.35">
      <c r="B56" s="202" t="s">
        <v>233</v>
      </c>
      <c r="C56" s="203"/>
      <c r="D56" s="204"/>
      <c r="E56" s="49">
        <f>SUMIFS(Dataset!$AJ:$AJ,Dataset!$F:$F,Resumen!E$8,Dataset!$T:$T,$B56)</f>
        <v>0</v>
      </c>
      <c r="F56" s="48">
        <f>SUMIFS(Dataset!$AA:$AA,Dataset!$F:$F,Resumen!E$8,Dataset!$T:$T,$B56)</f>
        <v>0</v>
      </c>
      <c r="G56" s="49">
        <f>SUMIFS(Dataset!$AJ:$AJ,Dataset!$F:$F,Resumen!G$8,Dataset!$T:$T,$B56)</f>
        <v>0</v>
      </c>
      <c r="H56" s="48">
        <f>SUMIFS(Dataset!$AA:$AA,Dataset!$F:$F,Resumen!G$8,Dataset!$T:$T,$B56)</f>
        <v>0</v>
      </c>
      <c r="I56" s="49">
        <f>SUMIFS(Dataset!$AJ:$AJ,Dataset!$F:$F,Resumen!I$8,Dataset!$T:$T,$B56)</f>
        <v>0</v>
      </c>
      <c r="J56" s="48">
        <f>SUMIFS(Dataset!$AA:$AA,Dataset!$F:$F,Resumen!I$8,Dataset!$T:$T,$B56)</f>
        <v>0</v>
      </c>
      <c r="K56" s="49">
        <f>SUMIFS(Dataset!$AJ:$AJ,Dataset!$F:$F,Resumen!K$8,Dataset!$T:$T,$B56)</f>
        <v>0</v>
      </c>
      <c r="L56" s="48">
        <f>SUMIFS(Dataset!$AA:$AA,Dataset!$F:$F,Resumen!K$8,Dataset!$T:$T,$B56)</f>
        <v>0</v>
      </c>
      <c r="M56" s="49">
        <f>SUMIFS(Dataset!$AJ:$AJ,Dataset!$F:$F,Resumen!M$8,Dataset!$T:$T,$B56)</f>
        <v>0</v>
      </c>
      <c r="N56" s="48">
        <f>SUMIFS(Dataset!$AA:$AA,Dataset!$F:$F,Resumen!M$8,Dataset!$T:$T,$B56)</f>
        <v>0</v>
      </c>
      <c r="O56" s="49">
        <f>SUMIFS(Dataset!$AJ:$AJ,Dataset!$F:$F,Resumen!O$8,Dataset!$T:$T,$B56)</f>
        <v>0</v>
      </c>
      <c r="P56" s="48">
        <f>SUMIFS(Dataset!$AA:$AA,Dataset!$F:$F,Resumen!O$8,Dataset!$T:$T,$B56)</f>
        <v>0</v>
      </c>
      <c r="Q56" s="49">
        <f>SUMIFS(Dataset!$AJ:$AJ,Dataset!$F:$F,Resumen!Q$8,Dataset!$T:$T,$B56)</f>
        <v>0</v>
      </c>
      <c r="R56" s="48">
        <f>SUMIFS(Dataset!$AA:$AA,Dataset!$F:$F,Resumen!Q$8,Dataset!$T:$T,$B56)</f>
        <v>0</v>
      </c>
      <c r="S56" s="49">
        <f>SUMIFS(Dataset!$AJ:$AJ,Dataset!$F:$F,Resumen!S$8,Dataset!$T:$T,$B56)</f>
        <v>0</v>
      </c>
      <c r="T56" s="48">
        <f>SUMIFS(Dataset!$AA:$AA,Dataset!$F:$F,Resumen!S$8,Dataset!$T:$T,$B56)</f>
        <v>0</v>
      </c>
      <c r="U56" s="49">
        <f>SUMIFS(Dataset!$AJ:$AJ,Dataset!$F:$F,Resumen!U$8,Dataset!$T:$T,$B56)</f>
        <v>0</v>
      </c>
      <c r="V56" s="48">
        <f>SUMIFS(Dataset!$AA:$AA,Dataset!$F:$F,Resumen!U$8,Dataset!$T:$T,$B56)</f>
        <v>0</v>
      </c>
      <c r="W56" s="49">
        <f>SUMIFS(Dataset!$AJ:$AJ,Dataset!$F:$F,Resumen!W$8,Dataset!$T:$T,$B56)</f>
        <v>0</v>
      </c>
      <c r="X56" s="48">
        <f>SUMIFS(Dataset!$AA:$AA,Dataset!$F:$F,Resumen!W$8,Dataset!$T:$T,$B56)</f>
        <v>0</v>
      </c>
      <c r="Y56" s="49">
        <f>SUMIFS(Dataset!$AJ:$AJ,Dataset!$F:$F,Resumen!Y$8,Dataset!$T:$T,$B56)</f>
        <v>0</v>
      </c>
      <c r="Z56" s="48">
        <f>SUMIFS(Dataset!$AA:$AA,Dataset!$F:$F,Resumen!Y$8,Dataset!$T:$T,$B56)</f>
        <v>0</v>
      </c>
      <c r="AA56" s="49">
        <f>SUMIFS(Dataset!$AJ:$AJ,Dataset!$F:$F,Resumen!AA$8,Dataset!$T:$T,$B56)</f>
        <v>0</v>
      </c>
      <c r="AB56" s="48">
        <f>SUMIFS(Dataset!$AA:$AA,Dataset!$F:$F,Resumen!AA$8,Dataset!$T:$T,$B56)</f>
        <v>0</v>
      </c>
    </row>
    <row r="57" spans="2:30" ht="30" customHeight="1" x14ac:dyDescent="0.35">
      <c r="B57" s="202" t="s">
        <v>172</v>
      </c>
      <c r="C57" s="203"/>
      <c r="D57" s="204"/>
      <c r="E57" s="49">
        <f>SUMIFS(Dataset!$AJ:$AJ,Dataset!$F:$F,Resumen!E$8,Dataset!$T:$T,$B57)</f>
        <v>0</v>
      </c>
      <c r="F57" s="48">
        <f>SUMIFS(Dataset!$AA:$AA,Dataset!$F:$F,Resumen!E$8,Dataset!$T:$T,$B57)</f>
        <v>0</v>
      </c>
      <c r="G57" s="49">
        <f>SUMIFS(Dataset!$AJ:$AJ,Dataset!$F:$F,Resumen!G$8,Dataset!$T:$T,$B57)</f>
        <v>0</v>
      </c>
      <c r="H57" s="48">
        <f>SUMIFS(Dataset!$AA:$AA,Dataset!$F:$F,Resumen!G$8,Dataset!$T:$T,$B57)</f>
        <v>0</v>
      </c>
      <c r="I57" s="49">
        <f>SUMIFS(Dataset!$AJ:$AJ,Dataset!$F:$F,Resumen!I$8,Dataset!$T:$T,$B57)</f>
        <v>0</v>
      </c>
      <c r="J57" s="48">
        <f>SUMIFS(Dataset!$AA:$AA,Dataset!$F:$F,Resumen!I$8,Dataset!$T:$T,$B57)</f>
        <v>0</v>
      </c>
      <c r="K57" s="49">
        <f>SUMIFS(Dataset!$AJ:$AJ,Dataset!$F:$F,Resumen!K$8,Dataset!$T:$T,$B57)</f>
        <v>0</v>
      </c>
      <c r="L57" s="48">
        <f>SUMIFS(Dataset!$AA:$AA,Dataset!$F:$F,Resumen!K$8,Dataset!$T:$T,$B57)</f>
        <v>0</v>
      </c>
      <c r="M57" s="49">
        <f>SUMIFS(Dataset!$AJ:$AJ,Dataset!$F:$F,Resumen!M$8,Dataset!$T:$T,$B57)</f>
        <v>0</v>
      </c>
      <c r="N57" s="48">
        <f>SUMIFS(Dataset!$AA:$AA,Dataset!$F:$F,Resumen!M$8,Dataset!$T:$T,$B57)</f>
        <v>0</v>
      </c>
      <c r="O57" s="49">
        <f>SUMIFS(Dataset!$AJ:$AJ,Dataset!$F:$F,Resumen!O$8,Dataset!$T:$T,$B57)</f>
        <v>0</v>
      </c>
      <c r="P57" s="48">
        <f>SUMIFS(Dataset!$AA:$AA,Dataset!$F:$F,Resumen!O$8,Dataset!$T:$T,$B57)</f>
        <v>0</v>
      </c>
      <c r="Q57" s="49">
        <f>SUMIFS(Dataset!$AJ:$AJ,Dataset!$F:$F,Resumen!Q$8,Dataset!$T:$T,$B57)</f>
        <v>0</v>
      </c>
      <c r="R57" s="48">
        <f>SUMIFS(Dataset!$AA:$AA,Dataset!$F:$F,Resumen!Q$8,Dataset!$T:$T,$B57)</f>
        <v>0</v>
      </c>
      <c r="S57" s="49">
        <f>SUMIFS(Dataset!$AJ:$AJ,Dataset!$F:$F,Resumen!S$8,Dataset!$T:$T,$B57)</f>
        <v>0</v>
      </c>
      <c r="T57" s="48">
        <f>SUMIFS(Dataset!$AA:$AA,Dataset!$F:$F,Resumen!S$8,Dataset!$T:$T,$B57)</f>
        <v>0</v>
      </c>
      <c r="U57" s="49">
        <f>SUMIFS(Dataset!$AJ:$AJ,Dataset!$F:$F,Resumen!U$8,Dataset!$T:$T,$B57)</f>
        <v>0</v>
      </c>
      <c r="V57" s="48">
        <f>SUMIFS(Dataset!$AA:$AA,Dataset!$F:$F,Resumen!U$8,Dataset!$T:$T,$B57)</f>
        <v>0</v>
      </c>
      <c r="W57" s="49">
        <f>SUMIFS(Dataset!$AJ:$AJ,Dataset!$F:$F,Resumen!W$8,Dataset!$T:$T,$B57)</f>
        <v>0</v>
      </c>
      <c r="X57" s="48">
        <f>SUMIFS(Dataset!$AA:$AA,Dataset!$F:$F,Resumen!W$8,Dataset!$T:$T,$B57)</f>
        <v>0</v>
      </c>
      <c r="Y57" s="49">
        <f>SUMIFS(Dataset!$AJ:$AJ,Dataset!$F:$F,Resumen!Y$8,Dataset!$T:$T,$B57)</f>
        <v>0</v>
      </c>
      <c r="Z57" s="48">
        <f>SUMIFS(Dataset!$AA:$AA,Dataset!$F:$F,Resumen!Y$8,Dataset!$T:$T,$B57)</f>
        <v>0</v>
      </c>
      <c r="AA57" s="49">
        <f>SUMIFS(Dataset!$AJ:$AJ,Dataset!$F:$F,Resumen!AA$8,Dataset!$T:$T,$B57)</f>
        <v>0</v>
      </c>
      <c r="AB57" s="48">
        <f>SUMIFS(Dataset!$AA:$AA,Dataset!$F:$F,Resumen!AA$8,Dataset!$T:$T,$B57)</f>
        <v>0</v>
      </c>
    </row>
    <row r="58" spans="2:30" ht="30" customHeight="1" x14ac:dyDescent="0.35">
      <c r="B58" s="202" t="s">
        <v>240</v>
      </c>
      <c r="C58" s="203"/>
      <c r="D58" s="204"/>
      <c r="E58" s="49">
        <f>SUMIFS(Dataset!$AJ:$AJ,Dataset!$F:$F,Resumen!E$8,Dataset!$T:$T,$B58)</f>
        <v>0</v>
      </c>
      <c r="F58" s="48">
        <f>SUMIFS(Dataset!$AA:$AA,Dataset!$F:$F,Resumen!E$8,Dataset!$T:$T,$B58)</f>
        <v>0</v>
      </c>
      <c r="G58" s="49">
        <f>SUMIFS(Dataset!$AJ:$AJ,Dataset!$F:$F,Resumen!G$8,Dataset!$T:$T,$B58)</f>
        <v>-0.16444423867190447</v>
      </c>
      <c r="H58" s="48">
        <f>SUMIFS(Dataset!$AA:$AA,Dataset!$F:$F,Resumen!G$8,Dataset!$T:$T,$B58)</f>
        <v>0</v>
      </c>
      <c r="I58" s="49">
        <f>SUMIFS(Dataset!$AJ:$AJ,Dataset!$F:$F,Resumen!I$8,Dataset!$T:$T,$B58)</f>
        <v>0</v>
      </c>
      <c r="J58" s="48">
        <f>SUMIFS(Dataset!$AA:$AA,Dataset!$F:$F,Resumen!I$8,Dataset!$T:$T,$B58)</f>
        <v>0</v>
      </c>
      <c r="K58" s="49">
        <f>SUMIFS(Dataset!$AJ:$AJ,Dataset!$F:$F,Resumen!K$8,Dataset!$T:$T,$B58)</f>
        <v>0</v>
      </c>
      <c r="L58" s="48">
        <f>SUMIFS(Dataset!$AA:$AA,Dataset!$F:$F,Resumen!K$8,Dataset!$T:$T,$B58)</f>
        <v>0</v>
      </c>
      <c r="M58" s="49">
        <f>SUMIFS(Dataset!$AJ:$AJ,Dataset!$F:$F,Resumen!M$8,Dataset!$T:$T,$B58)</f>
        <v>0</v>
      </c>
      <c r="N58" s="48">
        <f>SUMIFS(Dataset!$AA:$AA,Dataset!$F:$F,Resumen!M$8,Dataset!$T:$T,$B58)</f>
        <v>0</v>
      </c>
      <c r="O58" s="49">
        <f>SUMIFS(Dataset!$AJ:$AJ,Dataset!$F:$F,Resumen!O$8,Dataset!$T:$T,$B58)</f>
        <v>0</v>
      </c>
      <c r="P58" s="48">
        <f>SUMIFS(Dataset!$AA:$AA,Dataset!$F:$F,Resumen!O$8,Dataset!$T:$T,$B58)</f>
        <v>0</v>
      </c>
      <c r="Q58" s="49">
        <f>SUMIFS(Dataset!$AJ:$AJ,Dataset!$F:$F,Resumen!Q$8,Dataset!$T:$T,$B58)</f>
        <v>0</v>
      </c>
      <c r="R58" s="48">
        <f>SUMIFS(Dataset!$AA:$AA,Dataset!$F:$F,Resumen!Q$8,Dataset!$T:$T,$B58)</f>
        <v>0</v>
      </c>
      <c r="S58" s="49">
        <f>SUMIFS(Dataset!$AJ:$AJ,Dataset!$F:$F,Resumen!S$8,Dataset!$T:$T,$B58)</f>
        <v>0</v>
      </c>
      <c r="T58" s="48">
        <f>SUMIFS(Dataset!$AA:$AA,Dataset!$F:$F,Resumen!S$8,Dataset!$T:$T,$B58)</f>
        <v>0</v>
      </c>
      <c r="U58" s="49">
        <f>SUMIFS(Dataset!$AJ:$AJ,Dataset!$F:$F,Resumen!U$8,Dataset!$T:$T,$B58)</f>
        <v>0</v>
      </c>
      <c r="V58" s="48">
        <f>SUMIFS(Dataset!$AA:$AA,Dataset!$F:$F,Resumen!U$8,Dataset!$T:$T,$B58)</f>
        <v>0</v>
      </c>
      <c r="W58" s="49">
        <f>SUMIFS(Dataset!$AJ:$AJ,Dataset!$F:$F,Resumen!W$8,Dataset!$T:$T,$B58)</f>
        <v>0</v>
      </c>
      <c r="X58" s="48">
        <f>SUMIFS(Dataset!$AA:$AA,Dataset!$F:$F,Resumen!W$8,Dataset!$T:$T,$B58)</f>
        <v>0</v>
      </c>
      <c r="Y58" s="49">
        <f>SUMIFS(Dataset!$AJ:$AJ,Dataset!$F:$F,Resumen!Y$8,Dataset!$T:$T,$B58)</f>
        <v>0</v>
      </c>
      <c r="Z58" s="48">
        <f>SUMIFS(Dataset!$AA:$AA,Dataset!$F:$F,Resumen!Y$8,Dataset!$T:$T,$B58)</f>
        <v>0</v>
      </c>
      <c r="AA58" s="49">
        <f>SUMIFS(Dataset!$AJ:$AJ,Dataset!$F:$F,Resumen!AA$8,Dataset!$T:$T,$B58)</f>
        <v>-0.43446299198909327</v>
      </c>
      <c r="AB58" s="48">
        <f>SUMIFS(Dataset!$AA:$AA,Dataset!$F:$F,Resumen!AA$8,Dataset!$T:$T,$B58)</f>
        <v>0</v>
      </c>
    </row>
    <row r="59" spans="2:30" ht="30" customHeight="1" x14ac:dyDescent="0.35">
      <c r="B59" s="211" t="s">
        <v>66</v>
      </c>
      <c r="C59" s="211"/>
      <c r="D59" s="211"/>
      <c r="E59" s="46">
        <f>SUM(E51:E58)</f>
        <v>1.2750217548429532E-15</v>
      </c>
      <c r="F59" s="47">
        <f t="shared" ref="F59:AD59" si="1">SUM(F51:F58)</f>
        <v>1.0000000000000009</v>
      </c>
      <c r="G59" s="46">
        <f t="shared" si="1"/>
        <v>1</v>
      </c>
      <c r="H59" s="47">
        <f t="shared" si="1"/>
        <v>0.99999999999999989</v>
      </c>
      <c r="I59" s="46">
        <f t="shared" si="1"/>
        <v>-1.5265566588595902E-16</v>
      </c>
      <c r="J59" s="47">
        <f t="shared" si="1"/>
        <v>0.99999999999999767</v>
      </c>
      <c r="K59" s="46">
        <f t="shared" si="1"/>
        <v>1</v>
      </c>
      <c r="L59" s="47">
        <f t="shared" si="1"/>
        <v>0.99999999999999922</v>
      </c>
      <c r="M59" s="46">
        <f t="shared" si="1"/>
        <v>-2.381632058453486E-2</v>
      </c>
      <c r="N59" s="47">
        <f t="shared" si="1"/>
        <v>0.99999999999999978</v>
      </c>
      <c r="O59" s="46">
        <f t="shared" si="1"/>
        <v>1</v>
      </c>
      <c r="P59" s="47">
        <f t="shared" si="1"/>
        <v>0.99999999999999933</v>
      </c>
      <c r="Q59" s="46">
        <f t="shared" si="1"/>
        <v>0.99999999999999989</v>
      </c>
      <c r="R59" s="47">
        <f t="shared" si="1"/>
        <v>0.99999999999999989</v>
      </c>
      <c r="S59" s="46">
        <f t="shared" si="1"/>
        <v>1</v>
      </c>
      <c r="T59" s="47">
        <f t="shared" si="1"/>
        <v>0.99999999999999956</v>
      </c>
      <c r="U59" s="46">
        <f t="shared" si="1"/>
        <v>-9.9999999895322711E-9</v>
      </c>
      <c r="V59" s="47">
        <f t="shared" si="1"/>
        <v>0.99999999999999978</v>
      </c>
      <c r="W59" s="46">
        <f t="shared" si="1"/>
        <v>0.99999999999999989</v>
      </c>
      <c r="X59" s="47">
        <f t="shared" si="1"/>
        <v>1.0000000000000002</v>
      </c>
      <c r="Y59" s="46">
        <f t="shared" si="1"/>
        <v>1.0000000000000002</v>
      </c>
      <c r="Z59" s="47">
        <f t="shared" si="1"/>
        <v>0.99999999999999989</v>
      </c>
      <c r="AA59" s="46">
        <f t="shared" si="1"/>
        <v>1.0000000000000002</v>
      </c>
      <c r="AB59" s="47">
        <f t="shared" si="1"/>
        <v>1.0000000000000002</v>
      </c>
      <c r="AC59" s="31">
        <f t="shared" si="1"/>
        <v>0</v>
      </c>
      <c r="AD59" s="31">
        <f t="shared" si="1"/>
        <v>0</v>
      </c>
    </row>
    <row r="60" spans="2:30" x14ac:dyDescent="0.25"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2" spans="2:30" ht="28.5" x14ac:dyDescent="0.25">
      <c r="B62" s="221"/>
      <c r="C62" s="221"/>
      <c r="D62" s="221"/>
      <c r="E62" s="221"/>
      <c r="F62" s="221"/>
      <c r="G62" s="221"/>
      <c r="H62" s="221"/>
      <c r="I62" s="221"/>
      <c r="J62" s="221"/>
      <c r="K62" s="221"/>
      <c r="L62" s="221"/>
      <c r="M62" s="221"/>
      <c r="N62" s="221"/>
      <c r="O62" s="221"/>
      <c r="P62" s="221"/>
      <c r="Q62" s="221"/>
      <c r="R62" s="221"/>
      <c r="S62" s="221"/>
      <c r="T62" s="221"/>
      <c r="U62" s="221"/>
      <c r="V62" s="221"/>
      <c r="W62" s="221"/>
      <c r="X62" s="221"/>
      <c r="Y62" s="221"/>
      <c r="Z62" s="221"/>
      <c r="AA62" s="221"/>
      <c r="AB62" s="221"/>
    </row>
    <row r="63" spans="2:30" x14ac:dyDescent="0.25">
      <c r="B63" s="50" t="s">
        <v>74</v>
      </c>
    </row>
  </sheetData>
  <mergeCells count="55">
    <mergeCell ref="B2:AB2"/>
    <mergeCell ref="B3:AB3"/>
    <mergeCell ref="B62:AB62"/>
    <mergeCell ref="B58:D58"/>
    <mergeCell ref="AA8:AB8"/>
    <mergeCell ref="C18:D18"/>
    <mergeCell ref="B46:B48"/>
    <mergeCell ref="C46:D46"/>
    <mergeCell ref="C47:D47"/>
    <mergeCell ref="B14:B17"/>
    <mergeCell ref="B18:B21"/>
    <mergeCell ref="C19:D19"/>
    <mergeCell ref="C20:D20"/>
    <mergeCell ref="C21:D21"/>
    <mergeCell ref="C22:C25"/>
    <mergeCell ref="B22:B29"/>
    <mergeCell ref="I8:J8"/>
    <mergeCell ref="Q8:R8"/>
    <mergeCell ref="E8:F8"/>
    <mergeCell ref="G8:H8"/>
    <mergeCell ref="K8:L8"/>
    <mergeCell ref="M8:N8"/>
    <mergeCell ref="O8:P8"/>
    <mergeCell ref="S8:T8"/>
    <mergeCell ref="U8:V8"/>
    <mergeCell ref="W8:X8"/>
    <mergeCell ref="Y8:Z8"/>
    <mergeCell ref="B59:D59"/>
    <mergeCell ref="B8:D9"/>
    <mergeCell ref="C38:C41"/>
    <mergeCell ref="C42:C45"/>
    <mergeCell ref="B54:D54"/>
    <mergeCell ref="C17:D17"/>
    <mergeCell ref="C10:D10"/>
    <mergeCell ref="C11:D11"/>
    <mergeCell ref="C12:D12"/>
    <mergeCell ref="C13:D13"/>
    <mergeCell ref="B49:D49"/>
    <mergeCell ref="B50:D50"/>
    <mergeCell ref="B10:B13"/>
    <mergeCell ref="B56:D56"/>
    <mergeCell ref="C16:D16"/>
    <mergeCell ref="B51:D51"/>
    <mergeCell ref="C14:D14"/>
    <mergeCell ref="B53:D53"/>
    <mergeCell ref="C15:D15"/>
    <mergeCell ref="C26:C29"/>
    <mergeCell ref="C48:D48"/>
    <mergeCell ref="B57:D57"/>
    <mergeCell ref="B55:D55"/>
    <mergeCell ref="B52:D52"/>
    <mergeCell ref="C34:C37"/>
    <mergeCell ref="B38:B45"/>
    <mergeCell ref="B30:B37"/>
    <mergeCell ref="C30:C33"/>
  </mergeCells>
  <conditionalFormatting sqref="G11:G24 F55:F56 E57:AB58">
    <cfRule type="cellIs" dxfId="487" priority="944" operator="lessThan">
      <formula>0</formula>
    </cfRule>
  </conditionalFormatting>
  <conditionalFormatting sqref="H11:H24">
    <cfRule type="cellIs" dxfId="486" priority="943" operator="lessThan">
      <formula>0</formula>
    </cfRule>
  </conditionalFormatting>
  <conditionalFormatting sqref="K11:K24">
    <cfRule type="cellIs" dxfId="485" priority="942" operator="lessThan">
      <formula>0</formula>
    </cfRule>
  </conditionalFormatting>
  <conditionalFormatting sqref="L11:L24">
    <cfRule type="cellIs" dxfId="484" priority="941" operator="lessThan">
      <formula>0</formula>
    </cfRule>
  </conditionalFormatting>
  <conditionalFormatting sqref="G25:G29 G46:G48">
    <cfRule type="cellIs" dxfId="483" priority="939" operator="lessThan">
      <formula>0</formula>
    </cfRule>
  </conditionalFormatting>
  <conditionalFormatting sqref="H25:H29 H46:H48">
    <cfRule type="cellIs" dxfId="482" priority="938" operator="lessThan">
      <formula>0</formula>
    </cfRule>
  </conditionalFormatting>
  <conditionalFormatting sqref="K25:K29 K46:K48">
    <cfRule type="cellIs" dxfId="481" priority="937" operator="lessThan">
      <formula>0</formula>
    </cfRule>
  </conditionalFormatting>
  <conditionalFormatting sqref="L25:L29 L46:L48">
    <cfRule type="cellIs" dxfId="480" priority="936" operator="lessThan">
      <formula>0</formula>
    </cfRule>
  </conditionalFormatting>
  <conditionalFormatting sqref="G38:G40">
    <cfRule type="cellIs" dxfId="479" priority="704" operator="lessThan">
      <formula>0</formula>
    </cfRule>
  </conditionalFormatting>
  <conditionalFormatting sqref="H38:H40">
    <cfRule type="cellIs" dxfId="478" priority="703" operator="lessThan">
      <formula>0</formula>
    </cfRule>
  </conditionalFormatting>
  <conditionalFormatting sqref="E49:E50">
    <cfRule type="cellIs" dxfId="477" priority="804" operator="lessThan">
      <formula>0</formula>
    </cfRule>
  </conditionalFormatting>
  <conditionalFormatting sqref="F49:F50">
    <cfRule type="cellIs" dxfId="476" priority="803" operator="lessThan">
      <formula>0</formula>
    </cfRule>
  </conditionalFormatting>
  <conditionalFormatting sqref="G49:G50">
    <cfRule type="cellIs" dxfId="475" priority="802" operator="lessThan">
      <formula>0</formula>
    </cfRule>
  </conditionalFormatting>
  <conditionalFormatting sqref="E10:E23">
    <cfRule type="cellIs" dxfId="474" priority="904" operator="lessThan">
      <formula>0</formula>
    </cfRule>
  </conditionalFormatting>
  <conditionalFormatting sqref="F10:F23">
    <cfRule type="cellIs" dxfId="473" priority="903" operator="lessThan">
      <formula>0</formula>
    </cfRule>
  </conditionalFormatting>
  <conditionalFormatting sqref="G10:G23">
    <cfRule type="cellIs" dxfId="472" priority="902" operator="lessThan">
      <formula>0</formula>
    </cfRule>
  </conditionalFormatting>
  <conditionalFormatting sqref="H10:H23">
    <cfRule type="cellIs" dxfId="471" priority="901" operator="lessThan">
      <formula>0</formula>
    </cfRule>
  </conditionalFormatting>
  <conditionalFormatting sqref="K10:K23">
    <cfRule type="cellIs" dxfId="470" priority="900" operator="lessThan">
      <formula>0</formula>
    </cfRule>
  </conditionalFormatting>
  <conditionalFormatting sqref="E24:E29 E46:E48">
    <cfRule type="cellIs" dxfId="469" priority="899" operator="lessThan">
      <formula>0</formula>
    </cfRule>
  </conditionalFormatting>
  <conditionalFormatting sqref="F24:F29 F46:F48">
    <cfRule type="cellIs" dxfId="468" priority="898" operator="lessThan">
      <formula>0</formula>
    </cfRule>
  </conditionalFormatting>
  <conditionalFormatting sqref="G24:G29 G46:G48">
    <cfRule type="cellIs" dxfId="467" priority="897" operator="lessThan">
      <formula>0</formula>
    </cfRule>
  </conditionalFormatting>
  <conditionalFormatting sqref="H24:H29 H46:H48">
    <cfRule type="cellIs" dxfId="466" priority="896" operator="lessThan">
      <formula>0</formula>
    </cfRule>
  </conditionalFormatting>
  <conditionalFormatting sqref="K24:K29 K46:K48">
    <cfRule type="cellIs" dxfId="465" priority="895" operator="lessThan">
      <formula>0</formula>
    </cfRule>
  </conditionalFormatting>
  <conditionalFormatting sqref="L10:L23">
    <cfRule type="cellIs" dxfId="464" priority="894" operator="lessThan">
      <formula>0</formula>
    </cfRule>
  </conditionalFormatting>
  <conditionalFormatting sqref="L24:L29 L46:L48">
    <cfRule type="cellIs" dxfId="463" priority="889" operator="lessThan">
      <formula>0</formula>
    </cfRule>
  </conditionalFormatting>
  <conditionalFormatting sqref="E38:E39">
    <cfRule type="cellIs" dxfId="462" priority="664" operator="lessThan">
      <formula>0</formula>
    </cfRule>
  </conditionalFormatting>
  <conditionalFormatting sqref="F38:F39">
    <cfRule type="cellIs" dxfId="461" priority="663" operator="lessThan">
      <formula>0</formula>
    </cfRule>
  </conditionalFormatting>
  <conditionalFormatting sqref="G38:G39">
    <cfRule type="cellIs" dxfId="460" priority="662" operator="lessThan">
      <formula>0</formula>
    </cfRule>
  </conditionalFormatting>
  <conditionalFormatting sqref="H38:H39">
    <cfRule type="cellIs" dxfId="459" priority="661" operator="lessThan">
      <formula>0</formula>
    </cfRule>
  </conditionalFormatting>
  <conditionalFormatting sqref="U30:U31">
    <cfRule type="cellIs" dxfId="458" priority="480" operator="lessThan">
      <formula>0</formula>
    </cfRule>
  </conditionalFormatting>
  <conditionalFormatting sqref="V30:V31">
    <cfRule type="cellIs" dxfId="457" priority="479" operator="lessThan">
      <formula>0</formula>
    </cfRule>
  </conditionalFormatting>
  <conditionalFormatting sqref="W30:W31">
    <cfRule type="cellIs" dxfId="456" priority="478" operator="lessThan">
      <formula>0</formula>
    </cfRule>
  </conditionalFormatting>
  <conditionalFormatting sqref="U32:U37">
    <cfRule type="cellIs" dxfId="455" priority="477" operator="lessThan">
      <formula>0</formula>
    </cfRule>
  </conditionalFormatting>
  <conditionalFormatting sqref="V32:V37">
    <cfRule type="cellIs" dxfId="454" priority="476" operator="lessThan">
      <formula>0</formula>
    </cfRule>
  </conditionalFormatting>
  <conditionalFormatting sqref="W32:W37">
    <cfRule type="cellIs" dxfId="453" priority="475" operator="lessThan">
      <formula>0</formula>
    </cfRule>
  </conditionalFormatting>
  <conditionalFormatting sqref="X30:X31">
    <cfRule type="cellIs" dxfId="452" priority="474" operator="lessThan">
      <formula>0</formula>
    </cfRule>
  </conditionalFormatting>
  <conditionalFormatting sqref="X32:X37">
    <cfRule type="cellIs" dxfId="451" priority="473" operator="lessThan">
      <formula>0</formula>
    </cfRule>
  </conditionalFormatting>
  <conditionalFormatting sqref="U38:U40">
    <cfRule type="cellIs" dxfId="450" priority="472" operator="lessThan">
      <formula>0</formula>
    </cfRule>
  </conditionalFormatting>
  <conditionalFormatting sqref="V38:V40">
    <cfRule type="cellIs" dxfId="449" priority="471" operator="lessThan">
      <formula>0</formula>
    </cfRule>
  </conditionalFormatting>
  <conditionalFormatting sqref="W38:W40">
    <cfRule type="cellIs" dxfId="448" priority="470" operator="lessThan">
      <formula>0</formula>
    </cfRule>
  </conditionalFormatting>
  <conditionalFormatting sqref="X38:X40">
    <cfRule type="cellIs" dxfId="447" priority="469" operator="lessThan">
      <formula>0</formula>
    </cfRule>
  </conditionalFormatting>
  <conditionalFormatting sqref="U41:U45">
    <cfRule type="cellIs" dxfId="446" priority="468" operator="lessThan">
      <formula>0</formula>
    </cfRule>
  </conditionalFormatting>
  <conditionalFormatting sqref="V41:V45">
    <cfRule type="cellIs" dxfId="445" priority="467" operator="lessThan">
      <formula>0</formula>
    </cfRule>
  </conditionalFormatting>
  <conditionalFormatting sqref="W41:W45">
    <cfRule type="cellIs" dxfId="444" priority="466" operator="lessThan">
      <formula>0</formula>
    </cfRule>
  </conditionalFormatting>
  <conditionalFormatting sqref="X41:X45">
    <cfRule type="cellIs" dxfId="443" priority="465" operator="lessThan">
      <formula>0</formula>
    </cfRule>
  </conditionalFormatting>
  <conditionalFormatting sqref="U38:U39">
    <cfRule type="cellIs" dxfId="442" priority="464" operator="lessThan">
      <formula>0</formula>
    </cfRule>
  </conditionalFormatting>
  <conditionalFormatting sqref="V38:V39">
    <cfRule type="cellIs" dxfId="441" priority="463" operator="lessThan">
      <formula>0</formula>
    </cfRule>
  </conditionalFormatting>
  <conditionalFormatting sqref="W38:W39">
    <cfRule type="cellIs" dxfId="440" priority="462" operator="lessThan">
      <formula>0</formula>
    </cfRule>
  </conditionalFormatting>
  <conditionalFormatting sqref="U40:U45">
    <cfRule type="cellIs" dxfId="439" priority="461" operator="lessThan">
      <formula>0</formula>
    </cfRule>
  </conditionalFormatting>
  <conditionalFormatting sqref="V40:V45">
    <cfRule type="cellIs" dxfId="438" priority="460" operator="lessThan">
      <formula>0</formula>
    </cfRule>
  </conditionalFormatting>
  <conditionalFormatting sqref="W40:W45">
    <cfRule type="cellIs" dxfId="437" priority="459" operator="lessThan">
      <formula>0</formula>
    </cfRule>
  </conditionalFormatting>
  <conditionalFormatting sqref="X38:X39">
    <cfRule type="cellIs" dxfId="436" priority="458" operator="lessThan">
      <formula>0</formula>
    </cfRule>
  </conditionalFormatting>
  <conditionalFormatting sqref="X40:X45">
    <cfRule type="cellIs" dxfId="435" priority="457" operator="lessThan">
      <formula>0</formula>
    </cfRule>
  </conditionalFormatting>
  <conditionalFormatting sqref="Y11:Y24">
    <cfRule type="cellIs" dxfId="434" priority="456" operator="lessThan">
      <formula>0</formula>
    </cfRule>
  </conditionalFormatting>
  <conditionalFormatting sqref="Z11:Z24">
    <cfRule type="cellIs" dxfId="433" priority="455" operator="lessThan">
      <formula>0</formula>
    </cfRule>
  </conditionalFormatting>
  <conditionalFormatting sqref="AA11:AA24">
    <cfRule type="cellIs" dxfId="432" priority="454" operator="lessThan">
      <formula>0</formula>
    </cfRule>
  </conditionalFormatting>
  <conditionalFormatting sqref="AB11:AB24">
    <cfRule type="cellIs" dxfId="431" priority="453" operator="lessThan">
      <formula>0</formula>
    </cfRule>
  </conditionalFormatting>
  <conditionalFormatting sqref="Y25:Y29 Y46:Y48">
    <cfRule type="cellIs" dxfId="430" priority="452" operator="lessThan">
      <formula>0</formula>
    </cfRule>
  </conditionalFormatting>
  <conditionalFormatting sqref="Z25:Z29 Z46:Z48">
    <cfRule type="cellIs" dxfId="429" priority="451" operator="lessThan">
      <formula>0</formula>
    </cfRule>
  </conditionalFormatting>
  <conditionalFormatting sqref="AA25:AA29 AA46:AA48">
    <cfRule type="cellIs" dxfId="428" priority="450" operator="lessThan">
      <formula>0</formula>
    </cfRule>
  </conditionalFormatting>
  <conditionalFormatting sqref="AB25:AB29 AB46:AB48">
    <cfRule type="cellIs" dxfId="427" priority="449" operator="lessThan">
      <formula>0</formula>
    </cfRule>
  </conditionalFormatting>
  <conditionalFormatting sqref="Y10:Y23">
    <cfRule type="cellIs" dxfId="426" priority="448" operator="lessThan">
      <formula>0</formula>
    </cfRule>
  </conditionalFormatting>
  <conditionalFormatting sqref="Z10:Z23">
    <cfRule type="cellIs" dxfId="425" priority="447" operator="lessThan">
      <formula>0</formula>
    </cfRule>
  </conditionalFormatting>
  <conditionalFormatting sqref="AA10:AA23">
    <cfRule type="cellIs" dxfId="424" priority="446" operator="lessThan">
      <formula>0</formula>
    </cfRule>
  </conditionalFormatting>
  <conditionalFormatting sqref="Y24:Y29 Y46:Y48">
    <cfRule type="cellIs" dxfId="423" priority="445" operator="lessThan">
      <formula>0</formula>
    </cfRule>
  </conditionalFormatting>
  <conditionalFormatting sqref="Z24:Z29 Z46:Z48">
    <cfRule type="cellIs" dxfId="422" priority="444" operator="lessThan">
      <formula>0</formula>
    </cfRule>
  </conditionalFormatting>
  <conditionalFormatting sqref="AA24:AA29 AA46:AA48">
    <cfRule type="cellIs" dxfId="421" priority="443" operator="lessThan">
      <formula>0</formula>
    </cfRule>
  </conditionalFormatting>
  <conditionalFormatting sqref="AB10:AB23">
    <cfRule type="cellIs" dxfId="420" priority="442" operator="lessThan">
      <formula>0</formula>
    </cfRule>
  </conditionalFormatting>
  <conditionalFormatting sqref="AB24:AB29 AB46:AB48">
    <cfRule type="cellIs" dxfId="419" priority="441" operator="lessThan">
      <formula>0</formula>
    </cfRule>
  </conditionalFormatting>
  <conditionalFormatting sqref="G49:G50">
    <cfRule type="cellIs" dxfId="418" priority="824" operator="lessThan">
      <formula>0</formula>
    </cfRule>
  </conditionalFormatting>
  <conditionalFormatting sqref="H49:H50">
    <cfRule type="cellIs" dxfId="417" priority="823" operator="lessThan">
      <formula>0</formula>
    </cfRule>
  </conditionalFormatting>
  <conditionalFormatting sqref="K49:K50">
    <cfRule type="cellIs" dxfId="416" priority="822" operator="lessThan">
      <formula>0</formula>
    </cfRule>
  </conditionalFormatting>
  <conditionalFormatting sqref="L49:L50">
    <cfRule type="cellIs" dxfId="415" priority="821" operator="lessThan">
      <formula>0</formula>
    </cfRule>
  </conditionalFormatting>
  <conditionalFormatting sqref="M33:M37">
    <cfRule type="cellIs" dxfId="414" priority="596" operator="lessThan">
      <formula>0</formula>
    </cfRule>
  </conditionalFormatting>
  <conditionalFormatting sqref="N33:N37">
    <cfRule type="cellIs" dxfId="413" priority="595" operator="lessThan">
      <formula>0</formula>
    </cfRule>
  </conditionalFormatting>
  <conditionalFormatting sqref="O33:O37">
    <cfRule type="cellIs" dxfId="412" priority="594" operator="lessThan">
      <formula>0</formula>
    </cfRule>
  </conditionalFormatting>
  <conditionalFormatting sqref="P33:P37">
    <cfRule type="cellIs" dxfId="411" priority="593" operator="lessThan">
      <formula>0</formula>
    </cfRule>
  </conditionalFormatting>
  <conditionalFormatting sqref="G41:G45">
    <cfRule type="cellIs" dxfId="410" priority="699" operator="lessThan">
      <formula>0</formula>
    </cfRule>
  </conditionalFormatting>
  <conditionalFormatting sqref="H41:H45">
    <cfRule type="cellIs" dxfId="409" priority="698" operator="lessThan">
      <formula>0</formula>
    </cfRule>
  </conditionalFormatting>
  <conditionalFormatting sqref="K41:K45">
    <cfRule type="cellIs" dxfId="408" priority="697" operator="lessThan">
      <formula>0</formula>
    </cfRule>
  </conditionalFormatting>
  <conditionalFormatting sqref="H49:H50">
    <cfRule type="cellIs" dxfId="407" priority="801" operator="lessThan">
      <formula>0</formula>
    </cfRule>
  </conditionalFormatting>
  <conditionalFormatting sqref="K49:K50">
    <cfRule type="cellIs" dxfId="406" priority="800" operator="lessThan">
      <formula>0</formula>
    </cfRule>
  </conditionalFormatting>
  <conditionalFormatting sqref="L49:L50">
    <cfRule type="cellIs" dxfId="405" priority="799" operator="lessThan">
      <formula>0</formula>
    </cfRule>
  </conditionalFormatting>
  <conditionalFormatting sqref="O38:O39">
    <cfRule type="cellIs" dxfId="404" priority="574" operator="lessThan">
      <formula>0</formula>
    </cfRule>
  </conditionalFormatting>
  <conditionalFormatting sqref="M40:M45">
    <cfRule type="cellIs" dxfId="403" priority="573" operator="lessThan">
      <formula>0</formula>
    </cfRule>
  </conditionalFormatting>
  <conditionalFormatting sqref="N40:N45">
    <cfRule type="cellIs" dxfId="402" priority="572" operator="lessThan">
      <formula>0</formula>
    </cfRule>
  </conditionalFormatting>
  <conditionalFormatting sqref="O40:O45">
    <cfRule type="cellIs" dxfId="401" priority="571" operator="lessThan">
      <formula>0</formula>
    </cfRule>
  </conditionalFormatting>
  <conditionalFormatting sqref="M11:M24">
    <cfRule type="cellIs" dxfId="400" priority="624" operator="lessThan">
      <formula>0</formula>
    </cfRule>
  </conditionalFormatting>
  <conditionalFormatting sqref="N11:N24">
    <cfRule type="cellIs" dxfId="399" priority="623" operator="lessThan">
      <formula>0</formula>
    </cfRule>
  </conditionalFormatting>
  <conditionalFormatting sqref="L32:L37">
    <cfRule type="cellIs" dxfId="398" priority="729" operator="lessThan">
      <formula>0</formula>
    </cfRule>
  </conditionalFormatting>
  <conditionalFormatting sqref="G30:G32">
    <cfRule type="cellIs" dxfId="397" priority="784" operator="lessThan">
      <formula>0</formula>
    </cfRule>
  </conditionalFormatting>
  <conditionalFormatting sqref="H30:H32">
    <cfRule type="cellIs" dxfId="396" priority="783" operator="lessThan">
      <formula>0</formula>
    </cfRule>
  </conditionalFormatting>
  <conditionalFormatting sqref="K30:K32">
    <cfRule type="cellIs" dxfId="395" priority="782" operator="lessThan">
      <formula>0</formula>
    </cfRule>
  </conditionalFormatting>
  <conditionalFormatting sqref="L30:L32">
    <cfRule type="cellIs" dxfId="394" priority="781" operator="lessThan">
      <formula>0</formula>
    </cfRule>
  </conditionalFormatting>
  <conditionalFormatting sqref="R24:R29 R46:R48">
    <cfRule type="cellIs" dxfId="393" priority="556" operator="lessThan">
      <formula>0</formula>
    </cfRule>
  </conditionalFormatting>
  <conditionalFormatting sqref="G33:G37">
    <cfRule type="cellIs" dxfId="392" priority="779" operator="lessThan">
      <formula>0</formula>
    </cfRule>
  </conditionalFormatting>
  <conditionalFormatting sqref="H33:H37">
    <cfRule type="cellIs" dxfId="391" priority="778" operator="lessThan">
      <formula>0</formula>
    </cfRule>
  </conditionalFormatting>
  <conditionalFormatting sqref="K33:K37">
    <cfRule type="cellIs" dxfId="390" priority="777" operator="lessThan">
      <formula>0</formula>
    </cfRule>
  </conditionalFormatting>
  <conditionalFormatting sqref="L33:L37">
    <cfRule type="cellIs" dxfId="389" priority="776" operator="lessThan">
      <formula>0</formula>
    </cfRule>
  </conditionalFormatting>
  <conditionalFormatting sqref="R49:R50">
    <cfRule type="cellIs" dxfId="388" priority="551" operator="lessThan">
      <formula>0</formula>
    </cfRule>
  </conditionalFormatting>
  <conditionalFormatting sqref="S49:S50">
    <cfRule type="cellIs" dxfId="387" priority="550" operator="lessThan">
      <formula>0</formula>
    </cfRule>
  </conditionalFormatting>
  <conditionalFormatting sqref="T49:T50">
    <cfRule type="cellIs" dxfId="386" priority="549" operator="lessThan">
      <formula>0</formula>
    </cfRule>
  </conditionalFormatting>
  <conditionalFormatting sqref="Q49:Q50">
    <cfRule type="cellIs" dxfId="385" priority="548" operator="lessThan">
      <formula>0</formula>
    </cfRule>
  </conditionalFormatting>
  <conditionalFormatting sqref="N49:N50">
    <cfRule type="cellIs" dxfId="384" priority="603" operator="lessThan">
      <formula>0</formula>
    </cfRule>
  </conditionalFormatting>
  <conditionalFormatting sqref="O49:O50">
    <cfRule type="cellIs" dxfId="383" priority="602" operator="lessThan">
      <formula>0</formula>
    </cfRule>
  </conditionalFormatting>
  <conditionalFormatting sqref="T49:T50">
    <cfRule type="cellIs" dxfId="382" priority="545" operator="lessThan">
      <formula>0</formula>
    </cfRule>
  </conditionalFormatting>
  <conditionalFormatting sqref="Q30:Q32">
    <cfRule type="cellIs" dxfId="381" priority="544" operator="lessThan">
      <formula>0</formula>
    </cfRule>
  </conditionalFormatting>
  <conditionalFormatting sqref="R30:R32">
    <cfRule type="cellIs" dxfId="380" priority="543" operator="lessThan">
      <formula>0</formula>
    </cfRule>
  </conditionalFormatting>
  <conditionalFormatting sqref="O30:O32">
    <cfRule type="cellIs" dxfId="379" priority="598" operator="lessThan">
      <formula>0</formula>
    </cfRule>
  </conditionalFormatting>
  <conditionalFormatting sqref="P30:P32">
    <cfRule type="cellIs" dxfId="378" priority="597" operator="lessThan">
      <formula>0</formula>
    </cfRule>
  </conditionalFormatting>
  <conditionalFormatting sqref="L40:L45">
    <cfRule type="cellIs" dxfId="377" priority="649" operator="lessThan">
      <formula>0</formula>
    </cfRule>
  </conditionalFormatting>
  <conditionalFormatting sqref="N30:N31">
    <cfRule type="cellIs" dxfId="376" priority="591" operator="lessThan">
      <formula>0</formula>
    </cfRule>
  </conditionalFormatting>
  <conditionalFormatting sqref="O30:O31">
    <cfRule type="cellIs" dxfId="375" priority="590" operator="lessThan">
      <formula>0</formula>
    </cfRule>
  </conditionalFormatting>
  <conditionalFormatting sqref="L41:L45">
    <cfRule type="cellIs" dxfId="374" priority="696" operator="lessThan">
      <formula>0</formula>
    </cfRule>
  </conditionalFormatting>
  <conditionalFormatting sqref="E30:E31">
    <cfRule type="cellIs" dxfId="373" priority="744" operator="lessThan">
      <formula>0</formula>
    </cfRule>
  </conditionalFormatting>
  <conditionalFormatting sqref="F30:F31">
    <cfRule type="cellIs" dxfId="372" priority="743" operator="lessThan">
      <formula>0</formula>
    </cfRule>
  </conditionalFormatting>
  <conditionalFormatting sqref="G30:G31">
    <cfRule type="cellIs" dxfId="371" priority="742" operator="lessThan">
      <formula>0</formula>
    </cfRule>
  </conditionalFormatting>
  <conditionalFormatting sqref="H30:H31">
    <cfRule type="cellIs" dxfId="370" priority="741" operator="lessThan">
      <formula>0</formula>
    </cfRule>
  </conditionalFormatting>
  <conditionalFormatting sqref="K30:K31">
    <cfRule type="cellIs" dxfId="369" priority="740" operator="lessThan">
      <formula>0</formula>
    </cfRule>
  </conditionalFormatting>
  <conditionalFormatting sqref="E32:E37">
    <cfRule type="cellIs" dxfId="368" priority="739" operator="lessThan">
      <formula>0</formula>
    </cfRule>
  </conditionalFormatting>
  <conditionalFormatting sqref="F32:F37">
    <cfRule type="cellIs" dxfId="367" priority="738" operator="lessThan">
      <formula>0</formula>
    </cfRule>
  </conditionalFormatting>
  <conditionalFormatting sqref="G32:G37">
    <cfRule type="cellIs" dxfId="366" priority="737" operator="lessThan">
      <formula>0</formula>
    </cfRule>
  </conditionalFormatting>
  <conditionalFormatting sqref="H32:H37">
    <cfRule type="cellIs" dxfId="365" priority="736" operator="lessThan">
      <formula>0</formula>
    </cfRule>
  </conditionalFormatting>
  <conditionalFormatting sqref="K32:K37">
    <cfRule type="cellIs" dxfId="364" priority="735" operator="lessThan">
      <formula>0</formula>
    </cfRule>
  </conditionalFormatting>
  <conditionalFormatting sqref="L30:L31">
    <cfRule type="cellIs" dxfId="363" priority="734" operator="lessThan">
      <formula>0</formula>
    </cfRule>
  </conditionalFormatting>
  <conditionalFormatting sqref="X11:X24">
    <cfRule type="cellIs" dxfId="362" priority="509" operator="lessThan">
      <formula>0</formula>
    </cfRule>
  </conditionalFormatting>
  <conditionalFormatting sqref="U25:U29 U46:U48">
    <cfRule type="cellIs" dxfId="361" priority="508" operator="lessThan">
      <formula>0</formula>
    </cfRule>
  </conditionalFormatting>
  <conditionalFormatting sqref="V25:V29 V46:V48">
    <cfRule type="cellIs" dxfId="360" priority="507" operator="lessThan">
      <formula>0</formula>
    </cfRule>
  </conditionalFormatting>
  <conditionalFormatting sqref="W25:W29 W46:W48">
    <cfRule type="cellIs" dxfId="359" priority="506" operator="lessThan">
      <formula>0</formula>
    </cfRule>
  </conditionalFormatting>
  <conditionalFormatting sqref="U10:U23">
    <cfRule type="cellIs" dxfId="358" priority="504" operator="lessThan">
      <formula>0</formula>
    </cfRule>
  </conditionalFormatting>
  <conditionalFormatting sqref="V10:V23">
    <cfRule type="cellIs" dxfId="357" priority="503" operator="lessThan">
      <formula>0</formula>
    </cfRule>
  </conditionalFormatting>
  <conditionalFormatting sqref="W10:W23">
    <cfRule type="cellIs" dxfId="356" priority="502" operator="lessThan">
      <formula>0</formula>
    </cfRule>
  </conditionalFormatting>
  <conditionalFormatting sqref="U24:U29 U46:U48">
    <cfRule type="cellIs" dxfId="355" priority="501" operator="lessThan">
      <formula>0</formula>
    </cfRule>
  </conditionalFormatting>
  <conditionalFormatting sqref="S24:S29 S46:S48">
    <cfRule type="cellIs" dxfId="354" priority="555" operator="lessThan">
      <formula>0</formula>
    </cfRule>
  </conditionalFormatting>
  <conditionalFormatting sqref="T10:T23">
    <cfRule type="cellIs" dxfId="353" priority="554" operator="lessThan">
      <formula>0</formula>
    </cfRule>
  </conditionalFormatting>
  <conditionalFormatting sqref="T24:T29 T46:T48">
    <cfRule type="cellIs" dxfId="352" priority="553" operator="lessThan">
      <formula>0</formula>
    </cfRule>
  </conditionalFormatting>
  <conditionalFormatting sqref="M49:M50">
    <cfRule type="cellIs" dxfId="351" priority="608" operator="lessThan">
      <formula>0</formula>
    </cfRule>
  </conditionalFormatting>
  <conditionalFormatting sqref="P49:P50">
    <cfRule type="cellIs" dxfId="350" priority="601" operator="lessThan">
      <formula>0</formula>
    </cfRule>
  </conditionalFormatting>
  <conditionalFormatting sqref="M30:M32">
    <cfRule type="cellIs" dxfId="349" priority="600" operator="lessThan">
      <formula>0</formula>
    </cfRule>
  </conditionalFormatting>
  <conditionalFormatting sqref="K40:K45">
    <cfRule type="cellIs" dxfId="348" priority="655" operator="lessThan">
      <formula>0</formula>
    </cfRule>
  </conditionalFormatting>
  <conditionalFormatting sqref="L38:L39">
    <cfRule type="cellIs" dxfId="347" priority="654" operator="lessThan">
      <formula>0</formula>
    </cfRule>
  </conditionalFormatting>
  <conditionalFormatting sqref="K38:K40">
    <cfRule type="cellIs" dxfId="346" priority="702" operator="lessThan">
      <formula>0</formula>
    </cfRule>
  </conditionalFormatting>
  <conditionalFormatting sqref="L38:L40">
    <cfRule type="cellIs" dxfId="345" priority="701" operator="lessThan">
      <formula>0</formula>
    </cfRule>
  </conditionalFormatting>
  <conditionalFormatting sqref="R41:R45">
    <cfRule type="cellIs" dxfId="344" priority="523" operator="lessThan">
      <formula>0</formula>
    </cfRule>
  </conditionalFormatting>
  <conditionalFormatting sqref="S41:S45">
    <cfRule type="cellIs" dxfId="343" priority="522" operator="lessThan">
      <formula>0</formula>
    </cfRule>
  </conditionalFormatting>
  <conditionalFormatting sqref="S38:S39">
    <cfRule type="cellIs" dxfId="342" priority="518" operator="lessThan">
      <formula>0</formula>
    </cfRule>
  </conditionalFormatting>
  <conditionalFormatting sqref="Q40:Q45">
    <cfRule type="cellIs" dxfId="341" priority="517" operator="lessThan">
      <formula>0</formula>
    </cfRule>
  </conditionalFormatting>
  <conditionalFormatting sqref="R40:R45">
    <cfRule type="cellIs" dxfId="340" priority="516" operator="lessThan">
      <formula>0</formula>
    </cfRule>
  </conditionalFormatting>
  <conditionalFormatting sqref="S40:S45">
    <cfRule type="cellIs" dxfId="339" priority="515" operator="lessThan">
      <formula>0</formula>
    </cfRule>
  </conditionalFormatting>
  <conditionalFormatting sqref="P38:P39">
    <cfRule type="cellIs" dxfId="338" priority="570" operator="lessThan">
      <formula>0</formula>
    </cfRule>
  </conditionalFormatting>
  <conditionalFormatting sqref="P40:P45">
    <cfRule type="cellIs" dxfId="337" priority="569" operator="lessThan">
      <formula>0</formula>
    </cfRule>
  </conditionalFormatting>
  <conditionalFormatting sqref="Q11:Q24">
    <cfRule type="cellIs" dxfId="336" priority="568" operator="lessThan">
      <formula>0</formula>
    </cfRule>
  </conditionalFormatting>
  <conditionalFormatting sqref="V11:V24">
    <cfRule type="cellIs" dxfId="335" priority="511" operator="lessThan">
      <formula>0</formula>
    </cfRule>
  </conditionalFormatting>
  <conditionalFormatting sqref="W11:W24">
    <cfRule type="cellIs" dxfId="334" priority="510" operator="lessThan">
      <formula>0</formula>
    </cfRule>
  </conditionalFormatting>
  <conditionalFormatting sqref="T11:T24">
    <cfRule type="cellIs" dxfId="333" priority="565" operator="lessThan">
      <formula>0</formula>
    </cfRule>
  </conditionalFormatting>
  <conditionalFormatting sqref="Q25:Q29 Q46:Q48">
    <cfRule type="cellIs" dxfId="332" priority="564" operator="lessThan">
      <formula>0</formula>
    </cfRule>
  </conditionalFormatting>
  <conditionalFormatting sqref="R25:R29 R46:R48">
    <cfRule type="cellIs" dxfId="331" priority="563" operator="lessThan">
      <formula>0</formula>
    </cfRule>
  </conditionalFormatting>
  <conditionalFormatting sqref="S25:S29 S46:S48">
    <cfRule type="cellIs" dxfId="330" priority="562" operator="lessThan">
      <formula>0</formula>
    </cfRule>
  </conditionalFormatting>
  <conditionalFormatting sqref="P25:P29 P46:P48">
    <cfRule type="cellIs" dxfId="329" priority="617" operator="lessThan">
      <formula>0</formula>
    </cfRule>
  </conditionalFormatting>
  <conditionalFormatting sqref="M10:M23">
    <cfRule type="cellIs" dxfId="328" priority="616" operator="lessThan">
      <formula>0</formula>
    </cfRule>
  </conditionalFormatting>
  <conditionalFormatting sqref="N10:N23">
    <cfRule type="cellIs" dxfId="327" priority="615" operator="lessThan">
      <formula>0</formula>
    </cfRule>
  </conditionalFormatting>
  <conditionalFormatting sqref="O10:O23">
    <cfRule type="cellIs" dxfId="326" priority="614" operator="lessThan">
      <formula>0</formula>
    </cfRule>
  </conditionalFormatting>
  <conditionalFormatting sqref="Q24:Q29 Q46:Q48">
    <cfRule type="cellIs" dxfId="325" priority="557" operator="lessThan">
      <formula>0</formula>
    </cfRule>
  </conditionalFormatting>
  <conditionalFormatting sqref="N24:N29 N46:N48">
    <cfRule type="cellIs" dxfId="324" priority="612" operator="lessThan">
      <formula>0</formula>
    </cfRule>
  </conditionalFormatting>
  <conditionalFormatting sqref="O24:O29 O46:O48">
    <cfRule type="cellIs" dxfId="323" priority="611" operator="lessThan">
      <formula>0</formula>
    </cfRule>
  </conditionalFormatting>
  <conditionalFormatting sqref="P10:P23">
    <cfRule type="cellIs" dxfId="322" priority="610" operator="lessThan">
      <formula>0</formula>
    </cfRule>
  </conditionalFormatting>
  <conditionalFormatting sqref="P24:P29 P46:P48">
    <cfRule type="cellIs" dxfId="321" priority="609" operator="lessThan">
      <formula>0</formula>
    </cfRule>
  </conditionalFormatting>
  <conditionalFormatting sqref="K38:K39">
    <cfRule type="cellIs" dxfId="320" priority="660" operator="lessThan">
      <formula>0</formula>
    </cfRule>
  </conditionalFormatting>
  <conditionalFormatting sqref="E40:E45">
    <cfRule type="cellIs" dxfId="319" priority="659" operator="lessThan">
      <formula>0</formula>
    </cfRule>
  </conditionalFormatting>
  <conditionalFormatting sqref="F40:F45">
    <cfRule type="cellIs" dxfId="318" priority="658" operator="lessThan">
      <formula>0</formula>
    </cfRule>
  </conditionalFormatting>
  <conditionalFormatting sqref="G40:G45">
    <cfRule type="cellIs" dxfId="317" priority="657" operator="lessThan">
      <formula>0</formula>
    </cfRule>
  </conditionalFormatting>
  <conditionalFormatting sqref="H40:H45">
    <cfRule type="cellIs" dxfId="316" priority="656" operator="lessThan">
      <formula>0</formula>
    </cfRule>
  </conditionalFormatting>
  <conditionalFormatting sqref="AB30:AB32">
    <cfRule type="cellIs" dxfId="315" priority="429" operator="lessThan">
      <formula>0</formula>
    </cfRule>
  </conditionalFormatting>
  <conditionalFormatting sqref="Y33:Y37">
    <cfRule type="cellIs" dxfId="314" priority="428" operator="lessThan">
      <formula>0</formula>
    </cfRule>
  </conditionalFormatting>
  <conditionalFormatting sqref="Z33:Z37">
    <cfRule type="cellIs" dxfId="313" priority="427" operator="lessThan">
      <formula>0</formula>
    </cfRule>
  </conditionalFormatting>
  <conditionalFormatting sqref="AA33:AA37">
    <cfRule type="cellIs" dxfId="312" priority="426" operator="lessThan">
      <formula>0</formula>
    </cfRule>
  </conditionalFormatting>
  <conditionalFormatting sqref="Y30:Y31">
    <cfRule type="cellIs" dxfId="311" priority="424" operator="lessThan">
      <formula>0</formula>
    </cfRule>
  </conditionalFormatting>
  <conditionalFormatting sqref="Z30:Z31">
    <cfRule type="cellIs" dxfId="310" priority="423" operator="lessThan">
      <formula>0</formula>
    </cfRule>
  </conditionalFormatting>
  <conditionalFormatting sqref="AA30:AA31">
    <cfRule type="cellIs" dxfId="309" priority="422" operator="lessThan">
      <formula>0</formula>
    </cfRule>
  </conditionalFormatting>
  <conditionalFormatting sqref="Y32:Y37">
    <cfRule type="cellIs" dxfId="308" priority="421" operator="lessThan">
      <formula>0</formula>
    </cfRule>
  </conditionalFormatting>
  <conditionalFormatting sqref="Q38:Q40">
    <cfRule type="cellIs" dxfId="307" priority="528" operator="lessThan">
      <formula>0</formula>
    </cfRule>
  </conditionalFormatting>
  <conditionalFormatting sqref="T41:T45">
    <cfRule type="cellIs" dxfId="306" priority="521" operator="lessThan">
      <formula>0</formula>
    </cfRule>
  </conditionalFormatting>
  <conditionalFormatting sqref="Q38:Q39">
    <cfRule type="cellIs" dxfId="305" priority="520" operator="lessThan">
      <formula>0</formula>
    </cfRule>
  </conditionalFormatting>
  <conditionalFormatting sqref="N38:N39">
    <cfRule type="cellIs" dxfId="304" priority="575" operator="lessThan">
      <formula>0</formula>
    </cfRule>
  </conditionalFormatting>
  <conditionalFormatting sqref="O11:O24">
    <cfRule type="cellIs" dxfId="303" priority="622" operator="lessThan">
      <formula>0</formula>
    </cfRule>
  </conditionalFormatting>
  <conditionalFormatting sqref="P11:P24">
    <cfRule type="cellIs" dxfId="302" priority="621" operator="lessThan">
      <formula>0</formula>
    </cfRule>
  </conditionalFormatting>
  <conditionalFormatting sqref="M25:M29 M46:M48">
    <cfRule type="cellIs" dxfId="301" priority="620" operator="lessThan">
      <formula>0</formula>
    </cfRule>
  </conditionalFormatting>
  <conditionalFormatting sqref="N25:N29 N46:N48">
    <cfRule type="cellIs" dxfId="300" priority="619" operator="lessThan">
      <formula>0</formula>
    </cfRule>
  </conditionalFormatting>
  <conditionalFormatting sqref="O25:O29 O46:O48">
    <cfRule type="cellIs" dxfId="299" priority="618" operator="lessThan">
      <formula>0</formula>
    </cfRule>
  </conditionalFormatting>
  <conditionalFormatting sqref="M24:M29 M46:M48">
    <cfRule type="cellIs" dxfId="298" priority="613" operator="lessThan">
      <formula>0</formula>
    </cfRule>
  </conditionalFormatting>
  <conditionalFormatting sqref="N49:N50">
    <cfRule type="cellIs" dxfId="297" priority="607" operator="lessThan">
      <formula>0</formula>
    </cfRule>
  </conditionalFormatting>
  <conditionalFormatting sqref="O49:O50">
    <cfRule type="cellIs" dxfId="296" priority="606" operator="lessThan">
      <formula>0</formula>
    </cfRule>
  </conditionalFormatting>
  <conditionalFormatting sqref="P49:P50">
    <cfRule type="cellIs" dxfId="295" priority="605" operator="lessThan">
      <formula>0</formula>
    </cfRule>
  </conditionalFormatting>
  <conditionalFormatting sqref="M49:M50">
    <cfRule type="cellIs" dxfId="294" priority="604" operator="lessThan">
      <formula>0</formula>
    </cfRule>
  </conditionalFormatting>
  <conditionalFormatting sqref="N30:N32">
    <cfRule type="cellIs" dxfId="293" priority="599" operator="lessThan">
      <formula>0</formula>
    </cfRule>
  </conditionalFormatting>
  <conditionalFormatting sqref="M30:M31">
    <cfRule type="cellIs" dxfId="292" priority="592" operator="lessThan">
      <formula>0</formula>
    </cfRule>
  </conditionalFormatting>
  <conditionalFormatting sqref="M32:M37">
    <cfRule type="cellIs" dxfId="291" priority="589" operator="lessThan">
      <formula>0</formula>
    </cfRule>
  </conditionalFormatting>
  <conditionalFormatting sqref="N32:N37">
    <cfRule type="cellIs" dxfId="290" priority="588" operator="lessThan">
      <formula>0</formula>
    </cfRule>
  </conditionalFormatting>
  <conditionalFormatting sqref="O32:O37">
    <cfRule type="cellIs" dxfId="289" priority="587" operator="lessThan">
      <formula>0</formula>
    </cfRule>
  </conditionalFormatting>
  <conditionalFormatting sqref="P30:P31">
    <cfRule type="cellIs" dxfId="288" priority="586" operator="lessThan">
      <formula>0</formula>
    </cfRule>
  </conditionalFormatting>
  <conditionalFormatting sqref="P32:P37">
    <cfRule type="cellIs" dxfId="287" priority="585" operator="lessThan">
      <formula>0</formula>
    </cfRule>
  </conditionalFormatting>
  <conditionalFormatting sqref="M38:M40">
    <cfRule type="cellIs" dxfId="286" priority="584" operator="lessThan">
      <formula>0</formula>
    </cfRule>
  </conditionalFormatting>
  <conditionalFormatting sqref="N38:N40">
    <cfRule type="cellIs" dxfId="285" priority="583" operator="lessThan">
      <formula>0</formula>
    </cfRule>
  </conditionalFormatting>
  <conditionalFormatting sqref="O38:O40">
    <cfRule type="cellIs" dxfId="284" priority="582" operator="lessThan">
      <formula>0</formula>
    </cfRule>
  </conditionalFormatting>
  <conditionalFormatting sqref="P38:P40">
    <cfRule type="cellIs" dxfId="283" priority="581" operator="lessThan">
      <formula>0</formula>
    </cfRule>
  </conditionalFormatting>
  <conditionalFormatting sqref="M41:M45">
    <cfRule type="cellIs" dxfId="282" priority="580" operator="lessThan">
      <formula>0</formula>
    </cfRule>
  </conditionalFormatting>
  <conditionalFormatting sqref="N41:N45">
    <cfRule type="cellIs" dxfId="281" priority="579" operator="lessThan">
      <formula>0</formula>
    </cfRule>
  </conditionalFormatting>
  <conditionalFormatting sqref="O41:O45">
    <cfRule type="cellIs" dxfId="280" priority="578" operator="lessThan">
      <formula>0</formula>
    </cfRule>
  </conditionalFormatting>
  <conditionalFormatting sqref="P41:P45">
    <cfRule type="cellIs" dxfId="279" priority="577" operator="lessThan">
      <formula>0</formula>
    </cfRule>
  </conditionalFormatting>
  <conditionalFormatting sqref="M38:M39">
    <cfRule type="cellIs" dxfId="278" priority="576" operator="lessThan">
      <formula>0</formula>
    </cfRule>
  </conditionalFormatting>
  <conditionalFormatting sqref="R11:R24">
    <cfRule type="cellIs" dxfId="277" priority="567" operator="lessThan">
      <formula>0</formula>
    </cfRule>
  </conditionalFormatting>
  <conditionalFormatting sqref="S11:S24">
    <cfRule type="cellIs" dxfId="276" priority="566" operator="lessThan">
      <formula>0</formula>
    </cfRule>
  </conditionalFormatting>
  <conditionalFormatting sqref="T25:T29 T46:T48">
    <cfRule type="cellIs" dxfId="275" priority="561" operator="lessThan">
      <formula>0</formula>
    </cfRule>
  </conditionalFormatting>
  <conditionalFormatting sqref="Q10:Q23">
    <cfRule type="cellIs" dxfId="274" priority="560" operator="lessThan">
      <formula>0</formula>
    </cfRule>
  </conditionalFormatting>
  <conditionalFormatting sqref="R10:R23">
    <cfRule type="cellIs" dxfId="273" priority="559" operator="lessThan">
      <formula>0</formula>
    </cfRule>
  </conditionalFormatting>
  <conditionalFormatting sqref="S10:S23">
    <cfRule type="cellIs" dxfId="272" priority="558" operator="lessThan">
      <formula>0</formula>
    </cfRule>
  </conditionalFormatting>
  <conditionalFormatting sqref="Q49:Q50">
    <cfRule type="cellIs" dxfId="271" priority="552" operator="lessThan">
      <formula>0</formula>
    </cfRule>
  </conditionalFormatting>
  <conditionalFormatting sqref="R49:R50">
    <cfRule type="cellIs" dxfId="270" priority="547" operator="lessThan">
      <formula>0</formula>
    </cfRule>
  </conditionalFormatting>
  <conditionalFormatting sqref="S49:S50">
    <cfRule type="cellIs" dxfId="269" priority="546" operator="lessThan">
      <formula>0</formula>
    </cfRule>
  </conditionalFormatting>
  <conditionalFormatting sqref="S30:S32">
    <cfRule type="cellIs" dxfId="268" priority="542" operator="lessThan">
      <formula>0</formula>
    </cfRule>
  </conditionalFormatting>
  <conditionalFormatting sqref="T30:T32">
    <cfRule type="cellIs" dxfId="267" priority="541" operator="lessThan">
      <formula>0</formula>
    </cfRule>
  </conditionalFormatting>
  <conditionalFormatting sqref="Q33:Q37">
    <cfRule type="cellIs" dxfId="266" priority="540" operator="lessThan">
      <formula>0</formula>
    </cfRule>
  </conditionalFormatting>
  <conditionalFormatting sqref="R33:R37">
    <cfRule type="cellIs" dxfId="265" priority="539" operator="lessThan">
      <formula>0</formula>
    </cfRule>
  </conditionalFormatting>
  <conditionalFormatting sqref="S33:S37">
    <cfRule type="cellIs" dxfId="264" priority="538" operator="lessThan">
      <formula>0</formula>
    </cfRule>
  </conditionalFormatting>
  <conditionalFormatting sqref="T33:T37">
    <cfRule type="cellIs" dxfId="263" priority="537" operator="lessThan">
      <formula>0</formula>
    </cfRule>
  </conditionalFormatting>
  <conditionalFormatting sqref="Q30:Q31">
    <cfRule type="cellIs" dxfId="262" priority="536" operator="lessThan">
      <formula>0</formula>
    </cfRule>
  </conditionalFormatting>
  <conditionalFormatting sqref="R30:R31">
    <cfRule type="cellIs" dxfId="261" priority="535" operator="lessThan">
      <formula>0</formula>
    </cfRule>
  </conditionalFormatting>
  <conditionalFormatting sqref="S30:S31">
    <cfRule type="cellIs" dxfId="260" priority="534" operator="lessThan">
      <formula>0</formula>
    </cfRule>
  </conditionalFormatting>
  <conditionalFormatting sqref="Q32:Q37">
    <cfRule type="cellIs" dxfId="259" priority="533" operator="lessThan">
      <formula>0</formula>
    </cfRule>
  </conditionalFormatting>
  <conditionalFormatting sqref="R32:R37">
    <cfRule type="cellIs" dxfId="258" priority="532" operator="lessThan">
      <formula>0</formula>
    </cfRule>
  </conditionalFormatting>
  <conditionalFormatting sqref="S32:S37">
    <cfRule type="cellIs" dxfId="257" priority="531" operator="lessThan">
      <formula>0</formula>
    </cfRule>
  </conditionalFormatting>
  <conditionalFormatting sqref="T30:T31">
    <cfRule type="cellIs" dxfId="256" priority="530" operator="lessThan">
      <formula>0</formula>
    </cfRule>
  </conditionalFormatting>
  <conditionalFormatting sqref="T32:T37">
    <cfRule type="cellIs" dxfId="255" priority="529" operator="lessThan">
      <formula>0</formula>
    </cfRule>
  </conditionalFormatting>
  <conditionalFormatting sqref="R38:R40">
    <cfRule type="cellIs" dxfId="254" priority="527" operator="lessThan">
      <formula>0</formula>
    </cfRule>
  </conditionalFormatting>
  <conditionalFormatting sqref="S38:S40">
    <cfRule type="cellIs" dxfId="253" priority="526" operator="lessThan">
      <formula>0</formula>
    </cfRule>
  </conditionalFormatting>
  <conditionalFormatting sqref="T38:T40">
    <cfRule type="cellIs" dxfId="252" priority="525" operator="lessThan">
      <formula>0</formula>
    </cfRule>
  </conditionalFormatting>
  <conditionalFormatting sqref="Q41:Q45">
    <cfRule type="cellIs" dxfId="251" priority="524" operator="lessThan">
      <formula>0</formula>
    </cfRule>
  </conditionalFormatting>
  <conditionalFormatting sqref="R38:R39">
    <cfRule type="cellIs" dxfId="250" priority="519" operator="lessThan">
      <formula>0</formula>
    </cfRule>
  </conditionalFormatting>
  <conditionalFormatting sqref="T38:T39">
    <cfRule type="cellIs" dxfId="249" priority="514" operator="lessThan">
      <formula>0</formula>
    </cfRule>
  </conditionalFormatting>
  <conditionalFormatting sqref="T40:T45">
    <cfRule type="cellIs" dxfId="248" priority="513" operator="lessThan">
      <formula>0</formula>
    </cfRule>
  </conditionalFormatting>
  <conditionalFormatting sqref="U11:U24">
    <cfRule type="cellIs" dxfId="247" priority="512" operator="lessThan">
      <formula>0</formula>
    </cfRule>
  </conditionalFormatting>
  <conditionalFormatting sqref="X25:X29 X46:X48">
    <cfRule type="cellIs" dxfId="246" priority="505" operator="lessThan">
      <formula>0</formula>
    </cfRule>
  </conditionalFormatting>
  <conditionalFormatting sqref="V24:V29 V46:V48">
    <cfRule type="cellIs" dxfId="245" priority="500" operator="lessThan">
      <formula>0</formula>
    </cfRule>
  </conditionalFormatting>
  <conditionalFormatting sqref="W24:W29 W46:W48">
    <cfRule type="cellIs" dxfId="244" priority="499" operator="lessThan">
      <formula>0</formula>
    </cfRule>
  </conditionalFormatting>
  <conditionalFormatting sqref="X10:X23">
    <cfRule type="cellIs" dxfId="243" priority="498" operator="lessThan">
      <formula>0</formula>
    </cfRule>
  </conditionalFormatting>
  <conditionalFormatting sqref="X24:X29 X46:X48">
    <cfRule type="cellIs" dxfId="242" priority="497" operator="lessThan">
      <formula>0</formula>
    </cfRule>
  </conditionalFormatting>
  <conditionalFormatting sqref="U49:U50">
    <cfRule type="cellIs" dxfId="241" priority="496" operator="lessThan">
      <formula>0</formula>
    </cfRule>
  </conditionalFormatting>
  <conditionalFormatting sqref="V49:V50">
    <cfRule type="cellIs" dxfId="240" priority="495" operator="lessThan">
      <formula>0</formula>
    </cfRule>
  </conditionalFormatting>
  <conditionalFormatting sqref="W49:W50">
    <cfRule type="cellIs" dxfId="239" priority="494" operator="lessThan">
      <formula>0</formula>
    </cfRule>
  </conditionalFormatting>
  <conditionalFormatting sqref="X49:X50">
    <cfRule type="cellIs" dxfId="238" priority="493" operator="lessThan">
      <formula>0</formula>
    </cfRule>
  </conditionalFormatting>
  <conditionalFormatting sqref="U49:U50">
    <cfRule type="cellIs" dxfId="237" priority="492" operator="lessThan">
      <formula>0</formula>
    </cfRule>
  </conditionalFormatting>
  <conditionalFormatting sqref="V49:V50">
    <cfRule type="cellIs" dxfId="236" priority="491" operator="lessThan">
      <formula>0</formula>
    </cfRule>
  </conditionalFormatting>
  <conditionalFormatting sqref="W49:W50">
    <cfRule type="cellIs" dxfId="235" priority="490" operator="lessThan">
      <formula>0</formula>
    </cfRule>
  </conditionalFormatting>
  <conditionalFormatting sqref="X49:X50">
    <cfRule type="cellIs" dxfId="234" priority="489" operator="lessThan">
      <formula>0</formula>
    </cfRule>
  </conditionalFormatting>
  <conditionalFormatting sqref="U30:U32">
    <cfRule type="cellIs" dxfId="233" priority="488" operator="lessThan">
      <formula>0</formula>
    </cfRule>
  </conditionalFormatting>
  <conditionalFormatting sqref="V30:V32">
    <cfRule type="cellIs" dxfId="232" priority="487" operator="lessThan">
      <formula>0</formula>
    </cfRule>
  </conditionalFormatting>
  <conditionalFormatting sqref="W30:W32">
    <cfRule type="cellIs" dxfId="231" priority="486" operator="lessThan">
      <formula>0</formula>
    </cfRule>
  </conditionalFormatting>
  <conditionalFormatting sqref="X30:X32">
    <cfRule type="cellIs" dxfId="230" priority="485" operator="lessThan">
      <formula>0</formula>
    </cfRule>
  </conditionalFormatting>
  <conditionalFormatting sqref="U33:U37">
    <cfRule type="cellIs" dxfId="229" priority="484" operator="lessThan">
      <formula>0</formula>
    </cfRule>
  </conditionalFormatting>
  <conditionalFormatting sqref="V33:V37">
    <cfRule type="cellIs" dxfId="228" priority="483" operator="lessThan">
      <formula>0</formula>
    </cfRule>
  </conditionalFormatting>
  <conditionalFormatting sqref="W33:W37">
    <cfRule type="cellIs" dxfId="227" priority="482" operator="lessThan">
      <formula>0</formula>
    </cfRule>
  </conditionalFormatting>
  <conditionalFormatting sqref="X33:X37">
    <cfRule type="cellIs" dxfId="226" priority="481" operator="lessThan">
      <formula>0</formula>
    </cfRule>
  </conditionalFormatting>
  <conditionalFormatting sqref="Y49:Y50">
    <cfRule type="cellIs" dxfId="225" priority="440" operator="lessThan">
      <formula>0</formula>
    </cfRule>
  </conditionalFormatting>
  <conditionalFormatting sqref="Z49:Z50">
    <cfRule type="cellIs" dxfId="224" priority="439" operator="lessThan">
      <formula>0</formula>
    </cfRule>
  </conditionalFormatting>
  <conditionalFormatting sqref="AA49:AA50">
    <cfRule type="cellIs" dxfId="223" priority="438" operator="lessThan">
      <formula>0</formula>
    </cfRule>
  </conditionalFormatting>
  <conditionalFormatting sqref="AB49:AB50">
    <cfRule type="cellIs" dxfId="222" priority="437" operator="lessThan">
      <formula>0</formula>
    </cfRule>
  </conditionalFormatting>
  <conditionalFormatting sqref="Y49:Y50">
    <cfRule type="cellIs" dxfId="221" priority="436" operator="lessThan">
      <formula>0</formula>
    </cfRule>
  </conditionalFormatting>
  <conditionalFormatting sqref="Z49:Z50">
    <cfRule type="cellIs" dxfId="220" priority="435" operator="lessThan">
      <formula>0</formula>
    </cfRule>
  </conditionalFormatting>
  <conditionalFormatting sqref="AA49:AA50">
    <cfRule type="cellIs" dxfId="219" priority="434" operator="lessThan">
      <formula>0</formula>
    </cfRule>
  </conditionalFormatting>
  <conditionalFormatting sqref="AB49:AB50">
    <cfRule type="cellIs" dxfId="218" priority="433" operator="lessThan">
      <formula>0</formula>
    </cfRule>
  </conditionalFormatting>
  <conditionalFormatting sqref="Y30:Y32">
    <cfRule type="cellIs" dxfId="217" priority="432" operator="lessThan">
      <formula>0</formula>
    </cfRule>
  </conditionalFormatting>
  <conditionalFormatting sqref="Z30:Z32">
    <cfRule type="cellIs" dxfId="216" priority="431" operator="lessThan">
      <formula>0</formula>
    </cfRule>
  </conditionalFormatting>
  <conditionalFormatting sqref="AA30:AA32">
    <cfRule type="cellIs" dxfId="215" priority="430" operator="lessThan">
      <formula>0</formula>
    </cfRule>
  </conditionalFormatting>
  <conditionalFormatting sqref="AB33:AB37">
    <cfRule type="cellIs" dxfId="214" priority="425" operator="lessThan">
      <formula>0</formula>
    </cfRule>
  </conditionalFormatting>
  <conditionalFormatting sqref="Z32:Z37">
    <cfRule type="cellIs" dxfId="213" priority="420" operator="lessThan">
      <formula>0</formula>
    </cfRule>
  </conditionalFormatting>
  <conditionalFormatting sqref="AA32:AA37">
    <cfRule type="cellIs" dxfId="212" priority="419" operator="lessThan">
      <formula>0</formula>
    </cfRule>
  </conditionalFormatting>
  <conditionalFormatting sqref="AB30:AB31">
    <cfRule type="cellIs" dxfId="211" priority="418" operator="lessThan">
      <formula>0</formula>
    </cfRule>
  </conditionalFormatting>
  <conditionalFormatting sqref="AB32:AB37">
    <cfRule type="cellIs" dxfId="210" priority="417" operator="lessThan">
      <formula>0</formula>
    </cfRule>
  </conditionalFormatting>
  <conditionalFormatting sqref="Y38:Y40">
    <cfRule type="cellIs" dxfId="209" priority="416" operator="lessThan">
      <formula>0</formula>
    </cfRule>
  </conditionalFormatting>
  <conditionalFormatting sqref="Z38:Z40">
    <cfRule type="cellIs" dxfId="208" priority="415" operator="lessThan">
      <formula>0</formula>
    </cfRule>
  </conditionalFormatting>
  <conditionalFormatting sqref="AA38:AA40">
    <cfRule type="cellIs" dxfId="207" priority="414" operator="lessThan">
      <formula>0</formula>
    </cfRule>
  </conditionalFormatting>
  <conditionalFormatting sqref="AB38:AB40">
    <cfRule type="cellIs" dxfId="206" priority="413" operator="lessThan">
      <formula>0</formula>
    </cfRule>
  </conditionalFormatting>
  <conditionalFormatting sqref="Y41:Y45">
    <cfRule type="cellIs" dxfId="205" priority="412" operator="lessThan">
      <formula>0</formula>
    </cfRule>
  </conditionalFormatting>
  <conditionalFormatting sqref="Z41:Z45">
    <cfRule type="cellIs" dxfId="204" priority="411" operator="lessThan">
      <formula>0</formula>
    </cfRule>
  </conditionalFormatting>
  <conditionalFormatting sqref="AA41:AA45">
    <cfRule type="cellIs" dxfId="203" priority="410" operator="lessThan">
      <formula>0</formula>
    </cfRule>
  </conditionalFormatting>
  <conditionalFormatting sqref="AB41:AB45">
    <cfRule type="cellIs" dxfId="202" priority="409" operator="lessThan">
      <formula>0</formula>
    </cfRule>
  </conditionalFormatting>
  <conditionalFormatting sqref="Y38:Y39">
    <cfRule type="cellIs" dxfId="201" priority="408" operator="lessThan">
      <formula>0</formula>
    </cfRule>
  </conditionalFormatting>
  <conditionalFormatting sqref="Z38:Z39">
    <cfRule type="cellIs" dxfId="200" priority="407" operator="lessThan">
      <formula>0</formula>
    </cfRule>
  </conditionalFormatting>
  <conditionalFormatting sqref="AA38:AA39">
    <cfRule type="cellIs" dxfId="199" priority="406" operator="lessThan">
      <formula>0</formula>
    </cfRule>
  </conditionalFormatting>
  <conditionalFormatting sqref="Y40:Y45">
    <cfRule type="cellIs" dxfId="198" priority="405" operator="lessThan">
      <formula>0</formula>
    </cfRule>
  </conditionalFormatting>
  <conditionalFormatting sqref="Z40:Z45">
    <cfRule type="cellIs" dxfId="197" priority="404" operator="lessThan">
      <formula>0</formula>
    </cfRule>
  </conditionalFormatting>
  <conditionalFormatting sqref="AA40:AA45">
    <cfRule type="cellIs" dxfId="196" priority="403" operator="lessThan">
      <formula>0</formula>
    </cfRule>
  </conditionalFormatting>
  <conditionalFormatting sqref="AB38:AB39">
    <cfRule type="cellIs" dxfId="195" priority="402" operator="lessThan">
      <formula>0</formula>
    </cfRule>
  </conditionalFormatting>
  <conditionalFormatting sqref="AB40:AB45">
    <cfRule type="cellIs" dxfId="194" priority="401" operator="lessThan">
      <formula>0</formula>
    </cfRule>
  </conditionalFormatting>
  <conditionalFormatting sqref="E51">
    <cfRule type="cellIs" dxfId="193" priority="396" operator="lessThan">
      <formula>0</formula>
    </cfRule>
  </conditionalFormatting>
  <conditionalFormatting sqref="F51">
    <cfRule type="cellIs" dxfId="192" priority="395" operator="lessThan">
      <formula>0</formula>
    </cfRule>
  </conditionalFormatting>
  <conditionalFormatting sqref="E52">
    <cfRule type="cellIs" dxfId="191" priority="354" operator="lessThan">
      <formula>0</formula>
    </cfRule>
  </conditionalFormatting>
  <conditionalFormatting sqref="F52">
    <cfRule type="cellIs" dxfId="190" priority="353" operator="lessThan">
      <formula>0</formula>
    </cfRule>
  </conditionalFormatting>
  <conditionalFormatting sqref="E53">
    <cfRule type="cellIs" dxfId="189" priority="312" operator="lessThan">
      <formula>0</formula>
    </cfRule>
  </conditionalFormatting>
  <conditionalFormatting sqref="F53">
    <cfRule type="cellIs" dxfId="188" priority="311" operator="lessThan">
      <formula>0</formula>
    </cfRule>
  </conditionalFormatting>
  <conditionalFormatting sqref="U59">
    <cfRule type="cellIs" dxfId="187" priority="206" operator="lessThan">
      <formula>0</formula>
    </cfRule>
  </conditionalFormatting>
  <conditionalFormatting sqref="S59">
    <cfRule type="cellIs" dxfId="186" priority="212" operator="lessThan">
      <formula>0</formula>
    </cfRule>
  </conditionalFormatting>
  <conditionalFormatting sqref="T59">
    <cfRule type="cellIs" dxfId="185" priority="211" operator="lessThan">
      <formula>0</formula>
    </cfRule>
  </conditionalFormatting>
  <conditionalFormatting sqref="M59">
    <cfRule type="cellIs" dxfId="184" priority="218" operator="lessThan">
      <formula>0</formula>
    </cfRule>
  </conditionalFormatting>
  <conditionalFormatting sqref="N59">
    <cfRule type="cellIs" dxfId="183" priority="217" operator="lessThan">
      <formula>0</formula>
    </cfRule>
  </conditionalFormatting>
  <conditionalFormatting sqref="V59">
    <cfRule type="cellIs" dxfId="182" priority="205" operator="lessThan">
      <formula>0</formula>
    </cfRule>
  </conditionalFormatting>
  <conditionalFormatting sqref="N59">
    <cfRule type="cellIs" dxfId="181" priority="221" operator="lessThan">
      <formula>0</formula>
    </cfRule>
  </conditionalFormatting>
  <conditionalFormatting sqref="G59">
    <cfRule type="cellIs" dxfId="180" priority="226" operator="lessThan">
      <formula>0</formula>
    </cfRule>
  </conditionalFormatting>
  <conditionalFormatting sqref="H59">
    <cfRule type="cellIs" dxfId="179" priority="225" operator="lessThan">
      <formula>0</formula>
    </cfRule>
  </conditionalFormatting>
  <conditionalFormatting sqref="M59">
    <cfRule type="cellIs" dxfId="178" priority="222" operator="lessThan">
      <formula>0</formula>
    </cfRule>
  </conditionalFormatting>
  <conditionalFormatting sqref="E54:E56">
    <cfRule type="cellIs" dxfId="177" priority="270" operator="lessThan">
      <formula>0</formula>
    </cfRule>
  </conditionalFormatting>
  <conditionalFormatting sqref="F54">
    <cfRule type="cellIs" dxfId="176" priority="269" operator="lessThan">
      <formula>0</formula>
    </cfRule>
  </conditionalFormatting>
  <conditionalFormatting sqref="K53">
    <cfRule type="cellIs" dxfId="175" priority="170" operator="lessThan">
      <formula>0</formula>
    </cfRule>
  </conditionalFormatting>
  <conditionalFormatting sqref="L53">
    <cfRule type="cellIs" dxfId="174" priority="169" operator="lessThan">
      <formula>0</formula>
    </cfRule>
  </conditionalFormatting>
  <conditionalFormatting sqref="X59">
    <cfRule type="cellIs" dxfId="173" priority="199" operator="lessThan">
      <formula>0</formula>
    </cfRule>
  </conditionalFormatting>
  <conditionalFormatting sqref="AA59">
    <cfRule type="cellIs" dxfId="172" priority="196" operator="lessThan">
      <formula>0</formula>
    </cfRule>
  </conditionalFormatting>
  <conditionalFormatting sqref="Y59">
    <cfRule type="cellIs" dxfId="171" priority="194" operator="lessThan">
      <formula>0</formula>
    </cfRule>
  </conditionalFormatting>
  <conditionalFormatting sqref="V59">
    <cfRule type="cellIs" dxfId="170" priority="201" operator="lessThan">
      <formula>0</formula>
    </cfRule>
  </conditionalFormatting>
  <conditionalFormatting sqref="G54">
    <cfRule type="cellIs" dxfId="169" priority="184" operator="lessThan">
      <formula>0</formula>
    </cfRule>
  </conditionalFormatting>
  <conditionalFormatting sqref="Z59">
    <cfRule type="cellIs" dxfId="168" priority="193" operator="lessThan">
      <formula>0</formula>
    </cfRule>
  </conditionalFormatting>
  <conditionalFormatting sqref="H54">
    <cfRule type="cellIs" dxfId="167" priority="183" operator="lessThan">
      <formula>0</formula>
    </cfRule>
  </conditionalFormatting>
  <conditionalFormatting sqref="Y59">
    <cfRule type="cellIs" dxfId="166" priority="198" operator="lessThan">
      <formula>0</formula>
    </cfRule>
  </conditionalFormatting>
  <conditionalFormatting sqref="Z59">
    <cfRule type="cellIs" dxfId="165" priority="197" operator="lessThan">
      <formula>0</formula>
    </cfRule>
  </conditionalFormatting>
  <conditionalFormatting sqref="W59">
    <cfRule type="cellIs" dxfId="164" priority="200" operator="lessThan">
      <formula>0</formula>
    </cfRule>
  </conditionalFormatting>
  <conditionalFormatting sqref="AB59">
    <cfRule type="cellIs" dxfId="163" priority="195" operator="lessThan">
      <formula>0</formula>
    </cfRule>
  </conditionalFormatting>
  <conditionalFormatting sqref="U59">
    <cfRule type="cellIs" dxfId="162" priority="202" operator="lessThan">
      <formula>0</formula>
    </cfRule>
  </conditionalFormatting>
  <conditionalFormatting sqref="S59">
    <cfRule type="cellIs" dxfId="161" priority="208" operator="lessThan">
      <formula>0</formula>
    </cfRule>
  </conditionalFormatting>
  <conditionalFormatting sqref="T59">
    <cfRule type="cellIs" dxfId="160" priority="207" operator="lessThan">
      <formula>0</formula>
    </cfRule>
  </conditionalFormatting>
  <conditionalFormatting sqref="Q59">
    <cfRule type="cellIs" dxfId="159" priority="214" operator="lessThan">
      <formula>0</formula>
    </cfRule>
  </conditionalFormatting>
  <conditionalFormatting sqref="R59">
    <cfRule type="cellIs" dxfId="158" priority="213" operator="lessThan">
      <formula>0</formula>
    </cfRule>
  </conditionalFormatting>
  <conditionalFormatting sqref="W59">
    <cfRule type="cellIs" dxfId="157" priority="204" operator="lessThan">
      <formula>0</formula>
    </cfRule>
  </conditionalFormatting>
  <conditionalFormatting sqref="X59">
    <cfRule type="cellIs" dxfId="156" priority="203" operator="lessThan">
      <formula>0</formula>
    </cfRule>
  </conditionalFormatting>
  <conditionalFormatting sqref="Q59">
    <cfRule type="cellIs" dxfId="155" priority="210" operator="lessThan">
      <formula>0</formula>
    </cfRule>
  </conditionalFormatting>
  <conditionalFormatting sqref="R59">
    <cfRule type="cellIs" dxfId="154" priority="209" operator="lessThan">
      <formula>0</formula>
    </cfRule>
  </conditionalFormatting>
  <conditionalFormatting sqref="O59">
    <cfRule type="cellIs" dxfId="153" priority="216" operator="lessThan">
      <formula>0</formula>
    </cfRule>
  </conditionalFormatting>
  <conditionalFormatting sqref="P59">
    <cfRule type="cellIs" dxfId="152" priority="215" operator="lessThan">
      <formula>0</formula>
    </cfRule>
  </conditionalFormatting>
  <conditionalFormatting sqref="E59">
    <cfRule type="cellIs" dxfId="151" priority="228" operator="lessThan">
      <formula>0</formula>
    </cfRule>
  </conditionalFormatting>
  <conditionalFormatting sqref="F59">
    <cfRule type="cellIs" dxfId="150" priority="227" operator="lessThan">
      <formula>0</formula>
    </cfRule>
  </conditionalFormatting>
  <conditionalFormatting sqref="G59">
    <cfRule type="cellIs" dxfId="149" priority="232" operator="lessThan">
      <formula>0</formula>
    </cfRule>
  </conditionalFormatting>
  <conditionalFormatting sqref="H59">
    <cfRule type="cellIs" dxfId="148" priority="231" operator="lessThan">
      <formula>0</formula>
    </cfRule>
  </conditionalFormatting>
  <conditionalFormatting sqref="K59">
    <cfRule type="cellIs" dxfId="147" priority="230" operator="lessThan">
      <formula>0</formula>
    </cfRule>
  </conditionalFormatting>
  <conditionalFormatting sqref="L59">
    <cfRule type="cellIs" dxfId="146" priority="229" operator="lessThan">
      <formula>0</formula>
    </cfRule>
  </conditionalFormatting>
  <conditionalFormatting sqref="K59">
    <cfRule type="cellIs" dxfId="145" priority="224" operator="lessThan">
      <formula>0</formula>
    </cfRule>
  </conditionalFormatting>
  <conditionalFormatting sqref="L59">
    <cfRule type="cellIs" dxfId="144" priority="223" operator="lessThan">
      <formula>0</formula>
    </cfRule>
  </conditionalFormatting>
  <conditionalFormatting sqref="O59">
    <cfRule type="cellIs" dxfId="143" priority="220" operator="lessThan">
      <formula>0</formula>
    </cfRule>
  </conditionalFormatting>
  <conditionalFormatting sqref="P59">
    <cfRule type="cellIs" dxfId="142" priority="219" operator="lessThan">
      <formula>0</formula>
    </cfRule>
  </conditionalFormatting>
  <conditionalFormatting sqref="AA59">
    <cfRule type="cellIs" dxfId="141" priority="192" operator="lessThan">
      <formula>0</formula>
    </cfRule>
  </conditionalFormatting>
  <conditionalFormatting sqref="AB59">
    <cfRule type="cellIs" dxfId="140" priority="191" operator="lessThan">
      <formula>0</formula>
    </cfRule>
  </conditionalFormatting>
  <conditionalFormatting sqref="G51">
    <cfRule type="cellIs" dxfId="139" priority="190" operator="lessThan">
      <formula>0</formula>
    </cfRule>
  </conditionalFormatting>
  <conditionalFormatting sqref="H51">
    <cfRule type="cellIs" dxfId="138" priority="189" operator="lessThan">
      <formula>0</formula>
    </cfRule>
  </conditionalFormatting>
  <conditionalFormatting sqref="G52">
    <cfRule type="cellIs" dxfId="137" priority="188" operator="lessThan">
      <formula>0</formula>
    </cfRule>
  </conditionalFormatting>
  <conditionalFormatting sqref="H52">
    <cfRule type="cellIs" dxfId="136" priority="187" operator="lessThan">
      <formula>0</formula>
    </cfRule>
  </conditionalFormatting>
  <conditionalFormatting sqref="G53">
    <cfRule type="cellIs" dxfId="135" priority="186" operator="lessThan">
      <formula>0</formula>
    </cfRule>
  </conditionalFormatting>
  <conditionalFormatting sqref="H53">
    <cfRule type="cellIs" dxfId="134" priority="185" operator="lessThan">
      <formula>0</formula>
    </cfRule>
  </conditionalFormatting>
  <conditionalFormatting sqref="AA51">
    <cfRule type="cellIs" dxfId="133" priority="94" operator="lessThan">
      <formula>0</formula>
    </cfRule>
  </conditionalFormatting>
  <conditionalFormatting sqref="AB51">
    <cfRule type="cellIs" dxfId="132" priority="93" operator="lessThan">
      <formula>0</formula>
    </cfRule>
  </conditionalFormatting>
  <conditionalFormatting sqref="AA52">
    <cfRule type="cellIs" dxfId="131" priority="92" operator="lessThan">
      <formula>0</formula>
    </cfRule>
  </conditionalFormatting>
  <conditionalFormatting sqref="AB52">
    <cfRule type="cellIs" dxfId="130" priority="91" operator="lessThan">
      <formula>0</formula>
    </cfRule>
  </conditionalFormatting>
  <conditionalFormatting sqref="AA53">
    <cfRule type="cellIs" dxfId="129" priority="90" operator="lessThan">
      <formula>0</formula>
    </cfRule>
  </conditionalFormatting>
  <conditionalFormatting sqref="AB53">
    <cfRule type="cellIs" dxfId="128" priority="89" operator="lessThan">
      <formula>0</formula>
    </cfRule>
  </conditionalFormatting>
  <conditionalFormatting sqref="AA54">
    <cfRule type="cellIs" dxfId="127" priority="88" operator="lessThan">
      <formula>0</formula>
    </cfRule>
  </conditionalFormatting>
  <conditionalFormatting sqref="AB54">
    <cfRule type="cellIs" dxfId="126" priority="87" operator="lessThan">
      <formula>0</formula>
    </cfRule>
  </conditionalFormatting>
  <conditionalFormatting sqref="K51">
    <cfRule type="cellIs" dxfId="125" priority="174" operator="lessThan">
      <formula>0</formula>
    </cfRule>
  </conditionalFormatting>
  <conditionalFormatting sqref="L51">
    <cfRule type="cellIs" dxfId="124" priority="173" operator="lessThan">
      <formula>0</formula>
    </cfRule>
  </conditionalFormatting>
  <conditionalFormatting sqref="K52">
    <cfRule type="cellIs" dxfId="123" priority="172" operator="lessThan">
      <formula>0</formula>
    </cfRule>
  </conditionalFormatting>
  <conditionalFormatting sqref="L52">
    <cfRule type="cellIs" dxfId="122" priority="171" operator="lessThan">
      <formula>0</formula>
    </cfRule>
  </conditionalFormatting>
  <conditionalFormatting sqref="K54">
    <cfRule type="cellIs" dxfId="121" priority="168" operator="lessThan">
      <formula>0</formula>
    </cfRule>
  </conditionalFormatting>
  <conditionalFormatting sqref="L54">
    <cfRule type="cellIs" dxfId="120" priority="167" operator="lessThan">
      <formula>0</formula>
    </cfRule>
  </conditionalFormatting>
  <conditionalFormatting sqref="M51">
    <cfRule type="cellIs" dxfId="119" priority="158" operator="lessThan">
      <formula>0</formula>
    </cfRule>
  </conditionalFormatting>
  <conditionalFormatting sqref="N51">
    <cfRule type="cellIs" dxfId="118" priority="157" operator="lessThan">
      <formula>0</formula>
    </cfRule>
  </conditionalFormatting>
  <conditionalFormatting sqref="M52">
    <cfRule type="cellIs" dxfId="117" priority="156" operator="lessThan">
      <formula>0</formula>
    </cfRule>
  </conditionalFormatting>
  <conditionalFormatting sqref="N52">
    <cfRule type="cellIs" dxfId="116" priority="155" operator="lessThan">
      <formula>0</formula>
    </cfRule>
  </conditionalFormatting>
  <conditionalFormatting sqref="M53">
    <cfRule type="cellIs" dxfId="115" priority="154" operator="lessThan">
      <formula>0</formula>
    </cfRule>
  </conditionalFormatting>
  <conditionalFormatting sqref="N53">
    <cfRule type="cellIs" dxfId="114" priority="153" operator="lessThan">
      <formula>0</formula>
    </cfRule>
  </conditionalFormatting>
  <conditionalFormatting sqref="M54">
    <cfRule type="cellIs" dxfId="113" priority="152" operator="lessThan">
      <formula>0</formula>
    </cfRule>
  </conditionalFormatting>
  <conditionalFormatting sqref="N54">
    <cfRule type="cellIs" dxfId="112" priority="151" operator="lessThan">
      <formula>0</formula>
    </cfRule>
  </conditionalFormatting>
  <conditionalFormatting sqref="O51">
    <cfRule type="cellIs" dxfId="111" priority="150" operator="lessThan">
      <formula>0</formula>
    </cfRule>
  </conditionalFormatting>
  <conditionalFormatting sqref="P51">
    <cfRule type="cellIs" dxfId="110" priority="149" operator="lessThan">
      <formula>0</formula>
    </cfRule>
  </conditionalFormatting>
  <conditionalFormatting sqref="O52">
    <cfRule type="cellIs" dxfId="109" priority="148" operator="lessThan">
      <formula>0</formula>
    </cfRule>
  </conditionalFormatting>
  <conditionalFormatting sqref="P52">
    <cfRule type="cellIs" dxfId="108" priority="147" operator="lessThan">
      <formula>0</formula>
    </cfRule>
  </conditionalFormatting>
  <conditionalFormatting sqref="O53">
    <cfRule type="cellIs" dxfId="107" priority="146" operator="lessThan">
      <formula>0</formula>
    </cfRule>
  </conditionalFormatting>
  <conditionalFormatting sqref="P53">
    <cfRule type="cellIs" dxfId="106" priority="145" operator="lessThan">
      <formula>0</formula>
    </cfRule>
  </conditionalFormatting>
  <conditionalFormatting sqref="O54">
    <cfRule type="cellIs" dxfId="105" priority="144" operator="lessThan">
      <formula>0</formula>
    </cfRule>
  </conditionalFormatting>
  <conditionalFormatting sqref="P54">
    <cfRule type="cellIs" dxfId="104" priority="143" operator="lessThan">
      <formula>0</formula>
    </cfRule>
  </conditionalFormatting>
  <conditionalFormatting sqref="Q51">
    <cfRule type="cellIs" dxfId="103" priority="142" operator="lessThan">
      <formula>0</formula>
    </cfRule>
  </conditionalFormatting>
  <conditionalFormatting sqref="R51">
    <cfRule type="cellIs" dxfId="102" priority="141" operator="lessThan">
      <formula>0</formula>
    </cfRule>
  </conditionalFormatting>
  <conditionalFormatting sqref="Q52">
    <cfRule type="cellIs" dxfId="101" priority="140" operator="lessThan">
      <formula>0</formula>
    </cfRule>
  </conditionalFormatting>
  <conditionalFormatting sqref="R52">
    <cfRule type="cellIs" dxfId="100" priority="139" operator="lessThan">
      <formula>0</formula>
    </cfRule>
  </conditionalFormatting>
  <conditionalFormatting sqref="Q53">
    <cfRule type="cellIs" dxfId="99" priority="138" operator="lessThan">
      <formula>0</formula>
    </cfRule>
  </conditionalFormatting>
  <conditionalFormatting sqref="R53">
    <cfRule type="cellIs" dxfId="98" priority="137" operator="lessThan">
      <formula>0</formula>
    </cfRule>
  </conditionalFormatting>
  <conditionalFormatting sqref="Q54">
    <cfRule type="cellIs" dxfId="97" priority="136" operator="lessThan">
      <formula>0</formula>
    </cfRule>
  </conditionalFormatting>
  <conditionalFormatting sqref="R54">
    <cfRule type="cellIs" dxfId="96" priority="135" operator="lessThan">
      <formula>0</formula>
    </cfRule>
  </conditionalFormatting>
  <conditionalFormatting sqref="S51">
    <cfRule type="cellIs" dxfId="95" priority="134" operator="lessThan">
      <formula>0</formula>
    </cfRule>
  </conditionalFormatting>
  <conditionalFormatting sqref="T51">
    <cfRule type="cellIs" dxfId="94" priority="133" operator="lessThan">
      <formula>0</formula>
    </cfRule>
  </conditionalFormatting>
  <conditionalFormatting sqref="S52">
    <cfRule type="cellIs" dxfId="93" priority="132" operator="lessThan">
      <formula>0</formula>
    </cfRule>
  </conditionalFormatting>
  <conditionalFormatting sqref="T52">
    <cfRule type="cellIs" dxfId="92" priority="131" operator="lessThan">
      <formula>0</formula>
    </cfRule>
  </conditionalFormatting>
  <conditionalFormatting sqref="S53">
    <cfRule type="cellIs" dxfId="91" priority="130" operator="lessThan">
      <formula>0</formula>
    </cfRule>
  </conditionalFormatting>
  <conditionalFormatting sqref="T53">
    <cfRule type="cellIs" dxfId="90" priority="129" operator="lessThan">
      <formula>0</formula>
    </cfRule>
  </conditionalFormatting>
  <conditionalFormatting sqref="S54">
    <cfRule type="cellIs" dxfId="89" priority="128" operator="lessThan">
      <formula>0</formula>
    </cfRule>
  </conditionalFormatting>
  <conditionalFormatting sqref="T54">
    <cfRule type="cellIs" dxfId="88" priority="127" operator="lessThan">
      <formula>0</formula>
    </cfRule>
  </conditionalFormatting>
  <conditionalFormatting sqref="U51">
    <cfRule type="cellIs" dxfId="87" priority="126" operator="lessThan">
      <formula>0</formula>
    </cfRule>
  </conditionalFormatting>
  <conditionalFormatting sqref="V51">
    <cfRule type="cellIs" dxfId="86" priority="125" operator="lessThan">
      <formula>0</formula>
    </cfRule>
  </conditionalFormatting>
  <conditionalFormatting sqref="U52">
    <cfRule type="cellIs" dxfId="85" priority="124" operator="lessThan">
      <formula>0</formula>
    </cfRule>
  </conditionalFormatting>
  <conditionalFormatting sqref="V52">
    <cfRule type="cellIs" dxfId="84" priority="123" operator="lessThan">
      <formula>0</formula>
    </cfRule>
  </conditionalFormatting>
  <conditionalFormatting sqref="U53">
    <cfRule type="cellIs" dxfId="83" priority="122" operator="lessThan">
      <formula>0</formula>
    </cfRule>
  </conditionalFormatting>
  <conditionalFormatting sqref="V53">
    <cfRule type="cellIs" dxfId="82" priority="121" operator="lessThan">
      <formula>0</formula>
    </cfRule>
  </conditionalFormatting>
  <conditionalFormatting sqref="U54">
    <cfRule type="cellIs" dxfId="81" priority="120" operator="lessThan">
      <formula>0</formula>
    </cfRule>
  </conditionalFormatting>
  <conditionalFormatting sqref="V54">
    <cfRule type="cellIs" dxfId="80" priority="119" operator="lessThan">
      <formula>0</formula>
    </cfRule>
  </conditionalFormatting>
  <conditionalFormatting sqref="W51">
    <cfRule type="cellIs" dxfId="79" priority="118" operator="lessThan">
      <formula>0</formula>
    </cfRule>
  </conditionalFormatting>
  <conditionalFormatting sqref="X51">
    <cfRule type="cellIs" dxfId="78" priority="117" operator="lessThan">
      <formula>0</formula>
    </cfRule>
  </conditionalFormatting>
  <conditionalFormatting sqref="W52">
    <cfRule type="cellIs" dxfId="77" priority="116" operator="lessThan">
      <formula>0</formula>
    </cfRule>
  </conditionalFormatting>
  <conditionalFormatting sqref="X52">
    <cfRule type="cellIs" dxfId="76" priority="115" operator="lessThan">
      <formula>0</formula>
    </cfRule>
  </conditionalFormatting>
  <conditionalFormatting sqref="W53">
    <cfRule type="cellIs" dxfId="75" priority="114" operator="lessThan">
      <formula>0</formula>
    </cfRule>
  </conditionalFormatting>
  <conditionalFormatting sqref="X53">
    <cfRule type="cellIs" dxfId="74" priority="113" operator="lessThan">
      <formula>0</formula>
    </cfRule>
  </conditionalFormatting>
  <conditionalFormatting sqref="W54">
    <cfRule type="cellIs" dxfId="73" priority="112" operator="lessThan">
      <formula>0</formula>
    </cfRule>
  </conditionalFormatting>
  <conditionalFormatting sqref="X54">
    <cfRule type="cellIs" dxfId="72" priority="111" operator="lessThan">
      <formula>0</formula>
    </cfRule>
  </conditionalFormatting>
  <conditionalFormatting sqref="Y51">
    <cfRule type="cellIs" dxfId="71" priority="110" operator="lessThan">
      <formula>0</formula>
    </cfRule>
  </conditionalFormatting>
  <conditionalFormatting sqref="Z51">
    <cfRule type="cellIs" dxfId="70" priority="109" operator="lessThan">
      <formula>0</formula>
    </cfRule>
  </conditionalFormatting>
  <conditionalFormatting sqref="Y52">
    <cfRule type="cellIs" dxfId="69" priority="108" operator="lessThan">
      <formula>0</formula>
    </cfRule>
  </conditionalFormatting>
  <conditionalFormatting sqref="Z52">
    <cfRule type="cellIs" dxfId="68" priority="107" operator="lessThan">
      <formula>0</formula>
    </cfRule>
  </conditionalFormatting>
  <conditionalFormatting sqref="Y53">
    <cfRule type="cellIs" dxfId="67" priority="106" operator="lessThan">
      <formula>0</formula>
    </cfRule>
  </conditionalFormatting>
  <conditionalFormatting sqref="Z53">
    <cfRule type="cellIs" dxfId="66" priority="105" operator="lessThan">
      <formula>0</formula>
    </cfRule>
  </conditionalFormatting>
  <conditionalFormatting sqref="Y54">
    <cfRule type="cellIs" dxfId="65" priority="104" operator="lessThan">
      <formula>0</formula>
    </cfRule>
  </conditionalFormatting>
  <conditionalFormatting sqref="Z54">
    <cfRule type="cellIs" dxfId="64" priority="103" operator="lessThan">
      <formula>0</formula>
    </cfRule>
  </conditionalFormatting>
  <conditionalFormatting sqref="I11:I24">
    <cfRule type="cellIs" dxfId="63" priority="86" operator="lessThan">
      <formula>0</formula>
    </cfRule>
  </conditionalFormatting>
  <conditionalFormatting sqref="J11:J24">
    <cfRule type="cellIs" dxfId="62" priority="85" operator="lessThan">
      <formula>0</formula>
    </cfRule>
  </conditionalFormatting>
  <conditionalFormatting sqref="I25:I29 I46:I48">
    <cfRule type="cellIs" dxfId="61" priority="84" operator="lessThan">
      <formula>0</formula>
    </cfRule>
  </conditionalFormatting>
  <conditionalFormatting sqref="J25:J29 J46:J48">
    <cfRule type="cellIs" dxfId="60" priority="83" operator="lessThan">
      <formula>0</formula>
    </cfRule>
  </conditionalFormatting>
  <conditionalFormatting sqref="I38:I40">
    <cfRule type="cellIs" dxfId="59" priority="66" operator="lessThan">
      <formula>0</formula>
    </cfRule>
  </conditionalFormatting>
  <conditionalFormatting sqref="J38:J40">
    <cfRule type="cellIs" dxfId="58" priority="65" operator="lessThan">
      <formula>0</formula>
    </cfRule>
  </conditionalFormatting>
  <conditionalFormatting sqref="I49:I50">
    <cfRule type="cellIs" dxfId="57" priority="76" operator="lessThan">
      <formula>0</formula>
    </cfRule>
  </conditionalFormatting>
  <conditionalFormatting sqref="I10:I23">
    <cfRule type="cellIs" dxfId="56" priority="82" operator="lessThan">
      <formula>0</formula>
    </cfRule>
  </conditionalFormatting>
  <conditionalFormatting sqref="J10:J23">
    <cfRule type="cellIs" dxfId="55" priority="81" operator="lessThan">
      <formula>0</formula>
    </cfRule>
  </conditionalFormatting>
  <conditionalFormatting sqref="I24:I29 I46:I48">
    <cfRule type="cellIs" dxfId="54" priority="80" operator="lessThan">
      <formula>0</formula>
    </cfRule>
  </conditionalFormatting>
  <conditionalFormatting sqref="J24:J29 J46:J48">
    <cfRule type="cellIs" dxfId="53" priority="79" operator="lessThan">
      <formula>0</formula>
    </cfRule>
  </conditionalFormatting>
  <conditionalFormatting sqref="I38:I39">
    <cfRule type="cellIs" dxfId="52" priority="62" operator="lessThan">
      <formula>0</formula>
    </cfRule>
  </conditionalFormatting>
  <conditionalFormatting sqref="J38:J39">
    <cfRule type="cellIs" dxfId="51" priority="61" operator="lessThan">
      <formula>0</formula>
    </cfRule>
  </conditionalFormatting>
  <conditionalFormatting sqref="I49:I50">
    <cfRule type="cellIs" dxfId="50" priority="78" operator="lessThan">
      <formula>0</formula>
    </cfRule>
  </conditionalFormatting>
  <conditionalFormatting sqref="J49:J50">
    <cfRule type="cellIs" dxfId="49" priority="77" operator="lessThan">
      <formula>0</formula>
    </cfRule>
  </conditionalFormatting>
  <conditionalFormatting sqref="I41:I45">
    <cfRule type="cellIs" dxfId="48" priority="64" operator="lessThan">
      <formula>0</formula>
    </cfRule>
  </conditionalFormatting>
  <conditionalFormatting sqref="J41:J45">
    <cfRule type="cellIs" dxfId="47" priority="63" operator="lessThan">
      <formula>0</formula>
    </cfRule>
  </conditionalFormatting>
  <conditionalFormatting sqref="J49:J50">
    <cfRule type="cellIs" dxfId="46" priority="75" operator="lessThan">
      <formula>0</formula>
    </cfRule>
  </conditionalFormatting>
  <conditionalFormatting sqref="I30:I32">
    <cfRule type="cellIs" dxfId="45" priority="74" operator="lessThan">
      <formula>0</formula>
    </cfRule>
  </conditionalFormatting>
  <conditionalFormatting sqref="J30:J32">
    <cfRule type="cellIs" dxfId="44" priority="73" operator="lessThan">
      <formula>0</formula>
    </cfRule>
  </conditionalFormatting>
  <conditionalFormatting sqref="I33:I37">
    <cfRule type="cellIs" dxfId="43" priority="72" operator="lessThan">
      <formula>0</formula>
    </cfRule>
  </conditionalFormatting>
  <conditionalFormatting sqref="J33:J37">
    <cfRule type="cellIs" dxfId="42" priority="71" operator="lessThan">
      <formula>0</formula>
    </cfRule>
  </conditionalFormatting>
  <conditionalFormatting sqref="I30:I31">
    <cfRule type="cellIs" dxfId="41" priority="70" operator="lessThan">
      <formula>0</formula>
    </cfRule>
  </conditionalFormatting>
  <conditionalFormatting sqref="J30:J31">
    <cfRule type="cellIs" dxfId="40" priority="69" operator="lessThan">
      <formula>0</formula>
    </cfRule>
  </conditionalFormatting>
  <conditionalFormatting sqref="I32:I37">
    <cfRule type="cellIs" dxfId="39" priority="68" operator="lessThan">
      <formula>0</formula>
    </cfRule>
  </conditionalFormatting>
  <conditionalFormatting sqref="J32:J37">
    <cfRule type="cellIs" dxfId="38" priority="67" operator="lessThan">
      <formula>0</formula>
    </cfRule>
  </conditionalFormatting>
  <conditionalFormatting sqref="I40:I45">
    <cfRule type="cellIs" dxfId="37" priority="60" operator="lessThan">
      <formula>0</formula>
    </cfRule>
  </conditionalFormatting>
  <conditionalFormatting sqref="J40:J45">
    <cfRule type="cellIs" dxfId="36" priority="59" operator="lessThan">
      <formula>0</formula>
    </cfRule>
  </conditionalFormatting>
  <conditionalFormatting sqref="I59">
    <cfRule type="cellIs" dxfId="35" priority="56" operator="lessThan">
      <formula>0</formula>
    </cfRule>
  </conditionalFormatting>
  <conditionalFormatting sqref="J59">
    <cfRule type="cellIs" dxfId="34" priority="55" operator="lessThan">
      <formula>0</formula>
    </cfRule>
  </conditionalFormatting>
  <conditionalFormatting sqref="I54">
    <cfRule type="cellIs" dxfId="33" priority="48" operator="lessThan">
      <formula>0</formula>
    </cfRule>
  </conditionalFormatting>
  <conditionalFormatting sqref="J54">
    <cfRule type="cellIs" dxfId="32" priority="47" operator="lessThan">
      <formula>0</formula>
    </cfRule>
  </conditionalFormatting>
  <conditionalFormatting sqref="I59">
    <cfRule type="cellIs" dxfId="31" priority="58" operator="lessThan">
      <formula>0</formula>
    </cfRule>
  </conditionalFormatting>
  <conditionalFormatting sqref="J59">
    <cfRule type="cellIs" dxfId="30" priority="57" operator="lessThan">
      <formula>0</formula>
    </cfRule>
  </conditionalFormatting>
  <conditionalFormatting sqref="I51">
    <cfRule type="cellIs" dxfId="29" priority="54" operator="lessThan">
      <formula>0</formula>
    </cfRule>
  </conditionalFormatting>
  <conditionalFormatting sqref="J51">
    <cfRule type="cellIs" dxfId="28" priority="53" operator="lessThan">
      <formula>0</formula>
    </cfRule>
  </conditionalFormatting>
  <conditionalFormatting sqref="I52">
    <cfRule type="cellIs" dxfId="27" priority="52" operator="lessThan">
      <formula>0</formula>
    </cfRule>
  </conditionalFormatting>
  <conditionalFormatting sqref="J52">
    <cfRule type="cellIs" dxfId="26" priority="51" operator="lessThan">
      <formula>0</formula>
    </cfRule>
  </conditionalFormatting>
  <conditionalFormatting sqref="I53">
    <cfRule type="cellIs" dxfId="25" priority="50" operator="lessThan">
      <formula>0</formula>
    </cfRule>
  </conditionalFormatting>
  <conditionalFormatting sqref="J53">
    <cfRule type="cellIs" dxfId="24" priority="49" operator="lessThan">
      <formula>0</formula>
    </cfRule>
  </conditionalFormatting>
  <conditionalFormatting sqref="H55">
    <cfRule type="cellIs" dxfId="23" priority="46" operator="lessThan">
      <formula>0</formula>
    </cfRule>
  </conditionalFormatting>
  <conditionalFormatting sqref="G55">
    <cfRule type="cellIs" dxfId="22" priority="45" operator="lessThan">
      <formula>0</formula>
    </cfRule>
  </conditionalFormatting>
  <conditionalFormatting sqref="J55">
    <cfRule type="cellIs" dxfId="21" priority="44" operator="lessThan">
      <formula>0</formula>
    </cfRule>
  </conditionalFormatting>
  <conditionalFormatting sqref="I55">
    <cfRule type="cellIs" dxfId="20" priority="43" operator="lessThan">
      <formula>0</formula>
    </cfRule>
  </conditionalFormatting>
  <conditionalFormatting sqref="L55">
    <cfRule type="cellIs" dxfId="19" priority="42" operator="lessThan">
      <formula>0</formula>
    </cfRule>
  </conditionalFormatting>
  <conditionalFormatting sqref="K55">
    <cfRule type="cellIs" dxfId="18" priority="41" operator="lessThan">
      <formula>0</formula>
    </cfRule>
  </conditionalFormatting>
  <conditionalFormatting sqref="N55">
    <cfRule type="cellIs" dxfId="17" priority="40" operator="lessThan">
      <formula>0</formula>
    </cfRule>
  </conditionalFormatting>
  <conditionalFormatting sqref="M55">
    <cfRule type="cellIs" dxfId="16" priority="39" operator="lessThan">
      <formula>0</formula>
    </cfRule>
  </conditionalFormatting>
  <conditionalFormatting sqref="P55">
    <cfRule type="cellIs" dxfId="15" priority="38" operator="lessThan">
      <formula>0</formula>
    </cfRule>
  </conditionalFormatting>
  <conditionalFormatting sqref="O55">
    <cfRule type="cellIs" dxfId="14" priority="37" operator="lessThan">
      <formula>0</formula>
    </cfRule>
  </conditionalFormatting>
  <conditionalFormatting sqref="R55">
    <cfRule type="cellIs" dxfId="13" priority="36" operator="lessThan">
      <formula>0</formula>
    </cfRule>
  </conditionalFormatting>
  <conditionalFormatting sqref="Q55">
    <cfRule type="cellIs" dxfId="12" priority="35" operator="lessThan">
      <formula>0</formula>
    </cfRule>
  </conditionalFormatting>
  <conditionalFormatting sqref="T55">
    <cfRule type="cellIs" dxfId="11" priority="34" operator="lessThan">
      <formula>0</formula>
    </cfRule>
  </conditionalFormatting>
  <conditionalFormatting sqref="S55">
    <cfRule type="cellIs" dxfId="10" priority="33" operator="lessThan">
      <formula>0</formula>
    </cfRule>
  </conditionalFormatting>
  <conditionalFormatting sqref="V55">
    <cfRule type="cellIs" dxfId="9" priority="32" operator="lessThan">
      <formula>0</formula>
    </cfRule>
  </conditionalFormatting>
  <conditionalFormatting sqref="U55">
    <cfRule type="cellIs" dxfId="8" priority="31" operator="lessThan">
      <formula>0</formula>
    </cfRule>
  </conditionalFormatting>
  <conditionalFormatting sqref="X55">
    <cfRule type="cellIs" dxfId="7" priority="30" operator="lessThan">
      <formula>0</formula>
    </cfRule>
  </conditionalFormatting>
  <conditionalFormatting sqref="W55">
    <cfRule type="cellIs" dxfId="6" priority="29" operator="lessThan">
      <formula>0</formula>
    </cfRule>
  </conditionalFormatting>
  <conditionalFormatting sqref="Z55">
    <cfRule type="cellIs" dxfId="5" priority="28" operator="lessThan">
      <formula>0</formula>
    </cfRule>
  </conditionalFormatting>
  <conditionalFormatting sqref="Y55">
    <cfRule type="cellIs" dxfId="4" priority="27" operator="lessThan">
      <formula>0</formula>
    </cfRule>
  </conditionalFormatting>
  <conditionalFormatting sqref="AB55">
    <cfRule type="cellIs" dxfId="3" priority="26" operator="lessThan">
      <formula>0</formula>
    </cfRule>
  </conditionalFormatting>
  <conditionalFormatting sqref="AA55">
    <cfRule type="cellIs" dxfId="2" priority="25" operator="lessThan">
      <formula>0</formula>
    </cfRule>
  </conditionalFormatting>
  <conditionalFormatting sqref="H56 J56 L56 N56 P56 R56 T56 V56 X56 Z56 AB56">
    <cfRule type="cellIs" dxfId="1" priority="2" operator="lessThan">
      <formula>0</formula>
    </cfRule>
  </conditionalFormatting>
  <conditionalFormatting sqref="G56 I56 K56 M56 O56 Q56 S56 U56 W56 Y56 AA56">
    <cfRule type="cellIs" dxfId="0" priority="1" operator="lessThan">
      <formula>0</formula>
    </cfRule>
  </conditionalFormatting>
  <printOptions horizontalCentered="1"/>
  <pageMargins left="0" right="0.5" top="0" bottom="0" header="0" footer="0"/>
  <pageSetup scale="3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B3:AN131"/>
  <sheetViews>
    <sheetView showGridLines="0" showZeros="0" zoomScale="55" zoomScaleNormal="55" workbookViewId="0">
      <selection activeCell="D15" sqref="D15"/>
    </sheetView>
  </sheetViews>
  <sheetFormatPr baseColWidth="10" defaultRowHeight="27" customHeight="1" x14ac:dyDescent="0.25"/>
  <cols>
    <col min="1" max="1" width="11" style="75" customWidth="1"/>
    <col min="2" max="2" width="9.75" style="75" customWidth="1"/>
    <col min="3" max="3" width="42" style="75" customWidth="1"/>
    <col min="4" max="4" width="23.125" style="75" customWidth="1"/>
    <col min="5" max="5" width="31" style="75" customWidth="1"/>
    <col min="6" max="6" width="31.125" style="75" customWidth="1"/>
    <col min="7" max="7" width="25.875" style="75" customWidth="1"/>
    <col min="8" max="8" width="26.625" style="75" customWidth="1"/>
    <col min="9" max="9" width="29.25" style="75" customWidth="1"/>
    <col min="10" max="10" width="18.625" style="75" customWidth="1"/>
    <col min="11" max="11" width="20.375" style="75" customWidth="1"/>
    <col min="12" max="12" width="25.25" style="75" customWidth="1"/>
    <col min="13" max="13" width="37.625" style="75" customWidth="1"/>
    <col min="14" max="14" width="28.75" style="75" customWidth="1"/>
    <col min="15" max="15" width="33.125" style="75" customWidth="1"/>
    <col min="16" max="16" width="26.875" style="75" customWidth="1"/>
    <col min="17" max="17" width="20.75" style="75" customWidth="1"/>
    <col min="18" max="18" width="19.875" style="75" customWidth="1"/>
    <col min="19" max="19" width="18.25" style="75" customWidth="1"/>
    <col min="20" max="20" width="19" style="75" customWidth="1"/>
    <col min="21" max="21" width="19.875" style="75" customWidth="1"/>
    <col min="22" max="22" width="19.75" style="75" customWidth="1"/>
    <col min="23" max="23" width="18.875" style="75" customWidth="1"/>
    <col min="24" max="24" width="21.125" style="75" customWidth="1"/>
    <col min="25" max="25" width="23.125" style="75" customWidth="1"/>
    <col min="26" max="26" width="26.125" style="75" customWidth="1"/>
    <col min="27" max="27" width="19.25" style="75" customWidth="1"/>
    <col min="28" max="28" width="21" style="75" customWidth="1"/>
    <col min="29" max="29" width="19.625" style="75" customWidth="1"/>
    <col min="30" max="30" width="20" style="75" customWidth="1"/>
    <col min="31" max="31" width="16.5" style="75" customWidth="1"/>
    <col min="32" max="32" width="18.625" style="75" customWidth="1"/>
    <col min="33" max="33" width="20.5" style="75" customWidth="1"/>
    <col min="34" max="34" width="18.5" style="75" customWidth="1"/>
    <col min="35" max="35" width="20.5" style="75" customWidth="1"/>
    <col min="36" max="36" width="20" style="75" customWidth="1"/>
    <col min="37" max="37" width="23.125" style="75" customWidth="1"/>
    <col min="38" max="38" width="24.5" style="75" customWidth="1"/>
    <col min="39" max="39" width="17.875" style="75" customWidth="1"/>
    <col min="40" max="40" width="16.625" style="75" customWidth="1"/>
    <col min="41" max="16384" width="11" style="75"/>
  </cols>
  <sheetData>
    <row r="3" spans="3:40" ht="78" customHeight="1" x14ac:dyDescent="0.25">
      <c r="C3" s="226" t="s">
        <v>1740</v>
      </c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26"/>
      <c r="Z3" s="226"/>
      <c r="AA3" s="226"/>
      <c r="AB3" s="226"/>
      <c r="AC3" s="226"/>
      <c r="AD3" s="226"/>
      <c r="AE3" s="226"/>
      <c r="AF3" s="226"/>
      <c r="AG3" s="226"/>
      <c r="AH3" s="226"/>
      <c r="AI3" s="226"/>
      <c r="AJ3" s="226"/>
      <c r="AK3" s="226"/>
      <c r="AL3" s="226"/>
      <c r="AM3" s="226"/>
      <c r="AN3" s="226"/>
    </row>
    <row r="4" spans="3:40" ht="62.25" customHeight="1" x14ac:dyDescent="0.25">
      <c r="C4" s="227" t="str">
        <f>TEXT(Historical!H2," mmmm dd, aaaa")</f>
        <v xml:space="preserve"> October 16, Monday</v>
      </c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</row>
    <row r="5" spans="3:40" ht="5.25" customHeight="1" x14ac:dyDescent="0.25"/>
    <row r="6" spans="3:40" ht="12.75" customHeight="1" x14ac:dyDescent="0.25"/>
    <row r="7" spans="3:40" ht="11.25" customHeight="1" x14ac:dyDescent="0.25">
      <c r="F7" s="76"/>
    </row>
    <row r="8" spans="3:40" ht="10.5" customHeight="1" x14ac:dyDescent="0.25"/>
    <row r="9" spans="3:40" ht="16.5" customHeight="1" x14ac:dyDescent="0.9">
      <c r="D9" s="77"/>
      <c r="E9" s="78"/>
    </row>
    <row r="10" spans="3:40" ht="19.5" hidden="1" customHeight="1" x14ac:dyDescent="0.9">
      <c r="D10" s="77"/>
      <c r="E10" s="78"/>
    </row>
    <row r="11" spans="3:40" ht="66" customHeight="1" x14ac:dyDescent="0.9">
      <c r="D11" s="79" t="s">
        <v>63</v>
      </c>
      <c r="E11" s="80"/>
      <c r="O11" s="81"/>
      <c r="P11" s="81"/>
      <c r="Q11" s="81"/>
      <c r="R11" s="81"/>
      <c r="S11" s="81"/>
      <c r="T11" s="81"/>
    </row>
    <row r="12" spans="3:40" ht="51" customHeight="1" x14ac:dyDescent="0.25">
      <c r="C12" s="222" t="s">
        <v>112</v>
      </c>
      <c r="D12" s="222"/>
      <c r="E12" s="222"/>
      <c r="F12" s="222"/>
      <c r="G12" s="222"/>
      <c r="H12" s="222"/>
      <c r="I12" s="222"/>
      <c r="J12" s="81"/>
      <c r="L12" s="222" t="s">
        <v>1743</v>
      </c>
      <c r="M12" s="222"/>
      <c r="N12" s="222"/>
      <c r="O12" s="222"/>
      <c r="P12" s="222"/>
      <c r="Q12" s="222"/>
      <c r="R12" s="222"/>
    </row>
    <row r="13" spans="3:40" ht="41.25" customHeight="1" x14ac:dyDescent="0.25">
      <c r="E13" s="81"/>
      <c r="F13" s="81"/>
      <c r="G13" s="81"/>
      <c r="H13" s="81"/>
      <c r="I13" s="81"/>
      <c r="M13" s="82"/>
      <c r="N13" s="83"/>
      <c r="O13" s="83"/>
    </row>
    <row r="14" spans="3:40" ht="35.25" customHeight="1" x14ac:dyDescent="0.5">
      <c r="C14" s="84"/>
      <c r="D14" s="85" t="s">
        <v>70</v>
      </c>
      <c r="E14" s="85" t="s">
        <v>75</v>
      </c>
      <c r="F14" s="85" t="s">
        <v>5</v>
      </c>
      <c r="G14" s="85" t="s">
        <v>168</v>
      </c>
      <c r="H14" s="85" t="s">
        <v>6</v>
      </c>
      <c r="I14" s="85" t="s">
        <v>21</v>
      </c>
      <c r="L14" s="86" t="s">
        <v>85</v>
      </c>
      <c r="M14" s="86" t="s">
        <v>86</v>
      </c>
      <c r="N14" s="86" t="s">
        <v>70</v>
      </c>
      <c r="O14" s="86" t="s">
        <v>6</v>
      </c>
      <c r="P14" s="86" t="s">
        <v>71</v>
      </c>
      <c r="Q14" s="86" t="s">
        <v>21</v>
      </c>
      <c r="R14" s="86" t="s">
        <v>72</v>
      </c>
      <c r="V14" s="87"/>
    </row>
    <row r="15" spans="3:40" ht="35.25" customHeight="1" x14ac:dyDescent="0.5">
      <c r="C15" s="88" t="s">
        <v>95</v>
      </c>
      <c r="D15" s="146">
        <f>SUMIFS(Dataset!AK:AK,Dataset!F:F,'retorno absoluto'!D11,Dataset!AH:AH,"deposito", Dataset!T:T,"$")</f>
        <v>6.3891536999326953E-2</v>
      </c>
      <c r="E15" s="147">
        <f>SUMIFS(Dataset!V:V,Dataset!F:F,'retorno absoluto'!D11,Dataset!AH:AH,"deposito", Dataset!T:T,"$")/1000000</f>
        <v>924.47549600000002</v>
      </c>
      <c r="F15" s="148">
        <f>SUMIFS(Dataset!H:H,Dataset!F:F,'retorno absoluto'!D11,Dataset!AH:AH,"deposito", Dataset!T:T,"$")</f>
        <v>2.0581698266090919E-2</v>
      </c>
      <c r="G15" s="146">
        <f>SUMIFS(Dataset!AQ:AQ,Dataset!F:F,'retorno absoluto'!D11,Dataset!AH:AH,"deposito", Dataset!T:T,"$")</f>
        <v>1.7847370827035517E-3</v>
      </c>
      <c r="H15" s="146">
        <f>SUMIFS(Dataset!I:I,Dataset!F:F,'retorno absoluto'!D11,Dataset!AH:AH,"deposito", Dataset!T:T,"$")</f>
        <v>2.9444089045707041E-5</v>
      </c>
      <c r="I15" s="146">
        <f>SUMIFS(Dataset!AA:AA,Dataset!F:F,'retorno absoluto'!D11,Dataset!AH:AH,"deposito", Dataset!T:T,"$")</f>
        <v>1.4848998009414506E-3</v>
      </c>
      <c r="J15" s="250"/>
      <c r="L15" s="89">
        <v>1</v>
      </c>
      <c r="M15" s="146" t="str">
        <f>IFERROR(INDEX(Dataset!G:G,MATCH(_xlfn.AGGREGATE(14,6,Dataset!AK:AK/(Dataset!F:F=$D$11),L15),Dataset!AK:AK,0),1),"-")</f>
        <v>BTP0450321</v>
      </c>
      <c r="N15" s="146">
        <f>IFERROR(INDEX(Dataset!AK:AK,MATCH(_xlfn.AGGREGATE(14,6,Dataset!AK:AK/(Dataset!F:F=$D$11),L15),Dataset!AK:AK,0),1),"-")</f>
        <v>0.69456365865775027</v>
      </c>
      <c r="O15" s="146">
        <f>IFERROR(INDEX(Dataset!I:I,MATCH(_xlfn.AGGREGATE(14,6,Dataset!AK:AK/(Dataset!F:F=$D$11),L15),Dataset!AK:AK,0),1),"-")</f>
        <v>5.06338737048459E-3</v>
      </c>
      <c r="P15" s="146">
        <f>IFERROR(INDEX(Dataset!R:R,MATCH(_xlfn.AGGREGATE(14,6,Dataset!AK:AK/(Dataset!F:F=$D$11),L15),Dataset!AK:AK,0),1),"-")/100</f>
        <v>7.2900263458494587E-5</v>
      </c>
      <c r="Q15" s="146">
        <f>IFERROR(INDEX(Dataset!AA:AA,MATCH(_xlfn.AGGREGATE(14,6,Dataset!AK:AK/(Dataset!F:F=$D$11),L15),Dataset!AK:AK,0),1),"-")</f>
        <v>0.25535253907331329</v>
      </c>
      <c r="R15" s="148">
        <f>IFERROR(INDEX(Dataset!J:J,MATCH(_xlfn.AGGREGATE(14,6,Dataset!AK:AK/(Dataset!F:F=$D$11),L15),Dataset!AK:AK,0),1),"-")</f>
        <v>3.15</v>
      </c>
      <c r="Y15" s="90"/>
    </row>
    <row r="16" spans="3:40" ht="35.25" customHeight="1" x14ac:dyDescent="0.5">
      <c r="C16" s="88" t="s">
        <v>64</v>
      </c>
      <c r="D16" s="146">
        <f>SUMIFS(Dataset!AK:AK,Dataset!F:F,'retorno absoluto'!D11,Dataset!AH:AH,"deposito", Dataset!T:T,"uf")</f>
        <v>0</v>
      </c>
      <c r="E16" s="147">
        <f>SUMIFS(Dataset!V:V,Dataset!F:F,'retorno absoluto'!D11,Dataset!AH:AH,"deposito", Dataset!T:T,"uf")/1000000</f>
        <v>0</v>
      </c>
      <c r="F16" s="148">
        <f>SUMIFS(Dataset!H:H,Dataset!F:F,'retorno absoluto'!D11,Dataset!AH:AH,"deposito", Dataset!T:T,"uf")</f>
        <v>0</v>
      </c>
      <c r="G16" s="146">
        <f>SUMIFS(Dataset!AQ:AQ,Dataset!F:F,'retorno absoluto'!D11,Dataset!AH:AH,"deposito", Dataset!T:T,"uf")</f>
        <v>0</v>
      </c>
      <c r="H16" s="146">
        <f>SUMIFS(Dataset!I:I,Dataset!F:F,'retorno absoluto'!D11,Dataset!AH:AH,"deposito", Dataset!T:T,"uf")</f>
        <v>0</v>
      </c>
      <c r="I16" s="146">
        <f>SUMIFS(Dataset!AA:AA,Dataset!F:F,'retorno absoluto'!D11,Dataset!AH:AH,"deposito", Dataset!T:T,"uf")</f>
        <v>0</v>
      </c>
      <c r="L16" s="89">
        <v>2</v>
      </c>
      <c r="M16" s="146" t="str">
        <f>IFERROR(INDEX(Dataset!G:G,MATCH(_xlfn.AGGREGATE(14,6,Dataset!AK:AK/(Dataset!F:F=$D$11),L16),Dataset!AK:AK,0),1),"-")</f>
        <v>BTU0150321</v>
      </c>
      <c r="N16" s="146">
        <f>IFERROR(INDEX(Dataset!AK:AK,MATCH(_xlfn.AGGREGATE(14,6,Dataset!AK:AK/(Dataset!F:F=$D$11),L16),Dataset!AK:AK,0),1),"-")</f>
        <v>0.21069039317617666</v>
      </c>
      <c r="O16" s="146">
        <f>IFERROR(INDEX(Dataset!I:I,MATCH(_xlfn.AGGREGATE(14,6,Dataset!AK:AK/(Dataset!F:F=$D$11),L16),Dataset!AK:AK,0),1),"-")</f>
        <v>5.1393129011058566E-3</v>
      </c>
      <c r="P16" s="146">
        <f>IFERROR(INDEX(Dataset!R:R,MATCH(_xlfn.AGGREGATE(14,6,Dataset!AK:AK/(Dataset!F:F=$D$11),L16),Dataset!AK:AK,0),1),"-")/100</f>
        <v>2.4392725380736405E-4</v>
      </c>
      <c r="Q16" s="146">
        <f>IFERROR(INDEX(Dataset!AA:AA,MATCH(_xlfn.AGGREGATE(14,6,Dataset!AK:AK/(Dataset!F:F=$D$11),L16),Dataset!AK:AK,0),1),"-")</f>
        <v>0.25918155226271372</v>
      </c>
      <c r="R16" s="148">
        <f>IFERROR(INDEX(Dataset!J:J,MATCH(_xlfn.AGGREGATE(14,6,Dataset!AK:AK/(Dataset!F:F=$D$11),L16),Dataset!AK:AK,0),1),"-")</f>
        <v>3.3</v>
      </c>
    </row>
    <row r="17" spans="3:24" ht="35.25" customHeight="1" x14ac:dyDescent="0.5">
      <c r="C17" s="88" t="s">
        <v>96</v>
      </c>
      <c r="D17" s="146">
        <f>SUMIFS(Dataset!AK:AK,Dataset!F:F,'retorno absoluto'!D11,Dataset!AH:AH,"bono de gobierno", Dataset!T:T,"$")</f>
        <v>0.90297359061565352</v>
      </c>
      <c r="E17" s="147">
        <f>SUMIFS(Dataset!V:V,Dataset!F:F,'retorno absoluto'!D11,Dataset!AH:AH,"bono de gobierno", Dataset!T:T,"$")/1000000</f>
        <v>13065.532577</v>
      </c>
      <c r="F17" s="148">
        <f>SUMIFS(Dataset!H:H,Dataset!F:F,'retorno absoluto'!D11,Dataset!AH:AH,"bono de gobierno", Dataset!T:T,"$")</f>
        <v>3.5804664425122867</v>
      </c>
      <c r="G17" s="146">
        <f>SUMIFS(Dataset!AQ:AQ,Dataset!F:F,'retorno absoluto'!D11,Dataset!AH:AH,"bono de gobierno", Dataset!T:T,"$")</f>
        <v>3.491858820274997E-2</v>
      </c>
      <c r="H17" s="146">
        <f>SUMIFS(Dataset!I:I,Dataset!F:F,'retorno absoluto'!D11,Dataset!AH:AH,"bono de gobierno", Dataset!T:T,"$")</f>
        <v>7.8722562918253081E-3</v>
      </c>
      <c r="I17" s="146">
        <f>SUMIFS(Dataset!AA:AA,Dataset!F:F,'retorno absoluto'!D11,Dataset!AH:AH,"bono de gobierno", Dataset!T:T,"$")</f>
        <v>0.39700707950398678</v>
      </c>
      <c r="L17" s="89">
        <v>3</v>
      </c>
      <c r="M17" s="146" t="str">
        <f>IFERROR(INDEX(Dataset!G:G,MATCH(_xlfn.AGGREGATE(14,6,Dataset!AK:AK/(Dataset!F:F=$D$11),L17),Dataset!AK:AK,0),1),"-")</f>
        <v>FWDCLUS51618</v>
      </c>
      <c r="N17" s="146">
        <f>IFERROR(INDEX(Dataset!AK:AK,MATCH(_xlfn.AGGREGATE(14,6,Dataset!AK:AK/(Dataset!F:F=$D$11),L17),Dataset!AK:AK,0),1),"-")</f>
        <v>0.13537832085267665</v>
      </c>
      <c r="O17" s="146">
        <f>IFERROR(INDEX(Dataset!I:I,MATCH(_xlfn.AGGREGATE(14,6,Dataset!AK:AK/(Dataset!F:F=$D$11),L17),Dataset!AK:AK,0),1),"-")</f>
        <v>0</v>
      </c>
      <c r="P17" s="146">
        <f>IFERROR(INDEX(Dataset!R:R,MATCH(_xlfn.AGGREGATE(14,6,Dataset!AK:AK/(Dataset!F:F=$D$11),L17),Dataset!AK:AK,0),1),"-")/100</f>
        <v>0</v>
      </c>
      <c r="Q17" s="146">
        <f>IFERROR(INDEX(Dataset!AA:AA,MATCH(_xlfn.AGGREGATE(14,6,Dataset!AK:AK/(Dataset!F:F=$D$11),L17),Dataset!AK:AK,0),1),"-")</f>
        <v>0</v>
      </c>
      <c r="R17" s="148">
        <f>IFERROR(INDEX(Dataset!J:J,MATCH(_xlfn.AGGREGATE(14,6,Dataset!AK:AK/(Dataset!F:F=$D$11),L17),Dataset!AK:AK,0),1),"-")</f>
        <v>0</v>
      </c>
      <c r="W17" s="83"/>
      <c r="X17" s="91"/>
    </row>
    <row r="18" spans="3:24" ht="35.25" customHeight="1" x14ac:dyDescent="0.5">
      <c r="C18" s="88" t="s">
        <v>67</v>
      </c>
      <c r="D18" s="146">
        <f>SUMIFS(Dataset!AK:AK,Dataset!F:F,'retorno absoluto'!D11,Dataset!AH:AH,"bono de gobierno", Dataset!T:T,"uf")</f>
        <v>0.42337093850124574</v>
      </c>
      <c r="E18" s="147">
        <f>SUMIFS(Dataset!V:V,Dataset!F:F,'retorno absoluto'!D11,Dataset!AH:AH,"bono de gobierno", Dataset!T:T,"uf")/1000000</f>
        <v>6125.9452620000002</v>
      </c>
      <c r="F18" s="148">
        <f>SUMIFS(Dataset!H:H,Dataset!F:F,'retorno absoluto'!D11,Dataset!AH:AH,"bono de gobierno", Dataset!T:T,"uf")</f>
        <v>2.234149865378221</v>
      </c>
      <c r="G18" s="146">
        <f>SUMIFS(Dataset!AQ:AQ,Dataset!F:F,'retorno absoluto'!D11,Dataset!AH:AH,"bono de gobierno", Dataset!T:T,"uf")</f>
        <v>-2.9470611060521856E-3</v>
      </c>
      <c r="H18" s="146">
        <f>SUMIFS(Dataset!I:I,Dataset!F:F,'retorno absoluto'!D11,Dataset!AH:AH,"bono de gobierno", Dataset!T:T,"uf")</f>
        <v>1.1744659830743652E-2</v>
      </c>
      <c r="I18" s="146">
        <f>SUMIFS(Dataset!AA:AA,Dataset!F:F,'retorno absoluto'!D11,Dataset!AH:AH,"bono de gobierno", Dataset!T:T,"uf")</f>
        <v>0.59229691289562947</v>
      </c>
      <c r="L18" s="89">
        <v>4</v>
      </c>
      <c r="M18" s="146" t="str">
        <f>IFERROR(INDEX(Dataset!G:G,MATCH(_xlfn.AGGREGATE(14,6,Dataset!AK:AK/(Dataset!F:F=$D$11),L18),Dataset!AK:AK,0),1),"-")</f>
        <v>BCP0600322</v>
      </c>
      <c r="N18" s="146">
        <f>IFERROR(INDEX(Dataset!AK:AK,MATCH(_xlfn.AGGREGATE(14,6,Dataset!AK:AK/(Dataset!F:F=$D$11),L18),Dataset!AK:AK,0),1),"-")</f>
        <v>0.13472267637308538</v>
      </c>
      <c r="O18" s="146">
        <f>IFERROR(INDEX(Dataset!I:I,MATCH(_xlfn.AGGREGATE(14,6,Dataset!AK:AK/(Dataset!F:F=$D$11),L18),Dataset!AK:AK,0),1),"-")</f>
        <v>1.211985020164264E-3</v>
      </c>
      <c r="P18" s="146">
        <f>IFERROR(INDEX(Dataset!R:R,MATCH(_xlfn.AGGREGATE(14,6,Dataset!AK:AK/(Dataset!F:F=$D$11),L18),Dataset!AK:AK,0),1),"-")/100</f>
        <v>8.9961471430981141E-5</v>
      </c>
      <c r="Q18" s="146">
        <f>IFERROR(INDEX(Dataset!AA:AA,MATCH(_xlfn.AGGREGATE(14,6,Dataset!AK:AK/(Dataset!F:F=$D$11),L18),Dataset!AK:AK,0),1),"-")</f>
        <v>6.1121820151821916E-2</v>
      </c>
      <c r="R18" s="148">
        <f>IFERROR(INDEX(Dataset!J:J,MATCH(_xlfn.AGGREGATE(14,6,Dataset!AK:AK/(Dataset!F:F=$D$11),L18),Dataset!AK:AK,0),1),"-")</f>
        <v>3.91</v>
      </c>
    </row>
    <row r="19" spans="3:24" ht="35.25" customHeight="1" x14ac:dyDescent="0.5">
      <c r="C19" s="88" t="s">
        <v>91</v>
      </c>
      <c r="D19" s="146">
        <f>SUMIFS(Dataset!AK:AK,Dataset!F:F,'retorno absoluto'!D11,Dataset!AH:AH,"bono de gobierno", Dataset!T:T,"eu")</f>
        <v>0</v>
      </c>
      <c r="E19" s="147">
        <f>SUMIFS(Dataset!V:V,Dataset!F:F,'retorno absoluto'!D11,Dataset!AH:AH,"bono de gobierno", Dataset!T:T,"eu")/1000000</f>
        <v>0</v>
      </c>
      <c r="F19" s="148">
        <f>SUMIFS(Dataset!H:H,Dataset!F:F,'retorno absoluto'!D11,Dataset!AH:AH,"bono de gobierno", Dataset!T:T,"eu")</f>
        <v>0</v>
      </c>
      <c r="G19" s="146">
        <f>SUMIFS(Dataset!AQ:AQ,Dataset!F:F,'retorno absoluto'!D11,Dataset!AH:AH,"bono de gobierno", Dataset!T:T,"eu")</f>
        <v>0</v>
      </c>
      <c r="H19" s="146">
        <f>SUMIFS(Dataset!I:I,Dataset!F:F,'retorno absoluto'!D11,Dataset!AH:AH,"bono de gobierno", Dataset!T:T,"eu")</f>
        <v>0</v>
      </c>
      <c r="I19" s="146">
        <f>SUMIFS(Dataset!AA:AA,Dataset!F:F,'retorno absoluto'!D11,Dataset!AH:AH,"bono de gobierno", Dataset!T:T,"eu")</f>
        <v>0</v>
      </c>
      <c r="L19" s="89">
        <v>5</v>
      </c>
      <c r="M19" s="146" t="str">
        <f>IFERROR(INDEX(Dataset!G:G,MATCH(_xlfn.AGGREGATE(14,6,Dataset!AK:AK/(Dataset!F:F=$D$11),L19),Dataset!AK:AK,0),1),"-")</f>
        <v>FWDCLUS51718</v>
      </c>
      <c r="N19" s="146">
        <f>IFERROR(INDEX(Dataset!AK:AK,MATCH(_xlfn.AGGREGATE(14,6,Dataset!AK:AK/(Dataset!F:F=$D$11),L19),Dataset!AK:AK,0),1),"-")</f>
        <v>0.13463192075599661</v>
      </c>
      <c r="O19" s="146">
        <f>IFERROR(INDEX(Dataset!I:I,MATCH(_xlfn.AGGREGATE(14,6,Dataset!AK:AK/(Dataset!F:F=$D$11),L19),Dataset!AK:AK,0),1),"-")</f>
        <v>0</v>
      </c>
      <c r="P19" s="146">
        <f>IFERROR(INDEX(Dataset!R:R,MATCH(_xlfn.AGGREGATE(14,6,Dataset!AK:AK/(Dataset!F:F=$D$11),L19),Dataset!AK:AK,0),1),"-")/100</f>
        <v>0</v>
      </c>
      <c r="Q19" s="146">
        <f>IFERROR(INDEX(Dataset!AA:AA,MATCH(_xlfn.AGGREGATE(14,6,Dataset!AK:AK/(Dataset!F:F=$D$11),L19),Dataset!AK:AK,0),1),"-")</f>
        <v>0</v>
      </c>
      <c r="R19" s="148">
        <f>IFERROR(INDEX(Dataset!J:J,MATCH(_xlfn.AGGREGATE(14,6,Dataset!AK:AK/(Dataset!F:F=$D$11),L19),Dataset!AK:AK,0),1),"-")</f>
        <v>0</v>
      </c>
    </row>
    <row r="20" spans="3:24" ht="35.25" customHeight="1" x14ac:dyDescent="0.5">
      <c r="C20" s="88" t="s">
        <v>166</v>
      </c>
      <c r="D20" s="146">
        <f>SUMIFS(Dataset!AK:AK,Dataset!F:F,'retorno absoluto'!D11,Dataset!AH:AH,"bono de gobierno", Dataset!T:T,"mx")</f>
        <v>0</v>
      </c>
      <c r="E20" s="147">
        <f>SUMIFS(Dataset!V:V,Dataset!F:F,'retorno absoluto'!D11,Dataset!AH:AH,"bono de gobierno", Dataset!T:T,"mx")/1000000</f>
        <v>0</v>
      </c>
      <c r="F20" s="148">
        <f>SUMIFS(Dataset!H:H,Dataset!F:F,'retorno absoluto'!D11,Dataset!AH:AH,"bono de gobierno", Dataset!T:T,"mx")</f>
        <v>0</v>
      </c>
      <c r="G20" s="146">
        <f>SUMIFS(Dataset!AQ:AQ,Dataset!F:F,'retorno absoluto'!D11,Dataset!AH:AH,"bono de gobierno", Dataset!T:T,"mx")</f>
        <v>0</v>
      </c>
      <c r="H20" s="146">
        <f>SUMIFS(Dataset!I:I,Dataset!F:F,'retorno absoluto'!D11,Dataset!AH:AH,"bono de gobierno", Dataset!T:T,"mx")</f>
        <v>0</v>
      </c>
      <c r="I20" s="146">
        <f>SUMIFS(Dataset!AA:AA,Dataset!F:F,'retorno absoluto'!D11,Dataset!AH:AH,"bono de gobierno", Dataset!T:T,"mx")</f>
        <v>0</v>
      </c>
      <c r="L20" s="89">
        <v>6</v>
      </c>
      <c r="M20" s="146" t="str">
        <f>IFERROR(INDEX(Dataset!G:G,MATCH(_xlfn.AGGREGATE(14,6,Dataset!AK:AK/(Dataset!F:F=$D$11),L20),Dataset!AK:AK,0),1),"-")</f>
        <v>BTU0150326</v>
      </c>
      <c r="N20" s="146">
        <f>IFERROR(INDEX(Dataset!AK:AK,MATCH(_xlfn.AGGREGATE(14,6,Dataset!AK:AK/(Dataset!F:F=$D$11),L20),Dataset!AK:AK,0),1),"-")</f>
        <v>0.13179671473631233</v>
      </c>
      <c r="O20" s="146">
        <f>IFERROR(INDEX(Dataset!I:I,MATCH(_xlfn.AGGREGATE(14,6,Dataset!AK:AK/(Dataset!F:F=$D$11),L20),Dataset!AK:AK,0),1),"-")</f>
        <v>4.3614156066551476E-3</v>
      </c>
      <c r="P20" s="146">
        <f>IFERROR(INDEX(Dataset!R:R,MATCH(_xlfn.AGGREGATE(14,6,Dataset!AK:AK/(Dataset!F:F=$D$11),L20),Dataset!AK:AK,0),1),"-")/100</f>
        <v>3.3091990307809244E-4</v>
      </c>
      <c r="Q20" s="146">
        <f>IFERROR(INDEX(Dataset!AA:AA,MATCH(_xlfn.AGGREGATE(14,6,Dataset!AK:AK/(Dataset!F:F=$D$11),L20),Dataset!AK:AK,0),1),"-")</f>
        <v>0.21995128312823137</v>
      </c>
      <c r="R20" s="148">
        <f>IFERROR(INDEX(Dataset!J:J,MATCH(_xlfn.AGGREGATE(14,6,Dataset!AK:AK/(Dataset!F:F=$D$11),L20),Dataset!AK:AK,0),1),"-")</f>
        <v>7.88</v>
      </c>
    </row>
    <row r="21" spans="3:24" ht="35.25" customHeight="1" x14ac:dyDescent="0.5">
      <c r="C21" s="88" t="s">
        <v>171</v>
      </c>
      <c r="D21" s="146">
        <f>SUMIFS(Dataset!AK:AK,Dataset!F:F,'retorno absoluto'!D11,Dataset!AH:AH,"bono de gobierno", Dataset!T:T,"rea")</f>
        <v>0</v>
      </c>
      <c r="E21" s="147">
        <f>SUMIFS(Dataset!V:V,Dataset!F:F,'retorno absoluto'!D11,Dataset!AH:AH,"bono de gobierno", Dataset!T:T,"rea")/1000000</f>
        <v>0</v>
      </c>
      <c r="F21" s="148">
        <f>SUMIFS(Dataset!H:H,Dataset!F:F,'retorno absoluto'!D11,Dataset!AH:AH,"bono de gobierno", Dataset!T:T,"rea")</f>
        <v>0</v>
      </c>
      <c r="G21" s="146">
        <f>SUMIFS(Dataset!AQ:AQ,Dataset!F:F,'retorno absoluto'!D11,Dataset!AH:AH,"bono de gobierno", Dataset!T:T,"rea")</f>
        <v>0</v>
      </c>
      <c r="H21" s="146">
        <f>SUMIFS(Dataset!I:I,Dataset!F:F,'retorno absoluto'!D11,Dataset!AH:AH,"bono de gobierno", Dataset!T:T,"rea")</f>
        <v>0</v>
      </c>
      <c r="I21" s="146">
        <f>SUMIFS(Dataset!AA:AA,Dataset!F:F,'retorno absoluto'!D11,Dataset!AH:AH,"bono de gobierno", Dataset!T:T,"rea")</f>
        <v>0</v>
      </c>
      <c r="L21" s="89">
        <v>7</v>
      </c>
      <c r="M21" s="146" t="str">
        <f>IFERROR(INDEX(Dataset!G:G,MATCH(_xlfn.AGGREGATE(14,6,Dataset!AK:AK/(Dataset!F:F=$D$11),L21),Dataset!AK:AK,0),1),"-")</f>
        <v>FWDUSCL51718</v>
      </c>
      <c r="N21" s="146">
        <f>IFERROR(INDEX(Dataset!AK:AK,MATCH(_xlfn.AGGREGATE(14,6,Dataset!AK:AK/(Dataset!F:F=$D$11),L21),Dataset!AK:AK,0),1),"-")</f>
        <v>0.12898830337432096</v>
      </c>
      <c r="O21" s="146">
        <f>IFERROR(INDEX(Dataset!I:I,MATCH(_xlfn.AGGREGATE(14,6,Dataset!AK:AK/(Dataset!F:F=$D$11),L21),Dataset!AK:AK,0),1),"-")</f>
        <v>6.1545942434002487E-4</v>
      </c>
      <c r="P21" s="146">
        <f>IFERROR(INDEX(Dataset!R:R,MATCH(_xlfn.AGGREGATE(14,6,Dataset!AK:AK/(Dataset!F:F=$D$11),L21),Dataset!AK:AK,0),1),"-")/100</f>
        <v>4.7714359227904284E-5</v>
      </c>
      <c r="Q21" s="146">
        <f>IFERROR(INDEX(Dataset!AA:AA,MATCH(_xlfn.AGGREGATE(14,6,Dataset!AK:AK/(Dataset!F:F=$D$11),L21),Dataset!AK:AK,0),1),"-")</f>
        <v>3.1038337619186389E-2</v>
      </c>
      <c r="R21" s="148">
        <f>IFERROR(INDEX(Dataset!J:J,MATCH(_xlfn.AGGREGATE(14,6,Dataset!AK:AK/(Dataset!F:F=$D$11),L21),Dataset!AK:AK,0),1),"-")</f>
        <v>0</v>
      </c>
    </row>
    <row r="22" spans="3:24" ht="35.25" customHeight="1" x14ac:dyDescent="0.5">
      <c r="C22" s="88" t="s">
        <v>234</v>
      </c>
      <c r="D22" s="146">
        <f>SUMIFS(Dataset!AK:AK,Dataset!F:F,'retorno absoluto'!D11,Dataset!AH:AH,"bono de gobierno", Dataset!T:T,"sol")</f>
        <v>0</v>
      </c>
      <c r="E22" s="147">
        <f>SUMIFS(Dataset!V:V,Dataset!F:F,'retorno absoluto'!D11,Dataset!AH:AH,"bono de gobierno", Dataset!T:T,"sol")/1000000</f>
        <v>0</v>
      </c>
      <c r="F22" s="148">
        <f>SUMIFS(Dataset!H:H,Dataset!F:F,'retorno absoluto'!D11,Dataset!AH:AH,"bono de gobierno", Dataset!T:T,"sol")</f>
        <v>0</v>
      </c>
      <c r="G22" s="146">
        <f>SUMIFS(Dataset!AQ:AQ,Dataset!F:F,'retorno absoluto'!D11,Dataset!AH:AH,"bono de gobierno", Dataset!T:T,"sol")</f>
        <v>0</v>
      </c>
      <c r="H22" s="146">
        <f>SUMIFS(Dataset!I:I,Dataset!F:F,'retorno absoluto'!D11,Dataset!AH:AH,"bono de gobierno", Dataset!T:T,"sol")</f>
        <v>0</v>
      </c>
      <c r="I22" s="146">
        <f>SUMIFS(Dataset!AA:AA,Dataset!F:F,'retorno absoluto'!D11,Dataset!AH:AH,"bono de gobierno", Dataset!T:T,"sol")</f>
        <v>0</v>
      </c>
      <c r="L22" s="89">
        <v>8</v>
      </c>
      <c r="M22" s="146" t="str">
        <f>IFERROR(INDEX(Dataset!G:G,MATCH(_xlfn.AGGREGATE(14,6,Dataset!AK:AK/(Dataset!F:F=$D$11),L22),Dataset!AK:AK,0),1),"-")</f>
        <v>FWDUSCL51718</v>
      </c>
      <c r="N22" s="146">
        <f>IFERROR(INDEX(Dataset!AK:AK,MATCH(_xlfn.AGGREGATE(14,6,Dataset!AK:AK/(Dataset!F:F=$D$11),L22),Dataset!AK:AK,0),1),"-")</f>
        <v>0.12898830337432096</v>
      </c>
      <c r="O22" s="146">
        <f>IFERROR(INDEX(Dataset!I:I,MATCH(_xlfn.AGGREGATE(14,6,Dataset!AK:AK/(Dataset!F:F=$D$11),L22),Dataset!AK:AK,0),1),"-")</f>
        <v>6.1545942434002487E-4</v>
      </c>
      <c r="P22" s="146">
        <f>IFERROR(INDEX(Dataset!R:R,MATCH(_xlfn.AGGREGATE(14,6,Dataset!AK:AK/(Dataset!F:F=$D$11),L22),Dataset!AK:AK,0),1),"-")/100</f>
        <v>4.7714359227904284E-5</v>
      </c>
      <c r="Q22" s="146">
        <f>IFERROR(INDEX(Dataset!AA:AA,MATCH(_xlfn.AGGREGATE(14,6,Dataset!AK:AK/(Dataset!F:F=$D$11),L22),Dataset!AK:AK,0),1),"-")</f>
        <v>3.1038337619186389E-2</v>
      </c>
      <c r="R22" s="148">
        <f>IFERROR(INDEX(Dataset!J:J,MATCH(_xlfn.AGGREGATE(14,6,Dataset!AK:AK/(Dataset!F:F=$D$11),L22),Dataset!AK:AK,0),1),"-")</f>
        <v>0</v>
      </c>
    </row>
    <row r="23" spans="3:24" ht="35.25" customHeight="1" x14ac:dyDescent="0.5">
      <c r="C23" s="88" t="s">
        <v>98</v>
      </c>
      <c r="D23" s="146">
        <f>SUMIFS(Dataset!AK:AK,Dataset!F:F,'retorno absoluto'!D11,Dataset!AH:AH,"bono corporativo", Dataset!T:T,"$")</f>
        <v>3.012798611887562E-2</v>
      </c>
      <c r="E23" s="147">
        <f>SUMIFS(Dataset!V:V,Dataset!F:F,'retorno absoluto'!D11,Dataset!AH:AH,"bono corporativo", Dataset!T:T,"$")/1000000</f>
        <v>435.93543399999999</v>
      </c>
      <c r="F23" s="148">
        <f>SUMIFS(Dataset!H:H,Dataset!F:F,'retorno absoluto'!D11,Dataset!AH:AH,"bono corporativo", Dataset!T:T,"$")</f>
        <v>8.1646842382152932E-2</v>
      </c>
      <c r="G23" s="146">
        <f>SUMIFS(Dataset!AQ:AQ,Dataset!F:F,'retorno absoluto'!D11,Dataset!AH:AH,"bono corporativo", Dataset!T:T,"$")</f>
        <v>0</v>
      </c>
      <c r="H23" s="146">
        <f>SUMIFS(Dataset!I:I,Dataset!F:F,'retorno absoluto'!D11,Dataset!AH:AH,"bono corporativo", Dataset!T:T,"$")</f>
        <v>6.3882169983711998E-5</v>
      </c>
      <c r="I23" s="146">
        <f>SUMIFS(Dataset!AA:AA,Dataset!F:F,'retorno absoluto'!D11,Dataset!AH:AH,"bono corporativo", Dataset!T:T,"$")</f>
        <v>3.2216524459381187E-3</v>
      </c>
      <c r="L23" s="89">
        <v>9</v>
      </c>
      <c r="M23" s="146" t="str">
        <f>IFERROR(INDEX(Dataset!G:G,MATCH(_xlfn.AGGREGATE(14,6,Dataset!AK:AK/(Dataset!F:F=$D$11),L23),Dataset!AK:AK,0),1),"-")</f>
        <v>BTP0500335</v>
      </c>
      <c r="N23" s="146">
        <f>IFERROR(INDEX(Dataset!AK:AK,MATCH(_xlfn.AGGREGATE(14,6,Dataset!AK:AK/(Dataset!F:F=$D$11),L23),Dataset!AK:AK,0),1),"-")</f>
        <v>7.3687255584817812E-2</v>
      </c>
      <c r="O23" s="146">
        <f>IFERROR(INDEX(Dataset!I:I,MATCH(_xlfn.AGGREGATE(14,6,Dataset!AK:AK/(Dataset!F:F=$D$11),L23),Dataset!AK:AK,0),1),"-")</f>
        <v>1.5968839011764532E-3</v>
      </c>
      <c r="P23" s="146">
        <f>IFERROR(INDEX(Dataset!R:R,MATCH(_xlfn.AGGREGATE(14,6,Dataset!AK:AK/(Dataset!F:F=$D$11),L23),Dataset!AK:AK,0),1),"-")/100</f>
        <v>2.1671100226257684E-4</v>
      </c>
      <c r="Q23" s="146">
        <f>IFERROR(INDEX(Dataset!AA:AA,MATCH(_xlfn.AGGREGATE(14,6,Dataset!AK:AK/(Dataset!F:F=$D$11),L23),Dataset!AK:AK,0),1),"-")</f>
        <v>8.0532720278851555E-2</v>
      </c>
      <c r="R23" s="148">
        <f>IFERROR(INDEX(Dataset!J:J,MATCH(_xlfn.AGGREGATE(14,6,Dataset!AK:AK/(Dataset!F:F=$D$11),L23),Dataset!AK:AK,0),1),"-")</f>
        <v>11.75</v>
      </c>
    </row>
    <row r="24" spans="3:24" ht="35.25" customHeight="1" x14ac:dyDescent="0.5">
      <c r="C24" s="88" t="s">
        <v>73</v>
      </c>
      <c r="D24" s="146">
        <f>SUMIFS(Dataset!AK:AK,Dataset!F:F,'retorno absoluto'!D11,Dataset!AH:AH,"bono corporativo", Dataset!T:T,"uf")</f>
        <v>8.1942828298371528E-3</v>
      </c>
      <c r="E24" s="147">
        <f>SUMIFS(Dataset!V:V,Dataset!F:F,'retorno absoluto'!D11,Dataset!AH:AH,"bono corporativo", Dataset!T:T,"uf")/1000000</f>
        <v>118.566778</v>
      </c>
      <c r="F24" s="148">
        <f>SUMIFS(Dataset!H:H,Dataset!F:F,'retorno absoluto'!D11,Dataset!AH:AH,"bono corporativo", Dataset!T:T,"uf")</f>
        <v>3.2356114803334994E-2</v>
      </c>
      <c r="G24" s="146">
        <f>SUMIFS(Dataset!AQ:AQ,Dataset!F:F,'retorno absoluto'!D11,Dataset!AH:AH,"bono corporativo", Dataset!T:T,"uf")</f>
        <v>2.045486610801085E-4</v>
      </c>
      <c r="H24" s="146">
        <f>SUMIFS(Dataset!I:I,Dataset!F:F,'retorno absoluto'!D11,Dataset!AH:AH,"bono corporativo", Dataset!T:T,"uf")</f>
        <v>1.1051645484845577E-4</v>
      </c>
      <c r="I24" s="146">
        <f>SUMIFS(Dataset!AA:AA,Dataset!F:F,'retorno absoluto'!D11,Dataset!AH:AH,"bono corporativo", Dataset!T:T,"uf")</f>
        <v>5.5734738999899027E-3</v>
      </c>
      <c r="L24" s="89">
        <v>10</v>
      </c>
      <c r="M24" s="146" t="str">
        <f>IFERROR(INDEX(Dataset!G:G,MATCH(_xlfn.AGGREGATE(14,6,Dataset!AK:AK/(Dataset!F:F=$D$11),L24),Dataset!AK:AK,0),1),"-")</f>
        <v>BTU0300120</v>
      </c>
      <c r="N24" s="146">
        <f>IFERROR(INDEX(Dataset!AK:AK,MATCH(_xlfn.AGGREGATE(14,6,Dataset!AK:AK/(Dataset!F:F=$D$11),L24),Dataset!AK:AK,0),1),"-")</f>
        <v>4.9008290874189904E-2</v>
      </c>
      <c r="O24" s="146">
        <f>IFERROR(INDEX(Dataset!I:I,MATCH(_xlfn.AGGREGATE(14,6,Dataset!AK:AK/(Dataset!F:F=$D$11),L24),Dataset!AK:AK,0),1),"-")</f>
        <v>7.3869900809138747E-4</v>
      </c>
      <c r="P24" s="146">
        <f>IFERROR(INDEX(Dataset!R:R,MATCH(_xlfn.AGGREGATE(14,6,Dataset!AK:AK/(Dataset!F:F=$D$11),L24),Dataset!AK:AK,0),1),"-")/100</f>
        <v>1.5072939596847307E-4</v>
      </c>
      <c r="Q24" s="146">
        <f>IFERROR(INDEX(Dataset!AA:AA,MATCH(_xlfn.AGGREGATE(14,6,Dataset!AK:AK/(Dataset!F:F=$D$11),L24),Dataset!AK:AK,0),1),"-")</f>
        <v>3.7253453770222038E-2</v>
      </c>
      <c r="R24" s="148">
        <f>IFERROR(INDEX(Dataset!J:J,MATCH(_xlfn.AGGREGATE(14,6,Dataset!AK:AK/(Dataset!F:F=$D$11),L24),Dataset!AK:AK,0),1),"-")</f>
        <v>2.14</v>
      </c>
    </row>
    <row r="25" spans="3:24" ht="35.25" customHeight="1" x14ac:dyDescent="0.5">
      <c r="C25" s="88" t="s">
        <v>65</v>
      </c>
      <c r="D25" s="146">
        <f>SUMIFS(Dataset!AK:AK,Dataset!F:F,'retorno absoluto'!D11,Dataset!AH:AH,"factura")</f>
        <v>0</v>
      </c>
      <c r="E25" s="147">
        <f>SUMIFS(Dataset!V:V,Dataset!F:F,'retorno absoluto'!D11,Dataset!AH:AH,"factura")/1000000</f>
        <v>0</v>
      </c>
      <c r="F25" s="148">
        <f>SUMIFS(Dataset!H:H,Dataset!F:F,'retorno absoluto'!D11,Dataset!AH:AH,"factura")</f>
        <v>0</v>
      </c>
      <c r="G25" s="146">
        <f>SUMIFS(Dataset!AQ:AQ,Dataset!F:F,'retorno absoluto'!D11,Dataset!AH:AH,"factura")</f>
        <v>0</v>
      </c>
      <c r="H25" s="146">
        <f>SUMIFS(Dataset!I:I,Dataset!F:F,'retorno absoluto'!D11,Dataset!AH:AH,"factura")</f>
        <v>0</v>
      </c>
      <c r="I25" s="146">
        <f>SUMIFS(Dataset!AA:AA,Dataset!F:F,'retorno absoluto'!D11,Dataset!AH:AH,"factura")</f>
        <v>0</v>
      </c>
      <c r="M25" s="92"/>
      <c r="N25" s="92"/>
    </row>
    <row r="26" spans="3:24" ht="35.25" customHeight="1" x14ac:dyDescent="0.5">
      <c r="C26" s="88" t="s">
        <v>99</v>
      </c>
      <c r="D26" s="146">
        <f>SUMIFS(Dataset!AK:AK,Dataset!F:F,'retorno absoluto'!D11,Dataset!AH:AH,"fx forward", Dataset!T:T,"$")</f>
        <v>3.4023459695894931E-3</v>
      </c>
      <c r="E26" s="147">
        <f>SUMIFS(Dataset!V:V,Dataset!F:F,'retorno absoluto'!D11,Dataset!AH:AH,"fx forward", Dataset!T:T,"$")/1000000</f>
        <v>49.230080000000001</v>
      </c>
      <c r="F26" s="148">
        <f>SUMIFS(Dataset!H:H,Dataset!F:F,'retorno absoluto'!D11,Dataset!AH:AH,"fx forward", Dataset!T:T,"$")</f>
        <v>0</v>
      </c>
      <c r="G26" s="146">
        <f>SUMIFS(Dataset!AQ:AQ,Dataset!F:F,'retorno absoluto'!D11,Dataset!AH:AH,"fx forward", Dataset!T:T,"$")</f>
        <v>0</v>
      </c>
      <c r="H26" s="146">
        <f>SUMIFS(Dataset!I:I,Dataset!F:F,'retorno absoluto'!D11,Dataset!AH:AH,"fx forward", Dataset!T:T,"$")</f>
        <v>0</v>
      </c>
      <c r="I26" s="146">
        <f>SUMIFS(Dataset!AA:AA,Dataset!F:F,'retorno absoluto'!D11,Dataset!AH:AH,"fx forward", Dataset!T:T,"$")</f>
        <v>0</v>
      </c>
      <c r="N26" s="92"/>
    </row>
    <row r="27" spans="3:24" ht="44.25" customHeight="1" x14ac:dyDescent="0.5">
      <c r="C27" s="88" t="s">
        <v>119</v>
      </c>
      <c r="D27" s="146">
        <f>SUMIFS(Dataset!AK:AK,Dataset!F:F,'retorno absoluto'!D11,Dataset!AH:AH,"fx forward", Dataset!T:T,"UF")</f>
        <v>0</v>
      </c>
      <c r="E27" s="147">
        <f>SUMIFS(Dataset!V:V,Dataset!F:F,'retorno absoluto'!D11,Dataset!AH:AH,"fx forward", Dataset!T:T,"UF")/1000000</f>
        <v>0</v>
      </c>
      <c r="F27" s="148">
        <f>SUMIFS(Dataset!H:H,Dataset!F:F,'retorno absoluto'!D11,Dataset!AH:AH,"fx forward", Dataset!T:T,"UF")</f>
        <v>0</v>
      </c>
      <c r="G27" s="146">
        <f>SUMIFS(Dataset!AQ:AQ,Dataset!F:F,'retorno absoluto'!D11,Dataset!AH:AH,"fx forward", Dataset!T:T,"UF")</f>
        <v>0</v>
      </c>
      <c r="H27" s="146">
        <f>SUMIFS(Dataset!I:I,Dataset!F:F,'retorno absoluto'!D11,Dataset!AH:AH,"fx forward", Dataset!T:T,"UF")</f>
        <v>0</v>
      </c>
      <c r="I27" s="146">
        <f>SUMIFS(Dataset!AA:AA,Dataset!F:F,'retorno absoluto'!D11,Dataset!AH:AH,"fx forward", Dataset!T:T,"UF")</f>
        <v>0</v>
      </c>
    </row>
    <row r="28" spans="3:24" ht="35.25" customHeight="1" x14ac:dyDescent="0.5">
      <c r="C28" s="88" t="s">
        <v>100</v>
      </c>
      <c r="D28" s="146">
        <f>SUMIFS(Dataset!AK:AK,Dataset!F:F,'retorno absoluto'!D11,Dataset!AH:AH,"fx forward", Dataset!T:T,"us$")</f>
        <v>0</v>
      </c>
      <c r="E28" s="147">
        <f>SUMIFS(Dataset!V:V,Dataset!F:F,'retorno absoluto'!D11,Dataset!AH:AH,"fx forward", Dataset!T:T,"us$")/1000000</f>
        <v>0</v>
      </c>
      <c r="F28" s="148">
        <f>SUMIFS(Dataset!H:H,Dataset!F:F,'retorno absoluto'!D11,Dataset!AH:AH,"fx forward", Dataset!T:T,"us$")</f>
        <v>0</v>
      </c>
      <c r="G28" s="146">
        <f>SUMIFS(Dataset!AQ:AQ,Dataset!F:F,'retorno absoluto'!D11,Dataset!AH:AH,"fx forward", Dataset!T:T,"us$")</f>
        <v>0</v>
      </c>
      <c r="H28" s="146">
        <f>SUMIFS(Dataset!I:I,Dataset!F:F,'retorno absoluto'!D11,Dataset!AH:AH,"fx forward", Dataset!T:T,"us$")</f>
        <v>0</v>
      </c>
      <c r="I28" s="146">
        <f>SUMIFS(Dataset!AA:AA,Dataset!F:F,'retorno absoluto'!D11,Dataset!AH:AH,"fx forward", Dataset!T:T,"us$")</f>
        <v>0</v>
      </c>
    </row>
    <row r="29" spans="3:24" ht="48" customHeight="1" x14ac:dyDescent="0.5">
      <c r="C29" s="88" t="s">
        <v>92</v>
      </c>
      <c r="D29" s="146">
        <f>SUMIFS(Dataset!AK:AK,Dataset!F:F,'retorno absoluto'!D11,Dataset!AH:AH,"fx forward", Dataset!T:T,"eu")</f>
        <v>0</v>
      </c>
      <c r="E29" s="147">
        <f>SUMIFS(Dataset!V:V,Dataset!F:F,'retorno absoluto'!D11,Dataset!AH:AH,"fx forward", Dataset!T:T,"eu")/1000000</f>
        <v>0</v>
      </c>
      <c r="F29" s="148">
        <f>SUMIFS(Dataset!H:H,Dataset!F:F,'retorno absoluto'!D11,Dataset!AH:AH,"fx forward", Dataset!T:T,"eu")</f>
        <v>0</v>
      </c>
      <c r="G29" s="146">
        <f>SUMIFS(Dataset!AQ:AQ,Dataset!F:F,'retorno absoluto'!D11,Dataset!AH:AH,"fx forward", Dataset!T:T,"eu")</f>
        <v>0</v>
      </c>
      <c r="H29" s="146">
        <f>SUMIFS(Dataset!I:I,Dataset!F:F,'retorno absoluto'!D11,Dataset!AH:AH,"fx forward", Dataset!T:T,"eu")</f>
        <v>0</v>
      </c>
      <c r="I29" s="146">
        <f>SUMIFS(Dataset!AA:AA,Dataset!F:F,'retorno absoluto'!D11,Dataset!AH:AH,"fx forward", Dataset!T:T,"eu")</f>
        <v>0</v>
      </c>
      <c r="L29" s="222" t="s">
        <v>1744</v>
      </c>
      <c r="M29" s="222"/>
      <c r="N29" s="222"/>
      <c r="O29" s="222"/>
      <c r="P29" s="222"/>
      <c r="Q29" s="222"/>
      <c r="R29" s="222"/>
    </row>
    <row r="30" spans="3:24" ht="48" customHeight="1" x14ac:dyDescent="0.5">
      <c r="C30" s="88" t="s">
        <v>101</v>
      </c>
      <c r="D30" s="146">
        <f>SUMIFS(Dataset!AK:AK,Dataset!F:F,'retorno absoluto'!D11,Dataset!AH:AH,"fx", Dataset!T:T,"$")</f>
        <v>7.5628229573784713E-4</v>
      </c>
      <c r="E30" s="147">
        <f>SUMIFS(Dataset!V:V,Dataset!F:F,'retorno absoluto'!D11,Dataset!AH:AH,"fx", Dataset!T:T,"$")/1000000</f>
        <v>10.94299</v>
      </c>
      <c r="F30" s="148">
        <f>SUMIFS(Dataset!H:H,Dataset!F:F,'retorno absoluto'!D11,Dataset!AH:AH,"fx", Dataset!T:T,"$")</f>
        <v>0</v>
      </c>
      <c r="G30" s="146">
        <f>SUMIFS(Dataset!AQ:AQ,Dataset!F:F,'retorno absoluto'!D11,Dataset!AH:AH,"fx", Dataset!T:T,"$")</f>
        <v>0</v>
      </c>
      <c r="H30" s="146">
        <f>SUMIFS(Dataset!I:I,Dataset!F:F,'retorno absoluto'!D11,Dataset!AH:AH,"fx", Dataset!T:T,"$")</f>
        <v>0</v>
      </c>
      <c r="I30" s="146">
        <f>SUMIFS(Dataset!AA:AA,Dataset!F:F,'retorno absoluto'!D11,Dataset!AH:AH,"fx", Dataset!T:T,"$")</f>
        <v>0</v>
      </c>
    </row>
    <row r="31" spans="3:24" ht="33" customHeight="1" x14ac:dyDescent="0.5">
      <c r="C31" s="88" t="s">
        <v>102</v>
      </c>
      <c r="D31" s="146">
        <f>SUMIFS(Dataset!AK:AK,Dataset!F:F,'retorno absoluto'!D11,Dataset!AH:AH,"fx", Dataset!T:T,"us$")</f>
        <v>1.642034599356854E-3</v>
      </c>
      <c r="E31" s="147">
        <f>SUMIFS(Dataset!V:V,Dataset!F:F,'retorno absoluto'!D11,Dataset!AH:AH,"fx", Dataset!T:T,"us$")/1000000</f>
        <v>23.759340000000002</v>
      </c>
      <c r="F31" s="148">
        <f>SUMIFS(Dataset!H:H,Dataset!F:F,'retorno absoluto'!D11,Dataset!AH:AH,"fx", Dataset!T:T,"us$")</f>
        <v>0</v>
      </c>
      <c r="G31" s="146">
        <f>SUMIFS(Dataset!AQ:AQ,Dataset!F:F,'retorno absoluto'!D11,Dataset!AH:AH,"fx", Dataset!T:T,"us$")</f>
        <v>0</v>
      </c>
      <c r="H31" s="146">
        <f>SUMIFS(Dataset!I:I,Dataset!F:F,'retorno absoluto'!D11,Dataset!AH:AH,"fx", Dataset!T:T,"us$")</f>
        <v>7.8348628738360813E-6</v>
      </c>
      <c r="I31" s="146">
        <f>SUMIFS(Dataset!AA:AA,Dataset!F:F,'retorno absoluto'!D11,Dataset!AH:AH,"fx", Dataset!T:T,"us$")</f>
        <v>3.9512128575969641E-4</v>
      </c>
      <c r="L31" s="86" t="s">
        <v>85</v>
      </c>
      <c r="M31" s="86" t="s">
        <v>86</v>
      </c>
      <c r="N31" s="86" t="s">
        <v>70</v>
      </c>
      <c r="O31" s="86" t="s">
        <v>6</v>
      </c>
      <c r="P31" s="86" t="s">
        <v>71</v>
      </c>
      <c r="Q31" s="86" t="s">
        <v>21</v>
      </c>
      <c r="R31" s="86" t="s">
        <v>72</v>
      </c>
    </row>
    <row r="32" spans="3:24" ht="42.75" customHeight="1" x14ac:dyDescent="0.5">
      <c r="C32" s="88" t="s">
        <v>93</v>
      </c>
      <c r="D32" s="146">
        <f>SUMIFS(Dataset!AK:AK,Dataset!F:F,'retorno absoluto'!D11,Dataset!AH:AH,"fx", Dataset!T:T,"eu")</f>
        <v>1.0399405947018875E-4</v>
      </c>
      <c r="E32" s="147">
        <f>SUMIFS(Dataset!V:V,Dataset!F:F,'retorno absoluto'!D11,Dataset!AH:AH,"fx", Dataset!T:T,"eu")/1000000</f>
        <v>1.504737</v>
      </c>
      <c r="F32" s="148">
        <f>SUMIFS(Dataset!H:H,Dataset!F:F,'retorno absoluto'!D11,Dataset!AH:AH,"fx", Dataset!T:T,"eu")</f>
        <v>0</v>
      </c>
      <c r="G32" s="146">
        <f>SUMIFS(Dataset!AQ:AQ,Dataset!F:F,'retorno absoluto'!D11,Dataset!AH:AH,"fx", Dataset!T:T,"eu")</f>
        <v>0</v>
      </c>
      <c r="H32" s="146">
        <f>SUMIFS(Dataset!I:I,Dataset!F:F,'retorno absoluto'!D11,Dataset!AH:AH,"fx", Dataset!T:T,"eu")</f>
        <v>4.1363641942994294E-7</v>
      </c>
      <c r="I32" s="146">
        <f>SUMIFS(Dataset!AA:AA,Dataset!F:F,'retorno absoluto'!D11,Dataset!AH:AH,"fx", Dataset!T:T,"eu")</f>
        <v>2.0860167754560179E-5</v>
      </c>
      <c r="L32" s="89">
        <v>1</v>
      </c>
      <c r="M32" s="146" t="str">
        <f>IFERROR(INDEX(Dataset!G:G,MATCH(_xlfn.AGGREGATE(14,6,Dataset!I:I/(Dataset!F:F=$D$11),L32),Dataset!I:I,0),1),"-")</f>
        <v>BTU0150321</v>
      </c>
      <c r="N32" s="146">
        <f>IFERROR(INDEX(Dataset!AK:AK,MATCH(_xlfn.AGGREGATE(14,6,Dataset!I:I/(Dataset!F:F=$D$11),L32),Dataset!I:I,0),1),"-")</f>
        <v>0.21069039317617666</v>
      </c>
      <c r="O32" s="146">
        <f>IFERROR(INDEX(Dataset!I:I,MATCH(_xlfn.AGGREGATE(14,6,Dataset!I:I/(Dataset!F:F=$D$11),L32),Dataset!I:I,0),1),"-")</f>
        <v>5.1393129011058566E-3</v>
      </c>
      <c r="P32" s="146">
        <f>IFERROR(INDEX(Dataset!R:R,MATCH(_xlfn.AGGREGATE(14,6,Dataset!I:I/(Dataset!F:F=$D$11),L32),Dataset!I:I,0),1),"-")/100</f>
        <v>2.4392725380736405E-4</v>
      </c>
      <c r="Q32" s="146">
        <f>IFERROR(INDEX(Dataset!AA:AA,MATCH(_xlfn.AGGREGATE(14,6,Dataset!I:I/(Dataset!F:F=$D$11),L32),Dataset!I:I,0),1),"-")</f>
        <v>0.25918155226271372</v>
      </c>
      <c r="R32" s="148">
        <f>IFERROR(INDEX(Dataset!J:J,MATCH(_xlfn.AGGREGATE(14,6,Dataset!I:I/(Dataset!F:F=$D$11),L32),Dataset!I:I,0),1),"-")</f>
        <v>3.3</v>
      </c>
    </row>
    <row r="33" spans="3:25" ht="30" customHeight="1" x14ac:dyDescent="0.5">
      <c r="C33" s="88" t="s">
        <v>240</v>
      </c>
      <c r="D33" s="146">
        <f>SUMIFS(Dataset!AK:AK,Dataset!F:F,'retorno absoluto'!D11,Dataset!AH:AH,"Leverage")</f>
        <v>-0.43446299198909327</v>
      </c>
      <c r="E33" s="147">
        <f>SUMIFS(Dataset!V:V,Dataset!F:F,'retorno absoluto'!D11, Dataset!AH:AH,"Leverage")/1000000</f>
        <v>-6286.4411920000002</v>
      </c>
      <c r="F33" s="148">
        <f>SUMIFS(Dataset!H:H,Dataset!F:F,'retorno absoluto'!D11, Dataset!AH:AH,"Leverage")</f>
        <v>0</v>
      </c>
      <c r="G33" s="146">
        <f>SUMIFS(Dataset!AQ:AQ,Dataset!F:F,'retorno absoluto'!D11, Dataset!AH:AH,"Leverage")</f>
        <v>0</v>
      </c>
      <c r="H33" s="146">
        <f>SUMIFS(Dataset!I:I,Dataset!F:F,'retorno absoluto'!D11, Dataset!AH:AH,"Leverage")</f>
        <v>0</v>
      </c>
      <c r="I33" s="146">
        <f>SUMIFS(Dataset!AA:AA,Dataset!F:F,'retorno absoluto'!D11, Dataset!AH:AH,"Leverage")</f>
        <v>0</v>
      </c>
      <c r="L33" s="89">
        <v>2</v>
      </c>
      <c r="M33" s="146" t="str">
        <f>IFERROR(INDEX(Dataset!G:G,MATCH(_xlfn.AGGREGATE(14,6,Dataset!I:I/(Dataset!F:F=$D$11),L33),Dataset!I:I,0),1),"-")</f>
        <v>BTP0450321</v>
      </c>
      <c r="N33" s="146">
        <f>IFERROR(INDEX(Dataset!AK:AK,MATCH(_xlfn.AGGREGATE(14,6,Dataset!I:I/(Dataset!F:F=$D$11),L33),Dataset!I:I,0),1),"-")</f>
        <v>0.69456365865775027</v>
      </c>
      <c r="O33" s="146">
        <f>IFERROR(INDEX(Dataset!I:I,MATCH(_xlfn.AGGREGATE(14,6,Dataset!I:I/(Dataset!F:F=$D$11),L33),Dataset!I:I,0),1),"-")</f>
        <v>5.06338737048459E-3</v>
      </c>
      <c r="P33" s="146">
        <f>IFERROR(INDEX(Dataset!R:R,MATCH(_xlfn.AGGREGATE(14,6,Dataset!I:I/(Dataset!F:F=$D$11),L33),Dataset!I:I,0),1),"-")/100</f>
        <v>7.2900263458494587E-5</v>
      </c>
      <c r="Q33" s="146">
        <f>IFERROR(INDEX(Dataset!AA:AA,MATCH(_xlfn.AGGREGATE(14,6,Dataset!I:I/(Dataset!F:F=$D$11),L33),Dataset!I:I,0),1),"-")</f>
        <v>0.25535253907331329</v>
      </c>
      <c r="R33" s="148">
        <f>IFERROR(INDEX(Dataset!J:J,MATCH(_xlfn.AGGREGATE(14,6,Dataset!I:I/(Dataset!F:F=$D$11),L33),Dataset!I:I,0),1),"-")</f>
        <v>3.15</v>
      </c>
    </row>
    <row r="34" spans="3:25" ht="42" customHeight="1" x14ac:dyDescent="0.5">
      <c r="C34" s="88" t="s">
        <v>37</v>
      </c>
      <c r="D34" s="146">
        <f>SUMIFS(Dataset!AK:AK,Dataset!F:F,'retorno absoluto'!D11,Dataset!AH:AH,"&lt;&gt;deposito",Dataset!AH:AH,"&lt;&gt;bono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E34" s="147">
        <f>SUMIFS(Dataset!V:V,Dataset!F:F,'retorno absoluto'!D11,Dataset!AH:AH,"&lt;&gt;deposito",Dataset!AH:AH,"&lt;&gt;bono de gobierno",Dataset!AH:AH,"&lt;&gt;bono corporativo",Dataset!AH:AH,"&lt;&gt;factura",Dataset!AH:AH,"&lt;&gt;fx",Dataset!AH:AH,"&lt;&gt;fx forward",Dataset!AH:AH,"&lt;&gt;Leverage")/1000000</f>
        <v>0</v>
      </c>
      <c r="F34" s="148">
        <f>SUMIFS(Dataset!H:H,Dataset!F:F,'retorno absoluto'!D11,Dataset!AH:AH,"&lt;&gt;deposito",Dataset!AH:AH,"&lt;&gt;bono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G34" s="146">
        <f>SUMIFS(Dataset!AQ:AQ,Dataset!F:F,'retorno absoluto'!D11,Dataset!AH:AH,"&lt;&gt;deposito",Dataset!AH:AH,"&lt;&gt;bono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H34" s="146">
        <f>SUMIFS(Dataset!I:I,Dataset!F:F,'retorno absoluto'!D11,Dataset!AH:AH,"&lt;&gt;deposito",Dataset!AH:AH,"&lt;&gt;bono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I34" s="146">
        <f>SUMIFS(Dataset!AA:AA,Dataset!F:F,'retorno absoluto'!D11,Dataset!AH:AH,"&lt;&gt;deposito",Dataset!AH:AH,"&lt;&gt;bono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L34" s="89">
        <v>3</v>
      </c>
      <c r="M34" s="146" t="str">
        <f>IFERROR(INDEX(Dataset!G:G,MATCH(_xlfn.AGGREGATE(14,6,Dataset!I:I/(Dataset!F:F=$D$11),L34),Dataset!I:I,0),1),"-")</f>
        <v>BTU0150326</v>
      </c>
      <c r="N34" s="146">
        <f>IFERROR(INDEX(Dataset!AK:AK,MATCH(_xlfn.AGGREGATE(14,6,Dataset!I:I/(Dataset!F:F=$D$11),L34),Dataset!I:I,0),1),"-")</f>
        <v>0.13179671473631233</v>
      </c>
      <c r="O34" s="146">
        <f>IFERROR(INDEX(Dataset!I:I,MATCH(_xlfn.AGGREGATE(14,6,Dataset!I:I/(Dataset!F:F=$D$11),L34),Dataset!I:I,0),1),"-")</f>
        <v>4.3614156066551476E-3</v>
      </c>
      <c r="P34" s="146">
        <f>IFERROR(INDEX(Dataset!R:R,MATCH(_xlfn.AGGREGATE(14,6,Dataset!I:I/(Dataset!F:F=$D$11),L34),Dataset!I:I,0),1),"-")/100</f>
        <v>3.3091990307809244E-4</v>
      </c>
      <c r="Q34" s="146">
        <f>IFERROR(INDEX(Dataset!AA:AA,MATCH(_xlfn.AGGREGATE(14,6,Dataset!I:I/(Dataset!F:F=$D$11),L34),Dataset!I:I,0),1),"-")</f>
        <v>0.21995128312823137</v>
      </c>
      <c r="R34" s="148">
        <f>IFERROR(INDEX(Dataset!J:J,MATCH(_xlfn.AGGREGATE(14,6,Dataset!I:I/(Dataset!F:F=$D$11),L34),Dataset!I:I,0),1),"-")</f>
        <v>7.88</v>
      </c>
    </row>
    <row r="35" spans="3:25" ht="45.75" customHeight="1" x14ac:dyDescent="0.5">
      <c r="C35" s="93" t="s">
        <v>66</v>
      </c>
      <c r="D35" s="149">
        <f t="shared" ref="D35:I35" si="0">SUM(D15:D34)</f>
        <v>1.0000000000000002</v>
      </c>
      <c r="E35" s="150">
        <f t="shared" si="0"/>
        <v>14469.451502000002</v>
      </c>
      <c r="F35" s="151">
        <f t="shared" si="0"/>
        <v>5.9492009633420864</v>
      </c>
      <c r="G35" s="149">
        <f t="shared" si="0"/>
        <v>3.3960812840481441E-2</v>
      </c>
      <c r="H35" s="149">
        <f t="shared" si="0"/>
        <v>1.9829007335740098E-2</v>
      </c>
      <c r="I35" s="149">
        <f t="shared" si="0"/>
        <v>0.99999999999999989</v>
      </c>
      <c r="L35" s="89">
        <v>4</v>
      </c>
      <c r="M35" s="146" t="str">
        <f>IFERROR(INDEX(Dataset!G:G,MATCH(_xlfn.AGGREGATE(14,6,Dataset!I:I/(Dataset!F:F=$D$11),L35),Dataset!I:I,0),1),"-")</f>
        <v>BTP0500335</v>
      </c>
      <c r="N35" s="146">
        <f>IFERROR(INDEX(Dataset!AK:AK,MATCH(_xlfn.AGGREGATE(14,6,Dataset!I:I/(Dataset!F:F=$D$11),L35),Dataset!I:I,0),1),"-")</f>
        <v>7.3687255584817812E-2</v>
      </c>
      <c r="O35" s="146">
        <f>IFERROR(INDEX(Dataset!I:I,MATCH(_xlfn.AGGREGATE(14,6,Dataset!I:I/(Dataset!F:F=$D$11),L35),Dataset!I:I,0),1),"-")</f>
        <v>1.5968839011764532E-3</v>
      </c>
      <c r="P35" s="146">
        <f>IFERROR(INDEX(Dataset!R:R,MATCH(_xlfn.AGGREGATE(14,6,Dataset!I:I/(Dataset!F:F=$D$11),L35),Dataset!I:I,0),1),"-")/100</f>
        <v>2.1671100226257684E-4</v>
      </c>
      <c r="Q35" s="146">
        <f>IFERROR(INDEX(Dataset!AA:AA,MATCH(_xlfn.AGGREGATE(14,6,Dataset!I:I/(Dataset!F:F=$D$11),L35),Dataset!I:I,0),1),"-")</f>
        <v>8.0532720278851555E-2</v>
      </c>
      <c r="R35" s="148">
        <f>IFERROR(INDEX(Dataset!J:J,MATCH(_xlfn.AGGREGATE(14,6,Dataset!I:I/(Dataset!F:F=$D$11),L35),Dataset!I:I,0),1),"-")</f>
        <v>11.75</v>
      </c>
    </row>
    <row r="36" spans="3:25" ht="36" customHeight="1" x14ac:dyDescent="0.5">
      <c r="L36" s="89">
        <v>5</v>
      </c>
      <c r="M36" s="146" t="str">
        <f>IFERROR(INDEX(Dataset!G:G,MATCH(_xlfn.AGGREGATE(14,6,Dataset!I:I/(Dataset!F:F=$D$11),L36),Dataset!I:I,0),1),"-")</f>
        <v>BTU0200335</v>
      </c>
      <c r="N36" s="146">
        <f>IFERROR(INDEX(Dataset!AK:AK,MATCH(_xlfn.AGGREGATE(14,6,Dataset!I:I/(Dataset!F:F=$D$11),L36),Dataset!I:I,0),1),"-")</f>
        <v>2.4977248926819757E-2</v>
      </c>
      <c r="O36" s="146">
        <f>IFERROR(INDEX(Dataset!I:I,MATCH(_xlfn.AGGREGATE(14,6,Dataset!I:I/(Dataset!F:F=$D$11),L36),Dataset!I:I,0),1),"-")</f>
        <v>1.3054422958375571E-3</v>
      </c>
      <c r="P36" s="146">
        <f>IFERROR(INDEX(Dataset!R:R,MATCH(_xlfn.AGGREGATE(14,6,Dataset!I:I/(Dataset!F:F=$D$11),L36),Dataset!I:I,0),1),"-")/100</f>
        <v>5.2265255459572077E-4</v>
      </c>
      <c r="Q36" s="146">
        <f>IFERROR(INDEX(Dataset!AA:AA,MATCH(_xlfn.AGGREGATE(14,6,Dataset!I:I/(Dataset!F:F=$D$11),L36),Dataset!I:I,0),1),"-")</f>
        <v>6.5834979721078032E-2</v>
      </c>
      <c r="R36" s="148">
        <f>IFERROR(INDEX(Dataset!J:J,MATCH(_xlfn.AGGREGATE(14,6,Dataset!I:I/(Dataset!F:F=$D$11),L36),Dataset!I:I,0),1),"-")</f>
        <v>14.67</v>
      </c>
    </row>
    <row r="37" spans="3:25" ht="33" customHeight="1" x14ac:dyDescent="0.5">
      <c r="C37" s="222" t="s">
        <v>1742</v>
      </c>
      <c r="D37" s="222"/>
      <c r="E37" s="222"/>
      <c r="F37" s="222"/>
      <c r="G37" s="222"/>
      <c r="L37" s="89">
        <v>6</v>
      </c>
      <c r="M37" s="146" t="str">
        <f>IFERROR(INDEX(Dataset!G:G,MATCH(_xlfn.AGGREGATE(14,6,Dataset!I:I/(Dataset!F:F=$D$11),L37),Dataset!I:I,0),1),"-")</f>
        <v>BCP0600322</v>
      </c>
      <c r="N37" s="146">
        <f>IFERROR(INDEX(Dataset!AK:AK,MATCH(_xlfn.AGGREGATE(14,6,Dataset!I:I/(Dataset!F:F=$D$11),L37),Dataset!I:I,0),1),"-")</f>
        <v>0.13472267637308538</v>
      </c>
      <c r="O37" s="146">
        <f>IFERROR(INDEX(Dataset!I:I,MATCH(_xlfn.AGGREGATE(14,6,Dataset!I:I/(Dataset!F:F=$D$11),L37),Dataset!I:I,0),1),"-")</f>
        <v>1.211985020164264E-3</v>
      </c>
      <c r="P37" s="146">
        <f>IFERROR(INDEX(Dataset!R:R,MATCH(_xlfn.AGGREGATE(14,6,Dataset!I:I/(Dataset!F:F=$D$11),L37),Dataset!I:I,0),1),"-")/100</f>
        <v>8.9961471430981141E-5</v>
      </c>
      <c r="Q37" s="146">
        <f>IFERROR(INDEX(Dataset!AA:AA,MATCH(_xlfn.AGGREGATE(14,6,Dataset!I:I/(Dataset!F:F=$D$11),L37),Dataset!I:I,0),1),"-")</f>
        <v>6.1121820151821916E-2</v>
      </c>
      <c r="R37" s="148">
        <f>IFERROR(INDEX(Dataset!J:J,MATCH(_xlfn.AGGREGATE(14,6,Dataset!I:I/(Dataset!F:F=$D$11),L37),Dataset!I:I,0),1),"-")</f>
        <v>3.91</v>
      </c>
    </row>
    <row r="38" spans="3:25" ht="33" customHeight="1" x14ac:dyDescent="0.5">
      <c r="L38" s="89">
        <v>7</v>
      </c>
      <c r="M38" s="146" t="str">
        <f>IFERROR(INDEX(Dataset!G:G,MATCH(_xlfn.AGGREGATE(14,6,Dataset!I:I/(Dataset!F:F=$D$11),L38),Dataset!I:I,0),1),"-")</f>
        <v>BTU0300120</v>
      </c>
      <c r="N38" s="146">
        <f>IFERROR(INDEX(Dataset!AK:AK,MATCH(_xlfn.AGGREGATE(14,6,Dataset!I:I/(Dataset!F:F=$D$11),L38),Dataset!I:I,0),1),"-")</f>
        <v>4.9008290874189904E-2</v>
      </c>
      <c r="O38" s="146">
        <f>IFERROR(INDEX(Dataset!I:I,MATCH(_xlfn.AGGREGATE(14,6,Dataset!I:I/(Dataset!F:F=$D$11),L38),Dataset!I:I,0),1),"-")</f>
        <v>7.3869900809138747E-4</v>
      </c>
      <c r="P38" s="146">
        <f>IFERROR(INDEX(Dataset!R:R,MATCH(_xlfn.AGGREGATE(14,6,Dataset!I:I/(Dataset!F:F=$D$11),L38),Dataset!I:I,0),1),"-")/100</f>
        <v>1.5072939596847307E-4</v>
      </c>
      <c r="Q38" s="146">
        <f>IFERROR(INDEX(Dataset!AA:AA,MATCH(_xlfn.AGGREGATE(14,6,Dataset!I:I/(Dataset!F:F=$D$11),L38),Dataset!I:I,0),1),"-")</f>
        <v>3.7253453770222038E-2</v>
      </c>
      <c r="R38" s="148">
        <f>IFERROR(INDEX(Dataset!J:J,MATCH(_xlfn.AGGREGATE(14,6,Dataset!I:I/(Dataset!F:F=$D$11),L38),Dataset!I:I,0),1),"-")</f>
        <v>2.14</v>
      </c>
    </row>
    <row r="39" spans="3:25" ht="33" customHeight="1" x14ac:dyDescent="0.5">
      <c r="C39" s="84"/>
      <c r="D39" s="85" t="s">
        <v>70</v>
      </c>
      <c r="E39" s="85" t="s">
        <v>75</v>
      </c>
      <c r="F39" s="85" t="s">
        <v>6</v>
      </c>
      <c r="G39" s="85" t="s">
        <v>21</v>
      </c>
      <c r="L39" s="89">
        <v>8</v>
      </c>
      <c r="M39" s="146" t="str">
        <f>IFERROR(INDEX(Dataset!G:G,MATCH(_xlfn.AGGREGATE(14,6,Dataset!I:I/(Dataset!F:F=$D$11),L39),Dataset!I:I,0),1),"-")</f>
        <v>FWDUSCL51718</v>
      </c>
      <c r="N39" s="146">
        <f>IFERROR(INDEX(Dataset!AK:AK,MATCH(_xlfn.AGGREGATE(14,6,Dataset!I:I/(Dataset!F:F=$D$11),L39),Dataset!I:I,0),1),"-")</f>
        <v>0.12898830337432096</v>
      </c>
      <c r="O39" s="146">
        <f>IFERROR(INDEX(Dataset!I:I,MATCH(_xlfn.AGGREGATE(14,6,Dataset!I:I/(Dataset!F:F=$D$11),L39),Dataset!I:I,0),1),"-")</f>
        <v>6.1545942434002487E-4</v>
      </c>
      <c r="P39" s="146">
        <f>IFERROR(INDEX(Dataset!R:R,MATCH(_xlfn.AGGREGATE(14,6,Dataset!I:I/(Dataset!F:F=$D$11),L39),Dataset!I:I,0),1),"-")/100</f>
        <v>4.7714359227904284E-5</v>
      </c>
      <c r="Q39" s="146">
        <f>IFERROR(INDEX(Dataset!AA:AA,MATCH(_xlfn.AGGREGATE(14,6,Dataset!I:I/(Dataset!F:F=$D$11),L39),Dataset!I:I,0),1),"-")</f>
        <v>3.1038337619186389E-2</v>
      </c>
      <c r="R39" s="148">
        <f>IFERROR(INDEX(Dataset!J:J,MATCH(_xlfn.AGGREGATE(14,6,Dataset!I:I/(Dataset!F:F=$D$11),L39),Dataset!I:I,0),1),"-")</f>
        <v>0</v>
      </c>
    </row>
    <row r="40" spans="3:25" ht="45" customHeight="1" x14ac:dyDescent="0.5">
      <c r="C40" s="88" t="s">
        <v>39</v>
      </c>
      <c r="D40" s="146">
        <f>SUMIFS(Dataset!AK:AK,Dataset!F:F,'retorno absoluto'!$D$11,Dataset!T:T,$C40)</f>
        <v>1.0011517419991833</v>
      </c>
      <c r="E40" s="147">
        <f>SUMIFS(Dataset!V:V,Dataset!F:F,'retorno absoluto'!$D$11,Dataset!T:T,$C40)/1000000</f>
        <v>14486.116577000001</v>
      </c>
      <c r="F40" s="146">
        <f>SUMIFS(Dataset!I:I,Dataset!F:F,'retorno absoluto'!$D$11,Dataset!T:T,$C40)</f>
        <v>7.965582550854727E-3</v>
      </c>
      <c r="G40" s="146">
        <f>SUMIFS(Dataset!AA:AA,Dataset!F:F,'retorno absoluto'!$D$11,Dataset!T:T,$C40)</f>
        <v>0.40171363175086644</v>
      </c>
      <c r="I40" s="83"/>
      <c r="J40" s="83"/>
      <c r="L40" s="89">
        <v>9</v>
      </c>
      <c r="M40" s="146" t="str">
        <f>IFERROR(INDEX(Dataset!G:G,MATCH(_xlfn.AGGREGATE(14,6,Dataset!I:I/(Dataset!F:F=$D$11),L40),Dataset!I:I,0),1),"-")</f>
        <v>FWDUSCL51718</v>
      </c>
      <c r="N40" s="146">
        <f>IFERROR(INDEX(Dataset!AK:AK,MATCH(_xlfn.AGGREGATE(14,6,Dataset!I:I/(Dataset!F:F=$D$11),L40),Dataset!I:I,0),1),"-")</f>
        <v>0.12898830337432096</v>
      </c>
      <c r="O40" s="146">
        <f>IFERROR(INDEX(Dataset!I:I,MATCH(_xlfn.AGGREGATE(14,6,Dataset!I:I/(Dataset!F:F=$D$11),L40),Dataset!I:I,0),1),"-")</f>
        <v>6.1545942434002487E-4</v>
      </c>
      <c r="P40" s="146">
        <f>IFERROR(INDEX(Dataset!R:R,MATCH(_xlfn.AGGREGATE(14,6,Dataset!I:I/(Dataset!F:F=$D$11),L40),Dataset!I:I,0),1),"-")/100</f>
        <v>4.7714359227904284E-5</v>
      </c>
      <c r="Q40" s="146">
        <f>IFERROR(INDEX(Dataset!AA:AA,MATCH(_xlfn.AGGREGATE(14,6,Dataset!I:I/(Dataset!F:F=$D$11),L40),Dataset!I:I,0),1),"-")</f>
        <v>3.1038337619186389E-2</v>
      </c>
      <c r="R40" s="148">
        <f>IFERROR(INDEX(Dataset!J:J,MATCH(_xlfn.AGGREGATE(14,6,Dataset!I:I/(Dataset!F:F=$D$11),L40),Dataset!I:I,0),1),"-")</f>
        <v>0</v>
      </c>
      <c r="T40" s="83"/>
      <c r="U40" s="83"/>
      <c r="V40" s="83"/>
      <c r="W40" s="83"/>
      <c r="X40" s="83"/>
      <c r="Y40" s="83"/>
    </row>
    <row r="41" spans="3:25" ht="36" customHeight="1" x14ac:dyDescent="0.5">
      <c r="C41" s="88" t="s">
        <v>32</v>
      </c>
      <c r="D41" s="146">
        <f>SUMIFS(Dataset!AK:AK,Dataset!F:F,'retorno absoluto'!$D$11,Dataset!T:T,$C41)</f>
        <v>0.43156522133108288</v>
      </c>
      <c r="E41" s="147">
        <f>SUMIFS(Dataset!V:V,Dataset!F:F,'retorno absoluto'!$D$11,Dataset!T:T,$C41)/1000000</f>
        <v>6244.5120399999996</v>
      </c>
      <c r="F41" s="146">
        <f>SUMIFS(Dataset!I:I,Dataset!F:F,'retorno absoluto'!$D$11,Dataset!T:T,$C41)</f>
        <v>1.1855176285592108E-2</v>
      </c>
      <c r="G41" s="146">
        <f>SUMIFS(Dataset!AA:AA,Dataset!F:F,'retorno absoluto'!$D$11,Dataset!T:T,$C41)</f>
        <v>0.59787038679561944</v>
      </c>
      <c r="I41" s="83"/>
      <c r="J41" s="83"/>
      <c r="L41" s="89">
        <v>10</v>
      </c>
      <c r="M41" s="146" t="str">
        <f>IFERROR(INDEX(Dataset!G:G,MATCH(_xlfn.AGGREGATE(14,6,Dataset!I:I/(Dataset!F:F=$D$11),L41),Dataset!I:I,0),1),"-")</f>
        <v>BVL2CX0625</v>
      </c>
      <c r="N41" s="146">
        <f>IFERROR(INDEX(Dataset!AK:AK,MATCH(_xlfn.AGGREGATE(14,6,Dataset!I:I/(Dataset!F:F=$D$11),L41),Dataset!I:I,0),1),"-")</f>
        <v>4.8736123819380977E-3</v>
      </c>
      <c r="O41" s="146">
        <f>IFERROR(INDEX(Dataset!I:I,MATCH(_xlfn.AGGREGATE(14,6,Dataset!I:I/(Dataset!F:F=$D$11),L41),Dataset!I:I,0),1),"-")</f>
        <v>1.3886713577258619E-4</v>
      </c>
      <c r="P41" s="146">
        <f>IFERROR(INDEX(Dataset!R:R,MATCH(_xlfn.AGGREGATE(14,6,Dataset!I:I/(Dataset!F:F=$D$11),L41),Dataset!I:I,0),1),"-")/100</f>
        <v>2.8493676741145069E-4</v>
      </c>
      <c r="Q41" s="146">
        <f>IFERROR(INDEX(Dataset!AA:AA,MATCH(_xlfn.AGGREGATE(14,6,Dataset!I:I/(Dataset!F:F=$D$11),L41),Dataset!I:I,0),1),"-")</f>
        <v>7.0032318522717961E-3</v>
      </c>
      <c r="R41" s="148">
        <f>IFERROR(INDEX(Dataset!J:J,MATCH(_xlfn.AGGREGATE(14,6,Dataset!I:I/(Dataset!F:F=$D$11),L41),Dataset!I:I,0),1),"-")</f>
        <v>3.74</v>
      </c>
      <c r="T41" s="83"/>
      <c r="U41" s="83"/>
      <c r="V41" s="83"/>
      <c r="W41" s="83"/>
      <c r="X41" s="83"/>
      <c r="Y41" s="83"/>
    </row>
    <row r="42" spans="3:25" ht="41.25" customHeight="1" x14ac:dyDescent="0.5">
      <c r="C42" s="88" t="s">
        <v>30</v>
      </c>
      <c r="D42" s="146">
        <f>SUMIFS(Dataset!AK:AK,Dataset!F:F,'retorno absoluto'!$D$11,Dataset!T:T,$C42)</f>
        <v>1.642034599356854E-3</v>
      </c>
      <c r="E42" s="147">
        <f>SUMIFS(Dataset!V:V,Dataset!F:F,'retorno absoluto'!$D$11,Dataset!T:T,$C42)/1000000</f>
        <v>23.759340000000002</v>
      </c>
      <c r="F42" s="146">
        <f>SUMIFS(Dataset!I:I,Dataset!F:F,'retorno absoluto'!$D$11,Dataset!T:T,$C42)</f>
        <v>7.8348628738360813E-6</v>
      </c>
      <c r="G42" s="146">
        <f>SUMIFS(Dataset!AA:AA,Dataset!F:F,'retorno absoluto'!$D$11,Dataset!T:T,$C42)</f>
        <v>3.9512128575969641E-4</v>
      </c>
    </row>
    <row r="43" spans="3:25" ht="39.75" customHeight="1" x14ac:dyDescent="0.5">
      <c r="C43" s="88" t="s">
        <v>49</v>
      </c>
      <c r="D43" s="146">
        <f>SUMIFS(Dataset!AK:AK,Dataset!F:F,'retorno absoluto'!$D$11,Dataset!T:T,$C43)</f>
        <v>1.0399405947018875E-4</v>
      </c>
      <c r="E43" s="147">
        <f>SUMIFS(Dataset!V:V,Dataset!F:F,'retorno absoluto'!$D$11,Dataset!T:T,$C43)/1000000</f>
        <v>1.504737</v>
      </c>
      <c r="F43" s="146">
        <f>SUMIFS(Dataset!I:I,Dataset!F:F,'retorno absoluto'!$D$11,Dataset!T:T,$C43)</f>
        <v>4.1363641942994294E-7</v>
      </c>
      <c r="G43" s="146">
        <f>SUMIFS(Dataset!AA:AA,Dataset!F:F,'retorno absoluto'!$D$11,Dataset!T:T,$C43)</f>
        <v>2.0860167754560179E-5</v>
      </c>
    </row>
    <row r="44" spans="3:25" ht="30.75" customHeight="1" x14ac:dyDescent="0.5">
      <c r="C44" s="88" t="s">
        <v>145</v>
      </c>
      <c r="D44" s="146">
        <f>SUMIFS(Dataset!AK:AK,Dataset!F:F,'retorno absoluto'!$D$11,Dataset!T:T,$C44)</f>
        <v>0</v>
      </c>
      <c r="E44" s="147">
        <f>SUMIFS(Dataset!V:V,Dataset!F:F,'retorno absoluto'!$D$11,Dataset!T:T,$C44)/1000000</f>
        <v>0</v>
      </c>
      <c r="F44" s="146">
        <f>SUMIFS(Dataset!I:I,Dataset!F:F,'retorno absoluto'!$D$11,Dataset!T:T,$C44)</f>
        <v>0</v>
      </c>
      <c r="G44" s="146">
        <f>SUMIFS(Dataset!AA:AA,Dataset!F:F,'retorno absoluto'!$D$11,Dataset!T:T,$C44)</f>
        <v>0</v>
      </c>
    </row>
    <row r="45" spans="3:25" ht="34.5" customHeight="1" x14ac:dyDescent="0.5">
      <c r="C45" s="88" t="s">
        <v>172</v>
      </c>
      <c r="D45" s="146">
        <f>SUMIFS(Dataset!AK:AK,Dataset!F:F,'retorno absoluto'!$D$11,Dataset!T:T,$C45)</f>
        <v>0</v>
      </c>
      <c r="E45" s="147">
        <f>SUMIFS(Dataset!V:V,Dataset!F:F,'retorno absoluto'!$D$11,Dataset!T:T,$C45)/1000000</f>
        <v>0</v>
      </c>
      <c r="F45" s="146">
        <f>SUMIFS(Dataset!I:I,Dataset!F:F,'retorno absoluto'!$D$11,Dataset!T:T,$C45)</f>
        <v>0</v>
      </c>
      <c r="G45" s="146">
        <f>SUMIFS(Dataset!AA:AA,Dataset!F:F,'retorno absoluto'!$D$11,Dataset!T:T,$C45)</f>
        <v>0</v>
      </c>
    </row>
    <row r="46" spans="3:25" ht="43.5" customHeight="1" x14ac:dyDescent="0.5">
      <c r="C46" s="88" t="s">
        <v>233</v>
      </c>
      <c r="D46" s="146">
        <f>SUMIFS(Dataset!AK:AK,Dataset!F:F,'retorno absoluto'!$D$11,Dataset!T:T,$C46)</f>
        <v>0</v>
      </c>
      <c r="E46" s="147">
        <f>SUMIFS(Dataset!V:V,Dataset!F:F,'retorno absoluto'!$D$11,Dataset!T:T,$C46)/1000000</f>
        <v>0</v>
      </c>
      <c r="F46" s="146">
        <f>SUMIFS(Dataset!I:I,Dataset!F:F,'retorno absoluto'!$D$11,Dataset!T:T,$C46)</f>
        <v>0</v>
      </c>
      <c r="G46" s="146">
        <f>SUMIFS(Dataset!AA:AA,Dataset!F:F,'retorno absoluto'!$D$11,Dataset!T:T,$C46)</f>
        <v>0</v>
      </c>
    </row>
    <row r="47" spans="3:25" ht="39.75" customHeight="1" x14ac:dyDescent="0.5">
      <c r="C47" s="88" t="s">
        <v>240</v>
      </c>
      <c r="D47" s="146">
        <f>SUMIFS(Dataset!AK:AK,Dataset!F:F,'retorno absoluto'!$D$11,Dataset!T:T,$C47)</f>
        <v>-0.43446299198909327</v>
      </c>
      <c r="E47" s="147">
        <f>SUMIFS(Dataset!V:V,Dataset!F:F,'retorno absoluto'!$D$11,Dataset!T:T,$C47)/1000000</f>
        <v>-6286.4411920000002</v>
      </c>
      <c r="F47" s="146">
        <f>SUMIFS(Dataset!I:I,Dataset!F:F,'retorno absoluto'!$D$11,Dataset!T:T,$C47)</f>
        <v>0</v>
      </c>
      <c r="G47" s="146">
        <f>SUMIFS(Dataset!AA:AA,Dataset!F:F,'retorno absoluto'!$D$11,Dataset!T:T,$C47)</f>
        <v>0</v>
      </c>
    </row>
    <row r="48" spans="3:25" ht="48" customHeight="1" x14ac:dyDescent="0.25">
      <c r="C48" s="93" t="s">
        <v>66</v>
      </c>
      <c r="D48" s="149">
        <f>SUM(D40:D47)</f>
        <v>1.0000000000000002</v>
      </c>
      <c r="E48" s="150">
        <f t="shared" ref="E48:G48" si="1">SUM(E40:E47)</f>
        <v>14469.451502000002</v>
      </c>
      <c r="F48" s="149">
        <f t="shared" si="1"/>
        <v>1.9829007335740102E-2</v>
      </c>
      <c r="G48" s="149">
        <f t="shared" si="1"/>
        <v>1.0000000000000002</v>
      </c>
    </row>
    <row r="49" spans="3:35" ht="15" customHeight="1" x14ac:dyDescent="0.25"/>
    <row r="50" spans="3:35" ht="48" customHeight="1" x14ac:dyDescent="0.25">
      <c r="E50" s="222" t="s">
        <v>1745</v>
      </c>
      <c r="F50" s="222"/>
      <c r="G50" s="222"/>
      <c r="H50" s="222"/>
      <c r="I50" s="222"/>
      <c r="J50" s="222"/>
      <c r="K50" s="222"/>
      <c r="L50" s="222"/>
      <c r="N50" s="222" t="s">
        <v>1746</v>
      </c>
      <c r="O50" s="222"/>
      <c r="P50" s="222"/>
      <c r="Q50" s="222"/>
      <c r="R50" s="222"/>
      <c r="S50" s="222"/>
      <c r="T50" s="222"/>
      <c r="U50" s="222"/>
      <c r="W50" s="222" t="s">
        <v>1747</v>
      </c>
      <c r="X50" s="222"/>
      <c r="Y50" s="222"/>
      <c r="Z50" s="222"/>
      <c r="AA50" s="222"/>
      <c r="AB50" s="222"/>
      <c r="AC50" s="222"/>
      <c r="AD50" s="222"/>
    </row>
    <row r="51" spans="3:35" ht="15" customHeight="1" x14ac:dyDescent="0.25">
      <c r="O51" s="94"/>
      <c r="P51" s="94"/>
      <c r="Q51" s="94"/>
      <c r="R51" s="94"/>
      <c r="S51" s="94"/>
      <c r="T51" s="94"/>
      <c r="U51" s="94"/>
      <c r="V51" s="95"/>
    </row>
    <row r="52" spans="3:35" ht="42" customHeight="1" x14ac:dyDescent="0.25">
      <c r="C52" s="229" t="s">
        <v>72</v>
      </c>
      <c r="D52" s="229"/>
      <c r="E52" s="96" t="s">
        <v>52</v>
      </c>
      <c r="F52" s="96" t="s">
        <v>42</v>
      </c>
      <c r="G52" s="96" t="s">
        <v>36</v>
      </c>
      <c r="H52" s="96" t="s">
        <v>33</v>
      </c>
      <c r="I52" s="96" t="s">
        <v>34</v>
      </c>
      <c r="J52" s="96" t="s">
        <v>55</v>
      </c>
      <c r="K52" s="96" t="s">
        <v>54</v>
      </c>
      <c r="L52" s="96" t="s">
        <v>83</v>
      </c>
      <c r="M52" s="96"/>
      <c r="N52" s="96" t="s">
        <v>52</v>
      </c>
      <c r="O52" s="96" t="s">
        <v>42</v>
      </c>
      <c r="P52" s="96" t="s">
        <v>36</v>
      </c>
      <c r="Q52" s="96" t="s">
        <v>33</v>
      </c>
      <c r="R52" s="96" t="s">
        <v>34</v>
      </c>
      <c r="S52" s="96" t="s">
        <v>55</v>
      </c>
      <c r="T52" s="96" t="s">
        <v>54</v>
      </c>
      <c r="U52" s="96" t="s">
        <v>83</v>
      </c>
      <c r="V52" s="96"/>
      <c r="W52" s="96" t="s">
        <v>52</v>
      </c>
      <c r="X52" s="96" t="s">
        <v>42</v>
      </c>
      <c r="Y52" s="96" t="s">
        <v>36</v>
      </c>
      <c r="Z52" s="96" t="s">
        <v>33</v>
      </c>
      <c r="AA52" s="96" t="s">
        <v>34</v>
      </c>
      <c r="AB52" s="96" t="s">
        <v>55</v>
      </c>
      <c r="AC52" s="96" t="s">
        <v>54</v>
      </c>
      <c r="AD52" s="96" t="s">
        <v>83</v>
      </c>
      <c r="AE52" s="96"/>
    </row>
    <row r="53" spans="3:35" ht="27" customHeight="1" x14ac:dyDescent="0.25">
      <c r="C53" s="97">
        <v>0</v>
      </c>
      <c r="D53" s="98">
        <v>0.5</v>
      </c>
      <c r="E53" s="152">
        <f>SUMIFS(Dataset!$AK:$AK,Dataset!$F:$F,'retorno absoluto'!$D$11,Dataset!$AC:$AC,E$52,Dataset!$J:$J,"&lt;"&amp;$D53,Dataset!J:J,"&gt;="&amp;$C53)</f>
        <v>3.0084402435008071E-2</v>
      </c>
      <c r="F53" s="153">
        <f>SUMIFS(Dataset!$AK:$AK,Dataset!$F:$F,'retorno absoluto'!$D$11,Dataset!$AC:$AC,F$52,Dataset!$J:$J,"&lt;"&amp;$D53,Dataset!J:J,"&gt;="&amp;$C53)</f>
        <v>0</v>
      </c>
      <c r="G53" s="153">
        <f>SUMIFS(Dataset!$AK:$AK,Dataset!$F:$F,'retorno absoluto'!$D$11,Dataset!$AC:$AC,G$52,Dataset!$J:$J,"&lt;"&amp;$D53,Dataset!J:J,"&gt;="&amp;$C53)</f>
        <v>0</v>
      </c>
      <c r="H53" s="153">
        <f>SUMIFS(Dataset!$AK:$AK,Dataset!$F:$F,'retorno absoluto'!$D$11,Dataset!$AC:$AC,H$52,Dataset!$J:$J,"&lt;"&amp;$D53,Dataset!J:J,"&gt;="&amp;$C53)</f>
        <v>0</v>
      </c>
      <c r="I53" s="153">
        <f>SUMIFS(Dataset!$AK:$AK,Dataset!$F:$F,'retorno absoluto'!$D$11,Dataset!$AC:$AC,I$52,Dataset!$J:$J,"&lt;"&amp;$D53,Dataset!J:J,"&gt;="&amp;$C53)</f>
        <v>0</v>
      </c>
      <c r="J53" s="153">
        <f>SUMIFS(Dataset!$AK:$AK,Dataset!$F:$F,'retorno absoluto'!$D$11,Dataset!$AC:$AC,"A",Dataset!$J:$J,"&lt;"&amp;$D53,Dataset!$J:$J,"&gt;="&amp;$C53)+SUMIFS(Dataset!$AK:$AK,Dataset!$F:$F,'retorno absoluto'!$D$11,Dataset!$AC:$AC,"A-",Dataset!$J:$J,"&lt;"&amp;$D53,Dataset!$J:$J,"&gt;="&amp;$C53)+SUMIFS(Dataset!$AK:$AK,Dataset!$F:$F,'retorno absoluto'!$D$11,Dataset!$AC:$AC,"A+",Dataset!$J:$J,"&lt;"&amp;$D53,Dataset!$J:$J,"&gt;="&amp;$C53)</f>
        <v>0</v>
      </c>
      <c r="K53" s="153">
        <f>SUMIFS(Dataset!$AK:$AK,Dataset!$F:$F,'retorno absoluto'!$D$11,Dataset!$AC:$AC,"BBB",Dataset!$J:$J,"&lt;"&amp;$D53,Dataset!$J:$J,"&gt;="&amp;$C53)+SUMIFS(Dataset!$AK:$AK,Dataset!$F:$F,'retorno absoluto'!$D$11,Dataset!$AC:$AC,"BBB-",Dataset!$J:$J,"&lt;"&amp;$D53,Dataset!$J:$J,"&gt;="&amp;$C53)+SUMIFS(Dataset!$AK:$AK,Dataset!$F:$F,'retorno absoluto'!$D$11,Dataset!$AC:$AC,"BBB+",Dataset!$J:$J,"&lt;"&amp;$D53,Dataset!$J:$J,"&gt;="&amp;$C53)</f>
        <v>0</v>
      </c>
      <c r="L53" s="153">
        <f>SUMIFS(Dataset!$AK:$AK,Dataset!$F:$F,'retorno absoluto'!$D$11,Dataset!$J:$J,"&lt;"&amp;$D53,Dataset!$J:$J,"&gt;="&amp;$C53,Dataset!$AC:$AC,"&lt;&gt;N-1+",Dataset!$AC:$AC,"&lt;&gt;*AA*",Dataset!$AC:$AC,"&lt;&gt;*AAA*",Dataset!$AC:$AC,"&lt;&gt;A",Dataset!$AC:$AC,"&lt;&gt;A-",Dataset!$AC:$AC,"&lt;&gt;A+",Dataset!$AC:$AC,"&lt;&gt;*BBB*")</f>
        <v>-0.40125292919344552</v>
      </c>
      <c r="M53" s="154">
        <f t="shared" ref="M53:M69" si="2">SUM(E53:L53)</f>
        <v>-0.37116852675843742</v>
      </c>
      <c r="N53" s="152">
        <f>SUMIFS(Dataset!$AA:$AA,Dataset!$F:$F,'retorno absoluto'!$D$11,Dataset!$AC:$AC,N$52,Dataset!$J:$J,"&lt;"&amp;$D53,Dataset!$J:$J,"&gt;="&amp;$C53)</f>
        <v>4.2329680958894084E-4</v>
      </c>
      <c r="O53" s="153">
        <f>SUMIFS(Dataset!$AA:$AA,Dataset!$F:$F,'retorno absoluto'!$D$11,Dataset!$AC:$AC,O$52,Dataset!$J:$J,"&lt;"&amp;$D53,Dataset!$J:$J,"&gt;="&amp;$C53)</f>
        <v>0</v>
      </c>
      <c r="P53" s="153">
        <f>SUMIFS(Dataset!$AA:$AA,Dataset!$F:$F,'retorno absoluto'!$D$11,Dataset!$AC:$AC,P$52,Dataset!$J:$J,"&lt;"&amp;$D53,Dataset!$J:$J,"&gt;="&amp;$C53)</f>
        <v>0</v>
      </c>
      <c r="Q53" s="153">
        <f>SUMIFS(Dataset!$AA:$AA,Dataset!$F:$F,'retorno absoluto'!$D$11,Dataset!$AC:$AC,Q$52,Dataset!$J:$J,"&lt;"&amp;$D53,Dataset!$J:$J,"&gt;="&amp;$C53)</f>
        <v>0</v>
      </c>
      <c r="R53" s="153">
        <f>SUMIFS(Dataset!$AA:$AA,Dataset!$F:$F,'retorno absoluto'!$D$11,Dataset!$AC:$AC,R$52,Dataset!$J:$J,"&lt;"&amp;$D53,Dataset!$J:$J,"&gt;="&amp;$C53)</f>
        <v>0</v>
      </c>
      <c r="S53" s="153">
        <f>SUMIFS(Dataset!$AA:$AA,Dataset!$F:$F,'retorno absoluto'!$D$11,Dataset!$AC:$AC,"A",Dataset!$J:$J,"&lt;"&amp;$D53,Dataset!$J:$J,"&gt;="&amp;$C53)+SUMIFS(Dataset!$AA:$AA,Dataset!$F:$F,'retorno absoluto'!$D$11,Dataset!$AC:$AC,"A-",Dataset!$J:$J,"&lt;"&amp;$D53,Dataset!$J:$J,"&gt;="&amp;$C53)+SUMIFS(Dataset!$AA:$AA,Dataset!$F:$F,'retorno absoluto'!$D$11,Dataset!$AC:$AC,"A+",Dataset!$J:$J,"&lt;"&amp;$D53,Dataset!$J:$J,"&gt;="&amp;$C53)</f>
        <v>0</v>
      </c>
      <c r="T53" s="153">
        <f>SUMIFS(Dataset!$AA:$AA,Dataset!$F:$F,'retorno absoluto'!$D$11,Dataset!$AC:$AC,"BBB-",Dataset!$J:$J,"&lt;"&amp;$D53,Dataset!$J:$J,"&gt;="&amp;$C53)+SUMIFS(Dataset!$AA:$AA,Dataset!$F:$F,'retorno absoluto'!$D$11,Dataset!$AC:$AC,"BBB",Dataset!$J:$J,"&lt;"&amp;$D53,Dataset!$J:$J,"&gt;="&amp;$C53)+SUMIFS(Dataset!$AA:$AA,Dataset!$F:$F,'retorno absoluto'!$D$11,Dataset!$AC:$AC,"BBB+",Dataset!$J:$J,"&lt;"&amp;$D53,Dataset!$J:$J,"&gt;="&amp;$C53)</f>
        <v>0</v>
      </c>
      <c r="U53" s="153">
        <f>SUMIFS(Dataset!$AA:$AA,Dataset!$F:$F,'retorno absoluto'!$D$11,Dataset!$J:$J,"&lt;"&amp;$D53,Dataset!$J:$J,"&gt;="&amp;$C53,Dataset!$AC:$AC,"&lt;&gt;N-1+",Dataset!$AC:$AC,"&lt;&gt;*AA*",Dataset!$AC:$AC,"&lt;&gt;*AAA*",Dataset!$AC:$AC,"&lt;&gt;A",Dataset!$AC:$AC,"&lt;&gt;A-",Dataset!$AC:$AC,"&lt;&gt;A+",Dataset!$AC:$AC,"&lt;&gt;*BBB*")</f>
        <v>1.2335635085435324E-3</v>
      </c>
      <c r="V53" s="154">
        <f t="shared" ref="V53:V68" si="3">SUM(N53:U53)</f>
        <v>1.6568603181324733E-3</v>
      </c>
      <c r="W53" s="155">
        <f>10*SUMIFS(Dataset!$H:$H,Dataset!$F:$F,'retorno absoluto'!$D$11,Dataset!$AC:$AC,W$52,Dataset!$J:$J,"&lt;"&amp;$D53,Dataset!J:J,"&gt;="&amp;$C53)</f>
        <v>4.4358208921138682E-2</v>
      </c>
      <c r="X53" s="156">
        <f>10*SUMIFS(Dataset!$H:$H,Dataset!$F:$F,'retorno absoluto'!$D$11,Dataset!$AC:$AC,X$52,Dataset!$J:$J,"&lt;"&amp;$D53,Dataset!J:J,"&gt;="&amp;$C53)</f>
        <v>0</v>
      </c>
      <c r="Y53" s="156">
        <f>10*SUMIFS(Dataset!$H:$H,Dataset!$F:$F,'retorno absoluto'!$D$11,Dataset!$AC:$AC,Y$52,Dataset!$J:$J,"&lt;"&amp;$D53,Dataset!J:J,"&gt;="&amp;$C53)</f>
        <v>0</v>
      </c>
      <c r="Z53" s="156">
        <f>10*SUMIFS(Dataset!$H:$H,Dataset!$F:$F,'retorno absoluto'!$D$11,Dataset!$AC:$AC,Z$52,Dataset!$J:$J,"&lt;"&amp;$D53,Dataset!J:J,"&gt;="&amp;$C53)</f>
        <v>0</v>
      </c>
      <c r="AA53" s="156">
        <f>10*SUMIFS(Dataset!$H:$H,Dataset!$F:$F,'retorno absoluto'!$D$11,Dataset!$AC:$AC,AA$52,Dataset!$J:$J,"&lt;"&amp;$D53,Dataset!J:J,"&gt;="&amp;$C53)</f>
        <v>0</v>
      </c>
      <c r="AB53" s="156">
        <f>10*SUMIFS(Dataset!$H:$H,Dataset!$F:$F,'retorno absoluto'!$D$11,Dataset!$AC:$AC,"A",Dataset!$J:$J,"&lt;"&amp;$D53,Dataset!$J:$J,"&gt;="&amp;$C53)+10*SUMIFS(Dataset!$H:$H,Dataset!$F:$F,'retorno absoluto'!$D$11,Dataset!$AC:$AC,"A-",Dataset!$J:$J,"&lt;"&amp;$D53,Dataset!$J:$J,"&gt;="&amp;$C53)+10*SUMIFS(Dataset!$H:$H,Dataset!$F:$F,'retorno absoluto'!$D$11,Dataset!$AC:$AC,"A+",Dataset!$J:$J,"&lt;"&amp;$D53,Dataset!$J:$J,"&gt;="&amp;$C53)</f>
        <v>0</v>
      </c>
      <c r="AC53" s="156">
        <f>10*SUMIFS(Dataset!$H:$H,Dataset!$F:$F,'retorno absoluto'!$D$11,Dataset!$AC:$AC,"BBB",Dataset!$J:$J,"&lt;"&amp;$D53,Dataset!$J:$J,"&gt;="&amp;$C53)+10*SUMIFS(Dataset!$H:$H,Dataset!$F:$F,'retorno absoluto'!$D$11,Dataset!$AC:$AC,"BBB-",Dataset!$J:$J,"&lt;"&amp;$D53,Dataset!$J:$J,"&gt;="&amp;$C53)+10*SUMIFS(Dataset!$H:$H,Dataset!$F:$F,'retorno absoluto'!$D$11,Dataset!$AC:$AC,"BBB+",Dataset!$J:$J,"&lt;"&amp;$D53,Dataset!$J:$J,"&gt;="&amp;$C53)</f>
        <v>0</v>
      </c>
      <c r="AD53" s="156">
        <f>10*SUMIFS(Dataset!$H:$H,Dataset!$F:$F,'retorno absoluto'!$D$11,Dataset!$J:$J,"&lt;"&amp;$D53,Dataset!$J:$J,"&gt;="&amp;$C53,Dataset!$AC:$AC,"&lt;&gt;N-1+",Dataset!$AC:$AC,"&lt;&gt;*AA*",Dataset!$AC:$AC,"&lt;&gt;*AAA*",Dataset!$AC:$AC,"&lt;&gt;A",Dataset!$AC:$AC,"&lt;&gt;A-",Dataset!$AC:$AC,"&lt;&gt;A+",Dataset!$AC:$AC,"&lt;&gt;*BBB*")</f>
        <v>0.111952164073123</v>
      </c>
      <c r="AE53" s="157">
        <f t="shared" ref="AE53:AE69" si="4">SUM(W53:AD53)</f>
        <v>0.15631037299426168</v>
      </c>
      <c r="AI53" s="99"/>
    </row>
    <row r="54" spans="3:35" ht="27" customHeight="1" x14ac:dyDescent="0.25">
      <c r="C54" s="89">
        <v>0.5</v>
      </c>
      <c r="D54" s="100">
        <v>1.5</v>
      </c>
      <c r="E54" s="158">
        <f>SUMIFS(Dataset!$AK:$AK,Dataset!$F:$F,'retorno absoluto'!$D$11,Dataset!$AC:$AC,E$52,Dataset!$J:$J,"&lt;"&amp;$D54,Dataset!J:J,"&gt;="&amp;$C54)</f>
        <v>6.5017286928254706E-3</v>
      </c>
      <c r="F54" s="159">
        <f>SUMIFS(Dataset!$AK:$AK,Dataset!$F:$F,'retorno absoluto'!$D$11,Dataset!$AC:$AC,F$52,Dataset!$J:$J,"&lt;"&amp;$D54,Dataset!J:J,"&gt;="&amp;$C54)</f>
        <v>0</v>
      </c>
      <c r="G54" s="159">
        <f>SUMIFS(Dataset!$AK:$AK,Dataset!$F:$F,'retorno absoluto'!$D$11,Dataset!$AC:$AC,G$52,Dataset!$J:$J,"&lt;"&amp;$D54,Dataset!J:J,"&gt;="&amp;$C54)</f>
        <v>0</v>
      </c>
      <c r="H54" s="159">
        <f>SUMIFS(Dataset!$AK:$AK,Dataset!$F:$F,'retorno absoluto'!$D$11,Dataset!$AC:$AC,H$52,Dataset!$J:$J,"&lt;"&amp;$D54,Dataset!J:J,"&gt;="&amp;$C54)</f>
        <v>0</v>
      </c>
      <c r="I54" s="159">
        <f>SUMIFS(Dataset!$AK:$AK,Dataset!$F:$F,'retorno absoluto'!$D$11,Dataset!$AC:$AC,I$52,Dataset!$J:$J,"&lt;"&amp;$D54,Dataset!J:J,"&gt;="&amp;$C54)</f>
        <v>0</v>
      </c>
      <c r="J54" s="159">
        <f>SUMIFS(Dataset!$AK:$AK,Dataset!$F:$F,'retorno absoluto'!$D$11,Dataset!$AC:$AC,"A",Dataset!$J:$J,"&lt;"&amp;$D54,Dataset!$J:$J,"&gt;="&amp;$C54)+SUMIFS(Dataset!$AK:$AK,Dataset!$F:$F,'retorno absoluto'!$D$11,Dataset!$AC:$AC,"A-",Dataset!$J:$J,"&lt;"&amp;$D54,Dataset!$J:$J,"&gt;="&amp;$C54)+SUMIFS(Dataset!$AK:$AK,Dataset!$F:$F,'retorno absoluto'!$D$11,Dataset!$AC:$AC,"A+",Dataset!$J:$J,"&lt;"&amp;$D54,Dataset!$J:$J,"&gt;="&amp;$C54)</f>
        <v>0</v>
      </c>
      <c r="K54" s="159">
        <f>SUMIFS(Dataset!$AK:$AK,Dataset!$F:$F,'retorno absoluto'!$D$11,Dataset!$AC:$AC,"BBB",Dataset!$J:$J,"&lt;"&amp;$D54,Dataset!$J:$J,"&gt;="&amp;$C54)+SUMIFS(Dataset!$AK:$AK,Dataset!$F:$F,'retorno absoluto'!$D$11,Dataset!$AC:$AC,"BBB-",Dataset!$J:$J,"&lt;"&amp;$D54,Dataset!$J:$J,"&gt;="&amp;$C54)+SUMIFS(Dataset!$AK:$AK,Dataset!$F:$F,'retorno absoluto'!$D$11,Dataset!$AC:$AC,"BBB+",Dataset!$J:$J,"&lt;"&amp;$D54,Dataset!$J:$J,"&gt;="&amp;$C54)</f>
        <v>0</v>
      </c>
      <c r="L54" s="159">
        <f>SUMIFS(Dataset!$AK:$AK,Dataset!$F:$F,'retorno absoluto'!$D$11,Dataset!$J:$J,"&lt;"&amp;$D54,Dataset!$J:$J,"&gt;="&amp;$C54,Dataset!$AC:$AC,"&lt;&gt;N-1+",Dataset!$AC:$AC,"&lt;&gt;*AA*",Dataset!$AC:$AC,"&lt;&gt;*AAA*",Dataset!$AC:$AC,"&lt;&gt;A",Dataset!$AC:$AC,"&lt;&gt;A-",Dataset!$AC:$AC,"&lt;&gt;A+",Dataset!$AC:$AC,"&lt;&gt;*BBB*")</f>
        <v>0</v>
      </c>
      <c r="M54" s="160">
        <f t="shared" si="2"/>
        <v>6.5017286928254706E-3</v>
      </c>
      <c r="N54" s="158">
        <f>SUMIFS(Dataset!$AA:$AA,Dataset!$F:$F,'retorno absoluto'!$D$11,Dataset!$AC:$AC,N$52,Dataset!$J:$J,"&lt;"&amp;$D54,Dataset!$J:$J,"&gt;="&amp;$C54)</f>
        <v>2.4402093632323386E-4</v>
      </c>
      <c r="O54" s="159">
        <f>SUMIFS(Dataset!$AA:$AA,Dataset!$F:$F,'retorno absoluto'!$D$11,Dataset!$AC:$AC,O$52,Dataset!$J:$J,"&lt;"&amp;$D54,Dataset!$J:$J,"&gt;="&amp;$C54)</f>
        <v>0</v>
      </c>
      <c r="P54" s="159">
        <f>SUMIFS(Dataset!$AA:$AA,Dataset!$F:$F,'retorno absoluto'!$D$11,Dataset!$AC:$AC,P$52,Dataset!$J:$J,"&lt;"&amp;$D54,Dataset!$J:$J,"&gt;="&amp;$C54)</f>
        <v>0</v>
      </c>
      <c r="Q54" s="159">
        <f>SUMIFS(Dataset!$AA:$AA,Dataset!$F:$F,'retorno absoluto'!$D$11,Dataset!$AC:$AC,Q$52,Dataset!$J:$J,"&lt;"&amp;$D54,Dataset!$J:$J,"&gt;="&amp;$C54)</f>
        <v>0</v>
      </c>
      <c r="R54" s="159">
        <f>SUMIFS(Dataset!$AA:$AA,Dataset!$F:$F,'retorno absoluto'!$D$11,Dataset!$AC:$AC,R$52,Dataset!$J:$J,"&lt;"&amp;$D54,Dataset!$J:$J,"&gt;="&amp;$C54)</f>
        <v>0</v>
      </c>
      <c r="S54" s="159">
        <f>SUMIFS(Dataset!$AA:$AA,Dataset!$F:$F,'retorno absoluto'!$D$11,Dataset!$AC:$AC,"A",Dataset!$J:$J,"&lt;"&amp;$D54,Dataset!$J:$J,"&gt;="&amp;$C54)+SUMIFS(Dataset!$AA:$AA,Dataset!$F:$F,'retorno absoluto'!$D$11,Dataset!$AC:$AC,"A-",Dataset!$J:$J,"&lt;"&amp;$D54,Dataset!$J:$J,"&gt;="&amp;$C54)+SUMIFS(Dataset!$AA:$AA,Dataset!$F:$F,'retorno absoluto'!$D$11,Dataset!$AC:$AC,"A+",Dataset!$J:$J,"&lt;"&amp;$D54,Dataset!$J:$J,"&gt;="&amp;$C54)</f>
        <v>0</v>
      </c>
      <c r="T54" s="159">
        <f>SUMIFS(Dataset!$AA:$AA,Dataset!$F:$F,'retorno absoluto'!$D$11,Dataset!$AC:$AC,"BBB-",Dataset!$J:$J,"&lt;"&amp;$D54,Dataset!$J:$J,"&gt;="&amp;$C54)+SUMIFS(Dataset!$AA:$AA,Dataset!$F:$F,'retorno absoluto'!$D$11,Dataset!$AC:$AC,"BBB",Dataset!$J:$J,"&lt;"&amp;$D54,Dataset!$J:$J,"&gt;="&amp;$C54)+SUMIFS(Dataset!$AA:$AA,Dataset!$F:$F,'retorno absoluto'!$D$11,Dataset!$AC:$AC,"BBB+",Dataset!$J:$J,"&lt;"&amp;$D54,Dataset!$J:$J,"&gt;="&amp;$C54)</f>
        <v>0</v>
      </c>
      <c r="U54" s="159">
        <f>SUMIFS(Dataset!$AA:$AA,Dataset!$F:$F,'retorno absoluto'!$D$11,Dataset!$J:$J,"&lt;"&amp;$D54,Dataset!$J:$J,"&gt;="&amp;$C54,Dataset!$AC:$AC,"&lt;&gt;N-1+",Dataset!$AC:$AC,"&lt;&gt;*AA*",Dataset!$AC:$AC,"&lt;&gt;*AAA*",Dataset!$AC:$AC,"&lt;&gt;A",Dataset!$AC:$AC,"&lt;&gt;A-",Dataset!$AC:$AC,"&lt;&gt;A+",Dataset!$AC:$AC,"&lt;&gt;*BBB*")</f>
        <v>0</v>
      </c>
      <c r="V54" s="160">
        <f t="shared" si="3"/>
        <v>2.4402093632323386E-4</v>
      </c>
      <c r="W54" s="161">
        <f>10*SUMIFS(Dataset!$H:$H,Dataset!$F:$F,'retorno absoluto'!$D$11,Dataset!$AC:$AC,W$52,Dataset!$J:$J,"&lt;"&amp;$D54,Dataset!J:J,"&gt;="&amp;$C54)</f>
        <v>4.9506609666647473E-2</v>
      </c>
      <c r="X54" s="162">
        <f>10*SUMIFS(Dataset!$H:$H,Dataset!$F:$F,'retorno absoluto'!$D$11,Dataset!$AC:$AC,X$52,Dataset!$J:$J,"&lt;"&amp;$D54,Dataset!J:J,"&gt;="&amp;$C54)</f>
        <v>0</v>
      </c>
      <c r="Y54" s="162">
        <f>10*SUMIFS(Dataset!$H:$H,Dataset!$F:$F,'retorno absoluto'!$D$11,Dataset!$AC:$AC,Y$52,Dataset!$J:$J,"&lt;"&amp;$D54,Dataset!J:J,"&gt;="&amp;$C54)</f>
        <v>0</v>
      </c>
      <c r="Z54" s="162">
        <f>10*SUMIFS(Dataset!$H:$H,Dataset!$F:$F,'retorno absoluto'!$D$11,Dataset!$AC:$AC,Z$52,Dataset!$J:$J,"&lt;"&amp;$D54,Dataset!J:J,"&gt;="&amp;$C54)</f>
        <v>0</v>
      </c>
      <c r="AA54" s="162">
        <f>10*SUMIFS(Dataset!$H:$H,Dataset!$F:$F,'retorno absoluto'!$D$11,Dataset!$AC:$AC,AA$52,Dataset!$J:$J,"&lt;"&amp;$D54,Dataset!J:J,"&gt;="&amp;$C54)</f>
        <v>0</v>
      </c>
      <c r="AB54" s="162">
        <f>10*SUMIFS(Dataset!$H:$H,Dataset!$F:$F,'retorno absoluto'!$D$11,Dataset!$AC:$AC,"A",Dataset!$J:$J,"&lt;"&amp;$D54,Dataset!$J:$J,"&gt;="&amp;$C54)+10*SUMIFS(Dataset!$H:$H,Dataset!$F:$F,'retorno absoluto'!$D$11,Dataset!$AC:$AC,"A-",Dataset!$J:$J,"&lt;"&amp;$D54,Dataset!$J:$J,"&gt;="&amp;$C54)+10*SUMIFS(Dataset!$H:$H,Dataset!$F:$F,'retorno absoluto'!$D$11,Dataset!$AC:$AC,"A+",Dataset!$J:$J,"&lt;"&amp;$D54,Dataset!$J:$J,"&gt;="&amp;$C54)</f>
        <v>0</v>
      </c>
      <c r="AC54" s="162">
        <f>10*SUMIFS(Dataset!$H:$H,Dataset!$F:$F,'retorno absoluto'!$D$11,Dataset!$AC:$AC,"BBB",Dataset!$J:$J,"&lt;"&amp;$D54,Dataset!$J:$J,"&gt;="&amp;$C54)+10*SUMIFS(Dataset!$H:$H,Dataset!$F:$F,'retorno absoluto'!$D$11,Dataset!$AC:$AC,"BBB-",Dataset!$J:$J,"&lt;"&amp;$D54,Dataset!$J:$J,"&gt;="&amp;$C54)+10*SUMIFS(Dataset!$H:$H,Dataset!$F:$F,'retorno absoluto'!$D$11,Dataset!$AC:$AC,"BBB+",Dataset!$J:$J,"&lt;"&amp;$D54,Dataset!$J:$J,"&gt;="&amp;$C54)</f>
        <v>0</v>
      </c>
      <c r="AD54" s="162">
        <f>10*SUMIFS(Dataset!$H:$H,Dataset!$F:$F,'retorno absoluto'!$D$11,Dataset!$J:$J,"&lt;"&amp;$D54,Dataset!$J:$J,"&gt;="&amp;$C54,Dataset!$AC:$AC,"&lt;&gt;N-1+",Dataset!$AC:$AC,"&lt;&gt;*AA*",Dataset!$AC:$AC,"&lt;&gt;*AAA*",Dataset!$AC:$AC,"&lt;&gt;A",Dataset!$AC:$AC,"&lt;&gt;A-",Dataset!$AC:$AC,"&lt;&gt;A+",Dataset!$AC:$AC,"&lt;&gt;*BBB*")</f>
        <v>0</v>
      </c>
      <c r="AE54" s="163">
        <f t="shared" si="4"/>
        <v>4.9506609666647473E-2</v>
      </c>
    </row>
    <row r="55" spans="3:35" ht="39" customHeight="1" x14ac:dyDescent="0.25">
      <c r="C55" s="89">
        <v>1.5</v>
      </c>
      <c r="D55" s="100">
        <v>2.5</v>
      </c>
      <c r="E55" s="158">
        <f>SUMIFS(Dataset!$AK:$AK,Dataset!$F:$F,'retorno absoluto'!$D$11,Dataset!$AC:$AC,E$52,Dataset!$J:$J,"&lt;"&amp;$D55,Dataset!J:J,"&gt;="&amp;$C55)</f>
        <v>0</v>
      </c>
      <c r="F55" s="159">
        <f>SUMIFS(Dataset!$AK:$AK,Dataset!$F:$F,'retorno absoluto'!$D$11,Dataset!$AC:$AC,F$52,Dataset!$J:$J,"&lt;"&amp;$D55,Dataset!J:J,"&gt;="&amp;$C55)</f>
        <v>4.9009133891632431E-2</v>
      </c>
      <c r="G55" s="159">
        <f>SUMIFS(Dataset!$AK:$AK,Dataset!$F:$F,'retorno absoluto'!$D$11,Dataset!$AC:$AC,G$52,Dataset!$J:$J,"&lt;"&amp;$D55,Dataset!J:J,"&gt;="&amp;$C55)</f>
        <v>0</v>
      </c>
      <c r="H55" s="159">
        <f>SUMIFS(Dataset!$AK:$AK,Dataset!$F:$F,'retorno absoluto'!$D$11,Dataset!$AC:$AC,H$52,Dataset!$J:$J,"&lt;"&amp;$D55,Dataset!J:J,"&gt;="&amp;$C55)</f>
        <v>0</v>
      </c>
      <c r="I55" s="159">
        <f>SUMIFS(Dataset!$AK:$AK,Dataset!$F:$F,'retorno absoluto'!$D$11,Dataset!$AC:$AC,I$52,Dataset!$J:$J,"&lt;"&amp;$D55,Dataset!J:J,"&gt;="&amp;$C55)</f>
        <v>0</v>
      </c>
      <c r="J55" s="159">
        <f>SUMIFS(Dataset!$AK:$AK,Dataset!$F:$F,'retorno absoluto'!$D$11,Dataset!$AC:$AC,"A",Dataset!$J:$J,"&lt;"&amp;$D55,Dataset!$J:$J,"&gt;="&amp;$C55)+SUMIFS(Dataset!$AK:$AK,Dataset!$F:$F,'retorno absoluto'!$D$11,Dataset!$AC:$AC,"A-",Dataset!$J:$J,"&lt;"&amp;$D55,Dataset!$J:$J,"&gt;="&amp;$C55)+SUMIFS(Dataset!$AK:$AK,Dataset!$F:$F,'retorno absoluto'!$D$11,Dataset!$AC:$AC,"A+",Dataset!$J:$J,"&lt;"&amp;$D55,Dataset!$J:$J,"&gt;="&amp;$C55)</f>
        <v>6.153514180388453E-3</v>
      </c>
      <c r="K55" s="159">
        <f>SUMIFS(Dataset!$AK:$AK,Dataset!$F:$F,'retorno absoluto'!$D$11,Dataset!$AC:$AC,"BBB",Dataset!$J:$J,"&lt;"&amp;$D55,Dataset!$J:$J,"&gt;="&amp;$C55)+SUMIFS(Dataset!$AK:$AK,Dataset!$F:$F,'retorno absoluto'!$D$11,Dataset!$AC:$AC,"BBB-",Dataset!$J:$J,"&lt;"&amp;$D55,Dataset!$J:$J,"&gt;="&amp;$C55)+SUMIFS(Dataset!$AK:$AK,Dataset!$F:$F,'retorno absoluto'!$D$11,Dataset!$AC:$AC,"BBB+",Dataset!$J:$J,"&lt;"&amp;$D55,Dataset!$J:$J,"&gt;="&amp;$C55)</f>
        <v>0</v>
      </c>
      <c r="L55" s="159">
        <f>SUMIFS(Dataset!$AK:$AK,Dataset!$F:$F,'retorno absoluto'!$D$11,Dataset!$J:$J,"&lt;"&amp;$D55,Dataset!$J:$J,"&gt;="&amp;$C55,Dataset!$AC:$AC,"&lt;&gt;N-1+",Dataset!$AC:$AC,"&lt;&gt;*AA*",Dataset!$AC:$AC,"&lt;&gt;*AAA*",Dataset!$AC:$AC,"&lt;&gt;A",Dataset!$AC:$AC,"&lt;&gt;A-",Dataset!$AC:$AC,"&lt;&gt;A+",Dataset!$AC:$AC,"&lt;&gt;*BBB*")</f>
        <v>0</v>
      </c>
      <c r="M55" s="160">
        <f t="shared" si="2"/>
        <v>5.5162648072020884E-2</v>
      </c>
      <c r="N55" s="158">
        <f>SUMIFS(Dataset!$AA:$AA,Dataset!$F:$F,'retorno absoluto'!$D$11,Dataset!$AC:$AC,N$52,Dataset!$J:$J,"&lt;"&amp;$D55,Dataset!$J:$J,"&gt;="&amp;$C55)</f>
        <v>0</v>
      </c>
      <c r="O55" s="159">
        <f>SUMIFS(Dataset!$AA:$AA,Dataset!$F:$F,'retorno absoluto'!$D$11,Dataset!$AC:$AC,O$52,Dataset!$J:$J,"&lt;"&amp;$D55,Dataset!$J:$J,"&gt;="&amp;$C55)</f>
        <v>3.7254094586515824E-2</v>
      </c>
      <c r="P55" s="159">
        <f>SUMIFS(Dataset!$AA:$AA,Dataset!$F:$F,'retorno absoluto'!$D$11,Dataset!$AC:$AC,P$52,Dataset!$J:$J,"&lt;"&amp;$D55,Dataset!$J:$J,"&gt;="&amp;$C55)</f>
        <v>0</v>
      </c>
      <c r="Q55" s="159">
        <f>SUMIFS(Dataset!$AA:$AA,Dataset!$F:$F,'retorno absoluto'!$D$11,Dataset!$AC:$AC,Q$52,Dataset!$J:$J,"&lt;"&amp;$D55,Dataset!$J:$J,"&gt;="&amp;$C55)</f>
        <v>0</v>
      </c>
      <c r="R55" s="159">
        <f>SUMIFS(Dataset!$AA:$AA,Dataset!$F:$F,'retorno absoluto'!$D$11,Dataset!$AC:$AC,R$52,Dataset!$J:$J,"&lt;"&amp;$D55,Dataset!$J:$J,"&gt;="&amp;$C55)</f>
        <v>0</v>
      </c>
      <c r="S55" s="159">
        <f>SUMIFS(Dataset!$AA:$AA,Dataset!$F:$F,'retorno absoluto'!$D$11,Dataset!$AC:$AC,"A",Dataset!$J:$J,"&lt;"&amp;$D55,Dataset!$J:$J,"&gt;="&amp;$C55)+SUMIFS(Dataset!$AA:$AA,Dataset!$F:$F,'retorno absoluto'!$D$11,Dataset!$AC:$AC,"A-",Dataset!$J:$J,"&lt;"&amp;$D55,Dataset!$J:$J,"&gt;="&amp;$C55)+SUMIFS(Dataset!$AA:$AA,Dataset!$F:$F,'retorno absoluto'!$D$11,Dataset!$AC:$AC,"A+",Dataset!$J:$J,"&lt;"&amp;$D55,Dataset!$J:$J,"&gt;="&amp;$C55)</f>
        <v>2.2885052622240486E-3</v>
      </c>
      <c r="T55" s="159">
        <f>SUMIFS(Dataset!$AA:$AA,Dataset!$F:$F,'retorno absoluto'!$D$11,Dataset!$AC:$AC,"BBB-",Dataset!$J:$J,"&lt;"&amp;$D55,Dataset!$J:$J,"&gt;="&amp;$C55)+SUMIFS(Dataset!$AA:$AA,Dataset!$F:$F,'retorno absoluto'!$D$11,Dataset!$AC:$AC,"BBB",Dataset!$J:$J,"&lt;"&amp;$D55,Dataset!$J:$J,"&gt;="&amp;$C55)+SUMIFS(Dataset!$AA:$AA,Dataset!$F:$F,'retorno absoluto'!$D$11,Dataset!$AC:$AC,"BBB+",Dataset!$J:$J,"&lt;"&amp;$D55,Dataset!$J:$J,"&gt;="&amp;$C55)</f>
        <v>0</v>
      </c>
      <c r="U55" s="159">
        <f>SUMIFS(Dataset!$AA:$AA,Dataset!$F:$F,'retorno absoluto'!$D$11,Dataset!$J:$J,"&lt;"&amp;$D55,Dataset!$J:$J,"&gt;="&amp;$C55,Dataset!$AC:$AC,"&lt;&gt;N-1+",Dataset!$AC:$AC,"&lt;&gt;*AA*",Dataset!$AC:$AC,"&lt;&gt;*AAA*",Dataset!$AC:$AC,"&lt;&gt;A",Dataset!$AC:$AC,"&lt;&gt;A-",Dataset!$AC:$AC,"&lt;&gt;A+",Dataset!$AC:$AC,"&lt;&gt;*BBB*")</f>
        <v>0</v>
      </c>
      <c r="V55" s="160">
        <f t="shared" si="3"/>
        <v>3.9542599848739875E-2</v>
      </c>
      <c r="W55" s="161">
        <f>10*SUMIFS(Dataset!$H:$H,Dataset!$F:$F,'retorno absoluto'!$D$11,Dataset!$AC:$AC,W$52,Dataset!$J:$J,"&lt;"&amp;$D55,Dataset!J:J,"&gt;="&amp;$C55)</f>
        <v>0</v>
      </c>
      <c r="X55" s="162">
        <f>10*SUMIFS(Dataset!$H:$H,Dataset!$F:$F,'retorno absoluto'!$D$11,Dataset!$AC:$AC,X$52,Dataset!$J:$J,"&lt;"&amp;$D55,Dataset!J:J,"&gt;="&amp;$C55)</f>
        <v>1.0487974042210517</v>
      </c>
      <c r="Y55" s="162">
        <f>10*SUMIFS(Dataset!$H:$H,Dataset!$F:$F,'retorno absoluto'!$D$11,Dataset!$AC:$AC,Y$52,Dataset!$J:$J,"&lt;"&amp;$D55,Dataset!J:J,"&gt;="&amp;$C55)</f>
        <v>0</v>
      </c>
      <c r="Z55" s="162">
        <f>10*SUMIFS(Dataset!$H:$H,Dataset!$F:$F,'retorno absoluto'!$D$11,Dataset!$AC:$AC,Z$52,Dataset!$J:$J,"&lt;"&amp;$D55,Dataset!J:J,"&gt;="&amp;$C55)</f>
        <v>0</v>
      </c>
      <c r="AA55" s="162">
        <f>10*SUMIFS(Dataset!$H:$H,Dataset!$F:$F,'retorno absoluto'!$D$11,Dataset!$AC:$AC,AA$52,Dataset!$J:$J,"&lt;"&amp;$D55,Dataset!J:J,"&gt;="&amp;$C55)</f>
        <v>0</v>
      </c>
      <c r="AB55" s="162">
        <f>10*SUMIFS(Dataset!$H:$H,Dataset!$F:$F,'retorno absoluto'!$D$11,Dataset!$AC:$AC,"A",Dataset!$J:$J,"&lt;"&amp;$D55,Dataset!$J:$J,"&gt;="&amp;$C55)+10*SUMIFS(Dataset!$H:$H,Dataset!$F:$F,'retorno absoluto'!$D$11,Dataset!$AC:$AC,"A-",Dataset!$J:$J,"&lt;"&amp;$D55,Dataset!$J:$J,"&gt;="&amp;$C55)+10*SUMIFS(Dataset!$H:$H,Dataset!$F:$F,'retorno absoluto'!$D$11,Dataset!$AC:$AC,"A+",Dataset!$J:$J,"&lt;"&amp;$D55,Dataset!$J:$J,"&gt;="&amp;$C55)</f>
        <v>0.14030012331285671</v>
      </c>
      <c r="AC55" s="162">
        <f>10*SUMIFS(Dataset!$H:$H,Dataset!$F:$F,'retorno absoluto'!$D$11,Dataset!$AC:$AC,"BBB",Dataset!$J:$J,"&lt;"&amp;$D55,Dataset!$J:$J,"&gt;="&amp;$C55)+10*SUMIFS(Dataset!$H:$H,Dataset!$F:$F,'retorno absoluto'!$D$11,Dataset!$AC:$AC,"BBB-",Dataset!$J:$J,"&lt;"&amp;$D55,Dataset!$J:$J,"&gt;="&amp;$C55)+10*SUMIFS(Dataset!$H:$H,Dataset!$F:$F,'retorno absoluto'!$D$11,Dataset!$AC:$AC,"BBB+",Dataset!$J:$J,"&lt;"&amp;$D55,Dataset!$J:$J,"&gt;="&amp;$C55)</f>
        <v>0</v>
      </c>
      <c r="AD55" s="162">
        <f>10*SUMIFS(Dataset!$H:$H,Dataset!$F:$F,'retorno absoluto'!$D$11,Dataset!$J:$J,"&lt;"&amp;$D55,Dataset!$J:$J,"&gt;="&amp;$C55,Dataset!$AC:$AC,"&lt;&gt;N-1+",Dataset!$AC:$AC,"&lt;&gt;*AA*",Dataset!$AC:$AC,"&lt;&gt;*AAA*",Dataset!$AC:$AC,"&lt;&gt;A",Dataset!$AC:$AC,"&lt;&gt;A-",Dataset!$AC:$AC,"&lt;&gt;A+",Dataset!$AC:$AC,"&lt;&gt;*BBB*")</f>
        <v>0</v>
      </c>
      <c r="AE55" s="163">
        <f t="shared" si="4"/>
        <v>1.1890975275339084</v>
      </c>
    </row>
    <row r="56" spans="3:35" ht="35.25" customHeight="1" x14ac:dyDescent="0.25">
      <c r="C56" s="89">
        <v>2.5</v>
      </c>
      <c r="D56" s="100">
        <v>3.5</v>
      </c>
      <c r="E56" s="158">
        <f>SUMIFS(Dataset!$AK:$AK,Dataset!$F:$F,'retorno absoluto'!$D$11,Dataset!$AC:$AC,E$52,Dataset!$J:$J,"&lt;"&amp;$D56,Dataset!J:J,"&gt;="&amp;$C56)</f>
        <v>0</v>
      </c>
      <c r="F56" s="159">
        <f>SUMIFS(Dataset!$AK:$AK,Dataset!$F:$F,'retorno absoluto'!$D$11,Dataset!$AC:$AC,F$52,Dataset!$J:$J,"&lt;"&amp;$D56,Dataset!J:J,"&gt;="&amp;$C56)</f>
        <v>0.9353820379528025</v>
      </c>
      <c r="G56" s="159">
        <f>SUMIFS(Dataset!$AK:$AK,Dataset!$F:$F,'retorno absoluto'!$D$11,Dataset!$AC:$AC,G$52,Dataset!$J:$J,"&lt;"&amp;$D56,Dataset!J:J,"&gt;="&amp;$C56)</f>
        <v>0</v>
      </c>
      <c r="H56" s="159">
        <f>SUMIFS(Dataset!$AK:$AK,Dataset!$F:$F,'retorno absoluto'!$D$11,Dataset!$AC:$AC,H$52,Dataset!$J:$J,"&lt;"&amp;$D56,Dataset!J:J,"&gt;="&amp;$C56)</f>
        <v>0</v>
      </c>
      <c r="I56" s="159">
        <f>SUMIFS(Dataset!$AK:$AK,Dataset!$F:$F,'retorno absoluto'!$D$11,Dataset!$AC:$AC,I$52,Dataset!$J:$J,"&lt;"&amp;$D56,Dataset!J:J,"&gt;="&amp;$C56)</f>
        <v>0</v>
      </c>
      <c r="J56" s="159">
        <f>SUMIFS(Dataset!$AK:$AK,Dataset!$F:$F,'retorno absoluto'!$D$11,Dataset!$AC:$AC,"A",Dataset!$J:$J,"&lt;"&amp;$D56,Dataset!$J:$J,"&gt;="&amp;$C56)+SUMIFS(Dataset!$AK:$AK,Dataset!$F:$F,'retorno absoluto'!$D$11,Dataset!$AC:$AC,"A-",Dataset!$J:$J,"&lt;"&amp;$D56,Dataset!$J:$J,"&gt;="&amp;$C56)+SUMIFS(Dataset!$AK:$AK,Dataset!$F:$F,'retorno absoluto'!$D$11,Dataset!$AC:$AC,"A+",Dataset!$J:$J,"&lt;"&amp;$D56,Dataset!$J:$J,"&gt;="&amp;$C56)</f>
        <v>0</v>
      </c>
      <c r="K56" s="159">
        <f>SUMIFS(Dataset!$AK:$AK,Dataset!$F:$F,'retorno absoluto'!$D$11,Dataset!$AC:$AC,"BBB",Dataset!$J:$J,"&lt;"&amp;$D56,Dataset!$J:$J,"&gt;="&amp;$C56)+SUMIFS(Dataset!$AK:$AK,Dataset!$F:$F,'retorno absoluto'!$D$11,Dataset!$AC:$AC,"BBB-",Dataset!$J:$J,"&lt;"&amp;$D56,Dataset!$J:$J,"&gt;="&amp;$C56)+SUMIFS(Dataset!$AK:$AK,Dataset!$F:$F,'retorno absoluto'!$D$11,Dataset!$AC:$AC,"BBB+",Dataset!$J:$J,"&lt;"&amp;$D56,Dataset!$J:$J,"&gt;="&amp;$C56)</f>
        <v>0</v>
      </c>
      <c r="L56" s="159">
        <f>SUMIFS(Dataset!$AK:$AK,Dataset!$F:$F,'retorno absoluto'!$D$11,Dataset!$J:$J,"&lt;"&amp;$D56,Dataset!$J:$J,"&gt;="&amp;$C56,Dataset!$AC:$AC,"&lt;&gt;N-1+",Dataset!$AC:$AC,"&lt;&gt;*AA*",Dataset!$AC:$AC,"&lt;&gt;*AAA*",Dataset!$AC:$AC,"&lt;&gt;A",Dataset!$AC:$AC,"&lt;&gt;A-",Dataset!$AC:$AC,"&lt;&gt;A+",Dataset!$AC:$AC,"&lt;&gt;*BBB*")</f>
        <v>0</v>
      </c>
      <c r="M56" s="160">
        <f t="shared" si="2"/>
        <v>0.9353820379528025</v>
      </c>
      <c r="N56" s="158">
        <f>SUMIFS(Dataset!$AA:$AA,Dataset!$F:$F,'retorno absoluto'!$D$11,Dataset!$AC:$AC,N$52,Dataset!$J:$J,"&lt;"&amp;$D56,Dataset!$J:$J,"&gt;="&amp;$C56)</f>
        <v>0</v>
      </c>
      <c r="O56" s="159">
        <f>SUMIFS(Dataset!$AA:$AA,Dataset!$F:$F,'retorno absoluto'!$D$11,Dataset!$AC:$AC,O$52,Dataset!$J:$J,"&lt;"&amp;$D56,Dataset!$J:$J,"&gt;="&amp;$C56)</f>
        <v>0.51775574378196509</v>
      </c>
      <c r="P56" s="159">
        <f>SUMIFS(Dataset!$AA:$AA,Dataset!$F:$F,'retorno absoluto'!$D$11,Dataset!$AC:$AC,P$52,Dataset!$J:$J,"&lt;"&amp;$D56,Dataset!$J:$J,"&gt;="&amp;$C56)</f>
        <v>0</v>
      </c>
      <c r="Q56" s="159">
        <f>SUMIFS(Dataset!$AA:$AA,Dataset!$F:$F,'retorno absoluto'!$D$11,Dataset!$AC:$AC,Q$52,Dataset!$J:$J,"&lt;"&amp;$D56,Dataset!$J:$J,"&gt;="&amp;$C56)</f>
        <v>0</v>
      </c>
      <c r="R56" s="159">
        <f>SUMIFS(Dataset!$AA:$AA,Dataset!$F:$F,'retorno absoluto'!$D$11,Dataset!$AC:$AC,R$52,Dataset!$J:$J,"&lt;"&amp;$D56,Dataset!$J:$J,"&gt;="&amp;$C56)</f>
        <v>0</v>
      </c>
      <c r="S56" s="159">
        <f>SUMIFS(Dataset!$AA:$AA,Dataset!$F:$F,'retorno absoluto'!$D$11,Dataset!$AC:$AC,"A",Dataset!$J:$J,"&lt;"&amp;$D56,Dataset!$J:$J,"&gt;="&amp;$C56)+SUMIFS(Dataset!$AA:$AA,Dataset!$F:$F,'retorno absoluto'!$D$11,Dataset!$AC:$AC,"A-",Dataset!$J:$J,"&lt;"&amp;$D56,Dataset!$J:$J,"&gt;="&amp;$C56)+SUMIFS(Dataset!$AA:$AA,Dataset!$F:$F,'retorno absoluto'!$D$11,Dataset!$AC:$AC,"A+",Dataset!$J:$J,"&lt;"&amp;$D56,Dataset!$J:$J,"&gt;="&amp;$C56)</f>
        <v>0</v>
      </c>
      <c r="T56" s="159">
        <f>SUMIFS(Dataset!$AA:$AA,Dataset!$F:$F,'retorno absoluto'!$D$11,Dataset!$AC:$AC,"BBB-",Dataset!$J:$J,"&lt;"&amp;$D56,Dataset!$J:$J,"&gt;="&amp;$C56)+SUMIFS(Dataset!$AA:$AA,Dataset!$F:$F,'retorno absoluto'!$D$11,Dataset!$AC:$AC,"BBB",Dataset!$J:$J,"&lt;"&amp;$D56,Dataset!$J:$J,"&gt;="&amp;$C56)+SUMIFS(Dataset!$AA:$AA,Dataset!$F:$F,'retorno absoluto'!$D$11,Dataset!$AC:$AC,"BBB+",Dataset!$J:$J,"&lt;"&amp;$D56,Dataset!$J:$J,"&gt;="&amp;$C56)</f>
        <v>0</v>
      </c>
      <c r="U56" s="159">
        <f>SUMIFS(Dataset!$AA:$AA,Dataset!$F:$F,'retorno absoluto'!$D$11,Dataset!$J:$J,"&lt;"&amp;$D56,Dataset!$J:$J,"&gt;="&amp;$C56,Dataset!$AC:$AC,"&lt;&gt;N-1+",Dataset!$AC:$AC,"&lt;&gt;*AA*",Dataset!$AC:$AC,"&lt;&gt;*AAA*",Dataset!$AC:$AC,"&lt;&gt;A",Dataset!$AC:$AC,"&lt;&gt;A-",Dataset!$AC:$AC,"&lt;&gt;A+",Dataset!$AC:$AC,"&lt;&gt;*BBB*")</f>
        <v>0</v>
      </c>
      <c r="V56" s="160">
        <f t="shared" si="3"/>
        <v>0.51775574378196509</v>
      </c>
      <c r="W56" s="161">
        <f>10*SUMIFS(Dataset!$H:$H,Dataset!$F:$F,'retorno absoluto'!$D$11,Dataset!$AC:$AC,W$52,Dataset!$J:$J,"&lt;"&amp;$D56,Dataset!J:J,"&gt;="&amp;$C56)</f>
        <v>0</v>
      </c>
      <c r="X56" s="162">
        <f>10*SUMIFS(Dataset!$H:$H,Dataset!$F:$F,'retorno absoluto'!$D$11,Dataset!$AC:$AC,X$52,Dataset!$J:$J,"&lt;"&amp;$D56,Dataset!J:J,"&gt;="&amp;$C56)</f>
        <v>29.648006646354492</v>
      </c>
      <c r="Y56" s="162">
        <f>10*SUMIFS(Dataset!$H:$H,Dataset!$F:$F,'retorno absoluto'!$D$11,Dataset!$AC:$AC,Y$52,Dataset!$J:$J,"&lt;"&amp;$D56,Dataset!J:J,"&gt;="&amp;$C56)</f>
        <v>0</v>
      </c>
      <c r="Z56" s="162">
        <f>10*SUMIFS(Dataset!$H:$H,Dataset!$F:$F,'retorno absoluto'!$D$11,Dataset!$AC:$AC,Z$52,Dataset!$J:$J,"&lt;"&amp;$D56,Dataset!J:J,"&gt;="&amp;$C56)</f>
        <v>0</v>
      </c>
      <c r="AA56" s="162">
        <f>10*SUMIFS(Dataset!$H:$H,Dataset!$F:$F,'retorno absoluto'!$D$11,Dataset!$AC:$AC,AA$52,Dataset!$J:$J,"&lt;"&amp;$D56,Dataset!J:J,"&gt;="&amp;$C56)</f>
        <v>0</v>
      </c>
      <c r="AB56" s="162">
        <f>10*SUMIFS(Dataset!$H:$H,Dataset!$F:$F,'retorno absoluto'!$D$11,Dataset!$AC:$AC,"A",Dataset!$J:$J,"&lt;"&amp;$D56,Dataset!$J:$J,"&gt;="&amp;$C56)+10*SUMIFS(Dataset!$H:$H,Dataset!$F:$F,'retorno absoluto'!$D$11,Dataset!$AC:$AC,"A-",Dataset!$J:$J,"&lt;"&amp;$D56,Dataset!$J:$J,"&gt;="&amp;$C56)+10*SUMIFS(Dataset!$H:$H,Dataset!$F:$F,'retorno absoluto'!$D$11,Dataset!$AC:$AC,"A+",Dataset!$J:$J,"&lt;"&amp;$D56,Dataset!$J:$J,"&gt;="&amp;$C56)</f>
        <v>0</v>
      </c>
      <c r="AC56" s="162">
        <f>10*SUMIFS(Dataset!$H:$H,Dataset!$F:$F,'retorno absoluto'!$D$11,Dataset!$AC:$AC,"BBB",Dataset!$J:$J,"&lt;"&amp;$D56,Dataset!$J:$J,"&gt;="&amp;$C56)+10*SUMIFS(Dataset!$H:$H,Dataset!$F:$F,'retorno absoluto'!$D$11,Dataset!$AC:$AC,"BBB-",Dataset!$J:$J,"&lt;"&amp;$D56,Dataset!$J:$J,"&gt;="&amp;$C56)+10*SUMIFS(Dataset!$H:$H,Dataset!$F:$F,'retorno absoluto'!$D$11,Dataset!$AC:$AC,"BBB+",Dataset!$J:$J,"&lt;"&amp;$D56,Dataset!$J:$J,"&gt;="&amp;$C56)</f>
        <v>0</v>
      </c>
      <c r="AD56" s="162">
        <f>10*SUMIFS(Dataset!$H:$H,Dataset!$F:$F,'retorno absoluto'!$D$11,Dataset!$J:$J,"&lt;"&amp;$D56,Dataset!$J:$J,"&gt;="&amp;$C56,Dataset!$AC:$AC,"&lt;&gt;N-1+",Dataset!$AC:$AC,"&lt;&gt;*AA*",Dataset!$AC:$AC,"&lt;&gt;*AAA*",Dataset!$AC:$AC,"&lt;&gt;A",Dataset!$AC:$AC,"&lt;&gt;A-",Dataset!$AC:$AC,"&lt;&gt;A+",Dataset!$AC:$AC,"&lt;&gt;*BBB*")</f>
        <v>0</v>
      </c>
      <c r="AE56" s="163">
        <f t="shared" si="4"/>
        <v>29.648006646354492</v>
      </c>
    </row>
    <row r="57" spans="3:35" ht="27" customHeight="1" x14ac:dyDescent="0.25">
      <c r="C57" s="89">
        <v>3.5</v>
      </c>
      <c r="D57" s="100">
        <v>4.5</v>
      </c>
      <c r="E57" s="158">
        <f>SUMIFS(Dataset!$AK:$AK,Dataset!$F:$F,'retorno absoluto'!$D$11,Dataset!$AC:$AC,E$52,Dataset!$J:$J,"&lt;"&amp;$D57,Dataset!J:J,"&gt;="&amp;$C57)</f>
        <v>0</v>
      </c>
      <c r="F57" s="159">
        <f>SUMIFS(Dataset!$AK:$AK,Dataset!$F:$F,'retorno absoluto'!$D$11,Dataset!$AC:$AC,F$52,Dataset!$J:$J,"&lt;"&amp;$D57,Dataset!J:J,"&gt;="&amp;$C57)</f>
        <v>0.13975520327916299</v>
      </c>
      <c r="G57" s="159">
        <f>SUMIFS(Dataset!$AK:$AK,Dataset!$F:$F,'retorno absoluto'!$D$11,Dataset!$AC:$AC,G$52,Dataset!$J:$J,"&lt;"&amp;$D57,Dataset!J:J,"&gt;="&amp;$C57)</f>
        <v>0</v>
      </c>
      <c r="H57" s="159">
        <f>SUMIFS(Dataset!$AK:$AK,Dataset!$F:$F,'retorno absoluto'!$D$11,Dataset!$AC:$AC,H$52,Dataset!$J:$J,"&lt;"&amp;$D57,Dataset!J:J,"&gt;="&amp;$C57)</f>
        <v>0</v>
      </c>
      <c r="I57" s="159">
        <f>SUMIFS(Dataset!$AK:$AK,Dataset!$F:$F,'retorno absoluto'!$D$11,Dataset!$AC:$AC,I$52,Dataset!$J:$J,"&lt;"&amp;$D57,Dataset!J:J,"&gt;="&amp;$C57)</f>
        <v>0</v>
      </c>
      <c r="J57" s="159">
        <f>SUMIFS(Dataset!$AK:$AK,Dataset!$F:$F,'retorno absoluto'!$D$11,Dataset!$AC:$AC,"A",Dataset!$J:$J,"&lt;"&amp;$D57,Dataset!$J:$J,"&gt;="&amp;$C57)+SUMIFS(Dataset!$AK:$AK,Dataset!$F:$F,'retorno absoluto'!$D$11,Dataset!$AC:$AC,"A-",Dataset!$J:$J,"&lt;"&amp;$D57,Dataset!$J:$J,"&gt;="&amp;$C57)+SUMIFS(Dataset!$AK:$AK,Dataset!$F:$F,'retorno absoluto'!$D$11,Dataset!$AC:$AC,"A+",Dataset!$J:$J,"&lt;"&amp;$D57,Dataset!$J:$J,"&gt;="&amp;$C57)</f>
        <v>0</v>
      </c>
      <c r="K57" s="159">
        <f>SUMIFS(Dataset!$AK:$AK,Dataset!$F:$F,'retorno absoluto'!$D$11,Dataset!$AC:$AC,"BBB",Dataset!$J:$J,"&lt;"&amp;$D57,Dataset!$J:$J,"&gt;="&amp;$C57)+SUMIFS(Dataset!$AK:$AK,Dataset!$F:$F,'retorno absoluto'!$D$11,Dataset!$AC:$AC,"BBB-",Dataset!$J:$J,"&lt;"&amp;$D57,Dataset!$J:$J,"&gt;="&amp;$C57)+SUMIFS(Dataset!$AK:$AK,Dataset!$F:$F,'retorno absoluto'!$D$11,Dataset!$AC:$AC,"BBB+",Dataset!$J:$J,"&lt;"&amp;$D57,Dataset!$J:$J,"&gt;="&amp;$C57)</f>
        <v>0</v>
      </c>
      <c r="L57" s="159">
        <f>SUMIFS(Dataset!$AK:$AK,Dataset!$F:$F,'retorno absoluto'!$D$11,Dataset!$J:$J,"&lt;"&amp;$D57,Dataset!$J:$J,"&gt;="&amp;$C57,Dataset!$AC:$AC,"&lt;&gt;N-1+",Dataset!$AC:$AC,"&lt;&gt;*AA*",Dataset!$AC:$AC,"&lt;&gt;*AAA*",Dataset!$AC:$AC,"&lt;&gt;A",Dataset!$AC:$AC,"&lt;&gt;A-",Dataset!$AC:$AC,"&lt;&gt;A+",Dataset!$AC:$AC,"&lt;&gt;*BBB*")</f>
        <v>0</v>
      </c>
      <c r="M57" s="160">
        <f t="shared" si="2"/>
        <v>0.13975520327916299</v>
      </c>
      <c r="N57" s="158">
        <f>SUMIFS(Dataset!$AA:$AA,Dataset!$F:$F,'retorno absoluto'!$D$11,Dataset!$AC:$AC,N$52,Dataset!$J:$J,"&lt;"&amp;$D57,Dataset!$J:$J,"&gt;="&amp;$C57)</f>
        <v>0</v>
      </c>
      <c r="O57" s="159">
        <f>SUMIFS(Dataset!$AA:$AA,Dataset!$F:$F,'retorno absoluto'!$D$11,Dataset!$AC:$AC,O$52,Dataset!$J:$J,"&lt;"&amp;$D57,Dataset!$J:$J,"&gt;="&amp;$C57)</f>
        <v>6.835340731223577E-2</v>
      </c>
      <c r="P57" s="159">
        <f>SUMIFS(Dataset!$AA:$AA,Dataset!$F:$F,'retorno absoluto'!$D$11,Dataset!$AC:$AC,P$52,Dataset!$J:$J,"&lt;"&amp;$D57,Dataset!$J:$J,"&gt;="&amp;$C57)</f>
        <v>0</v>
      </c>
      <c r="Q57" s="159">
        <f>SUMIFS(Dataset!$AA:$AA,Dataset!$F:$F,'retorno absoluto'!$D$11,Dataset!$AC:$AC,Q$52,Dataset!$J:$J,"&lt;"&amp;$D57,Dataset!$J:$J,"&gt;="&amp;$C57)</f>
        <v>0</v>
      </c>
      <c r="R57" s="159">
        <f>SUMIFS(Dataset!$AA:$AA,Dataset!$F:$F,'retorno absoluto'!$D$11,Dataset!$AC:$AC,R$52,Dataset!$J:$J,"&lt;"&amp;$D57,Dataset!$J:$J,"&gt;="&amp;$C57)</f>
        <v>0</v>
      </c>
      <c r="S57" s="159">
        <f>SUMIFS(Dataset!$AA:$AA,Dataset!$F:$F,'retorno absoluto'!$D$11,Dataset!$AC:$AC,"A",Dataset!$J:$J,"&lt;"&amp;$D57,Dataset!$J:$J,"&gt;="&amp;$C57)+SUMIFS(Dataset!$AA:$AA,Dataset!$F:$F,'retorno absoluto'!$D$11,Dataset!$AC:$AC,"A-",Dataset!$J:$J,"&lt;"&amp;$D57,Dataset!$J:$J,"&gt;="&amp;$C57)+SUMIFS(Dataset!$AA:$AA,Dataset!$F:$F,'retorno absoluto'!$D$11,Dataset!$AC:$AC,"A+",Dataset!$J:$J,"&lt;"&amp;$D57,Dataset!$J:$J,"&gt;="&amp;$C57)</f>
        <v>0</v>
      </c>
      <c r="T57" s="159">
        <f>SUMIFS(Dataset!$AA:$AA,Dataset!$F:$F,'retorno absoluto'!$D$11,Dataset!$AC:$AC,"BBB-",Dataset!$J:$J,"&lt;"&amp;$D57,Dataset!$J:$J,"&gt;="&amp;$C57)+SUMIFS(Dataset!$AA:$AA,Dataset!$F:$F,'retorno absoluto'!$D$11,Dataset!$AC:$AC,"BBB",Dataset!$J:$J,"&lt;"&amp;$D57,Dataset!$J:$J,"&gt;="&amp;$C57)+SUMIFS(Dataset!$AA:$AA,Dataset!$F:$F,'retorno absoluto'!$D$11,Dataset!$AC:$AC,"BBB+",Dataset!$J:$J,"&lt;"&amp;$D57,Dataset!$J:$J,"&gt;="&amp;$C57)</f>
        <v>0</v>
      </c>
      <c r="U57" s="159">
        <f>SUMIFS(Dataset!$AA:$AA,Dataset!$F:$F,'retorno absoluto'!$D$11,Dataset!$J:$J,"&lt;"&amp;$D57,Dataset!$J:$J,"&gt;="&amp;$C57,Dataset!$AC:$AC,"&lt;&gt;N-1+",Dataset!$AC:$AC,"&lt;&gt;*AA*",Dataset!$AC:$AC,"&lt;&gt;*AAA*",Dataset!$AC:$AC,"&lt;&gt;A",Dataset!$AC:$AC,"&lt;&gt;A-",Dataset!$AC:$AC,"&lt;&gt;A+",Dataset!$AC:$AC,"&lt;&gt;*BBB*")</f>
        <v>0</v>
      </c>
      <c r="V57" s="160">
        <f t="shared" si="3"/>
        <v>6.835340731223577E-2</v>
      </c>
      <c r="W57" s="161">
        <f>10*SUMIFS(Dataset!$H:$H,Dataset!$F:$F,'retorno absoluto'!$D$11,Dataset!$AC:$AC,W$52,Dataset!$J:$J,"&lt;"&amp;$D57,Dataset!J:J,"&gt;="&amp;$C57)</f>
        <v>0</v>
      </c>
      <c r="X57" s="162">
        <f>10*SUMIFS(Dataset!$H:$H,Dataset!$F:$F,'retorno absoluto'!$D$11,Dataset!$AC:$AC,X$52,Dataset!$J:$J,"&lt;"&amp;$D57,Dataset!J:J,"&gt;="&amp;$C57)</f>
        <v>5.4560638499039085</v>
      </c>
      <c r="Y57" s="162">
        <f>10*SUMIFS(Dataset!$H:$H,Dataset!$F:$F,'retorno absoluto'!$D$11,Dataset!$AC:$AC,Y$52,Dataset!$J:$J,"&lt;"&amp;$D57,Dataset!J:J,"&gt;="&amp;$C57)</f>
        <v>0</v>
      </c>
      <c r="Z57" s="162">
        <f>10*SUMIFS(Dataset!$H:$H,Dataset!$F:$F,'retorno absoluto'!$D$11,Dataset!$AC:$AC,Z$52,Dataset!$J:$J,"&lt;"&amp;$D57,Dataset!J:J,"&gt;="&amp;$C57)</f>
        <v>0</v>
      </c>
      <c r="AA57" s="162">
        <f>10*SUMIFS(Dataset!$H:$H,Dataset!$F:$F,'retorno absoluto'!$D$11,Dataset!$AC:$AC,AA$52,Dataset!$J:$J,"&lt;"&amp;$D57,Dataset!J:J,"&gt;="&amp;$C57)</f>
        <v>0</v>
      </c>
      <c r="AB57" s="162">
        <f>10*SUMIFS(Dataset!$H:$H,Dataset!$F:$F,'retorno absoluto'!$D$11,Dataset!$AC:$AC,"A",Dataset!$J:$J,"&lt;"&amp;$D57,Dataset!$J:$J,"&gt;="&amp;$C57)+10*SUMIFS(Dataset!$H:$H,Dataset!$F:$F,'retorno absoluto'!$D$11,Dataset!$AC:$AC,"A-",Dataset!$J:$J,"&lt;"&amp;$D57,Dataset!$J:$J,"&gt;="&amp;$C57)+10*SUMIFS(Dataset!$H:$H,Dataset!$F:$F,'retorno absoluto'!$D$11,Dataset!$AC:$AC,"A+",Dataset!$J:$J,"&lt;"&amp;$D57,Dataset!$J:$J,"&gt;="&amp;$C57)</f>
        <v>0</v>
      </c>
      <c r="AC57" s="162">
        <f>10*SUMIFS(Dataset!$H:$H,Dataset!$F:$F,'retorno absoluto'!$D$11,Dataset!$AC:$AC,"BBB",Dataset!$J:$J,"&lt;"&amp;$D57,Dataset!$J:$J,"&gt;="&amp;$C57)+10*SUMIFS(Dataset!$H:$H,Dataset!$F:$F,'retorno absoluto'!$D$11,Dataset!$AC:$AC,"BBB-",Dataset!$J:$J,"&lt;"&amp;$D57,Dataset!$J:$J,"&gt;="&amp;$C57)+10*SUMIFS(Dataset!$H:$H,Dataset!$F:$F,'retorno absoluto'!$D$11,Dataset!$AC:$AC,"BBB+",Dataset!$J:$J,"&lt;"&amp;$D57,Dataset!$J:$J,"&gt;="&amp;$C57)</f>
        <v>0</v>
      </c>
      <c r="AD57" s="162">
        <f>10*SUMIFS(Dataset!$H:$H,Dataset!$F:$F,'retorno absoluto'!$D$11,Dataset!$J:$J,"&lt;"&amp;$D57,Dataset!$J:$J,"&gt;="&amp;$C57,Dataset!$AC:$AC,"&lt;&gt;N-1+",Dataset!$AC:$AC,"&lt;&gt;*AA*",Dataset!$AC:$AC,"&lt;&gt;*AAA*",Dataset!$AC:$AC,"&lt;&gt;A",Dataset!$AC:$AC,"&lt;&gt;A-",Dataset!$AC:$AC,"&lt;&gt;A+",Dataset!$AC:$AC,"&lt;&gt;*BBB*")</f>
        <v>0</v>
      </c>
      <c r="AE57" s="163">
        <f t="shared" si="4"/>
        <v>5.4560638499039085</v>
      </c>
    </row>
    <row r="58" spans="3:35" ht="33" customHeight="1" x14ac:dyDescent="0.25">
      <c r="C58" s="89">
        <v>4.5</v>
      </c>
      <c r="D58" s="100">
        <v>5.5</v>
      </c>
      <c r="E58" s="158">
        <f>SUMIFS(Dataset!$AK:$AK,Dataset!$F:$F,'retorno absoluto'!$D$11,Dataset!$AC:$AC,E$52,Dataset!$J:$J,"&lt;"&amp;$D58,Dataset!J:J,"&gt;="&amp;$C58)</f>
        <v>0</v>
      </c>
      <c r="F58" s="159">
        <f>SUMIFS(Dataset!$AK:$AK,Dataset!$F:$F,'retorno absoluto'!$D$11,Dataset!$AC:$AC,F$52,Dataset!$J:$J,"&lt;"&amp;$D58,Dataset!J:J,"&gt;="&amp;$C58)</f>
        <v>4.1290652926091823E-4</v>
      </c>
      <c r="G58" s="159">
        <f>SUMIFS(Dataset!$AK:$AK,Dataset!$F:$F,'retorno absoluto'!$D$11,Dataset!$AC:$AC,G$52,Dataset!$J:$J,"&lt;"&amp;$D58,Dataset!J:J,"&gt;="&amp;$C58)</f>
        <v>0</v>
      </c>
      <c r="H58" s="159">
        <f>SUMIFS(Dataset!$AK:$AK,Dataset!$F:$F,'retorno absoluto'!$D$11,Dataset!$AC:$AC,H$52,Dataset!$J:$J,"&lt;"&amp;$D58,Dataset!J:J,"&gt;="&amp;$C58)</f>
        <v>0</v>
      </c>
      <c r="I58" s="159">
        <f>SUMIFS(Dataset!$AK:$AK,Dataset!$F:$F,'retorno absoluto'!$D$11,Dataset!$AC:$AC,I$52,Dataset!$J:$J,"&lt;"&amp;$D58,Dataset!J:J,"&gt;="&amp;$C58)</f>
        <v>0</v>
      </c>
      <c r="J58" s="159">
        <f>SUMIFS(Dataset!$AK:$AK,Dataset!$F:$F,'retorno absoluto'!$D$11,Dataset!$AC:$AC,"A",Dataset!$J:$J,"&lt;"&amp;$D58,Dataset!$J:$J,"&gt;="&amp;$C58)+SUMIFS(Dataset!$AK:$AK,Dataset!$F:$F,'retorno absoluto'!$D$11,Dataset!$AC:$AC,"A-",Dataset!$J:$J,"&lt;"&amp;$D58,Dataset!$J:$J,"&gt;="&amp;$C58)+SUMIFS(Dataset!$AK:$AK,Dataset!$F:$F,'retorno absoluto'!$D$11,Dataset!$AC:$AC,"A+",Dataset!$J:$J,"&lt;"&amp;$D58,Dataset!$J:$J,"&gt;="&amp;$C58)</f>
        <v>0</v>
      </c>
      <c r="K58" s="159">
        <f>SUMIFS(Dataset!$AK:$AK,Dataset!$F:$F,'retorno absoluto'!$D$11,Dataset!$AC:$AC,"BBB",Dataset!$J:$J,"&lt;"&amp;$D58,Dataset!$J:$J,"&gt;="&amp;$C58)+SUMIFS(Dataset!$AK:$AK,Dataset!$F:$F,'retorno absoluto'!$D$11,Dataset!$AC:$AC,"BBB-",Dataset!$J:$J,"&lt;"&amp;$D58,Dataset!$J:$J,"&gt;="&amp;$C58)+SUMIFS(Dataset!$AK:$AK,Dataset!$F:$F,'retorno absoluto'!$D$11,Dataset!$AC:$AC,"BBB+",Dataset!$J:$J,"&lt;"&amp;$D58,Dataset!$J:$J,"&gt;="&amp;$C58)</f>
        <v>0</v>
      </c>
      <c r="L58" s="159">
        <f>SUMIFS(Dataset!$AK:$AK,Dataset!$F:$F,'retorno absoluto'!$D$11,Dataset!$J:$J,"&lt;"&amp;$D58,Dataset!$J:$J,"&gt;="&amp;$C58,Dataset!$AC:$AC,"&lt;&gt;N-1+",Dataset!$AC:$AC,"&lt;&gt;*AA*",Dataset!$AC:$AC,"&lt;&gt;*AAA*",Dataset!$AC:$AC,"&lt;&gt;A",Dataset!$AC:$AC,"&lt;&gt;A-",Dataset!$AC:$AC,"&lt;&gt;A+",Dataset!$AC:$AC,"&lt;&gt;*BBB*")</f>
        <v>0</v>
      </c>
      <c r="M58" s="160">
        <f t="shared" si="2"/>
        <v>4.1290652926091823E-4</v>
      </c>
      <c r="N58" s="158">
        <f>SUMIFS(Dataset!$AA:$AA,Dataset!$F:$F,'retorno absoluto'!$D$11,Dataset!$AC:$AC,N$52,Dataset!$J:$J,"&lt;"&amp;$D58,Dataset!$J:$J,"&gt;="&amp;$C58)</f>
        <v>0</v>
      </c>
      <c r="O58" s="159">
        <f>SUMIFS(Dataset!$AA:$AA,Dataset!$F:$F,'retorno absoluto'!$D$11,Dataset!$AC:$AC,O$52,Dataset!$J:$J,"&lt;"&amp;$D58,Dataset!$J:$J,"&gt;="&amp;$C58)</f>
        <v>6.2955220753332095E-4</v>
      </c>
      <c r="P58" s="159">
        <f>SUMIFS(Dataset!$AA:$AA,Dataset!$F:$F,'retorno absoluto'!$D$11,Dataset!$AC:$AC,P$52,Dataset!$J:$J,"&lt;"&amp;$D58,Dataset!$J:$J,"&gt;="&amp;$C58)</f>
        <v>0</v>
      </c>
      <c r="Q58" s="159">
        <f>SUMIFS(Dataset!$AA:$AA,Dataset!$F:$F,'retorno absoluto'!$D$11,Dataset!$AC:$AC,Q$52,Dataset!$J:$J,"&lt;"&amp;$D58,Dataset!$J:$J,"&gt;="&amp;$C58)</f>
        <v>0</v>
      </c>
      <c r="R58" s="159">
        <f>SUMIFS(Dataset!$AA:$AA,Dataset!$F:$F,'retorno absoluto'!$D$11,Dataset!$AC:$AC,R$52,Dataset!$J:$J,"&lt;"&amp;$D58,Dataset!$J:$J,"&gt;="&amp;$C58)</f>
        <v>0</v>
      </c>
      <c r="S58" s="159">
        <f>SUMIFS(Dataset!$AA:$AA,Dataset!$F:$F,'retorno absoluto'!$D$11,Dataset!$AC:$AC,"A",Dataset!$J:$J,"&lt;"&amp;$D58,Dataset!$J:$J,"&gt;="&amp;$C58)+SUMIFS(Dataset!$AA:$AA,Dataset!$F:$F,'retorno absoluto'!$D$11,Dataset!$AC:$AC,"A-",Dataset!$J:$J,"&lt;"&amp;$D58,Dataset!$J:$J,"&gt;="&amp;$C58)+SUMIFS(Dataset!$AA:$AA,Dataset!$F:$F,'retorno absoluto'!$D$11,Dataset!$AC:$AC,"A+",Dataset!$J:$J,"&lt;"&amp;$D58,Dataset!$J:$J,"&gt;="&amp;$C58)</f>
        <v>0</v>
      </c>
      <c r="T58" s="159">
        <f>SUMIFS(Dataset!$AA:$AA,Dataset!$F:$F,'retorno absoluto'!$D$11,Dataset!$AC:$AC,"BBB-",Dataset!$J:$J,"&lt;"&amp;$D58,Dataset!$J:$J,"&gt;="&amp;$C58)+SUMIFS(Dataset!$AA:$AA,Dataset!$F:$F,'retorno absoluto'!$D$11,Dataset!$AC:$AC,"BBB",Dataset!$J:$J,"&lt;"&amp;$D58,Dataset!$J:$J,"&gt;="&amp;$C58)+SUMIFS(Dataset!$AA:$AA,Dataset!$F:$F,'retorno absoluto'!$D$11,Dataset!$AC:$AC,"BBB+",Dataset!$J:$J,"&lt;"&amp;$D58,Dataset!$J:$J,"&gt;="&amp;$C58)</f>
        <v>0</v>
      </c>
      <c r="U58" s="159">
        <f>SUMIFS(Dataset!$AA:$AA,Dataset!$F:$F,'retorno absoluto'!$D$11,Dataset!$J:$J,"&lt;"&amp;$D58,Dataset!$J:$J,"&gt;="&amp;$C58,Dataset!$AC:$AC,"&lt;&gt;N-1+",Dataset!$AC:$AC,"&lt;&gt;*AA*",Dataset!$AC:$AC,"&lt;&gt;*AAA*",Dataset!$AC:$AC,"&lt;&gt;A",Dataset!$AC:$AC,"&lt;&gt;A-",Dataset!$AC:$AC,"&lt;&gt;A+",Dataset!$AC:$AC,"&lt;&gt;*BBB*")</f>
        <v>0</v>
      </c>
      <c r="V58" s="160">
        <f t="shared" si="3"/>
        <v>6.2955220753332095E-4</v>
      </c>
      <c r="W58" s="161">
        <f>10*SUMIFS(Dataset!$H:$H,Dataset!$F:$F,'retorno absoluto'!$D$11,Dataset!$AC:$AC,W$52,Dataset!$J:$J,"&lt;"&amp;$D58,Dataset!J:J,"&gt;="&amp;$C58)</f>
        <v>0</v>
      </c>
      <c r="X58" s="162">
        <f>10*SUMIFS(Dataset!$H:$H,Dataset!$F:$F,'retorno absoluto'!$D$11,Dataset!$AC:$AC,X$52,Dataset!$J:$J,"&lt;"&amp;$D58,Dataset!J:J,"&gt;="&amp;$C58)</f>
        <v>2.1471139521567748E-2</v>
      </c>
      <c r="Y58" s="162">
        <f>10*SUMIFS(Dataset!$H:$H,Dataset!$F:$F,'retorno absoluto'!$D$11,Dataset!$AC:$AC,Y$52,Dataset!$J:$J,"&lt;"&amp;$D58,Dataset!J:J,"&gt;="&amp;$C58)</f>
        <v>0</v>
      </c>
      <c r="Z58" s="162">
        <f>10*SUMIFS(Dataset!$H:$H,Dataset!$F:$F,'retorno absoluto'!$D$11,Dataset!$AC:$AC,Z$52,Dataset!$J:$J,"&lt;"&amp;$D58,Dataset!J:J,"&gt;="&amp;$C58)</f>
        <v>0</v>
      </c>
      <c r="AA58" s="162">
        <f>10*SUMIFS(Dataset!$H:$H,Dataset!$F:$F,'retorno absoluto'!$D$11,Dataset!$AC:$AC,AA$52,Dataset!$J:$J,"&lt;"&amp;$D58,Dataset!J:J,"&gt;="&amp;$C58)</f>
        <v>0</v>
      </c>
      <c r="AB58" s="162">
        <f>10*SUMIFS(Dataset!$H:$H,Dataset!$F:$F,'retorno absoluto'!$D$11,Dataset!$AC:$AC,"A",Dataset!$J:$J,"&lt;"&amp;$D58,Dataset!$J:$J,"&gt;="&amp;$C58)+10*SUMIFS(Dataset!$H:$H,Dataset!$F:$F,'retorno absoluto'!$D$11,Dataset!$AC:$AC,"A-",Dataset!$J:$J,"&lt;"&amp;$D58,Dataset!$J:$J,"&gt;="&amp;$C58)+10*SUMIFS(Dataset!$H:$H,Dataset!$F:$F,'retorno absoluto'!$D$11,Dataset!$AC:$AC,"A+",Dataset!$J:$J,"&lt;"&amp;$D58,Dataset!$J:$J,"&gt;="&amp;$C58)</f>
        <v>0</v>
      </c>
      <c r="AC58" s="162">
        <f>10*SUMIFS(Dataset!$H:$H,Dataset!$F:$F,'retorno absoluto'!$D$11,Dataset!$AC:$AC,"BBB",Dataset!$J:$J,"&lt;"&amp;$D58,Dataset!$J:$J,"&gt;="&amp;$C58)+10*SUMIFS(Dataset!$H:$H,Dataset!$F:$F,'retorno absoluto'!$D$11,Dataset!$AC:$AC,"BBB-",Dataset!$J:$J,"&lt;"&amp;$D58,Dataset!$J:$J,"&gt;="&amp;$C58)+10*SUMIFS(Dataset!$H:$H,Dataset!$F:$F,'retorno absoluto'!$D$11,Dataset!$AC:$AC,"BBB+",Dataset!$J:$J,"&lt;"&amp;$D58,Dataset!$J:$J,"&gt;="&amp;$C58)</f>
        <v>0</v>
      </c>
      <c r="AD58" s="162">
        <f>10*SUMIFS(Dataset!$H:$H,Dataset!$F:$F,'retorno absoluto'!$D$11,Dataset!$J:$J,"&lt;"&amp;$D58,Dataset!$J:$J,"&gt;="&amp;$C58,Dataset!$AC:$AC,"&lt;&gt;N-1+",Dataset!$AC:$AC,"&lt;&gt;*AA*",Dataset!$AC:$AC,"&lt;&gt;*AAA*",Dataset!$AC:$AC,"&lt;&gt;A",Dataset!$AC:$AC,"&lt;&gt;A-",Dataset!$AC:$AC,"&lt;&gt;A+",Dataset!$AC:$AC,"&lt;&gt;*BBB*")</f>
        <v>0</v>
      </c>
      <c r="AE58" s="163">
        <f t="shared" si="4"/>
        <v>2.1471139521567748E-2</v>
      </c>
    </row>
    <row r="59" spans="3:35" ht="33" customHeight="1" x14ac:dyDescent="0.25">
      <c r="C59" s="89">
        <v>5.5</v>
      </c>
      <c r="D59" s="100">
        <v>6.5</v>
      </c>
      <c r="E59" s="158">
        <f>SUMIFS(Dataset!$AK:$AK,Dataset!$F:$F,'retorno absoluto'!$D$11,Dataset!$AC:$AC,E$52,Dataset!$J:$J,"&lt;"&amp;$D59,Dataset!J:J,"&gt;="&amp;$C59)</f>
        <v>0</v>
      </c>
      <c r="F59" s="159">
        <f>SUMIFS(Dataset!$AK:$AK,Dataset!$F:$F,'retorno absoluto'!$D$11,Dataset!$AC:$AC,F$52,Dataset!$J:$J,"&lt;"&amp;$D59,Dataset!J:J,"&gt;="&amp;$C59)</f>
        <v>1.452014334966047E-3</v>
      </c>
      <c r="G59" s="159">
        <f>SUMIFS(Dataset!$AK:$AK,Dataset!$F:$F,'retorno absoluto'!$D$11,Dataset!$AC:$AC,G$52,Dataset!$J:$J,"&lt;"&amp;$D59,Dataset!J:J,"&gt;="&amp;$C59)</f>
        <v>0</v>
      </c>
      <c r="H59" s="159">
        <f>SUMIFS(Dataset!$AK:$AK,Dataset!$F:$F,'retorno absoluto'!$D$11,Dataset!$AC:$AC,H$52,Dataset!$J:$J,"&lt;"&amp;$D59,Dataset!J:J,"&gt;="&amp;$C59)</f>
        <v>0</v>
      </c>
      <c r="I59" s="159">
        <f>SUMIFS(Dataset!$AK:$AK,Dataset!$F:$F,'retorno absoluto'!$D$11,Dataset!$AC:$AC,I$52,Dataset!$J:$J,"&lt;"&amp;$D59,Dataset!J:J,"&gt;="&amp;$C59)</f>
        <v>0</v>
      </c>
      <c r="J59" s="159">
        <f>SUMIFS(Dataset!$AK:$AK,Dataset!$F:$F,'retorno absoluto'!$D$11,Dataset!$AC:$AC,"A",Dataset!$J:$J,"&lt;"&amp;$D59,Dataset!$J:$J,"&gt;="&amp;$C59)+SUMIFS(Dataset!$AK:$AK,Dataset!$F:$F,'retorno absoluto'!$D$11,Dataset!$AC:$AC,"A-",Dataset!$J:$J,"&lt;"&amp;$D59,Dataset!$J:$J,"&gt;="&amp;$C59)+SUMIFS(Dataset!$AK:$AK,Dataset!$F:$F,'retorno absoluto'!$D$11,Dataset!$AC:$AC,"A+",Dataset!$J:$J,"&lt;"&amp;$D59,Dataset!$J:$J,"&gt;="&amp;$C59)</f>
        <v>0</v>
      </c>
      <c r="K59" s="159">
        <f>SUMIFS(Dataset!$AK:$AK,Dataset!$F:$F,'retorno absoluto'!$D$11,Dataset!$AC:$AC,"BBB",Dataset!$J:$J,"&lt;"&amp;$D59,Dataset!$J:$J,"&gt;="&amp;$C59)+SUMIFS(Dataset!$AK:$AK,Dataset!$F:$F,'retorno absoluto'!$D$11,Dataset!$AC:$AC,"BBB-",Dataset!$J:$J,"&lt;"&amp;$D59,Dataset!$J:$J,"&gt;="&amp;$C59)+SUMIFS(Dataset!$AK:$AK,Dataset!$F:$F,'retorno absoluto'!$D$11,Dataset!$AC:$AC,"BBB+",Dataset!$J:$J,"&lt;"&amp;$D59,Dataset!$J:$J,"&gt;="&amp;$C59)</f>
        <v>0</v>
      </c>
      <c r="L59" s="159">
        <f>SUMIFS(Dataset!$AK:$AK,Dataset!$F:$F,'retorno absoluto'!$D$11,Dataset!$J:$J,"&lt;"&amp;$D59,Dataset!$J:$J,"&gt;="&amp;$C59,Dataset!$AC:$AC,"&lt;&gt;N-1+",Dataset!$AC:$AC,"&lt;&gt;*AA*",Dataset!$AC:$AC,"&lt;&gt;*AAA*",Dataset!$AC:$AC,"&lt;&gt;A",Dataset!$AC:$AC,"&lt;&gt;A-",Dataset!$AC:$AC,"&lt;&gt;A+",Dataset!$AC:$AC,"&lt;&gt;*BBB*")</f>
        <v>0</v>
      </c>
      <c r="M59" s="160">
        <f t="shared" si="2"/>
        <v>1.452014334966047E-3</v>
      </c>
      <c r="N59" s="158">
        <f>SUMIFS(Dataset!$AA:$AA,Dataset!$F:$F,'retorno absoluto'!$D$11,Dataset!$AC:$AC,N$52,Dataset!$J:$J,"&lt;"&amp;$D59,Dataset!$J:$J,"&gt;="&amp;$C59)</f>
        <v>0</v>
      </c>
      <c r="O59" s="159">
        <f>SUMIFS(Dataset!$AA:$AA,Dataset!$F:$F,'retorno absoluto'!$D$11,Dataset!$AC:$AC,O$52,Dataset!$J:$J,"&lt;"&amp;$D59,Dataset!$J:$J,"&gt;="&amp;$C59)</f>
        <v>2.213863829143434E-3</v>
      </c>
      <c r="P59" s="159">
        <f>SUMIFS(Dataset!$AA:$AA,Dataset!$F:$F,'retorno absoluto'!$D$11,Dataset!$AC:$AC,P$52,Dataset!$J:$J,"&lt;"&amp;$D59,Dataset!$J:$J,"&gt;="&amp;$C59)</f>
        <v>0</v>
      </c>
      <c r="Q59" s="159">
        <f>SUMIFS(Dataset!$AA:$AA,Dataset!$F:$F,'retorno absoluto'!$D$11,Dataset!$AC:$AC,Q$52,Dataset!$J:$J,"&lt;"&amp;$D59,Dataset!$J:$J,"&gt;="&amp;$C59)</f>
        <v>0</v>
      </c>
      <c r="R59" s="159">
        <f>SUMIFS(Dataset!$AA:$AA,Dataset!$F:$F,'retorno absoluto'!$D$11,Dataset!$AC:$AC,R$52,Dataset!$J:$J,"&lt;"&amp;$D59,Dataset!$J:$J,"&gt;="&amp;$C59)</f>
        <v>0</v>
      </c>
      <c r="S59" s="159">
        <f>SUMIFS(Dataset!$AA:$AA,Dataset!$F:$F,'retorno absoluto'!$D$11,Dataset!$AC:$AC,"A",Dataset!$J:$J,"&lt;"&amp;$D59,Dataset!$J:$J,"&gt;="&amp;$C59)+SUMIFS(Dataset!$AA:$AA,Dataset!$F:$F,'retorno absoluto'!$D$11,Dataset!$AC:$AC,"A-",Dataset!$J:$J,"&lt;"&amp;$D59,Dataset!$J:$J,"&gt;="&amp;$C59)+SUMIFS(Dataset!$AA:$AA,Dataset!$F:$F,'retorno absoluto'!$D$11,Dataset!$AC:$AC,"A+",Dataset!$J:$J,"&lt;"&amp;$D59,Dataset!$J:$J,"&gt;="&amp;$C59)</f>
        <v>0</v>
      </c>
      <c r="T59" s="159">
        <f>SUMIFS(Dataset!$AA:$AA,Dataset!$F:$F,'retorno absoluto'!$D$11,Dataset!$AC:$AC,"BBB-",Dataset!$J:$J,"&lt;"&amp;$D59,Dataset!$J:$J,"&gt;="&amp;$C59)+SUMIFS(Dataset!$AA:$AA,Dataset!$F:$F,'retorno absoluto'!$D$11,Dataset!$AC:$AC,"BBB",Dataset!$J:$J,"&lt;"&amp;$D59,Dataset!$J:$J,"&gt;="&amp;$C59)+SUMIFS(Dataset!$AA:$AA,Dataset!$F:$F,'retorno absoluto'!$D$11,Dataset!$AC:$AC,"BBB+",Dataset!$J:$J,"&lt;"&amp;$D59,Dataset!$J:$J,"&gt;="&amp;$C59)</f>
        <v>0</v>
      </c>
      <c r="U59" s="159">
        <f>SUMIFS(Dataset!$AA:$AA,Dataset!$F:$F,'retorno absoluto'!$D$11,Dataset!$J:$J,"&lt;"&amp;$D59,Dataset!$J:$J,"&gt;="&amp;$C59,Dataset!$AC:$AC,"&lt;&gt;N-1+",Dataset!$AC:$AC,"&lt;&gt;*AA*",Dataset!$AC:$AC,"&lt;&gt;*AAA*",Dataset!$AC:$AC,"&lt;&gt;A",Dataset!$AC:$AC,"&lt;&gt;A-",Dataset!$AC:$AC,"&lt;&gt;A+",Dataset!$AC:$AC,"&lt;&gt;*BBB*")</f>
        <v>0</v>
      </c>
      <c r="V59" s="160">
        <f t="shared" si="3"/>
        <v>2.213863829143434E-3</v>
      </c>
      <c r="W59" s="161">
        <f>10*SUMIFS(Dataset!$H:$H,Dataset!$F:$F,'retorno absoluto'!$D$11,Dataset!$AC:$AC,W$52,Dataset!$J:$J,"&lt;"&amp;$D59,Dataset!J:J,"&gt;="&amp;$C59)</f>
        <v>0</v>
      </c>
      <c r="X59" s="162">
        <f>10*SUMIFS(Dataset!$H:$H,Dataset!$F:$F,'retorno absoluto'!$D$11,Dataset!$AC:$AC,X$52,Dataset!$J:$J,"&lt;"&amp;$D59,Dataset!J:J,"&gt;="&amp;$C59)</f>
        <v>8.0296392723622406E-2</v>
      </c>
      <c r="Y59" s="162">
        <f>10*SUMIFS(Dataset!$H:$H,Dataset!$F:$F,'retorno absoluto'!$D$11,Dataset!$AC:$AC,Y$52,Dataset!$J:$J,"&lt;"&amp;$D59,Dataset!J:J,"&gt;="&amp;$C59)</f>
        <v>0</v>
      </c>
      <c r="Z59" s="162">
        <f>10*SUMIFS(Dataset!$H:$H,Dataset!$F:$F,'retorno absoluto'!$D$11,Dataset!$AC:$AC,Z$52,Dataset!$J:$J,"&lt;"&amp;$D59,Dataset!J:J,"&gt;="&amp;$C59)</f>
        <v>0</v>
      </c>
      <c r="AA59" s="162">
        <f>10*SUMIFS(Dataset!$H:$H,Dataset!$F:$F,'retorno absoluto'!$D$11,Dataset!$AC:$AC,AA$52,Dataset!$J:$J,"&lt;"&amp;$D59,Dataset!J:J,"&gt;="&amp;$C59)</f>
        <v>0</v>
      </c>
      <c r="AB59" s="162">
        <f>10*SUMIFS(Dataset!$H:$H,Dataset!$F:$F,'retorno absoluto'!$D$11,Dataset!$AC:$AC,"A",Dataset!$J:$J,"&lt;"&amp;$D59,Dataset!$J:$J,"&gt;="&amp;$C59)+10*SUMIFS(Dataset!$H:$H,Dataset!$F:$F,'retorno absoluto'!$D$11,Dataset!$AC:$AC,"A-",Dataset!$J:$J,"&lt;"&amp;$D59,Dataset!$J:$J,"&gt;="&amp;$C59)+10*SUMIFS(Dataset!$H:$H,Dataset!$F:$F,'retorno absoluto'!$D$11,Dataset!$AC:$AC,"A+",Dataset!$J:$J,"&lt;"&amp;$D59,Dataset!$J:$J,"&gt;="&amp;$C59)</f>
        <v>0</v>
      </c>
      <c r="AC59" s="162">
        <f>10*SUMIFS(Dataset!$H:$H,Dataset!$F:$F,'retorno absoluto'!$D$11,Dataset!$AC:$AC,"BBB",Dataset!$J:$J,"&lt;"&amp;$D59,Dataset!$J:$J,"&gt;="&amp;$C59)+10*SUMIFS(Dataset!$H:$H,Dataset!$F:$F,'retorno absoluto'!$D$11,Dataset!$AC:$AC,"BBB-",Dataset!$J:$J,"&lt;"&amp;$D59,Dataset!$J:$J,"&gt;="&amp;$C59)+10*SUMIFS(Dataset!$H:$H,Dataset!$F:$F,'retorno absoluto'!$D$11,Dataset!$AC:$AC,"BBB+",Dataset!$J:$J,"&lt;"&amp;$D59,Dataset!$J:$J,"&gt;="&amp;$C59)</f>
        <v>0</v>
      </c>
      <c r="AD59" s="162">
        <f>10*SUMIFS(Dataset!$H:$H,Dataset!$F:$F,'retorno absoluto'!$D$11,Dataset!$J:$J,"&lt;"&amp;$D59,Dataset!$J:$J,"&gt;="&amp;$C59,Dataset!$AC:$AC,"&lt;&gt;N-1+",Dataset!$AC:$AC,"&lt;&gt;*AA*",Dataset!$AC:$AC,"&lt;&gt;*AAA*",Dataset!$AC:$AC,"&lt;&gt;A",Dataset!$AC:$AC,"&lt;&gt;A-",Dataset!$AC:$AC,"&lt;&gt;A+",Dataset!$AC:$AC,"&lt;&gt;*BBB*")</f>
        <v>0</v>
      </c>
      <c r="AE59" s="163">
        <f t="shared" si="4"/>
        <v>8.0296392723622406E-2</v>
      </c>
    </row>
    <row r="60" spans="3:35" ht="33" customHeight="1" x14ac:dyDescent="0.25">
      <c r="C60" s="89">
        <v>6.5</v>
      </c>
      <c r="D60" s="100">
        <v>7.5</v>
      </c>
      <c r="E60" s="158">
        <f>SUMIFS(Dataset!$AK:$AK,Dataset!$F:$F,'retorno absoluto'!$D$11,Dataset!$AC:$AC,E$52,Dataset!$J:$J,"&lt;"&amp;$D60,Dataset!J:J,"&gt;="&amp;$C60)</f>
        <v>0</v>
      </c>
      <c r="F60" s="159">
        <f>SUMIFS(Dataset!$AK:$AK,Dataset!$F:$F,'retorno absoluto'!$D$11,Dataset!$AC:$AC,F$52,Dataset!$J:$J,"&lt;"&amp;$D60,Dataset!J:J,"&gt;="&amp;$C60)</f>
        <v>0</v>
      </c>
      <c r="G60" s="159">
        <f>SUMIFS(Dataset!$AK:$AK,Dataset!$F:$F,'retorno absoluto'!$D$11,Dataset!$AC:$AC,G$52,Dataset!$J:$J,"&lt;"&amp;$D60,Dataset!J:J,"&gt;="&amp;$C60)</f>
        <v>0</v>
      </c>
      <c r="H60" s="159">
        <f>SUMIFS(Dataset!$AK:$AK,Dataset!$F:$F,'retorno absoluto'!$D$11,Dataset!$AC:$AC,H$52,Dataset!$J:$J,"&lt;"&amp;$D60,Dataset!J:J,"&gt;="&amp;$C60)</f>
        <v>0</v>
      </c>
      <c r="I60" s="159">
        <f>SUMIFS(Dataset!$AK:$AK,Dataset!$F:$F,'retorno absoluto'!$D$11,Dataset!$AC:$AC,I$52,Dataset!$J:$J,"&lt;"&amp;$D60,Dataset!J:J,"&gt;="&amp;$C60)</f>
        <v>0</v>
      </c>
      <c r="J60" s="159">
        <f>SUMIFS(Dataset!$AK:$AK,Dataset!$F:$F,'retorno absoluto'!$D$11,Dataset!$AC:$AC,"A",Dataset!$J:$J,"&lt;"&amp;$D60,Dataset!$J:$J,"&gt;="&amp;$C60)+SUMIFS(Dataset!$AK:$AK,Dataset!$F:$F,'retorno absoluto'!$D$11,Dataset!$AC:$AC,"A-",Dataset!$J:$J,"&lt;"&amp;$D60,Dataset!$J:$J,"&gt;="&amp;$C60)+SUMIFS(Dataset!$AK:$AK,Dataset!$F:$F,'retorno absoluto'!$D$11,Dataset!$AC:$AC,"A+",Dataset!$J:$J,"&lt;"&amp;$D60,Dataset!$J:$J,"&gt;="&amp;$C60)</f>
        <v>0</v>
      </c>
      <c r="K60" s="159">
        <f>SUMIFS(Dataset!$AK:$AK,Dataset!$F:$F,'retorno absoluto'!$D$11,Dataset!$AC:$AC,"BBB",Dataset!$J:$J,"&lt;"&amp;$D60,Dataset!$J:$J,"&gt;="&amp;$C60)+SUMIFS(Dataset!$AK:$AK,Dataset!$F:$F,'retorno absoluto'!$D$11,Dataset!$AC:$AC,"BBB-",Dataset!$J:$J,"&lt;"&amp;$D60,Dataset!$J:$J,"&gt;="&amp;$C60)+SUMIFS(Dataset!$AK:$AK,Dataset!$F:$F,'retorno absoluto'!$D$11,Dataset!$AC:$AC,"BBB+",Dataset!$J:$J,"&lt;"&amp;$D60,Dataset!$J:$J,"&gt;="&amp;$C60)</f>
        <v>0</v>
      </c>
      <c r="L60" s="159">
        <f>SUMIFS(Dataset!$AK:$AK,Dataset!$F:$F,'retorno absoluto'!$D$11,Dataset!$J:$J,"&lt;"&amp;$D60,Dataset!$J:$J,"&gt;="&amp;$C60,Dataset!$AC:$AC,"&lt;&gt;N-1+",Dataset!$AC:$AC,"&lt;&gt;*AA*",Dataset!$AC:$AC,"&lt;&gt;*AAA*",Dataset!$AC:$AC,"&lt;&gt;A",Dataset!$AC:$AC,"&lt;&gt;A-",Dataset!$AC:$AC,"&lt;&gt;A+",Dataset!$AC:$AC,"&lt;&gt;*BBB*")</f>
        <v>0</v>
      </c>
      <c r="M60" s="160">
        <f t="shared" si="2"/>
        <v>0</v>
      </c>
      <c r="N60" s="158">
        <f>SUMIFS(Dataset!$AA:$AA,Dataset!$F:$F,'retorno absoluto'!$D$11,Dataset!$AC:$AC,N$52,Dataset!$J:$J,"&lt;"&amp;$D60,Dataset!$J:$J,"&gt;="&amp;$C60)</f>
        <v>0</v>
      </c>
      <c r="O60" s="159">
        <f>SUMIFS(Dataset!$AA:$AA,Dataset!$F:$F,'retorno absoluto'!$D$11,Dataset!$AC:$AC,O$52,Dataset!$J:$J,"&lt;"&amp;$D60,Dataset!$J:$J,"&gt;="&amp;$C60)</f>
        <v>0</v>
      </c>
      <c r="P60" s="159">
        <f>SUMIFS(Dataset!$AA:$AA,Dataset!$F:$F,'retorno absoluto'!$D$11,Dataset!$AC:$AC,P$52,Dataset!$J:$J,"&lt;"&amp;$D60,Dataset!$J:$J,"&gt;="&amp;$C60)</f>
        <v>0</v>
      </c>
      <c r="Q60" s="159">
        <f>SUMIFS(Dataset!$AA:$AA,Dataset!$F:$F,'retorno absoluto'!$D$11,Dataset!$AC:$AC,Q$52,Dataset!$J:$J,"&lt;"&amp;$D60,Dataset!$J:$J,"&gt;="&amp;$C60)</f>
        <v>0</v>
      </c>
      <c r="R60" s="159">
        <f>SUMIFS(Dataset!$AA:$AA,Dataset!$F:$F,'retorno absoluto'!$D$11,Dataset!$AC:$AC,R$52,Dataset!$J:$J,"&lt;"&amp;$D60,Dataset!$J:$J,"&gt;="&amp;$C60)</f>
        <v>0</v>
      </c>
      <c r="S60" s="159">
        <f>SUMIFS(Dataset!$AA:$AA,Dataset!$F:$F,'retorno absoluto'!$D$11,Dataset!$AC:$AC,"A",Dataset!$J:$J,"&lt;"&amp;$D60,Dataset!$J:$J,"&gt;="&amp;$C60)+SUMIFS(Dataset!$AA:$AA,Dataset!$F:$F,'retorno absoluto'!$D$11,Dataset!$AC:$AC,"A-",Dataset!$J:$J,"&lt;"&amp;$D60,Dataset!$J:$J,"&gt;="&amp;$C60)+SUMIFS(Dataset!$AA:$AA,Dataset!$F:$F,'retorno absoluto'!$D$11,Dataset!$AC:$AC,"A+",Dataset!$J:$J,"&lt;"&amp;$D60,Dataset!$J:$J,"&gt;="&amp;$C60)</f>
        <v>0</v>
      </c>
      <c r="T60" s="159">
        <f>SUMIFS(Dataset!$AA:$AA,Dataset!$F:$F,'retorno absoluto'!$D$11,Dataset!$AC:$AC,"BBB-",Dataset!$J:$J,"&lt;"&amp;$D60,Dataset!$J:$J,"&gt;="&amp;$C60)+SUMIFS(Dataset!$AA:$AA,Dataset!$F:$F,'retorno absoluto'!$D$11,Dataset!$AC:$AC,"BBB",Dataset!$J:$J,"&lt;"&amp;$D60,Dataset!$J:$J,"&gt;="&amp;$C60)+SUMIFS(Dataset!$AA:$AA,Dataset!$F:$F,'retorno absoluto'!$D$11,Dataset!$AC:$AC,"BBB+",Dataset!$J:$J,"&lt;"&amp;$D60,Dataset!$J:$J,"&gt;="&amp;$C60)</f>
        <v>0</v>
      </c>
      <c r="U60" s="159">
        <f>SUMIFS(Dataset!$AA:$AA,Dataset!$F:$F,'retorno absoluto'!$D$11,Dataset!$J:$J,"&lt;"&amp;$D60,Dataset!$J:$J,"&gt;="&amp;$C60,Dataset!$AC:$AC,"&lt;&gt;N-1+",Dataset!$AC:$AC,"&lt;&gt;*AA*",Dataset!$AC:$AC,"&lt;&gt;*AAA*",Dataset!$AC:$AC,"&lt;&gt;A",Dataset!$AC:$AC,"&lt;&gt;A-",Dataset!$AC:$AC,"&lt;&gt;A+",Dataset!$AC:$AC,"&lt;&gt;*BBB*")</f>
        <v>0</v>
      </c>
      <c r="V60" s="160">
        <f t="shared" si="3"/>
        <v>0</v>
      </c>
      <c r="W60" s="161">
        <f>10*SUMIFS(Dataset!$H:$H,Dataset!$F:$F,'retorno absoluto'!$D$11,Dataset!$AC:$AC,W$52,Dataset!$J:$J,"&lt;"&amp;$D60,Dataset!J:J,"&gt;="&amp;$C60)</f>
        <v>0</v>
      </c>
      <c r="X60" s="162">
        <f>10*SUMIFS(Dataset!$H:$H,Dataset!$F:$F,'retorno absoluto'!$D$11,Dataset!$AC:$AC,X$52,Dataset!$J:$J,"&lt;"&amp;$D60,Dataset!J:J,"&gt;="&amp;$C60)</f>
        <v>0</v>
      </c>
      <c r="Y60" s="162">
        <f>10*SUMIFS(Dataset!$H:$H,Dataset!$F:$F,'retorno absoluto'!$D$11,Dataset!$AC:$AC,Y$52,Dataset!$J:$J,"&lt;"&amp;$D60,Dataset!J:J,"&gt;="&amp;$C60)</f>
        <v>0</v>
      </c>
      <c r="Z60" s="162">
        <f>10*SUMIFS(Dataset!$H:$H,Dataset!$F:$F,'retorno absoluto'!$D$11,Dataset!$AC:$AC,Z$52,Dataset!$J:$J,"&lt;"&amp;$D60,Dataset!J:J,"&gt;="&amp;$C60)</f>
        <v>0</v>
      </c>
      <c r="AA60" s="162">
        <f>10*SUMIFS(Dataset!$H:$H,Dataset!$F:$F,'retorno absoluto'!$D$11,Dataset!$AC:$AC,AA$52,Dataset!$J:$J,"&lt;"&amp;$D60,Dataset!J:J,"&gt;="&amp;$C60)</f>
        <v>0</v>
      </c>
      <c r="AB60" s="162">
        <f>10*SUMIFS(Dataset!$H:$H,Dataset!$F:$F,'retorno absoluto'!$D$11,Dataset!$AC:$AC,"A",Dataset!$J:$J,"&lt;"&amp;$D60,Dataset!$J:$J,"&gt;="&amp;$C60)+10*SUMIFS(Dataset!$H:$H,Dataset!$F:$F,'retorno absoluto'!$D$11,Dataset!$AC:$AC,"A-",Dataset!$J:$J,"&lt;"&amp;$D60,Dataset!$J:$J,"&gt;="&amp;$C60)+10*SUMIFS(Dataset!$H:$H,Dataset!$F:$F,'retorno absoluto'!$D$11,Dataset!$AC:$AC,"A+",Dataset!$J:$J,"&lt;"&amp;$D60,Dataset!$J:$J,"&gt;="&amp;$C60)</f>
        <v>0</v>
      </c>
      <c r="AC60" s="162">
        <f>10*SUMIFS(Dataset!$H:$H,Dataset!$F:$F,'retorno absoluto'!$D$11,Dataset!$AC:$AC,"BBB",Dataset!$J:$J,"&lt;"&amp;$D60,Dataset!$J:$J,"&gt;="&amp;$C60)+10*SUMIFS(Dataset!$H:$H,Dataset!$F:$F,'retorno absoluto'!$D$11,Dataset!$AC:$AC,"BBB-",Dataset!$J:$J,"&lt;"&amp;$D60,Dataset!$J:$J,"&gt;="&amp;$C60)+10*SUMIFS(Dataset!$H:$H,Dataset!$F:$F,'retorno absoluto'!$D$11,Dataset!$AC:$AC,"BBB+",Dataset!$J:$J,"&lt;"&amp;$D60,Dataset!$J:$J,"&gt;="&amp;$C60)</f>
        <v>0</v>
      </c>
      <c r="AD60" s="162">
        <f>10*SUMIFS(Dataset!$H:$H,Dataset!$F:$F,'retorno absoluto'!$D$11,Dataset!$J:$J,"&lt;"&amp;$D60,Dataset!$J:$J,"&gt;="&amp;$C60,Dataset!$AC:$AC,"&lt;&gt;N-1+",Dataset!$AC:$AC,"&lt;&gt;*AA*",Dataset!$AC:$AC,"&lt;&gt;*AAA*",Dataset!$AC:$AC,"&lt;&gt;A",Dataset!$AC:$AC,"&lt;&gt;A-",Dataset!$AC:$AC,"&lt;&gt;A+",Dataset!$AC:$AC,"&lt;&gt;*BBB*")</f>
        <v>0</v>
      </c>
      <c r="AE60" s="163">
        <f t="shared" si="4"/>
        <v>0</v>
      </c>
    </row>
    <row r="61" spans="3:35" ht="33" customHeight="1" x14ac:dyDescent="0.25">
      <c r="C61" s="89">
        <v>7.5</v>
      </c>
      <c r="D61" s="100">
        <v>8.5</v>
      </c>
      <c r="E61" s="158">
        <f>SUMIFS(Dataset!$AK:$AK,Dataset!$F:$F,'retorno absoluto'!$D$11,Dataset!$AC:$AC,E$52,Dataset!$J:$J,"&lt;"&amp;$D61,Dataset!J:J,"&gt;="&amp;$C61)</f>
        <v>0</v>
      </c>
      <c r="F61" s="159">
        <f>SUMIFS(Dataset!$AK:$AK,Dataset!$F:$F,'retorno absoluto'!$D$11,Dataset!$AC:$AC,F$52,Dataset!$J:$J,"&lt;"&amp;$D61,Dataset!J:J,"&gt;="&amp;$C61)</f>
        <v>0.13179671473631233</v>
      </c>
      <c r="G61" s="159">
        <f>SUMIFS(Dataset!$AK:$AK,Dataset!$F:$F,'retorno absoluto'!$D$11,Dataset!$AC:$AC,G$52,Dataset!$J:$J,"&lt;"&amp;$D61,Dataset!J:J,"&gt;="&amp;$C61)</f>
        <v>0</v>
      </c>
      <c r="H61" s="159">
        <f>SUMIFS(Dataset!$AK:$AK,Dataset!$F:$F,'retorno absoluto'!$D$11,Dataset!$AC:$AC,H$52,Dataset!$J:$J,"&lt;"&amp;$D61,Dataset!J:J,"&gt;="&amp;$C61)</f>
        <v>0</v>
      </c>
      <c r="I61" s="159">
        <f>SUMIFS(Dataset!$AK:$AK,Dataset!$F:$F,'retorno absoluto'!$D$11,Dataset!$AC:$AC,I$52,Dataset!$J:$J,"&lt;"&amp;$D61,Dataset!J:J,"&gt;="&amp;$C61)</f>
        <v>0</v>
      </c>
      <c r="J61" s="159">
        <f>SUMIFS(Dataset!$AK:$AK,Dataset!$F:$F,'retorno absoluto'!$D$11,Dataset!$AC:$AC,"A",Dataset!$J:$J,"&lt;"&amp;$D61,Dataset!$J:$J,"&gt;="&amp;$C61)+SUMIFS(Dataset!$AK:$AK,Dataset!$F:$F,'retorno absoluto'!$D$11,Dataset!$AC:$AC,"A-",Dataset!$J:$J,"&lt;"&amp;$D61,Dataset!$J:$J,"&gt;="&amp;$C61)+SUMIFS(Dataset!$AK:$AK,Dataset!$F:$F,'retorno absoluto'!$D$11,Dataset!$AC:$AC,"A+",Dataset!$J:$J,"&lt;"&amp;$D61,Dataset!$J:$J,"&gt;="&amp;$C61)</f>
        <v>0</v>
      </c>
      <c r="K61" s="159">
        <f>SUMIFS(Dataset!$AK:$AK,Dataset!$F:$F,'retorno absoluto'!$D$11,Dataset!$AC:$AC,"BBB",Dataset!$J:$J,"&lt;"&amp;$D61,Dataset!$J:$J,"&gt;="&amp;$C61)+SUMIFS(Dataset!$AK:$AK,Dataset!$F:$F,'retorno absoluto'!$D$11,Dataset!$AC:$AC,"BBB-",Dataset!$J:$J,"&lt;"&amp;$D61,Dataset!$J:$J,"&gt;="&amp;$C61)+SUMIFS(Dataset!$AK:$AK,Dataset!$F:$F,'retorno absoluto'!$D$11,Dataset!$AC:$AC,"BBB+",Dataset!$J:$J,"&lt;"&amp;$D61,Dataset!$J:$J,"&gt;="&amp;$C61)</f>
        <v>0</v>
      </c>
      <c r="L61" s="159">
        <f>SUMIFS(Dataset!$AK:$AK,Dataset!$F:$F,'retorno absoluto'!$D$11,Dataset!$J:$J,"&lt;"&amp;$D61,Dataset!$J:$J,"&gt;="&amp;$C61,Dataset!$AC:$AC,"&lt;&gt;N-1+",Dataset!$AC:$AC,"&lt;&gt;*AA*",Dataset!$AC:$AC,"&lt;&gt;*AAA*",Dataset!$AC:$AC,"&lt;&gt;A",Dataset!$AC:$AC,"&lt;&gt;A-",Dataset!$AC:$AC,"&lt;&gt;A+",Dataset!$AC:$AC,"&lt;&gt;*BBB*")</f>
        <v>0</v>
      </c>
      <c r="M61" s="160">
        <f t="shared" si="2"/>
        <v>0.13179671473631233</v>
      </c>
      <c r="N61" s="158">
        <f>SUMIFS(Dataset!$AA:$AA,Dataset!$F:$F,'retorno absoluto'!$D$11,Dataset!$AC:$AC,N$52,Dataset!$J:$J,"&lt;"&amp;$D61,Dataset!$J:$J,"&gt;="&amp;$C61)</f>
        <v>0</v>
      </c>
      <c r="O61" s="159">
        <f>SUMIFS(Dataset!$AA:$AA,Dataset!$F:$F,'retorno absoluto'!$D$11,Dataset!$AC:$AC,O$52,Dataset!$J:$J,"&lt;"&amp;$D61,Dataset!$J:$J,"&gt;="&amp;$C61)</f>
        <v>0.21995128312823137</v>
      </c>
      <c r="P61" s="159">
        <f>SUMIFS(Dataset!$AA:$AA,Dataset!$F:$F,'retorno absoluto'!$D$11,Dataset!$AC:$AC,P$52,Dataset!$J:$J,"&lt;"&amp;$D61,Dataset!$J:$J,"&gt;="&amp;$C61)</f>
        <v>0</v>
      </c>
      <c r="Q61" s="159">
        <f>SUMIFS(Dataset!$AA:$AA,Dataset!$F:$F,'retorno absoluto'!$D$11,Dataset!$AC:$AC,Q$52,Dataset!$J:$J,"&lt;"&amp;$D61,Dataset!$J:$J,"&gt;="&amp;$C61)</f>
        <v>0</v>
      </c>
      <c r="R61" s="159">
        <f>SUMIFS(Dataset!$AA:$AA,Dataset!$F:$F,'retorno absoluto'!$D$11,Dataset!$AC:$AC,R$52,Dataset!$J:$J,"&lt;"&amp;$D61,Dataset!$J:$J,"&gt;="&amp;$C61)</f>
        <v>0</v>
      </c>
      <c r="S61" s="159">
        <f>SUMIFS(Dataset!$AA:$AA,Dataset!$F:$F,'retorno absoluto'!$D$11,Dataset!$AC:$AC,"A",Dataset!$J:$J,"&lt;"&amp;$D61,Dataset!$J:$J,"&gt;="&amp;$C61)+SUMIFS(Dataset!$AA:$AA,Dataset!$F:$F,'retorno absoluto'!$D$11,Dataset!$AC:$AC,"A-",Dataset!$J:$J,"&lt;"&amp;$D61,Dataset!$J:$J,"&gt;="&amp;$C61)+SUMIFS(Dataset!$AA:$AA,Dataset!$F:$F,'retorno absoluto'!$D$11,Dataset!$AC:$AC,"A+",Dataset!$J:$J,"&lt;"&amp;$D61,Dataset!$J:$J,"&gt;="&amp;$C61)</f>
        <v>0</v>
      </c>
      <c r="T61" s="159">
        <f>SUMIFS(Dataset!$AA:$AA,Dataset!$F:$F,'retorno absoluto'!$D$11,Dataset!$AC:$AC,"BBB-",Dataset!$J:$J,"&lt;"&amp;$D61,Dataset!$J:$J,"&gt;="&amp;$C61)+SUMIFS(Dataset!$AA:$AA,Dataset!$F:$F,'retorno absoluto'!$D$11,Dataset!$AC:$AC,"BBB",Dataset!$J:$J,"&lt;"&amp;$D61,Dataset!$J:$J,"&gt;="&amp;$C61)+SUMIFS(Dataset!$AA:$AA,Dataset!$F:$F,'retorno absoluto'!$D$11,Dataset!$AC:$AC,"BBB+",Dataset!$J:$J,"&lt;"&amp;$D61,Dataset!$J:$J,"&gt;="&amp;$C61)</f>
        <v>0</v>
      </c>
      <c r="U61" s="159">
        <f>SUMIFS(Dataset!$AA:$AA,Dataset!$F:$F,'retorno absoluto'!$D$11,Dataset!$J:$J,"&lt;"&amp;$D61,Dataset!$J:$J,"&gt;="&amp;$C61,Dataset!$AC:$AC,"&lt;&gt;N-1+",Dataset!$AC:$AC,"&lt;&gt;*AA*",Dataset!$AC:$AC,"&lt;&gt;*AAA*",Dataset!$AC:$AC,"&lt;&gt;A",Dataset!$AC:$AC,"&lt;&gt;A-",Dataset!$AC:$AC,"&lt;&gt;A+",Dataset!$AC:$AC,"&lt;&gt;*BBB*")</f>
        <v>0</v>
      </c>
      <c r="V61" s="160">
        <f t="shared" si="3"/>
        <v>0.21995128312823137</v>
      </c>
      <c r="W61" s="161">
        <f>10*SUMIFS(Dataset!$H:$H,Dataset!$F:$F,'retorno absoluto'!$D$11,Dataset!$AC:$AC,W$52,Dataset!$J:$J,"&lt;"&amp;$D61,Dataset!J:J,"&gt;="&amp;$C61)</f>
        <v>0</v>
      </c>
      <c r="X61" s="162">
        <f>10*SUMIFS(Dataset!$H:$H,Dataset!$F:$F,'retorno absoluto'!$D$11,Dataset!$AC:$AC,X$52,Dataset!$J:$J,"&lt;"&amp;$D61,Dataset!J:J,"&gt;="&amp;$C61)</f>
        <v>10.385581121221412</v>
      </c>
      <c r="Y61" s="162">
        <f>10*SUMIFS(Dataset!$H:$H,Dataset!$F:$F,'retorno absoluto'!$D$11,Dataset!$AC:$AC,Y$52,Dataset!$J:$J,"&lt;"&amp;$D61,Dataset!J:J,"&gt;="&amp;$C61)</f>
        <v>0</v>
      </c>
      <c r="Z61" s="162">
        <f>10*SUMIFS(Dataset!$H:$H,Dataset!$F:$F,'retorno absoluto'!$D$11,Dataset!$AC:$AC,Z$52,Dataset!$J:$J,"&lt;"&amp;$D61,Dataset!J:J,"&gt;="&amp;$C61)</f>
        <v>0</v>
      </c>
      <c r="AA61" s="162">
        <f>10*SUMIFS(Dataset!$H:$H,Dataset!$F:$F,'retorno absoluto'!$D$11,Dataset!$AC:$AC,AA$52,Dataset!$J:$J,"&lt;"&amp;$D61,Dataset!J:J,"&gt;="&amp;$C61)</f>
        <v>0</v>
      </c>
      <c r="AB61" s="162">
        <f>10*SUMIFS(Dataset!$H:$H,Dataset!$F:$F,'retorno absoluto'!$D$11,Dataset!$AC:$AC,"A",Dataset!$J:$J,"&lt;"&amp;$D61,Dataset!$J:$J,"&gt;="&amp;$C61)+10*SUMIFS(Dataset!$H:$H,Dataset!$F:$F,'retorno absoluto'!$D$11,Dataset!$AC:$AC,"A-",Dataset!$J:$J,"&lt;"&amp;$D61,Dataset!$J:$J,"&gt;="&amp;$C61)+10*SUMIFS(Dataset!$H:$H,Dataset!$F:$F,'retorno absoluto'!$D$11,Dataset!$AC:$AC,"A+",Dataset!$J:$J,"&lt;"&amp;$D61,Dataset!$J:$J,"&gt;="&amp;$C61)</f>
        <v>0</v>
      </c>
      <c r="AC61" s="162">
        <f>10*SUMIFS(Dataset!$H:$H,Dataset!$F:$F,'retorno absoluto'!$D$11,Dataset!$AC:$AC,"BBB",Dataset!$J:$J,"&lt;"&amp;$D61,Dataset!$J:$J,"&gt;="&amp;$C61)+10*SUMIFS(Dataset!$H:$H,Dataset!$F:$F,'retorno absoluto'!$D$11,Dataset!$AC:$AC,"BBB-",Dataset!$J:$J,"&lt;"&amp;$D61,Dataset!$J:$J,"&gt;="&amp;$C61)+10*SUMIFS(Dataset!$H:$H,Dataset!$F:$F,'retorno absoluto'!$D$11,Dataset!$AC:$AC,"BBB+",Dataset!$J:$J,"&lt;"&amp;$D61,Dataset!$J:$J,"&gt;="&amp;$C61)</f>
        <v>0</v>
      </c>
      <c r="AD61" s="162">
        <f>10*SUMIFS(Dataset!$H:$H,Dataset!$F:$F,'retorno absoluto'!$D$11,Dataset!$J:$J,"&lt;"&amp;$D61,Dataset!$J:$J,"&gt;="&amp;$C61,Dataset!$AC:$AC,"&lt;&gt;N-1+",Dataset!$AC:$AC,"&lt;&gt;*AA*",Dataset!$AC:$AC,"&lt;&gt;*AAA*",Dataset!$AC:$AC,"&lt;&gt;A",Dataset!$AC:$AC,"&lt;&gt;A-",Dataset!$AC:$AC,"&lt;&gt;A+",Dataset!$AC:$AC,"&lt;&gt;*BBB*")</f>
        <v>0</v>
      </c>
      <c r="AE61" s="163">
        <f t="shared" si="4"/>
        <v>10.385581121221412</v>
      </c>
    </row>
    <row r="62" spans="3:35" ht="33" customHeight="1" x14ac:dyDescent="0.25">
      <c r="C62" s="89">
        <v>8.5</v>
      </c>
      <c r="D62" s="100">
        <v>9.5</v>
      </c>
      <c r="E62" s="158">
        <f>SUMIFS(Dataset!$AK:$AK,Dataset!$F:$F,'retorno absoluto'!$D$11,Dataset!$AC:$AC,E$52,Dataset!$J:$J,"&lt;"&amp;$D62,Dataset!J:J,"&gt;="&amp;$C62)</f>
        <v>0</v>
      </c>
      <c r="F62" s="159">
        <f>SUMIFS(Dataset!$AK:$AK,Dataset!$F:$F,'retorno absoluto'!$D$11,Dataset!$AC:$AC,F$52,Dataset!$J:$J,"&lt;"&amp;$D62,Dataset!J:J,"&gt;="&amp;$C62)</f>
        <v>0</v>
      </c>
      <c r="G62" s="159">
        <f>SUMIFS(Dataset!$AK:$AK,Dataset!$F:$F,'retorno absoluto'!$D$11,Dataset!$AC:$AC,G$52,Dataset!$J:$J,"&lt;"&amp;$D62,Dataset!J:J,"&gt;="&amp;$C62)</f>
        <v>0</v>
      </c>
      <c r="H62" s="159">
        <f>SUMIFS(Dataset!$AK:$AK,Dataset!$F:$F,'retorno absoluto'!$D$11,Dataset!$AC:$AC,H$52,Dataset!$J:$J,"&lt;"&amp;$D62,Dataset!J:J,"&gt;="&amp;$C62)</f>
        <v>2.0407686494486998E-3</v>
      </c>
      <c r="I62" s="159">
        <f>SUMIFS(Dataset!$AK:$AK,Dataset!$F:$F,'retorno absoluto'!$D$11,Dataset!$AC:$AC,I$52,Dataset!$J:$J,"&lt;"&amp;$D62,Dataset!J:J,"&gt;="&amp;$C62)</f>
        <v>0</v>
      </c>
      <c r="J62" s="159">
        <f>SUMIFS(Dataset!$AK:$AK,Dataset!$F:$F,'retorno absoluto'!$D$11,Dataset!$AC:$AC,"A",Dataset!$J:$J,"&lt;"&amp;$D62,Dataset!$J:$J,"&gt;="&amp;$C62)+SUMIFS(Dataset!$AK:$AK,Dataset!$F:$F,'retorno absoluto'!$D$11,Dataset!$AC:$AC,"A-",Dataset!$J:$J,"&lt;"&amp;$D62,Dataset!$J:$J,"&gt;="&amp;$C62)+SUMIFS(Dataset!$AK:$AK,Dataset!$F:$F,'retorno absoluto'!$D$11,Dataset!$AC:$AC,"A+",Dataset!$J:$J,"&lt;"&amp;$D62,Dataset!$J:$J,"&gt;="&amp;$C62)</f>
        <v>0</v>
      </c>
      <c r="K62" s="159">
        <f>SUMIFS(Dataset!$AK:$AK,Dataset!$F:$F,'retorno absoluto'!$D$11,Dataset!$AC:$AC,"BBB",Dataset!$J:$J,"&lt;"&amp;$D62,Dataset!$J:$J,"&gt;="&amp;$C62)+SUMIFS(Dataset!$AK:$AK,Dataset!$F:$F,'retorno absoluto'!$D$11,Dataset!$AC:$AC,"BBB-",Dataset!$J:$J,"&lt;"&amp;$D62,Dataset!$J:$J,"&gt;="&amp;$C62)+SUMIFS(Dataset!$AK:$AK,Dataset!$F:$F,'retorno absoluto'!$D$11,Dataset!$AC:$AC,"BBB+",Dataset!$J:$J,"&lt;"&amp;$D62,Dataset!$J:$J,"&gt;="&amp;$C62)</f>
        <v>0</v>
      </c>
      <c r="L62" s="159">
        <f>SUMIFS(Dataset!$AK:$AK,Dataset!$F:$F,'retorno absoluto'!$D$11,Dataset!$J:$J,"&lt;"&amp;$D62,Dataset!$J:$J,"&gt;="&amp;$C62,Dataset!$AC:$AC,"&lt;&gt;N-1+",Dataset!$AC:$AC,"&lt;&gt;*AA*",Dataset!$AC:$AC,"&lt;&gt;*AAA*",Dataset!$AC:$AC,"&lt;&gt;A",Dataset!$AC:$AC,"&lt;&gt;A-",Dataset!$AC:$AC,"&lt;&gt;A+",Dataset!$AC:$AC,"&lt;&gt;*BBB*")</f>
        <v>0</v>
      </c>
      <c r="M62" s="160">
        <f t="shared" si="2"/>
        <v>2.0407686494486998E-3</v>
      </c>
      <c r="N62" s="158">
        <f>SUMIFS(Dataset!$AA:$AA,Dataset!$F:$F,'retorno absoluto'!$D$11,Dataset!$AC:$AC,N$52,Dataset!$J:$J,"&lt;"&amp;$D62,Dataset!$J:$J,"&gt;="&amp;$C62)</f>
        <v>0</v>
      </c>
      <c r="O62" s="159">
        <f>SUMIFS(Dataset!$AA:$AA,Dataset!$F:$F,'retorno absoluto'!$D$11,Dataset!$AC:$AC,O$52,Dataset!$J:$J,"&lt;"&amp;$D62,Dataset!$J:$J,"&gt;="&amp;$C62)</f>
        <v>0</v>
      </c>
      <c r="P62" s="159">
        <f>SUMIFS(Dataset!$AA:$AA,Dataset!$F:$F,'retorno absoluto'!$D$11,Dataset!$AC:$AC,P$52,Dataset!$J:$J,"&lt;"&amp;$D62,Dataset!$J:$J,"&gt;="&amp;$C62)</f>
        <v>0</v>
      </c>
      <c r="Q62" s="159">
        <f>SUMIFS(Dataset!$AA:$AA,Dataset!$F:$F,'retorno absoluto'!$D$11,Dataset!$AC:$AC,Q$52,Dataset!$J:$J,"&lt;"&amp;$D62,Dataset!$J:$J,"&gt;="&amp;$C62)</f>
        <v>3.2849686377658541E-3</v>
      </c>
      <c r="R62" s="159">
        <f>SUMIFS(Dataset!$AA:$AA,Dataset!$F:$F,'retorno absoluto'!$D$11,Dataset!$AC:$AC,R$52,Dataset!$J:$J,"&lt;"&amp;$D62,Dataset!$J:$J,"&gt;="&amp;$C62)</f>
        <v>0</v>
      </c>
      <c r="S62" s="159">
        <f>SUMIFS(Dataset!$AA:$AA,Dataset!$F:$F,'retorno absoluto'!$D$11,Dataset!$AC:$AC,"A",Dataset!$J:$J,"&lt;"&amp;$D62,Dataset!$J:$J,"&gt;="&amp;$C62)+SUMIFS(Dataset!$AA:$AA,Dataset!$F:$F,'retorno absoluto'!$D$11,Dataset!$AC:$AC,"A-",Dataset!$J:$J,"&lt;"&amp;$D62,Dataset!$J:$J,"&gt;="&amp;$C62)+SUMIFS(Dataset!$AA:$AA,Dataset!$F:$F,'retorno absoluto'!$D$11,Dataset!$AC:$AC,"A+",Dataset!$J:$J,"&lt;"&amp;$D62,Dataset!$J:$J,"&gt;="&amp;$C62)</f>
        <v>0</v>
      </c>
      <c r="T62" s="159">
        <f>SUMIFS(Dataset!$AA:$AA,Dataset!$F:$F,'retorno absoluto'!$D$11,Dataset!$AC:$AC,"BBB-",Dataset!$J:$J,"&lt;"&amp;$D62,Dataset!$J:$J,"&gt;="&amp;$C62)+SUMIFS(Dataset!$AA:$AA,Dataset!$F:$F,'retorno absoluto'!$D$11,Dataset!$AC:$AC,"BBB",Dataset!$J:$J,"&lt;"&amp;$D62,Dataset!$J:$J,"&gt;="&amp;$C62)+SUMIFS(Dataset!$AA:$AA,Dataset!$F:$F,'retorno absoluto'!$D$11,Dataset!$AC:$AC,"BBB+",Dataset!$J:$J,"&lt;"&amp;$D62,Dataset!$J:$J,"&gt;="&amp;$C62)</f>
        <v>0</v>
      </c>
      <c r="U62" s="159">
        <f>SUMIFS(Dataset!$AA:$AA,Dataset!$F:$F,'retorno absoluto'!$D$11,Dataset!$J:$J,"&lt;"&amp;$D62,Dataset!$J:$J,"&gt;="&amp;$C62,Dataset!$AC:$AC,"&lt;&gt;N-1+",Dataset!$AC:$AC,"&lt;&gt;*AA*",Dataset!$AC:$AC,"&lt;&gt;*AAA*",Dataset!$AC:$AC,"&lt;&gt;A",Dataset!$AC:$AC,"&lt;&gt;A-",Dataset!$AC:$AC,"&lt;&gt;A+",Dataset!$AC:$AC,"&lt;&gt;*BBB*")</f>
        <v>0</v>
      </c>
      <c r="V62" s="160">
        <f t="shared" si="3"/>
        <v>3.2849686377658541E-3</v>
      </c>
      <c r="W62" s="161">
        <f>10*SUMIFS(Dataset!$H:$H,Dataset!$F:$F,'retorno absoluto'!$D$11,Dataset!$AC:$AC,W$52,Dataset!$J:$J,"&lt;"&amp;$D62,Dataset!J:J,"&gt;="&amp;$C62)</f>
        <v>0</v>
      </c>
      <c r="X62" s="162">
        <f>10*SUMIFS(Dataset!$H:$H,Dataset!$F:$F,'retorno absoluto'!$D$11,Dataset!$AC:$AC,X$52,Dataset!$J:$J,"&lt;"&amp;$D62,Dataset!J:J,"&gt;="&amp;$C62)</f>
        <v>0</v>
      </c>
      <c r="Y62" s="162">
        <f>10*SUMIFS(Dataset!$H:$H,Dataset!$F:$F,'retorno absoluto'!$D$11,Dataset!$AC:$AC,Y$52,Dataset!$J:$J,"&lt;"&amp;$D62,Dataset!J:J,"&gt;="&amp;$C62)</f>
        <v>0</v>
      </c>
      <c r="Z62" s="162">
        <f>10*SUMIFS(Dataset!$H:$H,Dataset!$F:$F,'retorno absoluto'!$D$11,Dataset!$AC:$AC,Z$52,Dataset!$J:$J,"&lt;"&amp;$D62,Dataset!J:J,"&gt;="&amp;$C62)</f>
        <v>0.18326102472049324</v>
      </c>
      <c r="AA62" s="162">
        <f>10*SUMIFS(Dataset!$H:$H,Dataset!$F:$F,'retorno absoluto'!$D$11,Dataset!$AC:$AC,AA$52,Dataset!$J:$J,"&lt;"&amp;$D62,Dataset!J:J,"&gt;="&amp;$C62)</f>
        <v>0</v>
      </c>
      <c r="AB62" s="162">
        <f>10*SUMIFS(Dataset!$H:$H,Dataset!$F:$F,'retorno absoluto'!$D$11,Dataset!$AC:$AC,"A",Dataset!$J:$J,"&lt;"&amp;$D62,Dataset!$J:$J,"&gt;="&amp;$C62)+10*SUMIFS(Dataset!$H:$H,Dataset!$F:$F,'retorno absoluto'!$D$11,Dataset!$AC:$AC,"A-",Dataset!$J:$J,"&lt;"&amp;$D62,Dataset!$J:$J,"&gt;="&amp;$C62)+10*SUMIFS(Dataset!$H:$H,Dataset!$F:$F,'retorno absoluto'!$D$11,Dataset!$AC:$AC,"A+",Dataset!$J:$J,"&lt;"&amp;$D62,Dataset!$J:$J,"&gt;="&amp;$C62)</f>
        <v>0</v>
      </c>
      <c r="AC62" s="162">
        <f>10*SUMIFS(Dataset!$H:$H,Dataset!$F:$F,'retorno absoluto'!$D$11,Dataset!$AC:$AC,"BBB",Dataset!$J:$J,"&lt;"&amp;$D62,Dataset!$J:$J,"&gt;="&amp;$C62)+10*SUMIFS(Dataset!$H:$H,Dataset!$F:$F,'retorno absoluto'!$D$11,Dataset!$AC:$AC,"BBB-",Dataset!$J:$J,"&lt;"&amp;$D62,Dataset!$J:$J,"&gt;="&amp;$C62)+10*SUMIFS(Dataset!$H:$H,Dataset!$F:$F,'retorno absoluto'!$D$11,Dataset!$AC:$AC,"BBB+",Dataset!$J:$J,"&lt;"&amp;$D62,Dataset!$J:$J,"&gt;="&amp;$C62)</f>
        <v>0</v>
      </c>
      <c r="AD62" s="162">
        <f>10*SUMIFS(Dataset!$H:$H,Dataset!$F:$F,'retorno absoluto'!$D$11,Dataset!$J:$J,"&lt;"&amp;$D62,Dataset!$J:$J,"&gt;="&amp;$C62,Dataset!$AC:$AC,"&lt;&gt;N-1+",Dataset!$AC:$AC,"&lt;&gt;*AA*",Dataset!$AC:$AC,"&lt;&gt;*AAA*",Dataset!$AC:$AC,"&lt;&gt;A",Dataset!$AC:$AC,"&lt;&gt;A-",Dataset!$AC:$AC,"&lt;&gt;A+",Dataset!$AC:$AC,"&lt;&gt;*BBB*")</f>
        <v>0</v>
      </c>
      <c r="AE62" s="163">
        <f t="shared" si="4"/>
        <v>0.18326102472049324</v>
      </c>
    </row>
    <row r="63" spans="3:35" ht="33" customHeight="1" x14ac:dyDescent="0.25">
      <c r="C63" s="89">
        <v>9.5</v>
      </c>
      <c r="D63" s="100">
        <v>10.5</v>
      </c>
      <c r="E63" s="158">
        <f>SUMIFS(Dataset!$AK:$AK,Dataset!$F:$F,'retorno absoluto'!$D$11,Dataset!$AC:$AC,E$52,Dataset!$J:$J,"&lt;"&amp;$D63,Dataset!J:J,"&gt;="&amp;$C63)</f>
        <v>0</v>
      </c>
      <c r="F63" s="159">
        <f>SUMIFS(Dataset!$AK:$AK,Dataset!$F:$F,'retorno absoluto'!$D$11,Dataset!$AC:$AC,F$52,Dataset!$J:$J,"&lt;"&amp;$D63,Dataset!J:J,"&gt;="&amp;$C63)</f>
        <v>0</v>
      </c>
      <c r="G63" s="159">
        <f>SUMIFS(Dataset!$AK:$AK,Dataset!$F:$F,'retorno absoluto'!$D$11,Dataset!$AC:$AC,G$52,Dataset!$J:$J,"&lt;"&amp;$D63,Dataset!J:J,"&gt;="&amp;$C63)</f>
        <v>0</v>
      </c>
      <c r="H63" s="159">
        <f>SUMIFS(Dataset!$AK:$AK,Dataset!$F:$F,'retorno absoluto'!$D$11,Dataset!$AC:$AC,H$52,Dataset!$J:$J,"&lt;"&amp;$D63,Dataset!J:J,"&gt;="&amp;$C63)</f>
        <v>0</v>
      </c>
      <c r="I63" s="159">
        <f>SUMIFS(Dataset!$AK:$AK,Dataset!$F:$F,'retorno absoluto'!$D$11,Dataset!$AC:$AC,I$52,Dataset!$J:$J,"&lt;"&amp;$D63,Dataset!J:J,"&gt;="&amp;$C63)</f>
        <v>0</v>
      </c>
      <c r="J63" s="159">
        <f>SUMIFS(Dataset!$AK:$AK,Dataset!$F:$F,'retorno absoluto'!$D$11,Dataset!$AC:$AC,"A",Dataset!$J:$J,"&lt;"&amp;$D63,Dataset!$J:$J,"&gt;="&amp;$C63)+SUMIFS(Dataset!$AK:$AK,Dataset!$F:$F,'retorno absoluto'!$D$11,Dataset!$AC:$AC,"A-",Dataset!$J:$J,"&lt;"&amp;$D63,Dataset!$J:$J,"&gt;="&amp;$C63)+SUMIFS(Dataset!$AK:$AK,Dataset!$F:$F,'retorno absoluto'!$D$11,Dataset!$AC:$AC,"A+",Dataset!$J:$J,"&lt;"&amp;$D63,Dataset!$J:$J,"&gt;="&amp;$C63)</f>
        <v>0</v>
      </c>
      <c r="K63" s="159">
        <f>SUMIFS(Dataset!$AK:$AK,Dataset!$F:$F,'retorno absoluto'!$D$11,Dataset!$AC:$AC,"BBB",Dataset!$J:$J,"&lt;"&amp;$D63,Dataset!$J:$J,"&gt;="&amp;$C63)+SUMIFS(Dataset!$AK:$AK,Dataset!$F:$F,'retorno absoluto'!$D$11,Dataset!$AC:$AC,"BBB-",Dataset!$J:$J,"&lt;"&amp;$D63,Dataset!$J:$J,"&gt;="&amp;$C63)+SUMIFS(Dataset!$AK:$AK,Dataset!$F:$F,'retorno absoluto'!$D$11,Dataset!$AC:$AC,"BBB+",Dataset!$J:$J,"&lt;"&amp;$D63,Dataset!$J:$J,"&gt;="&amp;$C63)</f>
        <v>0</v>
      </c>
      <c r="L63" s="159">
        <f>SUMIFS(Dataset!$AK:$AK,Dataset!$F:$F,'retorno absoluto'!$D$11,Dataset!$J:$J,"&lt;"&amp;$D63,Dataset!$J:$J,"&gt;="&amp;$C63,Dataset!$AC:$AC,"&lt;&gt;N-1+",Dataset!$AC:$AC,"&lt;&gt;*AA*",Dataset!$AC:$AC,"&lt;&gt;*AAA*",Dataset!$AC:$AC,"&lt;&gt;A",Dataset!$AC:$AC,"&lt;&gt;A-",Dataset!$AC:$AC,"&lt;&gt;A+",Dataset!$AC:$AC,"&lt;&gt;*BBB*")</f>
        <v>0</v>
      </c>
      <c r="M63" s="160">
        <f t="shared" si="2"/>
        <v>0</v>
      </c>
      <c r="N63" s="158">
        <f>SUMIFS(Dataset!$AA:$AA,Dataset!$F:$F,'retorno absoluto'!$D$11,Dataset!$AC:$AC,N$52,Dataset!$J:$J,"&lt;"&amp;$D63,Dataset!$J:$J,"&gt;="&amp;$C63)</f>
        <v>0</v>
      </c>
      <c r="O63" s="159">
        <f>SUMIFS(Dataset!$AA:$AA,Dataset!$F:$F,'retorno absoluto'!$D$11,Dataset!$AC:$AC,O$52,Dataset!$J:$J,"&lt;"&amp;$D63,Dataset!$J:$J,"&gt;="&amp;$C63)</f>
        <v>0</v>
      </c>
      <c r="P63" s="159">
        <f>SUMIFS(Dataset!$AA:$AA,Dataset!$F:$F,'retorno absoluto'!$D$11,Dataset!$AC:$AC,P$52,Dataset!$J:$J,"&lt;"&amp;$D63,Dataset!$J:$J,"&gt;="&amp;$C63)</f>
        <v>0</v>
      </c>
      <c r="Q63" s="159">
        <f>SUMIFS(Dataset!$AA:$AA,Dataset!$F:$F,'retorno absoluto'!$D$11,Dataset!$AC:$AC,Q$52,Dataset!$J:$J,"&lt;"&amp;$D63,Dataset!$J:$J,"&gt;="&amp;$C63)</f>
        <v>0</v>
      </c>
      <c r="R63" s="159">
        <f>SUMIFS(Dataset!$AA:$AA,Dataset!$F:$F,'retorno absoluto'!$D$11,Dataset!$AC:$AC,R$52,Dataset!$J:$J,"&lt;"&amp;$D63,Dataset!$J:$J,"&gt;="&amp;$C63)</f>
        <v>0</v>
      </c>
      <c r="S63" s="159">
        <f>SUMIFS(Dataset!$AA:$AA,Dataset!$F:$F,'retorno absoluto'!$D$11,Dataset!$AC:$AC,"A",Dataset!$J:$J,"&lt;"&amp;$D63,Dataset!$J:$J,"&gt;="&amp;$C63)+SUMIFS(Dataset!$AA:$AA,Dataset!$F:$F,'retorno absoluto'!$D$11,Dataset!$AC:$AC,"A-",Dataset!$J:$J,"&lt;"&amp;$D63,Dataset!$J:$J,"&gt;="&amp;$C63)+SUMIFS(Dataset!$AA:$AA,Dataset!$F:$F,'retorno absoluto'!$D$11,Dataset!$AC:$AC,"A+",Dataset!$J:$J,"&lt;"&amp;$D63,Dataset!$J:$J,"&gt;="&amp;$C63)</f>
        <v>0</v>
      </c>
      <c r="T63" s="159">
        <f>SUMIFS(Dataset!$AA:$AA,Dataset!$F:$F,'retorno absoluto'!$D$11,Dataset!$AC:$AC,"BBB-",Dataset!$J:$J,"&lt;"&amp;$D63,Dataset!$J:$J,"&gt;="&amp;$C63)+SUMIFS(Dataset!$AA:$AA,Dataset!$F:$F,'retorno absoluto'!$D$11,Dataset!$AC:$AC,"BBB",Dataset!$J:$J,"&lt;"&amp;$D63,Dataset!$J:$J,"&gt;="&amp;$C63)+SUMIFS(Dataset!$AA:$AA,Dataset!$F:$F,'retorno absoluto'!$D$11,Dataset!$AC:$AC,"BBB+",Dataset!$J:$J,"&lt;"&amp;$D63,Dataset!$J:$J,"&gt;="&amp;$C63)</f>
        <v>0</v>
      </c>
      <c r="U63" s="159">
        <f>SUMIFS(Dataset!$AA:$AA,Dataset!$F:$F,'retorno absoluto'!$D$11,Dataset!$J:$J,"&lt;"&amp;$D63,Dataset!$J:$J,"&gt;="&amp;$C63,Dataset!$AC:$AC,"&lt;&gt;N-1+",Dataset!$AC:$AC,"&lt;&gt;*AA*",Dataset!$AC:$AC,"&lt;&gt;*AAA*",Dataset!$AC:$AC,"&lt;&gt;A",Dataset!$AC:$AC,"&lt;&gt;A-",Dataset!$AC:$AC,"&lt;&gt;A+",Dataset!$AC:$AC,"&lt;&gt;*BBB*")</f>
        <v>0</v>
      </c>
      <c r="V63" s="160">
        <f t="shared" si="3"/>
        <v>0</v>
      </c>
      <c r="W63" s="161">
        <f>10*SUMIFS(Dataset!$H:$H,Dataset!$F:$F,'retorno absoluto'!$D$11,Dataset!$AC:$AC,W$52,Dataset!$J:$J,"&lt;"&amp;$D63,Dataset!J:J,"&gt;="&amp;$C63)</f>
        <v>0</v>
      </c>
      <c r="X63" s="162">
        <f>10*SUMIFS(Dataset!$H:$H,Dataset!$F:$F,'retorno absoluto'!$D$11,Dataset!$AC:$AC,X$52,Dataset!$J:$J,"&lt;"&amp;$D63,Dataset!J:J,"&gt;="&amp;$C63)</f>
        <v>0</v>
      </c>
      <c r="Y63" s="162">
        <f>10*SUMIFS(Dataset!$H:$H,Dataset!$F:$F,'retorno absoluto'!$D$11,Dataset!$AC:$AC,Y$52,Dataset!$J:$J,"&lt;"&amp;$D63,Dataset!J:J,"&gt;="&amp;$C63)</f>
        <v>0</v>
      </c>
      <c r="Z63" s="162">
        <f>10*SUMIFS(Dataset!$H:$H,Dataset!$F:$F,'retorno absoluto'!$D$11,Dataset!$AC:$AC,Z$52,Dataset!$J:$J,"&lt;"&amp;$D63,Dataset!J:J,"&gt;="&amp;$C63)</f>
        <v>0</v>
      </c>
      <c r="AA63" s="162">
        <f>10*SUMIFS(Dataset!$H:$H,Dataset!$F:$F,'retorno absoluto'!$D$11,Dataset!$AC:$AC,AA$52,Dataset!$J:$J,"&lt;"&amp;$D63,Dataset!J:J,"&gt;="&amp;$C63)</f>
        <v>0</v>
      </c>
      <c r="AB63" s="162">
        <f>10*SUMIFS(Dataset!$H:$H,Dataset!$F:$F,'retorno absoluto'!$D$11,Dataset!$AC:$AC,"A",Dataset!$J:$J,"&lt;"&amp;$D63,Dataset!$J:$J,"&gt;="&amp;$C63)+10*SUMIFS(Dataset!$H:$H,Dataset!$F:$F,'retorno absoluto'!$D$11,Dataset!$AC:$AC,"A-",Dataset!$J:$J,"&lt;"&amp;$D63,Dataset!$J:$J,"&gt;="&amp;$C63)+10*SUMIFS(Dataset!$H:$H,Dataset!$F:$F,'retorno absoluto'!$D$11,Dataset!$AC:$AC,"A+",Dataset!$J:$J,"&lt;"&amp;$D63,Dataset!$J:$J,"&gt;="&amp;$C63)</f>
        <v>0</v>
      </c>
      <c r="AC63" s="162">
        <f>10*SUMIFS(Dataset!$H:$H,Dataset!$F:$F,'retorno absoluto'!$D$11,Dataset!$AC:$AC,"BBB",Dataset!$J:$J,"&lt;"&amp;$D63,Dataset!$J:$J,"&gt;="&amp;$C63)+10*SUMIFS(Dataset!$H:$H,Dataset!$F:$F,'retorno absoluto'!$D$11,Dataset!$AC:$AC,"BBB-",Dataset!$J:$J,"&lt;"&amp;$D63,Dataset!$J:$J,"&gt;="&amp;$C63)+10*SUMIFS(Dataset!$H:$H,Dataset!$F:$F,'retorno absoluto'!$D$11,Dataset!$AC:$AC,"BBB+",Dataset!$J:$J,"&lt;"&amp;$D63,Dataset!$J:$J,"&gt;="&amp;$C63)</f>
        <v>0</v>
      </c>
      <c r="AD63" s="162">
        <f>10*SUMIFS(Dataset!$H:$H,Dataset!$F:$F,'retorno absoluto'!$D$11,Dataset!$J:$J,"&lt;"&amp;$D63,Dataset!$J:$J,"&gt;="&amp;$C63,Dataset!$AC:$AC,"&lt;&gt;N-1+",Dataset!$AC:$AC,"&lt;&gt;*AA*",Dataset!$AC:$AC,"&lt;&gt;*AAA*",Dataset!$AC:$AC,"&lt;&gt;A",Dataset!$AC:$AC,"&lt;&gt;A-",Dataset!$AC:$AC,"&lt;&gt;A+",Dataset!$AC:$AC,"&lt;&gt;*BBB*")</f>
        <v>0</v>
      </c>
      <c r="AE63" s="163">
        <f t="shared" si="4"/>
        <v>0</v>
      </c>
    </row>
    <row r="64" spans="3:35" ht="33" customHeight="1" x14ac:dyDescent="0.25">
      <c r="C64" s="89">
        <v>10.5</v>
      </c>
      <c r="D64" s="100">
        <v>11.5</v>
      </c>
      <c r="E64" s="158">
        <f>SUMIFS(Dataset!$AK:$AK,Dataset!$F:$F,'retorno absoluto'!$D$11,Dataset!$AC:$AC,E$52,Dataset!$J:$J,"&lt;"&amp;$D64,Dataset!J:J,"&gt;="&amp;$C64)</f>
        <v>0</v>
      </c>
      <c r="F64" s="159">
        <f>SUMIFS(Dataset!$AK:$AK,Dataset!$F:$F,'retorno absoluto'!$D$11,Dataset!$AC:$AC,F$52,Dataset!$J:$J,"&lt;"&amp;$D64,Dataset!J:J,"&gt;="&amp;$C64)</f>
        <v>0</v>
      </c>
      <c r="G64" s="159">
        <f>SUMIFS(Dataset!$AK:$AK,Dataset!$F:$F,'retorno absoluto'!$D$11,Dataset!$AC:$AC,G$52,Dataset!$J:$J,"&lt;"&amp;$D64,Dataset!J:J,"&gt;="&amp;$C64)</f>
        <v>0</v>
      </c>
      <c r="H64" s="159">
        <f>SUMIFS(Dataset!$AK:$AK,Dataset!$F:$F,'retorno absoluto'!$D$11,Dataset!$AC:$AC,H$52,Dataset!$J:$J,"&lt;"&amp;$D64,Dataset!J:J,"&gt;="&amp;$C64)</f>
        <v>0</v>
      </c>
      <c r="I64" s="159">
        <f>SUMIFS(Dataset!$AK:$AK,Dataset!$F:$F,'retorno absoluto'!$D$11,Dataset!$AC:$AC,I$52,Dataset!$J:$J,"&lt;"&amp;$D64,Dataset!J:J,"&gt;="&amp;$C64)</f>
        <v>0</v>
      </c>
      <c r="J64" s="159">
        <f>SUMIFS(Dataset!$AK:$AK,Dataset!$F:$F,'retorno absoluto'!$D$11,Dataset!$AC:$AC,"A",Dataset!$J:$J,"&lt;"&amp;$D64,Dataset!$J:$J,"&gt;="&amp;$C64)+SUMIFS(Dataset!$AK:$AK,Dataset!$F:$F,'retorno absoluto'!$D$11,Dataset!$AC:$AC,"A-",Dataset!$J:$J,"&lt;"&amp;$D64,Dataset!$J:$J,"&gt;="&amp;$C64)+SUMIFS(Dataset!$AK:$AK,Dataset!$F:$F,'retorno absoluto'!$D$11,Dataset!$AC:$AC,"A+",Dataset!$J:$J,"&lt;"&amp;$D64,Dataset!$J:$J,"&gt;="&amp;$C64)</f>
        <v>0</v>
      </c>
      <c r="K64" s="159">
        <f>SUMIFS(Dataset!$AK:$AK,Dataset!$F:$F,'retorno absoluto'!$D$11,Dataset!$AC:$AC,"BBB",Dataset!$J:$J,"&lt;"&amp;$D64,Dataset!$J:$J,"&gt;="&amp;$C64)+SUMIFS(Dataset!$AK:$AK,Dataset!$F:$F,'retorno absoluto'!$D$11,Dataset!$AC:$AC,"BBB-",Dataset!$J:$J,"&lt;"&amp;$D64,Dataset!$J:$J,"&gt;="&amp;$C64)+SUMIFS(Dataset!$AK:$AK,Dataset!$F:$F,'retorno absoluto'!$D$11,Dataset!$AC:$AC,"BBB+",Dataset!$J:$J,"&lt;"&amp;$D64,Dataset!$J:$J,"&gt;="&amp;$C64)</f>
        <v>0</v>
      </c>
      <c r="L64" s="159">
        <f>SUMIFS(Dataset!$AK:$AK,Dataset!$F:$F,'retorno absoluto'!$D$11,Dataset!$J:$J,"&lt;"&amp;$D64,Dataset!$J:$J,"&gt;="&amp;$C64,Dataset!$AC:$AC,"&lt;&gt;N-1+",Dataset!$AC:$AC,"&lt;&gt;*AA*",Dataset!$AC:$AC,"&lt;&gt;*AAA*",Dataset!$AC:$AC,"&lt;&gt;A",Dataset!$AC:$AC,"&lt;&gt;A-",Dataset!$AC:$AC,"&lt;&gt;A+",Dataset!$AC:$AC,"&lt;&gt;*BBB*")</f>
        <v>0</v>
      </c>
      <c r="M64" s="160">
        <f t="shared" si="2"/>
        <v>0</v>
      </c>
      <c r="N64" s="158">
        <f>SUMIFS(Dataset!$AA:$AA,Dataset!$F:$F,'retorno absoluto'!$D$11,Dataset!$AC:$AC,N$52,Dataset!$J:$J,"&lt;"&amp;$D64,Dataset!$J:$J,"&gt;="&amp;$C64)</f>
        <v>0</v>
      </c>
      <c r="O64" s="159">
        <f>SUMIFS(Dataset!$AA:$AA,Dataset!$F:$F,'retorno absoluto'!$D$11,Dataset!$AC:$AC,O$52,Dataset!$J:$J,"&lt;"&amp;$D64,Dataset!$J:$J,"&gt;="&amp;$C64)</f>
        <v>0</v>
      </c>
      <c r="P64" s="159">
        <f>SUMIFS(Dataset!$AA:$AA,Dataset!$F:$F,'retorno absoluto'!$D$11,Dataset!$AC:$AC,P$52,Dataset!$J:$J,"&lt;"&amp;$D64,Dataset!$J:$J,"&gt;="&amp;$C64)</f>
        <v>0</v>
      </c>
      <c r="Q64" s="159">
        <f>SUMIFS(Dataset!$AA:$AA,Dataset!$F:$F,'retorno absoluto'!$D$11,Dataset!$AC:$AC,Q$52,Dataset!$J:$J,"&lt;"&amp;$D64,Dataset!$J:$J,"&gt;="&amp;$C64)</f>
        <v>0</v>
      </c>
      <c r="R64" s="159">
        <f>SUMIFS(Dataset!$AA:$AA,Dataset!$F:$F,'retorno absoluto'!$D$11,Dataset!$AC:$AC,R$52,Dataset!$J:$J,"&lt;"&amp;$D64,Dataset!$J:$J,"&gt;="&amp;$C64)</f>
        <v>0</v>
      </c>
      <c r="S64" s="159">
        <f>SUMIFS(Dataset!$AA:$AA,Dataset!$F:$F,'retorno absoluto'!$D$11,Dataset!$AC:$AC,"A",Dataset!$J:$J,"&lt;"&amp;$D64,Dataset!$J:$J,"&gt;="&amp;$C64)+SUMIFS(Dataset!$AA:$AA,Dataset!$F:$F,'retorno absoluto'!$D$11,Dataset!$AC:$AC,"A-",Dataset!$J:$J,"&lt;"&amp;$D64,Dataset!$J:$J,"&gt;="&amp;$C64)+SUMIFS(Dataset!$AA:$AA,Dataset!$F:$F,'retorno absoluto'!$D$11,Dataset!$AC:$AC,"A+",Dataset!$J:$J,"&lt;"&amp;$D64,Dataset!$J:$J,"&gt;="&amp;$C64)</f>
        <v>0</v>
      </c>
      <c r="T64" s="159">
        <f>SUMIFS(Dataset!$AA:$AA,Dataset!$F:$F,'retorno absoluto'!$D$11,Dataset!$AC:$AC,"BBB-",Dataset!$J:$J,"&lt;"&amp;$D64,Dataset!$J:$J,"&gt;="&amp;$C64)+SUMIFS(Dataset!$AA:$AA,Dataset!$F:$F,'retorno absoluto'!$D$11,Dataset!$AC:$AC,"BBB",Dataset!$J:$J,"&lt;"&amp;$D64,Dataset!$J:$J,"&gt;="&amp;$C64)+SUMIFS(Dataset!$AA:$AA,Dataset!$F:$F,'retorno absoluto'!$D$11,Dataset!$AC:$AC,"BBB+",Dataset!$J:$J,"&lt;"&amp;$D64,Dataset!$J:$J,"&gt;="&amp;$C64)</f>
        <v>0</v>
      </c>
      <c r="U64" s="159">
        <f>SUMIFS(Dataset!$AA:$AA,Dataset!$F:$F,'retorno absoluto'!$D$11,Dataset!$J:$J,"&lt;"&amp;$D64,Dataset!$J:$J,"&gt;="&amp;$C64,Dataset!$AC:$AC,"&lt;&gt;N-1+",Dataset!$AC:$AC,"&lt;&gt;*AA*",Dataset!$AC:$AC,"&lt;&gt;*AAA*",Dataset!$AC:$AC,"&lt;&gt;A",Dataset!$AC:$AC,"&lt;&gt;A-",Dataset!$AC:$AC,"&lt;&gt;A+",Dataset!$AC:$AC,"&lt;&gt;*BBB*")</f>
        <v>0</v>
      </c>
      <c r="V64" s="160">
        <f t="shared" si="3"/>
        <v>0</v>
      </c>
      <c r="W64" s="161">
        <f>10*SUMIFS(Dataset!$H:$H,Dataset!$F:$F,'retorno absoluto'!$D$11,Dataset!$AC:$AC,W$52,Dataset!$J:$J,"&lt;"&amp;$D64,Dataset!J:J,"&gt;="&amp;$C64)</f>
        <v>0</v>
      </c>
      <c r="X64" s="162">
        <f>10*SUMIFS(Dataset!$H:$H,Dataset!$F:$F,'retorno absoluto'!$D$11,Dataset!$AC:$AC,X$52,Dataset!$J:$J,"&lt;"&amp;$D64,Dataset!J:J,"&gt;="&amp;$C64)</f>
        <v>0</v>
      </c>
      <c r="Y64" s="162">
        <f>10*SUMIFS(Dataset!$H:$H,Dataset!$F:$F,'retorno absoluto'!$D$11,Dataset!$AC:$AC,Y$52,Dataset!$J:$J,"&lt;"&amp;$D64,Dataset!J:J,"&gt;="&amp;$C64)</f>
        <v>0</v>
      </c>
      <c r="Z64" s="162">
        <f>10*SUMIFS(Dataset!$H:$H,Dataset!$F:$F,'retorno absoluto'!$D$11,Dataset!$AC:$AC,Z$52,Dataset!$J:$J,"&lt;"&amp;$D64,Dataset!J:J,"&gt;="&amp;$C64)</f>
        <v>0</v>
      </c>
      <c r="AA64" s="162">
        <f>10*SUMIFS(Dataset!$H:$H,Dataset!$F:$F,'retorno absoluto'!$D$11,Dataset!$AC:$AC,AA$52,Dataset!$J:$J,"&lt;"&amp;$D64,Dataset!J:J,"&gt;="&amp;$C64)</f>
        <v>0</v>
      </c>
      <c r="AB64" s="162">
        <f>10*SUMIFS(Dataset!$H:$H,Dataset!$F:$F,'retorno absoluto'!$D$11,Dataset!$AC:$AC,"A",Dataset!$J:$J,"&lt;"&amp;$D64,Dataset!$J:$J,"&gt;="&amp;$C64)+10*SUMIFS(Dataset!$H:$H,Dataset!$F:$F,'retorno absoluto'!$D$11,Dataset!$AC:$AC,"A-",Dataset!$J:$J,"&lt;"&amp;$D64,Dataset!$J:$J,"&gt;="&amp;$C64)+10*SUMIFS(Dataset!$H:$H,Dataset!$F:$F,'retorno absoluto'!$D$11,Dataset!$AC:$AC,"A+",Dataset!$J:$J,"&lt;"&amp;$D64,Dataset!$J:$J,"&gt;="&amp;$C64)</f>
        <v>0</v>
      </c>
      <c r="AC64" s="162">
        <f>10*SUMIFS(Dataset!$H:$H,Dataset!$F:$F,'retorno absoluto'!$D$11,Dataset!$AC:$AC,"BBB",Dataset!$J:$J,"&lt;"&amp;$D64,Dataset!$J:$J,"&gt;="&amp;$C64)+10*SUMIFS(Dataset!$H:$H,Dataset!$F:$F,'retorno absoluto'!$D$11,Dataset!$AC:$AC,"BBB-",Dataset!$J:$J,"&lt;"&amp;$D64,Dataset!$J:$J,"&gt;="&amp;$C64)+10*SUMIFS(Dataset!$H:$H,Dataset!$F:$F,'retorno absoluto'!$D$11,Dataset!$AC:$AC,"BBB+",Dataset!$J:$J,"&lt;"&amp;$D64,Dataset!$J:$J,"&gt;="&amp;$C64)</f>
        <v>0</v>
      </c>
      <c r="AD64" s="162">
        <f>10*SUMIFS(Dataset!$H:$H,Dataset!$F:$F,'retorno absoluto'!$D$11,Dataset!$J:$J,"&lt;"&amp;$D64,Dataset!$J:$J,"&gt;="&amp;$C64,Dataset!$AC:$AC,"&lt;&gt;N-1+",Dataset!$AC:$AC,"&lt;&gt;*AA*",Dataset!$AC:$AC,"&lt;&gt;*AAA*",Dataset!$AC:$AC,"&lt;&gt;A",Dataset!$AC:$AC,"&lt;&gt;A-",Dataset!$AC:$AC,"&lt;&gt;A+",Dataset!$AC:$AC,"&lt;&gt;*BBB*")</f>
        <v>0</v>
      </c>
      <c r="AE64" s="163">
        <f t="shared" si="4"/>
        <v>0</v>
      </c>
    </row>
    <row r="65" spans="2:40" ht="33" customHeight="1" x14ac:dyDescent="0.25">
      <c r="C65" s="89">
        <v>11.5</v>
      </c>
      <c r="D65" s="100">
        <v>12.5</v>
      </c>
      <c r="E65" s="158">
        <f>SUMIFS(Dataset!$AK:$AK,Dataset!$F:$F,'retorno absoluto'!$D$11,Dataset!$AC:$AC,E$52,Dataset!$J:$J,"&lt;"&amp;$D65,Dataset!J:J,"&gt;="&amp;$C65)</f>
        <v>0</v>
      </c>
      <c r="F65" s="159">
        <f>SUMIFS(Dataset!$AK:$AK,Dataset!$F:$F,'retorno absoluto'!$D$11,Dataset!$AC:$AC,F$52,Dataset!$J:$J,"&lt;"&amp;$D65,Dataset!J:J,"&gt;="&amp;$C65)</f>
        <v>7.3687255584817812E-2</v>
      </c>
      <c r="G65" s="159">
        <f>SUMIFS(Dataset!$AK:$AK,Dataset!$F:$F,'retorno absoluto'!$D$11,Dataset!$AC:$AC,G$52,Dataset!$J:$J,"&lt;"&amp;$D65,Dataset!J:J,"&gt;="&amp;$C65)</f>
        <v>0</v>
      </c>
      <c r="H65" s="159">
        <f>SUMIFS(Dataset!$AK:$AK,Dataset!$F:$F,'retorno absoluto'!$D$11,Dataset!$AC:$AC,H$52,Dataset!$J:$J,"&lt;"&amp;$D65,Dataset!J:J,"&gt;="&amp;$C65)</f>
        <v>0</v>
      </c>
      <c r="I65" s="159">
        <f>SUMIFS(Dataset!$AK:$AK,Dataset!$F:$F,'retorno absoluto'!$D$11,Dataset!$AC:$AC,I$52,Dataset!$J:$J,"&lt;"&amp;$D65,Dataset!J:J,"&gt;="&amp;$C65)</f>
        <v>0</v>
      </c>
      <c r="J65" s="159">
        <f>SUMIFS(Dataset!$AK:$AK,Dataset!$F:$F,'retorno absoluto'!$D$11,Dataset!$AC:$AC,"A",Dataset!$J:$J,"&lt;"&amp;$D65,Dataset!$J:$J,"&gt;="&amp;$C65)+SUMIFS(Dataset!$AK:$AK,Dataset!$F:$F,'retorno absoluto'!$D$11,Dataset!$AC:$AC,"A-",Dataset!$J:$J,"&lt;"&amp;$D65,Dataset!$J:$J,"&gt;="&amp;$C65)+SUMIFS(Dataset!$AK:$AK,Dataset!$F:$F,'retorno absoluto'!$D$11,Dataset!$AC:$AC,"A+",Dataset!$J:$J,"&lt;"&amp;$D65,Dataset!$J:$J,"&gt;="&amp;$C65)</f>
        <v>0</v>
      </c>
      <c r="K65" s="159">
        <f>SUMIFS(Dataset!$AK:$AK,Dataset!$F:$F,'retorno absoluto'!$D$11,Dataset!$AC:$AC,"BBB",Dataset!$J:$J,"&lt;"&amp;$D65,Dataset!$J:$J,"&gt;="&amp;$C65)+SUMIFS(Dataset!$AK:$AK,Dataset!$F:$F,'retorno absoluto'!$D$11,Dataset!$AC:$AC,"BBB-",Dataset!$J:$J,"&lt;"&amp;$D65,Dataset!$J:$J,"&gt;="&amp;$C65)+SUMIFS(Dataset!$AK:$AK,Dataset!$F:$F,'retorno absoluto'!$D$11,Dataset!$AC:$AC,"BBB+",Dataset!$J:$J,"&lt;"&amp;$D65,Dataset!$J:$J,"&gt;="&amp;$C65)</f>
        <v>0</v>
      </c>
      <c r="L65" s="159">
        <f>SUMIFS(Dataset!$AK:$AK,Dataset!$F:$F,'retorno absoluto'!$D$11,Dataset!$J:$J,"&lt;"&amp;$D65,Dataset!$J:$J,"&gt;="&amp;$C65,Dataset!$AC:$AC,"&lt;&gt;N-1+",Dataset!$AC:$AC,"&lt;&gt;*AA*",Dataset!$AC:$AC,"&lt;&gt;*AAA*",Dataset!$AC:$AC,"&lt;&gt;A",Dataset!$AC:$AC,"&lt;&gt;A-",Dataset!$AC:$AC,"&lt;&gt;A+",Dataset!$AC:$AC,"&lt;&gt;*BBB*")</f>
        <v>0</v>
      </c>
      <c r="M65" s="160">
        <f t="shared" si="2"/>
        <v>7.3687255584817812E-2</v>
      </c>
      <c r="N65" s="158">
        <f>SUMIFS(Dataset!$AA:$AA,Dataset!$F:$F,'retorno absoluto'!$D$11,Dataset!$AC:$AC,N$52,Dataset!$J:$J,"&lt;"&amp;$D65,Dataset!$J:$J,"&gt;="&amp;$C65)</f>
        <v>0</v>
      </c>
      <c r="O65" s="159">
        <f>SUMIFS(Dataset!$AA:$AA,Dataset!$F:$F,'retorno absoluto'!$D$11,Dataset!$AC:$AC,O$52,Dataset!$J:$J,"&lt;"&amp;$D65,Dataset!$J:$J,"&gt;="&amp;$C65)</f>
        <v>8.0532720278851555E-2</v>
      </c>
      <c r="P65" s="159">
        <f>SUMIFS(Dataset!$AA:$AA,Dataset!$F:$F,'retorno absoluto'!$D$11,Dataset!$AC:$AC,P$52,Dataset!$J:$J,"&lt;"&amp;$D65,Dataset!$J:$J,"&gt;="&amp;$C65)</f>
        <v>0</v>
      </c>
      <c r="Q65" s="159">
        <f>SUMIFS(Dataset!$AA:$AA,Dataset!$F:$F,'retorno absoluto'!$D$11,Dataset!$AC:$AC,Q$52,Dataset!$J:$J,"&lt;"&amp;$D65,Dataset!$J:$J,"&gt;="&amp;$C65)</f>
        <v>0</v>
      </c>
      <c r="R65" s="159">
        <f>SUMIFS(Dataset!$AA:$AA,Dataset!$F:$F,'retorno absoluto'!$D$11,Dataset!$AC:$AC,R$52,Dataset!$J:$J,"&lt;"&amp;$D65,Dataset!$J:$J,"&gt;="&amp;$C65)</f>
        <v>0</v>
      </c>
      <c r="S65" s="159">
        <f>SUMIFS(Dataset!$AA:$AA,Dataset!$F:$F,'retorno absoluto'!$D$11,Dataset!$AC:$AC,"A",Dataset!$J:$J,"&lt;"&amp;$D65,Dataset!$J:$J,"&gt;="&amp;$C65)+SUMIFS(Dataset!$AA:$AA,Dataset!$F:$F,'retorno absoluto'!$D$11,Dataset!$AC:$AC,"A-",Dataset!$J:$J,"&lt;"&amp;$D65,Dataset!$J:$J,"&gt;="&amp;$C65)+SUMIFS(Dataset!$AA:$AA,Dataset!$F:$F,'retorno absoluto'!$D$11,Dataset!$AC:$AC,"A+",Dataset!$J:$J,"&lt;"&amp;$D65,Dataset!$J:$J,"&gt;="&amp;$C65)</f>
        <v>0</v>
      </c>
      <c r="T65" s="159">
        <f>SUMIFS(Dataset!$AA:$AA,Dataset!$F:$F,'retorno absoluto'!$D$11,Dataset!$AC:$AC,"BBB-",Dataset!$J:$J,"&lt;"&amp;$D65,Dataset!$J:$J,"&gt;="&amp;$C65)+SUMIFS(Dataset!$AA:$AA,Dataset!$F:$F,'retorno absoluto'!$D$11,Dataset!$AC:$AC,"BBB",Dataset!$J:$J,"&lt;"&amp;$D65,Dataset!$J:$J,"&gt;="&amp;$C65)+SUMIFS(Dataset!$AA:$AA,Dataset!$F:$F,'retorno absoluto'!$D$11,Dataset!$AC:$AC,"BBB+",Dataset!$J:$J,"&lt;"&amp;$D65,Dataset!$J:$J,"&gt;="&amp;$C65)</f>
        <v>0</v>
      </c>
      <c r="U65" s="159">
        <f>SUMIFS(Dataset!$AA:$AA,Dataset!$F:$F,'retorno absoluto'!$D$11,Dataset!$J:$J,"&lt;"&amp;$D65,Dataset!$J:$J,"&gt;="&amp;$C65,Dataset!$AC:$AC,"&lt;&gt;N-1+",Dataset!$AC:$AC,"&lt;&gt;*AA*",Dataset!$AC:$AC,"&lt;&gt;*AAA*",Dataset!$AC:$AC,"&lt;&gt;A",Dataset!$AC:$AC,"&lt;&gt;A-",Dataset!$AC:$AC,"&lt;&gt;A+",Dataset!$AC:$AC,"&lt;&gt;*BBB*")</f>
        <v>0</v>
      </c>
      <c r="V65" s="160">
        <f t="shared" si="3"/>
        <v>8.0532720278851555E-2</v>
      </c>
      <c r="W65" s="161">
        <f>10*SUMIFS(Dataset!$H:$H,Dataset!$F:$F,'retorno absoluto'!$D$11,Dataset!$AC:$AC,W$52,Dataset!$J:$J,"&lt;"&amp;$D65,Dataset!J:J,"&gt;="&amp;$C65)</f>
        <v>0</v>
      </c>
      <c r="X65" s="162">
        <f>10*SUMIFS(Dataset!$H:$H,Dataset!$F:$F,'retorno absoluto'!$D$11,Dataset!$AC:$AC,X$52,Dataset!$J:$J,"&lt;"&amp;$D65,Dataset!J:J,"&gt;="&amp;$C65)</f>
        <v>8.6582525312160925</v>
      </c>
      <c r="Y65" s="162">
        <f>10*SUMIFS(Dataset!$H:$H,Dataset!$F:$F,'retorno absoluto'!$D$11,Dataset!$AC:$AC,Y$52,Dataset!$J:$J,"&lt;"&amp;$D65,Dataset!J:J,"&gt;="&amp;$C65)</f>
        <v>0</v>
      </c>
      <c r="Z65" s="162">
        <f>10*SUMIFS(Dataset!$H:$H,Dataset!$F:$F,'retorno absoluto'!$D$11,Dataset!$AC:$AC,Z$52,Dataset!$J:$J,"&lt;"&amp;$D65,Dataset!J:J,"&gt;="&amp;$C65)</f>
        <v>0</v>
      </c>
      <c r="AA65" s="162">
        <f>10*SUMIFS(Dataset!$H:$H,Dataset!$F:$F,'retorno absoluto'!$D$11,Dataset!$AC:$AC,AA$52,Dataset!$J:$J,"&lt;"&amp;$D65,Dataset!J:J,"&gt;="&amp;$C65)</f>
        <v>0</v>
      </c>
      <c r="AB65" s="162">
        <f>10*SUMIFS(Dataset!$H:$H,Dataset!$F:$F,'retorno absoluto'!$D$11,Dataset!$AC:$AC,"A",Dataset!$J:$J,"&lt;"&amp;$D65,Dataset!$J:$J,"&gt;="&amp;$C65)+10*SUMIFS(Dataset!$H:$H,Dataset!$F:$F,'retorno absoluto'!$D$11,Dataset!$AC:$AC,"A-",Dataset!$J:$J,"&lt;"&amp;$D65,Dataset!$J:$J,"&gt;="&amp;$C65)+10*SUMIFS(Dataset!$H:$H,Dataset!$F:$F,'retorno absoluto'!$D$11,Dataset!$AC:$AC,"A+",Dataset!$J:$J,"&lt;"&amp;$D65,Dataset!$J:$J,"&gt;="&amp;$C65)</f>
        <v>0</v>
      </c>
      <c r="AC65" s="162">
        <f>10*SUMIFS(Dataset!$H:$H,Dataset!$F:$F,'retorno absoluto'!$D$11,Dataset!$AC:$AC,"BBB",Dataset!$J:$J,"&lt;"&amp;$D65,Dataset!$J:$J,"&gt;="&amp;$C65)+10*SUMIFS(Dataset!$H:$H,Dataset!$F:$F,'retorno absoluto'!$D$11,Dataset!$AC:$AC,"BBB-",Dataset!$J:$J,"&lt;"&amp;$D65,Dataset!$J:$J,"&gt;="&amp;$C65)+10*SUMIFS(Dataset!$H:$H,Dataset!$F:$F,'retorno absoluto'!$D$11,Dataset!$AC:$AC,"BBB+",Dataset!$J:$J,"&lt;"&amp;$D65,Dataset!$J:$J,"&gt;="&amp;$C65)</f>
        <v>0</v>
      </c>
      <c r="AD65" s="162">
        <f>10*SUMIFS(Dataset!$H:$H,Dataset!$F:$F,'retorno absoluto'!$D$11,Dataset!$J:$J,"&lt;"&amp;$D65,Dataset!$J:$J,"&gt;="&amp;$C65,Dataset!$AC:$AC,"&lt;&gt;N-1+",Dataset!$AC:$AC,"&lt;&gt;*AA*",Dataset!$AC:$AC,"&lt;&gt;*AAA*",Dataset!$AC:$AC,"&lt;&gt;A",Dataset!$AC:$AC,"&lt;&gt;A-",Dataset!$AC:$AC,"&lt;&gt;A+",Dataset!$AC:$AC,"&lt;&gt;*BBB*")</f>
        <v>0</v>
      </c>
      <c r="AE65" s="163">
        <f t="shared" si="4"/>
        <v>8.6582525312160925</v>
      </c>
    </row>
    <row r="66" spans="2:40" ht="33" customHeight="1" x14ac:dyDescent="0.25">
      <c r="C66" s="89">
        <v>12.5</v>
      </c>
      <c r="D66" s="100">
        <v>13.5</v>
      </c>
      <c r="E66" s="158">
        <f>SUMIFS(Dataset!$AK:$AK,Dataset!$F:$F,'retorno absoluto'!$D$11,Dataset!$AC:$AC,E$52,Dataset!$J:$J,"&lt;"&amp;$D66,Dataset!J:J,"&gt;="&amp;$C66)</f>
        <v>0</v>
      </c>
      <c r="F66" s="159">
        <f>SUMIFS(Dataset!$AK:$AK,Dataset!$F:$F,'retorno absoluto'!$D$11,Dataset!$AC:$AC,F$52,Dataset!$J:$J,"&lt;"&amp;$D66,Dataset!J:J,"&gt;="&amp;$C66)</f>
        <v>0</v>
      </c>
      <c r="G66" s="159">
        <f>SUMIFS(Dataset!$AK:$AK,Dataset!$F:$F,'retorno absoluto'!$D$11,Dataset!$AC:$AC,G$52,Dataset!$J:$J,"&lt;"&amp;$D66,Dataset!J:J,"&gt;="&amp;$C66)</f>
        <v>0</v>
      </c>
      <c r="H66" s="159">
        <f>SUMIFS(Dataset!$AK:$AK,Dataset!$F:$F,'retorno absoluto'!$D$11,Dataset!$AC:$AC,H$52,Dataset!$J:$J,"&lt;"&amp;$D66,Dataset!J:J,"&gt;="&amp;$C66)</f>
        <v>0</v>
      </c>
      <c r="I66" s="159">
        <f>SUMIFS(Dataset!$AK:$AK,Dataset!$F:$F,'retorno absoluto'!$D$11,Dataset!$AC:$AC,I$52,Dataset!$J:$J,"&lt;"&amp;$D66,Dataset!J:J,"&gt;="&amp;$C66)</f>
        <v>0</v>
      </c>
      <c r="J66" s="159">
        <f>SUMIFS(Dataset!$AK:$AK,Dataset!$F:$F,'retorno absoluto'!$D$11,Dataset!$AC:$AC,"A",Dataset!$J:$J,"&lt;"&amp;$D66,Dataset!$J:$J,"&gt;="&amp;$C66)+SUMIFS(Dataset!$AK:$AK,Dataset!$F:$F,'retorno absoluto'!$D$11,Dataset!$AC:$AC,"A-",Dataset!$J:$J,"&lt;"&amp;$D66,Dataset!$J:$J,"&gt;="&amp;$C66)+SUMIFS(Dataset!$AK:$AK,Dataset!$F:$F,'retorno absoluto'!$D$11,Dataset!$AC:$AC,"A+",Dataset!$J:$J,"&lt;"&amp;$D66,Dataset!$J:$J,"&gt;="&amp;$C66)</f>
        <v>0</v>
      </c>
      <c r="K66" s="159">
        <f>SUMIFS(Dataset!$AK:$AK,Dataset!$F:$F,'retorno absoluto'!$D$11,Dataset!$AC:$AC,"BBB",Dataset!$J:$J,"&lt;"&amp;$D66,Dataset!$J:$J,"&gt;="&amp;$C66)+SUMIFS(Dataset!$AK:$AK,Dataset!$F:$F,'retorno absoluto'!$D$11,Dataset!$AC:$AC,"BBB-",Dataset!$J:$J,"&lt;"&amp;$D66,Dataset!$J:$J,"&gt;="&amp;$C66)+SUMIFS(Dataset!$AK:$AK,Dataset!$F:$F,'retorno absoluto'!$D$11,Dataset!$AC:$AC,"BBB+",Dataset!$J:$J,"&lt;"&amp;$D66,Dataset!$J:$J,"&gt;="&amp;$C66)</f>
        <v>0</v>
      </c>
      <c r="L66" s="159">
        <f>SUMIFS(Dataset!$AK:$AK,Dataset!$F:$F,'retorno absoluto'!$D$11,Dataset!$J:$J,"&lt;"&amp;$D66,Dataset!$J:$J,"&gt;="&amp;$C66,Dataset!$AC:$AC,"&lt;&gt;N-1+",Dataset!$AC:$AC,"&lt;&gt;*AA*",Dataset!$AC:$AC,"&lt;&gt;*AAA*",Dataset!$AC:$AC,"&lt;&gt;A",Dataset!$AC:$AC,"&lt;&gt;A-",Dataset!$AC:$AC,"&lt;&gt;A+",Dataset!$AC:$AC,"&lt;&gt;*BBB*")</f>
        <v>0</v>
      </c>
      <c r="M66" s="160">
        <f t="shared" si="2"/>
        <v>0</v>
      </c>
      <c r="N66" s="158">
        <f>SUMIFS(Dataset!$AA:$AA,Dataset!$F:$F,'retorno absoluto'!$D$11,Dataset!$AC:$AC,N$52,Dataset!$J:$J,"&lt;"&amp;$D66,Dataset!$J:$J,"&gt;="&amp;$C66)</f>
        <v>0</v>
      </c>
      <c r="O66" s="159">
        <f>SUMIFS(Dataset!$AA:$AA,Dataset!$F:$F,'retorno absoluto'!$D$11,Dataset!$AC:$AC,O$52,Dataset!$J:$J,"&lt;"&amp;$D66,Dataset!$J:$J,"&gt;="&amp;$C66)</f>
        <v>0</v>
      </c>
      <c r="P66" s="159">
        <f>SUMIFS(Dataset!$AA:$AA,Dataset!$F:$F,'retorno absoluto'!$D$11,Dataset!$AC:$AC,P$52,Dataset!$J:$J,"&lt;"&amp;$D66,Dataset!$J:$J,"&gt;="&amp;$C66)</f>
        <v>0</v>
      </c>
      <c r="Q66" s="159">
        <f>SUMIFS(Dataset!$AA:$AA,Dataset!$F:$F,'retorno absoluto'!$D$11,Dataset!$AC:$AC,Q$52,Dataset!$J:$J,"&lt;"&amp;$D66,Dataset!$J:$J,"&gt;="&amp;$C66)</f>
        <v>0</v>
      </c>
      <c r="R66" s="159">
        <f>SUMIFS(Dataset!$AA:$AA,Dataset!$F:$F,'retorno absoluto'!$D$11,Dataset!$AC:$AC,R$52,Dataset!$J:$J,"&lt;"&amp;$D66,Dataset!$J:$J,"&gt;="&amp;$C66)</f>
        <v>0</v>
      </c>
      <c r="S66" s="159">
        <f>SUMIFS(Dataset!$AA:$AA,Dataset!$F:$F,'retorno absoluto'!$D$11,Dataset!$AC:$AC,"A",Dataset!$J:$J,"&lt;"&amp;$D66,Dataset!$J:$J,"&gt;="&amp;$C66)+SUMIFS(Dataset!$AA:$AA,Dataset!$F:$F,'retorno absoluto'!$D$11,Dataset!$AC:$AC,"A-",Dataset!$J:$J,"&lt;"&amp;$D66,Dataset!$J:$J,"&gt;="&amp;$C66)+SUMIFS(Dataset!$AA:$AA,Dataset!$F:$F,'retorno absoluto'!$D$11,Dataset!$AC:$AC,"A+",Dataset!$J:$J,"&lt;"&amp;$D66,Dataset!$J:$J,"&gt;="&amp;$C66)</f>
        <v>0</v>
      </c>
      <c r="T66" s="159">
        <f>SUMIFS(Dataset!$AA:$AA,Dataset!$F:$F,'retorno absoluto'!$D$11,Dataset!$AC:$AC,"BBB-",Dataset!$J:$J,"&lt;"&amp;$D66,Dataset!$J:$J,"&gt;="&amp;$C66)+SUMIFS(Dataset!$AA:$AA,Dataset!$F:$F,'retorno absoluto'!$D$11,Dataset!$AC:$AC,"BBB",Dataset!$J:$J,"&lt;"&amp;$D66,Dataset!$J:$J,"&gt;="&amp;$C66)+SUMIFS(Dataset!$AA:$AA,Dataset!$F:$F,'retorno absoluto'!$D$11,Dataset!$AC:$AC,"BBB+",Dataset!$J:$J,"&lt;"&amp;$D66,Dataset!$J:$J,"&gt;="&amp;$C66)</f>
        <v>0</v>
      </c>
      <c r="U66" s="159">
        <f>SUMIFS(Dataset!$AA:$AA,Dataset!$F:$F,'retorno absoluto'!$D$11,Dataset!$J:$J,"&lt;"&amp;$D66,Dataset!$J:$J,"&gt;="&amp;$C66,Dataset!$AC:$AC,"&lt;&gt;N-1+",Dataset!$AC:$AC,"&lt;&gt;*AA*",Dataset!$AC:$AC,"&lt;&gt;*AAA*",Dataset!$AC:$AC,"&lt;&gt;A",Dataset!$AC:$AC,"&lt;&gt;A-",Dataset!$AC:$AC,"&lt;&gt;A+",Dataset!$AC:$AC,"&lt;&gt;*BBB*")</f>
        <v>0</v>
      </c>
      <c r="V66" s="160">
        <f t="shared" si="3"/>
        <v>0</v>
      </c>
      <c r="W66" s="161">
        <f>10*SUMIFS(Dataset!$H:$H,Dataset!$F:$F,'retorno absoluto'!$D$11,Dataset!$AC:$AC,W$52,Dataset!$J:$J,"&lt;"&amp;$D66,Dataset!J:J,"&gt;="&amp;$C66)</f>
        <v>0</v>
      </c>
      <c r="X66" s="162">
        <f>10*SUMIFS(Dataset!$H:$H,Dataset!$F:$F,'retorno absoluto'!$D$11,Dataset!$AC:$AC,X$52,Dataset!$J:$J,"&lt;"&amp;$D66,Dataset!J:J,"&gt;="&amp;$C66)</f>
        <v>0</v>
      </c>
      <c r="Y66" s="162">
        <f>10*SUMIFS(Dataset!$H:$H,Dataset!$F:$F,'retorno absoluto'!$D$11,Dataset!$AC:$AC,Y$52,Dataset!$J:$J,"&lt;"&amp;$D66,Dataset!J:J,"&gt;="&amp;$C66)</f>
        <v>0</v>
      </c>
      <c r="Z66" s="162">
        <f>10*SUMIFS(Dataset!$H:$H,Dataset!$F:$F,'retorno absoluto'!$D$11,Dataset!$AC:$AC,Z$52,Dataset!$J:$J,"&lt;"&amp;$D66,Dataset!J:J,"&gt;="&amp;$C66)</f>
        <v>0</v>
      </c>
      <c r="AA66" s="162">
        <f>10*SUMIFS(Dataset!$H:$H,Dataset!$F:$F,'retorno absoluto'!$D$11,Dataset!$AC:$AC,AA$52,Dataset!$J:$J,"&lt;"&amp;$D66,Dataset!J:J,"&gt;="&amp;$C66)</f>
        <v>0</v>
      </c>
      <c r="AB66" s="162">
        <f>10*SUMIFS(Dataset!$H:$H,Dataset!$F:$F,'retorno absoluto'!$D$11,Dataset!$AC:$AC,"A",Dataset!$J:$J,"&lt;"&amp;$D66,Dataset!$J:$J,"&gt;="&amp;$C66)+10*SUMIFS(Dataset!$H:$H,Dataset!$F:$F,'retorno absoluto'!$D$11,Dataset!$AC:$AC,"A-",Dataset!$J:$J,"&lt;"&amp;$D66,Dataset!$J:$J,"&gt;="&amp;$C66)+10*SUMIFS(Dataset!$H:$H,Dataset!$F:$F,'retorno absoluto'!$D$11,Dataset!$AC:$AC,"A+",Dataset!$J:$J,"&lt;"&amp;$D66,Dataset!$J:$J,"&gt;="&amp;$C66)</f>
        <v>0</v>
      </c>
      <c r="AC66" s="162">
        <f>10*SUMIFS(Dataset!$H:$H,Dataset!$F:$F,'retorno absoluto'!$D$11,Dataset!$AC:$AC,"BBB",Dataset!$J:$J,"&lt;"&amp;$D66,Dataset!$J:$J,"&gt;="&amp;$C66)+10*SUMIFS(Dataset!$H:$H,Dataset!$F:$F,'retorno absoluto'!$D$11,Dataset!$AC:$AC,"BBB-",Dataset!$J:$J,"&lt;"&amp;$D66,Dataset!$J:$J,"&gt;="&amp;$C66)+10*SUMIFS(Dataset!$H:$H,Dataset!$F:$F,'retorno absoluto'!$D$11,Dataset!$AC:$AC,"BBB+",Dataset!$J:$J,"&lt;"&amp;$D66,Dataset!$J:$J,"&gt;="&amp;$C66)</f>
        <v>0</v>
      </c>
      <c r="AD66" s="162">
        <f>10*SUMIFS(Dataset!$H:$H,Dataset!$F:$F,'retorno absoluto'!$D$11,Dataset!$J:$J,"&lt;"&amp;$D66,Dataset!$J:$J,"&gt;="&amp;$C66,Dataset!$AC:$AC,"&lt;&gt;N-1+",Dataset!$AC:$AC,"&lt;&gt;*AA*",Dataset!$AC:$AC,"&lt;&gt;*AAA*",Dataset!$AC:$AC,"&lt;&gt;A",Dataset!$AC:$AC,"&lt;&gt;A-",Dataset!$AC:$AC,"&lt;&gt;A+",Dataset!$AC:$AC,"&lt;&gt;*BBB*")</f>
        <v>0</v>
      </c>
      <c r="AE66" s="163">
        <f t="shared" si="4"/>
        <v>0</v>
      </c>
    </row>
    <row r="67" spans="2:40" ht="33" customHeight="1" x14ac:dyDescent="0.25">
      <c r="C67" s="89">
        <v>13.5</v>
      </c>
      <c r="D67" s="100">
        <v>14.5</v>
      </c>
      <c r="E67" s="158">
        <f>SUMIFS(Dataset!$AK:$AK,Dataset!$F:$F,'retorno absoluto'!$D$11,Dataset!$AC:$AC,E$52,Dataset!$J:$J,"&lt;"&amp;$D67,Dataset!J:J,"&gt;="&amp;$C67)</f>
        <v>0</v>
      </c>
      <c r="F67" s="159">
        <f>SUMIFS(Dataset!$AK:$AK,Dataset!$F:$F,'retorno absoluto'!$D$11,Dataset!$AC:$AC,F$52,Dataset!$J:$J,"&lt;"&amp;$D67,Dataset!J:J,"&gt;="&amp;$C67)</f>
        <v>0</v>
      </c>
      <c r="G67" s="159">
        <f>SUMIFS(Dataset!$AK:$AK,Dataset!$F:$F,'retorno absoluto'!$D$11,Dataset!$AC:$AC,G$52,Dataset!$J:$J,"&lt;"&amp;$D67,Dataset!J:J,"&gt;="&amp;$C67)</f>
        <v>0</v>
      </c>
      <c r="H67" s="159">
        <f>SUMIFS(Dataset!$AK:$AK,Dataset!$F:$F,'retorno absoluto'!$D$11,Dataset!$AC:$AC,H$52,Dataset!$J:$J,"&lt;"&amp;$D67,Dataset!J:J,"&gt;="&amp;$C67)</f>
        <v>0</v>
      </c>
      <c r="I67" s="159">
        <f>SUMIFS(Dataset!$AK:$AK,Dataset!$F:$F,'retorno absoluto'!$D$11,Dataset!$AC:$AC,I$52,Dataset!$J:$J,"&lt;"&amp;$D67,Dataset!J:J,"&gt;="&amp;$C67)</f>
        <v>0</v>
      </c>
      <c r="J67" s="159">
        <f>SUMIFS(Dataset!$AK:$AK,Dataset!$F:$F,'retorno absoluto'!$D$11,Dataset!$AC:$AC,"A",Dataset!$J:$J,"&lt;"&amp;$D67,Dataset!$J:$J,"&gt;="&amp;$C67)+SUMIFS(Dataset!$AK:$AK,Dataset!$F:$F,'retorno absoluto'!$D$11,Dataset!$AC:$AC,"A-",Dataset!$J:$J,"&lt;"&amp;$D67,Dataset!$J:$J,"&gt;="&amp;$C67)+SUMIFS(Dataset!$AK:$AK,Dataset!$F:$F,'retorno absoluto'!$D$11,Dataset!$AC:$AC,"A+",Dataset!$J:$J,"&lt;"&amp;$D67,Dataset!$J:$J,"&gt;="&amp;$C67)</f>
        <v>0</v>
      </c>
      <c r="K67" s="159">
        <f>SUMIFS(Dataset!$AK:$AK,Dataset!$F:$F,'retorno absoluto'!$D$11,Dataset!$AC:$AC,"BBB",Dataset!$J:$J,"&lt;"&amp;$D67,Dataset!$J:$J,"&gt;="&amp;$C67)+SUMIFS(Dataset!$AK:$AK,Dataset!$F:$F,'retorno absoluto'!$D$11,Dataset!$AC:$AC,"BBB-",Dataset!$J:$J,"&lt;"&amp;$D67,Dataset!$J:$J,"&gt;="&amp;$C67)+SUMIFS(Dataset!$AK:$AK,Dataset!$F:$F,'retorno absoluto'!$D$11,Dataset!$AC:$AC,"BBB+",Dataset!$J:$J,"&lt;"&amp;$D67,Dataset!$J:$J,"&gt;="&amp;$C67)</f>
        <v>0</v>
      </c>
      <c r="L67" s="159">
        <f>SUMIFS(Dataset!$AK:$AK,Dataset!$F:$F,'retorno absoluto'!$D$11,Dataset!$J:$J,"&lt;"&amp;$D67,Dataset!$J:$J,"&gt;="&amp;$C67,Dataset!$AC:$AC,"&lt;&gt;N-1+",Dataset!$AC:$AC,"&lt;&gt;*AA*",Dataset!$AC:$AC,"&lt;&gt;*AAA*",Dataset!$AC:$AC,"&lt;&gt;A",Dataset!$AC:$AC,"&lt;&gt;A-",Dataset!$AC:$AC,"&lt;&gt;A+",Dataset!$AC:$AC,"&lt;&gt;*BBB*")</f>
        <v>0</v>
      </c>
      <c r="M67" s="160">
        <f t="shared" si="2"/>
        <v>0</v>
      </c>
      <c r="N67" s="158">
        <f>SUMIFS(Dataset!$AA:$AA,Dataset!$F:$F,'retorno absoluto'!$D$11,Dataset!$AC:$AC,N$52,Dataset!$J:$J,"&lt;"&amp;$D67,Dataset!$J:$J,"&gt;="&amp;$C67)</f>
        <v>0</v>
      </c>
      <c r="O67" s="159">
        <f>SUMIFS(Dataset!$AA:$AA,Dataset!$F:$F,'retorno absoluto'!$D$11,Dataset!$AC:$AC,O$52,Dataset!$J:$J,"&lt;"&amp;$D67,Dataset!$J:$J,"&gt;="&amp;$C67)</f>
        <v>0</v>
      </c>
      <c r="P67" s="159">
        <f>SUMIFS(Dataset!$AA:$AA,Dataset!$F:$F,'retorno absoluto'!$D$11,Dataset!$AC:$AC,P$52,Dataset!$J:$J,"&lt;"&amp;$D67,Dataset!$J:$J,"&gt;="&amp;$C67)</f>
        <v>0</v>
      </c>
      <c r="Q67" s="159">
        <f>SUMIFS(Dataset!$AA:$AA,Dataset!$F:$F,'retorno absoluto'!$D$11,Dataset!$AC:$AC,Q$52,Dataset!$J:$J,"&lt;"&amp;$D67,Dataset!$J:$J,"&gt;="&amp;$C67)</f>
        <v>0</v>
      </c>
      <c r="R67" s="159">
        <f>SUMIFS(Dataset!$AA:$AA,Dataset!$F:$F,'retorno absoluto'!$D$11,Dataset!$AC:$AC,R$52,Dataset!$J:$J,"&lt;"&amp;$D67,Dataset!$J:$J,"&gt;="&amp;$C67)</f>
        <v>0</v>
      </c>
      <c r="S67" s="159">
        <f>SUMIFS(Dataset!$AA:$AA,Dataset!$F:$F,'retorno absoluto'!$D$11,Dataset!$AC:$AC,"A",Dataset!$J:$J,"&lt;"&amp;$D67,Dataset!$J:$J,"&gt;="&amp;$C67)+SUMIFS(Dataset!$AA:$AA,Dataset!$F:$F,'retorno absoluto'!$D$11,Dataset!$AC:$AC,"A-",Dataset!$J:$J,"&lt;"&amp;$D67,Dataset!$J:$J,"&gt;="&amp;$C67)+SUMIFS(Dataset!$AA:$AA,Dataset!$F:$F,'retorno absoluto'!$D$11,Dataset!$AC:$AC,"A+",Dataset!$J:$J,"&lt;"&amp;$D67,Dataset!$J:$J,"&gt;="&amp;$C67)</f>
        <v>0</v>
      </c>
      <c r="T67" s="159">
        <f>SUMIFS(Dataset!$AA:$AA,Dataset!$F:$F,'retorno absoluto'!$D$11,Dataset!$AC:$AC,"BBB-",Dataset!$J:$J,"&lt;"&amp;$D67,Dataset!$J:$J,"&gt;="&amp;$C67)+SUMIFS(Dataset!$AA:$AA,Dataset!$F:$F,'retorno absoluto'!$D$11,Dataset!$AC:$AC,"BBB",Dataset!$J:$J,"&lt;"&amp;$D67,Dataset!$J:$J,"&gt;="&amp;$C67)+SUMIFS(Dataset!$AA:$AA,Dataset!$F:$F,'retorno absoluto'!$D$11,Dataset!$AC:$AC,"BBB+",Dataset!$J:$J,"&lt;"&amp;$D67,Dataset!$J:$J,"&gt;="&amp;$C67)</f>
        <v>0</v>
      </c>
      <c r="U67" s="159">
        <f>SUMIFS(Dataset!$AA:$AA,Dataset!$F:$F,'retorno absoluto'!$D$11,Dataset!$J:$J,"&lt;"&amp;$D67,Dataset!$J:$J,"&gt;="&amp;$C67,Dataset!$AC:$AC,"&lt;&gt;N-1+",Dataset!$AC:$AC,"&lt;&gt;*AA*",Dataset!$AC:$AC,"&lt;&gt;*AAA*",Dataset!$AC:$AC,"&lt;&gt;A",Dataset!$AC:$AC,"&lt;&gt;A-",Dataset!$AC:$AC,"&lt;&gt;A+",Dataset!$AC:$AC,"&lt;&gt;*BBB*")</f>
        <v>0</v>
      </c>
      <c r="V67" s="160">
        <f t="shared" si="3"/>
        <v>0</v>
      </c>
      <c r="W67" s="161">
        <f>10*SUMIFS(Dataset!$H:$H,Dataset!$F:$F,'retorno absoluto'!$D$11,Dataset!$AC:$AC,W$52,Dataset!$J:$J,"&lt;"&amp;$D67,Dataset!J:J,"&gt;="&amp;$C67)</f>
        <v>0</v>
      </c>
      <c r="X67" s="162">
        <f>10*SUMIFS(Dataset!$H:$H,Dataset!$F:$F,'retorno absoluto'!$D$11,Dataset!$AC:$AC,X$52,Dataset!$J:$J,"&lt;"&amp;$D67,Dataset!J:J,"&gt;="&amp;$C67)</f>
        <v>0</v>
      </c>
      <c r="Y67" s="162">
        <f>10*SUMIFS(Dataset!$H:$H,Dataset!$F:$F,'retorno absoluto'!$D$11,Dataset!$AC:$AC,Y$52,Dataset!$J:$J,"&lt;"&amp;$D67,Dataset!J:J,"&gt;="&amp;$C67)</f>
        <v>0</v>
      </c>
      <c r="Z67" s="162">
        <f>10*SUMIFS(Dataset!$H:$H,Dataset!$F:$F,'retorno absoluto'!$D$11,Dataset!$AC:$AC,Z$52,Dataset!$J:$J,"&lt;"&amp;$D67,Dataset!J:J,"&gt;="&amp;$C67)</f>
        <v>0</v>
      </c>
      <c r="AA67" s="162">
        <f>10*SUMIFS(Dataset!$H:$H,Dataset!$F:$F,'retorno absoluto'!$D$11,Dataset!$AC:$AC,AA$52,Dataset!$J:$J,"&lt;"&amp;$D67,Dataset!J:J,"&gt;="&amp;$C67)</f>
        <v>0</v>
      </c>
      <c r="AB67" s="162">
        <f>10*SUMIFS(Dataset!$H:$H,Dataset!$F:$F,'retorno absoluto'!$D$11,Dataset!$AC:$AC,"A",Dataset!$J:$J,"&lt;"&amp;$D67,Dataset!$J:$J,"&gt;="&amp;$C67)+10*SUMIFS(Dataset!$H:$H,Dataset!$F:$F,'retorno absoluto'!$D$11,Dataset!$AC:$AC,"A-",Dataset!$J:$J,"&lt;"&amp;$D67,Dataset!$J:$J,"&gt;="&amp;$C67)+10*SUMIFS(Dataset!$H:$H,Dataset!$F:$F,'retorno absoluto'!$D$11,Dataset!$AC:$AC,"A+",Dataset!$J:$J,"&lt;"&amp;$D67,Dataset!$J:$J,"&gt;="&amp;$C67)</f>
        <v>0</v>
      </c>
      <c r="AC67" s="162">
        <f>10*SUMIFS(Dataset!$H:$H,Dataset!$F:$F,'retorno absoluto'!$D$11,Dataset!$AC:$AC,"BBB",Dataset!$J:$J,"&lt;"&amp;$D67,Dataset!$J:$J,"&gt;="&amp;$C67)+10*SUMIFS(Dataset!$H:$H,Dataset!$F:$F,'retorno absoluto'!$D$11,Dataset!$AC:$AC,"BBB-",Dataset!$J:$J,"&lt;"&amp;$D67,Dataset!$J:$J,"&gt;="&amp;$C67)+10*SUMIFS(Dataset!$H:$H,Dataset!$F:$F,'retorno absoluto'!$D$11,Dataset!$AC:$AC,"BBB+",Dataset!$J:$J,"&lt;"&amp;$D67,Dataset!$J:$J,"&gt;="&amp;$C67)</f>
        <v>0</v>
      </c>
      <c r="AD67" s="162">
        <f>10*SUMIFS(Dataset!$H:$H,Dataset!$F:$F,'retorno absoluto'!$D$11,Dataset!$J:$J,"&lt;"&amp;$D67,Dataset!$J:$J,"&gt;="&amp;$C67,Dataset!$AC:$AC,"&lt;&gt;N-1+",Dataset!$AC:$AC,"&lt;&gt;*AA*",Dataset!$AC:$AC,"&lt;&gt;*AAA*",Dataset!$AC:$AC,"&lt;&gt;A",Dataset!$AC:$AC,"&lt;&gt;A-",Dataset!$AC:$AC,"&lt;&gt;A+",Dataset!$AC:$AC,"&lt;&gt;*BBB*")</f>
        <v>0</v>
      </c>
      <c r="AE67" s="163">
        <f t="shared" si="4"/>
        <v>0</v>
      </c>
    </row>
    <row r="68" spans="2:40" ht="33" customHeight="1" x14ac:dyDescent="0.25">
      <c r="C68" s="89">
        <v>14.5</v>
      </c>
      <c r="D68" s="100">
        <v>100</v>
      </c>
      <c r="E68" s="164">
        <f>SUMIFS(Dataset!$AK:$AK,Dataset!$F:$F,'retorno absoluto'!$D$11,Dataset!$AC:$AC,E$52,Dataset!$J:$J,"&lt;"&amp;$D68,Dataset!J:J,"&gt;="&amp;$C68)</f>
        <v>0</v>
      </c>
      <c r="F68" s="165">
        <f>SUMIFS(Dataset!$AK:$AK,Dataset!$F:$F,'retorno absoluto'!$D$11,Dataset!$AC:$AC,F$52,Dataset!$J:$J,"&lt;"&amp;$D68,Dataset!J:J,"&gt;="&amp;$C68)</f>
        <v>2.4977248926819757E-2</v>
      </c>
      <c r="G68" s="165">
        <f>SUMIFS(Dataset!$AK:$AK,Dataset!$F:$F,'retorno absoluto'!$D$11,Dataset!$AC:$AC,G$52,Dataset!$J:$J,"&lt;"&amp;$D68,Dataset!J:J,"&gt;="&amp;$C68)</f>
        <v>0</v>
      </c>
      <c r="H68" s="165">
        <f>SUMIFS(Dataset!$AK:$AK,Dataset!$F:$F,'retorno absoluto'!$D$11,Dataset!$AC:$AC,H$52,Dataset!$J:$J,"&lt;"&amp;$D68,Dataset!J:J,"&gt;="&amp;$C68)</f>
        <v>0</v>
      </c>
      <c r="I68" s="165">
        <f>SUMIFS(Dataset!$AK:$AK,Dataset!$F:$F,'retorno absoluto'!$D$11,Dataset!$AC:$AC,I$52,Dataset!$J:$J,"&lt;"&amp;$D68,Dataset!J:J,"&gt;="&amp;$C68)</f>
        <v>0</v>
      </c>
      <c r="J68" s="165">
        <f>SUMIFS(Dataset!$AK:$AK,Dataset!$F:$F,'retorno absoluto'!$D$11,Dataset!$AC:$AC,"A",Dataset!$J:$J,"&lt;"&amp;$D68,Dataset!$J:$J,"&gt;="&amp;$C68)+SUMIFS(Dataset!$AK:$AK,Dataset!$F:$F,'retorno absoluto'!$D$11,Dataset!$AC:$AC,"A-",Dataset!$J:$J,"&lt;"&amp;$D68,Dataset!$J:$J,"&gt;="&amp;$C68)+SUMIFS(Dataset!$AK:$AK,Dataset!$F:$F,'retorno absoluto'!$D$11,Dataset!$AC:$AC,"A+",Dataset!$J:$J,"&lt;"&amp;$D68,Dataset!$J:$J,"&gt;="&amp;$C68)</f>
        <v>0</v>
      </c>
      <c r="K68" s="165">
        <f>SUMIFS(Dataset!$AK:$AK,Dataset!$F:$F,'retorno absoluto'!$D$11,Dataset!$AC:$AC,"BBB",Dataset!$J:$J,"&lt;"&amp;$D68,Dataset!$J:$J,"&gt;="&amp;$C68)+SUMIFS(Dataset!$AK:$AK,Dataset!$F:$F,'retorno absoluto'!$D$11,Dataset!$AC:$AC,"BBB-",Dataset!$J:$J,"&lt;"&amp;$D68,Dataset!$J:$J,"&gt;="&amp;$C68)+SUMIFS(Dataset!$AK:$AK,Dataset!$F:$F,'retorno absoluto'!$D$11,Dataset!$AC:$AC,"BBB+",Dataset!$J:$J,"&lt;"&amp;$D68,Dataset!$J:$J,"&gt;="&amp;$C68)</f>
        <v>0</v>
      </c>
      <c r="L68" s="165">
        <f>SUMIFS(Dataset!$AK:$AK,Dataset!$F:$F,'retorno absoluto'!$D$11,Dataset!$J:$J,"&lt;"&amp;$D68,Dataset!$J:$J,"&gt;="&amp;$C68,Dataset!$AC:$AC,"&lt;&gt;N-1+",Dataset!$AC:$AC,"&lt;&gt;*AA*",Dataset!$AC:$AC,"&lt;&gt;*AAA*",Dataset!$AC:$AC,"&lt;&gt;A",Dataset!$AC:$AC,"&lt;&gt;A-",Dataset!$AC:$AC,"&lt;&gt;A+",Dataset!$AC:$AC,"&lt;&gt;*BBB*")</f>
        <v>0</v>
      </c>
      <c r="M68" s="166">
        <f t="shared" si="2"/>
        <v>2.4977248926819757E-2</v>
      </c>
      <c r="N68" s="164">
        <f>SUMIFS(Dataset!$AA:$AA,Dataset!$F:$F,'retorno absoluto'!$D$11,Dataset!$AC:$AC,N$52,Dataset!$J:$J,"&lt;"&amp;$D68,Dataset!$J:$J,"&gt;="&amp;$C68)</f>
        <v>0</v>
      </c>
      <c r="O68" s="165">
        <f>SUMIFS(Dataset!$AA:$AA,Dataset!$F:$F,'retorno absoluto'!$D$11,Dataset!$AC:$AC,O$52,Dataset!$J:$J,"&lt;"&amp;$D68,Dataset!$J:$J,"&gt;="&amp;$C68)</f>
        <v>6.5834979721078032E-2</v>
      </c>
      <c r="P68" s="165">
        <f>SUMIFS(Dataset!$AA:$AA,Dataset!$F:$F,'retorno absoluto'!$D$11,Dataset!$AC:$AC,P$52,Dataset!$J:$J,"&lt;"&amp;$D68,Dataset!$J:$J,"&gt;="&amp;$C68)</f>
        <v>0</v>
      </c>
      <c r="Q68" s="165">
        <f>SUMIFS(Dataset!$AA:$AA,Dataset!$F:$F,'retorno absoluto'!$D$11,Dataset!$AC:$AC,Q$52,Dataset!$J:$J,"&lt;"&amp;$D68,Dataset!$J:$J,"&gt;="&amp;$C68)</f>
        <v>0</v>
      </c>
      <c r="R68" s="165">
        <f>SUMIFS(Dataset!$AA:$AA,Dataset!$F:$F,'retorno absoluto'!$D$11,Dataset!$AC:$AC,R$52,Dataset!$J:$J,"&lt;"&amp;$D68,Dataset!$J:$J,"&gt;="&amp;$C68)</f>
        <v>0</v>
      </c>
      <c r="S68" s="165">
        <f>SUMIFS(Dataset!$AA:$AA,Dataset!$F:$F,'retorno absoluto'!$D$11,Dataset!$AC:$AC,"A",Dataset!$J:$J,"&lt;"&amp;$D68,Dataset!$J:$J,"&gt;="&amp;$C68)+SUMIFS(Dataset!$AA:$AA,Dataset!$F:$F,'retorno absoluto'!$D$11,Dataset!$AC:$AC,"A-",Dataset!$J:$J,"&lt;"&amp;$D68,Dataset!$J:$J,"&gt;="&amp;$C68)+SUMIFS(Dataset!$AA:$AA,Dataset!$F:$F,'retorno absoluto'!$D$11,Dataset!$AC:$AC,"A+",Dataset!$J:$J,"&lt;"&amp;$D68,Dataset!$J:$J,"&gt;="&amp;$C68)</f>
        <v>0</v>
      </c>
      <c r="T68" s="165">
        <f>SUMIFS(Dataset!$AA:$AA,Dataset!$F:$F,'retorno absoluto'!$D$11,Dataset!$AC:$AC,"BBB-",Dataset!$J:$J,"&lt;"&amp;$D68,Dataset!$J:$J,"&gt;="&amp;$C68)+SUMIFS(Dataset!$AA:$AA,Dataset!$F:$F,'retorno absoluto'!$D$11,Dataset!$AC:$AC,"BBB",Dataset!$J:$J,"&lt;"&amp;$D68,Dataset!$J:$J,"&gt;="&amp;$C68)+SUMIFS(Dataset!$AA:$AA,Dataset!$F:$F,'retorno absoluto'!$D$11,Dataset!$AC:$AC,"BBB+",Dataset!$J:$J,"&lt;"&amp;$D68,Dataset!$J:$J,"&gt;="&amp;$C68)</f>
        <v>0</v>
      </c>
      <c r="U68" s="165">
        <f>SUMIFS(Dataset!$AA:$AA,Dataset!$F:$F,'retorno absoluto'!$D$11,Dataset!$J:$J,"&lt;"&amp;$D68,Dataset!$J:$J,"&gt;="&amp;$C68,Dataset!$AC:$AC,"&lt;&gt;N-1+",Dataset!$AC:$AC,"&lt;&gt;*AA*",Dataset!$AC:$AC,"&lt;&gt;*AAA*",Dataset!$AC:$AC,"&lt;&gt;A",Dataset!$AC:$AC,"&lt;&gt;A-",Dataset!$AC:$AC,"&lt;&gt;A+",Dataset!$AC:$AC,"&lt;&gt;*BBB*")</f>
        <v>0</v>
      </c>
      <c r="V68" s="166">
        <f t="shared" si="3"/>
        <v>6.5834979721078032E-2</v>
      </c>
      <c r="W68" s="167">
        <f>10*SUMIFS(Dataset!$H:$H,Dataset!$F:$F,'retorno absoluto'!$D$11,Dataset!$AC:$AC,W$52,Dataset!$J:$J,"&lt;"&amp;$D68,Dataset!J:J,"&gt;="&amp;$C68)</f>
        <v>0</v>
      </c>
      <c r="X68" s="168">
        <f>10*SUMIFS(Dataset!$H:$H,Dataset!$F:$F,'retorno absoluto'!$D$11,Dataset!$AC:$AC,X$52,Dataset!$J:$J,"&lt;"&amp;$D68,Dataset!J:J,"&gt;="&amp;$C68)</f>
        <v>3.6641624175644583</v>
      </c>
      <c r="Y68" s="168">
        <f>10*SUMIFS(Dataset!$H:$H,Dataset!$F:$F,'retorno absoluto'!$D$11,Dataset!$AC:$AC,Y$52,Dataset!$J:$J,"&lt;"&amp;$D68,Dataset!J:J,"&gt;="&amp;$C68)</f>
        <v>0</v>
      </c>
      <c r="Z68" s="168">
        <f>10*SUMIFS(Dataset!$H:$H,Dataset!$F:$F,'retorno absoluto'!$D$11,Dataset!$AC:$AC,Z$52,Dataset!$J:$J,"&lt;"&amp;$D68,Dataset!J:J,"&gt;="&amp;$C68)</f>
        <v>0</v>
      </c>
      <c r="AA68" s="168">
        <f>10*SUMIFS(Dataset!$H:$H,Dataset!$F:$F,'retorno absoluto'!$D$11,Dataset!$AC:$AC,AA$52,Dataset!$J:$J,"&lt;"&amp;$D68,Dataset!J:J,"&gt;="&amp;$C68)</f>
        <v>0</v>
      </c>
      <c r="AB68" s="168">
        <f>10*SUMIFS(Dataset!$H:$H,Dataset!$F:$F,'retorno absoluto'!$D$11,Dataset!$AC:$AC,"A",Dataset!$J:$J,"&lt;"&amp;$D68,Dataset!$J:$J,"&gt;="&amp;$C68)+10*SUMIFS(Dataset!$H:$H,Dataset!$F:$F,'retorno absoluto'!$D$11,Dataset!$AC:$AC,"A-",Dataset!$J:$J,"&lt;"&amp;$D68,Dataset!$J:$J,"&gt;="&amp;$C68)+10*SUMIFS(Dataset!$H:$H,Dataset!$F:$F,'retorno absoluto'!$D$11,Dataset!$AC:$AC,"A+",Dataset!$J:$J,"&lt;"&amp;$D68,Dataset!$J:$J,"&gt;="&amp;$C68)</f>
        <v>0</v>
      </c>
      <c r="AC68" s="168">
        <f>10*SUMIFS(Dataset!$H:$H,Dataset!$F:$F,'retorno absoluto'!$D$11,Dataset!$AC:$AC,"BBB",Dataset!$J:$J,"&lt;"&amp;$D68,Dataset!$J:$J,"&gt;="&amp;$C68)+10*SUMIFS(Dataset!$H:$H,Dataset!$F:$F,'retorno absoluto'!$D$11,Dataset!$AC:$AC,"BBB-",Dataset!$J:$J,"&lt;"&amp;$D68,Dataset!$J:$J,"&gt;="&amp;$C68)+10*SUMIFS(Dataset!$H:$H,Dataset!$F:$F,'retorno absoluto'!$D$11,Dataset!$AC:$AC,"BBB+",Dataset!$J:$J,"&lt;"&amp;$D68,Dataset!$J:$J,"&gt;="&amp;$C68)</f>
        <v>0</v>
      </c>
      <c r="AD68" s="168">
        <f>10*SUMIFS(Dataset!$H:$H,Dataset!$F:$F,'retorno absoluto'!$D$11,Dataset!$J:$J,"&lt;"&amp;$D68,Dataset!$J:$J,"&gt;="&amp;$C68,Dataset!$AC:$AC,"&lt;&gt;N-1+",Dataset!$AC:$AC,"&lt;&gt;*AA*",Dataset!$AC:$AC,"&lt;&gt;*AAA*",Dataset!$AC:$AC,"&lt;&gt;A",Dataset!$AC:$AC,"&lt;&gt;A-",Dataset!$AC:$AC,"&lt;&gt;A+",Dataset!$AC:$AC,"&lt;&gt;*BBB*")</f>
        <v>0</v>
      </c>
      <c r="AE68" s="169">
        <f t="shared" si="4"/>
        <v>3.6641624175644583</v>
      </c>
    </row>
    <row r="69" spans="2:40" ht="33" customHeight="1" x14ac:dyDescent="0.25">
      <c r="C69" s="223"/>
      <c r="D69" s="224"/>
      <c r="E69" s="159">
        <f t="shared" ref="E69:L69" si="5">SUM(E53:E68)</f>
        <v>3.6586131127833543E-2</v>
      </c>
      <c r="F69" s="159">
        <f t="shared" si="5"/>
        <v>1.3564725152357748</v>
      </c>
      <c r="G69" s="159">
        <f t="shared" si="5"/>
        <v>0</v>
      </c>
      <c r="H69" s="159">
        <f t="shared" si="5"/>
        <v>2.0407686494486998E-3</v>
      </c>
      <c r="I69" s="159">
        <f t="shared" si="5"/>
        <v>0</v>
      </c>
      <c r="J69" s="159">
        <f t="shared" si="5"/>
        <v>6.153514180388453E-3</v>
      </c>
      <c r="K69" s="159">
        <f t="shared" si="5"/>
        <v>0</v>
      </c>
      <c r="L69" s="159">
        <f t="shared" si="5"/>
        <v>-0.40125292919344552</v>
      </c>
      <c r="M69" s="160">
        <f t="shared" si="2"/>
        <v>1.0000000000000002</v>
      </c>
      <c r="N69" s="159">
        <f>SUM(N53:N68)</f>
        <v>6.6731774591217465E-4</v>
      </c>
      <c r="O69" s="159">
        <f t="shared" ref="O69:U69" si="6">SUM(O53:O68)</f>
        <v>0.99252564484555439</v>
      </c>
      <c r="P69" s="159">
        <f t="shared" si="6"/>
        <v>0</v>
      </c>
      <c r="Q69" s="159">
        <f t="shared" si="6"/>
        <v>3.2849686377658541E-3</v>
      </c>
      <c r="R69" s="159">
        <f t="shared" si="6"/>
        <v>0</v>
      </c>
      <c r="S69" s="159">
        <f t="shared" si="6"/>
        <v>2.2885052622240486E-3</v>
      </c>
      <c r="T69" s="159">
        <f t="shared" si="6"/>
        <v>0</v>
      </c>
      <c r="U69" s="159">
        <f t="shared" si="6"/>
        <v>1.2335635085435324E-3</v>
      </c>
      <c r="V69" s="160">
        <f>SUM(N69:U69)</f>
        <v>1</v>
      </c>
      <c r="W69" s="162">
        <f>SUM(W53:W68)</f>
        <v>9.3864818587786156E-2</v>
      </c>
      <c r="X69" s="162">
        <f t="shared" ref="X69:AD69" si="7">SUM(X53:X68)</f>
        <v>58.962631502726602</v>
      </c>
      <c r="Y69" s="162">
        <f t="shared" si="7"/>
        <v>0</v>
      </c>
      <c r="Z69" s="162">
        <f t="shared" si="7"/>
        <v>0.18326102472049324</v>
      </c>
      <c r="AA69" s="162">
        <f t="shared" si="7"/>
        <v>0</v>
      </c>
      <c r="AB69" s="162">
        <f t="shared" si="7"/>
        <v>0.14030012331285671</v>
      </c>
      <c r="AC69" s="162">
        <f t="shared" si="7"/>
        <v>0</v>
      </c>
      <c r="AD69" s="162">
        <f t="shared" si="7"/>
        <v>0.111952164073123</v>
      </c>
      <c r="AE69" s="163">
        <f t="shared" si="4"/>
        <v>59.492009633420864</v>
      </c>
    </row>
    <row r="71" spans="2:40" ht="57" customHeight="1" x14ac:dyDescent="0.25">
      <c r="E71" s="222" t="s">
        <v>1748</v>
      </c>
      <c r="F71" s="222"/>
      <c r="G71" s="222"/>
      <c r="H71" s="222"/>
      <c r="I71" s="222"/>
      <c r="J71" s="222"/>
      <c r="K71" s="222"/>
      <c r="L71" s="222"/>
      <c r="M71" s="222"/>
      <c r="N71" s="222"/>
      <c r="O71" s="222"/>
      <c r="P71" s="81"/>
      <c r="Q71" s="222" t="s">
        <v>1749</v>
      </c>
      <c r="R71" s="222"/>
      <c r="S71" s="222"/>
      <c r="T71" s="222"/>
      <c r="U71" s="222"/>
      <c r="V71" s="222"/>
      <c r="W71" s="222"/>
      <c r="X71" s="222"/>
      <c r="Y71" s="222"/>
      <c r="Z71" s="222"/>
      <c r="AA71" s="222"/>
      <c r="AB71" s="81"/>
      <c r="AC71" s="222" t="s">
        <v>1752</v>
      </c>
      <c r="AD71" s="222"/>
      <c r="AE71" s="222"/>
      <c r="AF71" s="222"/>
      <c r="AG71" s="222"/>
      <c r="AH71" s="222"/>
      <c r="AI71" s="222"/>
      <c r="AJ71" s="222"/>
      <c r="AK71" s="222"/>
      <c r="AL71" s="222"/>
      <c r="AM71" s="222"/>
      <c r="AN71" s="81"/>
    </row>
    <row r="72" spans="2:40" ht="27" customHeight="1" x14ac:dyDescent="0.25">
      <c r="O72" s="94"/>
      <c r="P72" s="94"/>
      <c r="Q72" s="94"/>
      <c r="R72" s="94"/>
      <c r="S72" s="94"/>
      <c r="T72" s="94"/>
      <c r="U72" s="94"/>
      <c r="V72" s="94"/>
      <c r="Y72" s="94"/>
      <c r="Z72" s="94"/>
      <c r="AA72" s="94"/>
      <c r="AB72" s="94"/>
      <c r="AC72" s="94"/>
      <c r="AD72" s="94"/>
      <c r="AE72" s="94"/>
      <c r="AF72" s="94"/>
    </row>
    <row r="73" spans="2:40" ht="33" customHeight="1" x14ac:dyDescent="0.25">
      <c r="C73" s="229" t="s">
        <v>72</v>
      </c>
      <c r="D73" s="229"/>
      <c r="E73" s="101" t="s">
        <v>76</v>
      </c>
      <c r="F73" s="101" t="s">
        <v>77</v>
      </c>
      <c r="G73" s="101" t="s">
        <v>78</v>
      </c>
      <c r="H73" s="101" t="s">
        <v>79</v>
      </c>
      <c r="I73" s="101" t="s">
        <v>94</v>
      </c>
      <c r="J73" s="101" t="s">
        <v>167</v>
      </c>
      <c r="K73" s="101" t="s">
        <v>173</v>
      </c>
      <c r="L73" s="101" t="s">
        <v>235</v>
      </c>
      <c r="M73" s="101" t="s">
        <v>80</v>
      </c>
      <c r="N73" s="101" t="s">
        <v>81</v>
      </c>
      <c r="O73" s="101" t="s">
        <v>83</v>
      </c>
      <c r="P73" s="101"/>
      <c r="Q73" s="101" t="s">
        <v>76</v>
      </c>
      <c r="R73" s="101" t="s">
        <v>77</v>
      </c>
      <c r="S73" s="101" t="s">
        <v>78</v>
      </c>
      <c r="T73" s="101" t="s">
        <v>79</v>
      </c>
      <c r="U73" s="101" t="s">
        <v>94</v>
      </c>
      <c r="V73" s="101" t="s">
        <v>170</v>
      </c>
      <c r="W73" s="101" t="s">
        <v>173</v>
      </c>
      <c r="X73" s="101" t="s">
        <v>235</v>
      </c>
      <c r="Y73" s="101" t="s">
        <v>80</v>
      </c>
      <c r="Z73" s="101" t="s">
        <v>81</v>
      </c>
      <c r="AA73" s="101" t="s">
        <v>83</v>
      </c>
      <c r="AB73" s="101"/>
      <c r="AC73" s="101" t="s">
        <v>76</v>
      </c>
      <c r="AD73" s="101" t="s">
        <v>77</v>
      </c>
      <c r="AE73" s="101" t="s">
        <v>78</v>
      </c>
      <c r="AF73" s="101" t="s">
        <v>79</v>
      </c>
      <c r="AG73" s="101" t="s">
        <v>94</v>
      </c>
      <c r="AH73" s="101" t="s">
        <v>167</v>
      </c>
      <c r="AI73" s="101" t="s">
        <v>173</v>
      </c>
      <c r="AJ73" s="101" t="s">
        <v>235</v>
      </c>
      <c r="AK73" s="101" t="s">
        <v>80</v>
      </c>
      <c r="AL73" s="101" t="s">
        <v>81</v>
      </c>
      <c r="AM73" s="101" t="s">
        <v>83</v>
      </c>
      <c r="AN73" s="101"/>
    </row>
    <row r="74" spans="2:40" ht="33" customHeight="1" x14ac:dyDescent="0.25">
      <c r="C74" s="97">
        <v>0</v>
      </c>
      <c r="D74" s="98">
        <v>0.5</v>
      </c>
      <c r="E74" s="152">
        <f>SUMIFS(Dataset!AK:AK,Dataset!F:F,'retorno absoluto'!$D$11,Dataset!AH:AH,"deposito",Dataset!T:T,"$",Dataset!J:J,"&lt;"&amp;$D74,Dataset!J:J,"&gt;="&amp;$C74)</f>
        <v>5.7389808306501484E-2</v>
      </c>
      <c r="F74" s="153">
        <f>SUMIFS(Dataset!AK:AK,Dataset!F:F,'retorno absoluto'!$D$11,Dataset!AH:AH,"deposito",Dataset!T:T,"UF",Dataset!J:J,"&lt;"&amp;$D74,Dataset!J:J,"&gt;="&amp;$C74)</f>
        <v>0</v>
      </c>
      <c r="G74" s="153">
        <f>SUMIFS(Dataset!AK:AK,Dataset!F:F,'retorno absoluto'!$D$11,Dataset!AH:AH,"bono de gobierno",Dataset!T:T,"$",Dataset!J:J,"&lt;"&amp;$D74,Dataset!J:J,"&gt;="&amp;$C74)</f>
        <v>0</v>
      </c>
      <c r="H74" s="153">
        <f>SUMIFS(Dataset!AK:AK,Dataset!F:F,'retorno absoluto'!$D$11,Dataset!AH:AH,"bono de gobierno",Dataset!T:T,"UF",Dataset!J:J,"&lt;"&amp;$D74,Dataset!J:J,"&gt;="&amp;$C74)</f>
        <v>0</v>
      </c>
      <c r="I74" s="153">
        <f>SUMIFS(Dataset!AK:AK,Dataset!F:F,'retorno absoluto'!$D$11,Dataset!AH:AH,"bono de gobierno",Dataset!T:T,"eu",Dataset!J:J,"&lt;"&amp;$D74,Dataset!J:J,"&gt;="&amp;$C74)</f>
        <v>0</v>
      </c>
      <c r="J74" s="153">
        <f>SUMIFS(Dataset!AK:AK,Dataset!F:F,'retorno absoluto'!$D$11,Dataset!AH:AH,"bono de gobierno",Dataset!T:T,"mx",Dataset!J:J,"&lt;"&amp;$D74,Dataset!J:J,"&gt;="&amp;$C74)</f>
        <v>0</v>
      </c>
      <c r="K74" s="153">
        <f>SUMIFS(Dataset!AK:AK,Dataset!F:F,'retorno absoluto'!$D$11,Dataset!AH:AH,"bono de gobierno",Dataset!T:T,"rea",Dataset!J:J,"&lt;"&amp;$D74,Dataset!J:J,"&gt;="&amp;$C74)</f>
        <v>0</v>
      </c>
      <c r="L74" s="153">
        <f>SUMIFS(Dataset!AK:AK,Dataset!F:F,'retorno absoluto'!$D$11,Dataset!AH:AH,"bono de gobierno",Dataset!T:T,"sol",Dataset!J:J,"&lt;"&amp;$D74,Dataset!J:J,"&gt;="&amp;$C74)</f>
        <v>0</v>
      </c>
      <c r="M74" s="153">
        <f>SUMIFS(Dataset!AK:AK,Dataset!F:F,'retorno absoluto'!$D$11,Dataset!AH:AH,"bono corporativo",Dataset!T:T,"$",Dataset!J:J,"&lt;"&amp;$D74,Dataset!J:J,"&gt;="&amp;$C74)</f>
        <v>0</v>
      </c>
      <c r="N74" s="153">
        <f>SUMIFS(Dataset!AK:AK,Dataset!F:F,'retorno absoluto'!$D$11,Dataset!AH:AH,"bono corporativo",Dataset!T:T,"UF",Dataset!J:J,"&lt;"&amp;$D74,Dataset!J:J,"&gt;="&amp;$C74)</f>
        <v>0</v>
      </c>
      <c r="O74" s="153">
        <f>SUMIFS(Dataset!AK:AK,Dataset!F:F,'retorno absoluto'!$D$11,Dataset!J:J,"&lt;"&amp;$D74,Dataset!J:J,"&gt;="&amp;$C74,Dataset!AH:AH,"&lt;&gt;bono corporativo",Dataset!AH:AH,"&lt;&gt;bono de gobierno",Dataset!AH:AH,"&lt;&gt;deposito")</f>
        <v>-0.42855833506493896</v>
      </c>
      <c r="P74" s="160">
        <f t="shared" ref="P74:P90" si="8">SUM(E74:O74)</f>
        <v>-0.37116852675843748</v>
      </c>
      <c r="Q74" s="152">
        <f>SUMIFS(Dataset!AA:AA,Dataset!F:F,'retorno absoluto'!$D$11,Dataset!AH:AH,"deposito",Dataset!T:T,"$",Dataset!J:J,"&lt;"&amp;$D74,Dataset!J:J,"&gt;="&amp;$C74)</f>
        <v>1.2408788646182166E-3</v>
      </c>
      <c r="R74" s="153">
        <f>SUMIFS(Dataset!AA:AA,Dataset!F:F,'retorno absoluto'!$D$11,Dataset!AH:AH,"deposito",Dataset!T:T,"UF",Dataset!J:J,"&lt;"&amp;$D74,Dataset!J:J,"&gt;="&amp;$C74)</f>
        <v>0</v>
      </c>
      <c r="S74" s="153">
        <f>SUMIFS(Dataset!AA:AA,Dataset!F:F,'retorno absoluto'!$D$11,Dataset!AH:AH,"bono de gobierno",Dataset!T:T,"$",Dataset!J:J,"&lt;"&amp;$D74,Dataset!J:J,"&gt;="&amp;$C74)</f>
        <v>0</v>
      </c>
      <c r="T74" s="153">
        <f>SUMIFS(Dataset!AA:AA,Dataset!F:F,'retorno absoluto'!$D$11,Dataset!AH:AH,"bono de gobierno",Dataset!T:T,"UF",Dataset!J:J,"&lt;"&amp;$D74,Dataset!J:J,"&gt;="&amp;$C74)</f>
        <v>0</v>
      </c>
      <c r="U74" s="153">
        <f>SUMIFS(Dataset!AA:AA,Dataset!F:F,'retorno absoluto'!$D$11,Dataset!AH:AH,"bono de gobierno",Dataset!T:T,"EU",Dataset!J:J,"&lt;"&amp;$D74,Dataset!J:J,"&gt;="&amp;$C74)</f>
        <v>0</v>
      </c>
      <c r="V74" s="153">
        <f>SUMIFS(Dataset!AA:AA,Dataset!F:F,'retorno absoluto'!$D$11,Dataset!AH:AH,"bono de gobierno",Dataset!T:T,"MX",Dataset!J:J,"&lt;"&amp;$D74,Dataset!J:J,"&gt;="&amp;$C74)</f>
        <v>0</v>
      </c>
      <c r="W74" s="153">
        <f>SUMIFS(Dataset!AA:AA,Dataset!F:F,'retorno absoluto'!$D$11,Dataset!AH:AH,"bono de gobierno",Dataset!T:T,"REA",Dataset!J:J,"&lt;"&amp;$D74,Dataset!J:J,"&gt;="&amp;$C74)</f>
        <v>0</v>
      </c>
      <c r="X74" s="153">
        <f>SUMIFS(Dataset!AA:AA,Dataset!F:F,'retorno absoluto'!$D$11,Dataset!AH:AH,"bono de gobierno",Dataset!T:T,"sol",Dataset!J:J,"&lt;"&amp;$D74,Dataset!J:J,"&gt;="&amp;$C74)</f>
        <v>0</v>
      </c>
      <c r="Y74" s="153">
        <f>SUMIFS(Dataset!AA:AA,Dataset!F:F,'retorno absoluto'!$D$11,Dataset!AH:AH,"bono corporativo",Dataset!T:T,"$",Dataset!J:J,"&lt;"&amp;$D74,Dataset!J:J,"&gt;="&amp;$C74)</f>
        <v>0</v>
      </c>
      <c r="Z74" s="153">
        <f>SUMIFS(Dataset!AA:AA,Dataset!F:F,'retorno absoluto'!$D$11,Dataset!AH:AH,"bono corporativo",Dataset!T:T,"UF",Dataset!J:J,"&lt;"&amp;$D74,Dataset!J:J,"&gt;="&amp;$C74)</f>
        <v>0</v>
      </c>
      <c r="AA74" s="153">
        <f>SUMIFS(Dataset!AA:AA,Dataset!F:F,'retorno absoluto'!$D$11,Dataset!J:J,"&lt;"&amp;$D74,Dataset!J:J,"&gt;="&amp;$C74,Dataset!AH:AH,"&lt;&gt;bono corporativo",Dataset!AH:AH,"&lt;&gt;bono de gobierno",Dataset!AH:AH,"&lt;&gt;deposito")</f>
        <v>4.1598145351425659E-4</v>
      </c>
      <c r="AB74" s="160">
        <f t="shared" ref="AB74:AB90" si="9">SUM(Q74:AA74)</f>
        <v>1.6568603181324731E-3</v>
      </c>
      <c r="AC74" s="155">
        <f>SUMIFS(Dataset!H:H,Dataset!F:F,'retorno absoluto'!$D$11,Dataset!AH:AH,"deposito",Dataset!T:T,"$",Dataset!J:J,"&lt;"&amp;$D74,Dataset!J:J,"&gt;="&amp;$C74)*10</f>
        <v>0.1563103729942617</v>
      </c>
      <c r="AD74" s="156">
        <f>SUMIFS(Dataset!H:H,Dataset!F:F,'retorno absoluto'!$D$11,Dataset!AH:AH,"deposito",Dataset!T:T,"UF",Dataset!J:J,"&lt;"&amp;$D74,Dataset!J:J,"&gt;="&amp;$C74)*10</f>
        <v>0</v>
      </c>
      <c r="AE74" s="156">
        <f>SUMIFS(Dataset!H:H,Dataset!F:F,'retorno absoluto'!$D$11,Dataset!AH:AH,"bono de gobierno",Dataset!T:T,"$",Dataset!J:J,"&lt;"&amp;$D74,Dataset!J:J,"&gt;="&amp;$C74)*10</f>
        <v>0</v>
      </c>
      <c r="AF74" s="156">
        <f>SUMIFS(Dataset!H:H,Dataset!F:F,'retorno absoluto'!$D$11,Dataset!AH:AH,"bono de gobierno",Dataset!T:T,"UF",Dataset!J:J,"&lt;"&amp;$D74,Dataset!J:J,"&gt;="&amp;$C74)*10</f>
        <v>0</v>
      </c>
      <c r="AG74" s="156">
        <f>SUMIFS(Dataset!H:H,Dataset!F:F,'retorno absoluto'!$D$11,Dataset!AH:AH,"bono de gobierno",Dataset!T:T,"EU",Dataset!J:J,"&lt;"&amp;$D74,Dataset!J:J,"&gt;="&amp;$C74)*10</f>
        <v>0</v>
      </c>
      <c r="AH74" s="156">
        <f>SUMIFS(Dataset!H:H,Dataset!F:F,'retorno absoluto'!$D$11,Dataset!AH:AH,"bono de gobierno",Dataset!T:T,"MX",Dataset!J:J,"&lt;"&amp;$D74,Dataset!J:J,"&gt;="&amp;$C74)*10</f>
        <v>0</v>
      </c>
      <c r="AI74" s="156">
        <f>SUMIFS(Dataset!H:H,Dataset!F:F,'retorno absoluto'!$D$11,Dataset!AH:AH,"bono de gobierno",Dataset!T:T,"REA",Dataset!J:J,"&lt;"&amp;$D74,Dataset!J:J,"&gt;="&amp;$C74)*10</f>
        <v>0</v>
      </c>
      <c r="AJ74" s="156">
        <f>SUMIFS(Dataset!H:H,Dataset!F:F,'retorno absoluto'!$D$11,Dataset!AH:AH,"bono de gobierno",Dataset!T:T,"sol",Dataset!J:J,"&lt;"&amp;$D74,Dataset!J:J,"&gt;="&amp;$C74)*10</f>
        <v>0</v>
      </c>
      <c r="AK74" s="156">
        <f>SUMIFS(Dataset!H:H,Dataset!F:F,'retorno absoluto'!$D$11,Dataset!AH:AH,"bono corporativo",Dataset!T:T,"$",Dataset!J:J,"&lt;"&amp;$D74,Dataset!J:J,"&gt;="&amp;$C74)*10</f>
        <v>0</v>
      </c>
      <c r="AL74" s="156">
        <f>SUMIFS(Dataset!H:H,Dataset!F:F,'retorno absoluto'!$D$11,Dataset!AH:AH,"bono corporativo",Dataset!T:T,"UF",Dataset!J:J,"&lt;"&amp;$D74,Dataset!J:J,"&gt;="&amp;$C74)*10</f>
        <v>0</v>
      </c>
      <c r="AM74" s="156">
        <f>SUMIFS(Dataset!H:H,Dataset!F:F,'retorno absoluto'!$D$11,Dataset!J:J,"&lt;"&amp;$D74,Dataset!J:J,"&gt;="&amp;$C74,Dataset!AH:AH,"&lt;&gt;bono corporativo",Dataset!AH:AH,"&lt;&gt;bono de gobierno",Dataset!AH:AH,"&lt;&gt;deposito")*10</f>
        <v>0</v>
      </c>
      <c r="AN74" s="163">
        <f t="shared" ref="AN74:AN90" si="10">SUM(AC74:AM74)</f>
        <v>0.1563103729942617</v>
      </c>
    </row>
    <row r="75" spans="2:40" ht="33" customHeight="1" x14ac:dyDescent="0.25">
      <c r="C75" s="89">
        <v>0.5</v>
      </c>
      <c r="D75" s="100">
        <v>1.5</v>
      </c>
      <c r="E75" s="158">
        <f>SUMIFS(Dataset!AK:AK,Dataset!F:F,'retorno absoluto'!$D$11,Dataset!AH:AH,"deposito",Dataset!T:T,"$",Dataset!J:J,"&lt;"&amp;$D75,Dataset!J:J,"&gt;="&amp;$C75)</f>
        <v>6.5017286928254706E-3</v>
      </c>
      <c r="F75" s="159">
        <f>SUMIFS(Dataset!AK:AK,Dataset!F:F,'retorno absoluto'!$D$11,Dataset!AH:AH,"deposito",Dataset!T:T,"UF",Dataset!J:J,"&lt;"&amp;$D75,Dataset!J:J,"&gt;="&amp;$C75)</f>
        <v>0</v>
      </c>
      <c r="G75" s="159">
        <f>SUMIFS(Dataset!AK:AK,Dataset!F:F,'retorno absoluto'!$D$11,Dataset!AH:AH,"bono de gobierno",Dataset!T:T,"$",Dataset!J:J,"&lt;"&amp;$D75,Dataset!J:J,"&gt;="&amp;$C75)</f>
        <v>0</v>
      </c>
      <c r="H75" s="159">
        <f>SUMIFS(Dataset!AK:AK,Dataset!F:F,'retorno absoluto'!$D$11,Dataset!AH:AH,"bono de gobierno",Dataset!T:T,"UF",Dataset!J:J,"&lt;"&amp;$D75,Dataset!J:J,"&gt;="&amp;$C75)</f>
        <v>0</v>
      </c>
      <c r="I75" s="159">
        <f>SUMIFS(Dataset!AK:AK,Dataset!F:F,'retorno absoluto'!$D$11,Dataset!AH:AH,"bono de gobierno",Dataset!T:T,"eu",Dataset!J:J,"&lt;"&amp;$D75,Dataset!J:J,"&gt;="&amp;$C75)</f>
        <v>0</v>
      </c>
      <c r="J75" s="159">
        <f>SUMIFS(Dataset!AK:AK,Dataset!F:F,'retorno absoluto'!$D$11,Dataset!AH:AH,"bono de gobierno",Dataset!T:T,"mx",Dataset!J:J,"&lt;"&amp;$D75,Dataset!J:J,"&gt;="&amp;$C75)</f>
        <v>0</v>
      </c>
      <c r="K75" s="159">
        <f>SUMIFS(Dataset!AK:AK,Dataset!F:F,'retorno absoluto'!$D$11,Dataset!AH:AH,"bono de gobierno",Dataset!T:T,"rea",Dataset!J:J,"&lt;"&amp;$D75,Dataset!J:J,"&gt;="&amp;$C75)</f>
        <v>0</v>
      </c>
      <c r="L75" s="159">
        <f>SUMIFS(Dataset!AK:AK,Dataset!F:F,'retorno absoluto'!$D$11,Dataset!AH:AH,"bono de gobierno",Dataset!T:T,"sol",Dataset!J:J,"&lt;"&amp;$D75,Dataset!J:J,"&gt;="&amp;$C75)</f>
        <v>0</v>
      </c>
      <c r="M75" s="159">
        <f>SUMIFS(Dataset!AK:AK,Dataset!F:F,'retorno absoluto'!$D$11,Dataset!AH:AH,"bono corporativo",Dataset!T:T,"$",Dataset!J:J,"&lt;"&amp;$D75,Dataset!J:J,"&gt;="&amp;$C75)</f>
        <v>0</v>
      </c>
      <c r="N75" s="159">
        <f>SUMIFS(Dataset!AK:AK,Dataset!F:F,'retorno absoluto'!$D$11,Dataset!AH:AH,"bono corporativo",Dataset!T:T,"UF",Dataset!J:J,"&lt;"&amp;$D75,Dataset!J:J,"&gt;="&amp;$C75)</f>
        <v>0</v>
      </c>
      <c r="O75" s="159">
        <f>SUMIFS(Dataset!AK:AK,Dataset!F:F,'retorno absoluto'!$D$11,Dataset!J:J,"&lt;"&amp;$D75,Dataset!J:J,"&gt;="&amp;$C75,Dataset!AH:AH,"&lt;&gt;bono corporativo",Dataset!AH:AH,"&lt;&gt;bono de gobierno",Dataset!AH:AH,"&lt;&gt;deposito")</f>
        <v>0</v>
      </c>
      <c r="P75" s="160">
        <f t="shared" si="8"/>
        <v>6.5017286928254706E-3</v>
      </c>
      <c r="Q75" s="158">
        <f>SUMIFS(Dataset!AA:AA,Dataset!F:F,'retorno absoluto'!$D$11,Dataset!AH:AH,"deposito",Dataset!T:T,"$",Dataset!J:J,"&lt;"&amp;$D75,Dataset!J:J,"&gt;="&amp;$C75)</f>
        <v>2.4402093632323386E-4</v>
      </c>
      <c r="R75" s="159">
        <f>SUMIFS(Dataset!AA:AA,Dataset!F:F,'retorno absoluto'!$D$11,Dataset!AH:AH,"deposito",Dataset!T:T,"UF",Dataset!J:J,"&lt;"&amp;$D75,Dataset!J:J,"&gt;="&amp;$C75)</f>
        <v>0</v>
      </c>
      <c r="S75" s="159">
        <f>SUMIFS(Dataset!AA:AA,Dataset!F:F,'retorno absoluto'!$D$11,Dataset!AH:AH,"bono de gobierno",Dataset!T:T,"$",Dataset!J:J,"&lt;"&amp;$D75,Dataset!J:J,"&gt;="&amp;$C75)</f>
        <v>0</v>
      </c>
      <c r="T75" s="159">
        <f>SUMIFS(Dataset!AA:AA,Dataset!F:F,'retorno absoluto'!$D$11,Dataset!AH:AH,"bono de gobierno",Dataset!T:T,"UF",Dataset!J:J,"&lt;"&amp;$D75,Dataset!J:J,"&gt;="&amp;$C75)</f>
        <v>0</v>
      </c>
      <c r="U75" s="159">
        <f>SUMIFS(Dataset!AA:AA,Dataset!F:F,'retorno absoluto'!$D$11,Dataset!AH:AH,"bono de gobierno",Dataset!T:T,"EU",Dataset!J:J,"&lt;"&amp;$D75,Dataset!J:J,"&gt;="&amp;$C75)</f>
        <v>0</v>
      </c>
      <c r="V75" s="159">
        <f>SUMIFS(Dataset!AA:AA,Dataset!F:F,'retorno absoluto'!$D$11,Dataset!AH:AH,"bono de gobierno",Dataset!T:T,"MX",Dataset!J:J,"&lt;"&amp;$D75,Dataset!J:J,"&gt;="&amp;$C75)</f>
        <v>0</v>
      </c>
      <c r="W75" s="159">
        <f>SUMIFS(Dataset!AA:AA,Dataset!F:F,'retorno absoluto'!$D$11,Dataset!AH:AH,"bono de gobierno",Dataset!T:T,"REA",Dataset!J:J,"&lt;"&amp;$D75,Dataset!J:J,"&gt;="&amp;$C75)</f>
        <v>0</v>
      </c>
      <c r="X75" s="159">
        <f>SUMIFS(Dataset!AA:AA,Dataset!F:F,'retorno absoluto'!$D$11,Dataset!AH:AH,"bono de gobierno",Dataset!T:T,"sol",Dataset!J:J,"&lt;"&amp;$D75,Dataset!J:J,"&gt;="&amp;$C75)</f>
        <v>0</v>
      </c>
      <c r="Y75" s="159">
        <f>SUMIFS(Dataset!AA:AA,Dataset!F:F,'retorno absoluto'!$D$11,Dataset!AH:AH,"bono corporativo",Dataset!T:T,"$",Dataset!J:J,"&lt;"&amp;$D75,Dataset!J:J,"&gt;="&amp;$C75)</f>
        <v>0</v>
      </c>
      <c r="Z75" s="159">
        <f>SUMIFS(Dataset!AA:AA,Dataset!F:F,'retorno absoluto'!$D$11,Dataset!AH:AH,"bono corporativo",Dataset!T:T,"UF",Dataset!J:J,"&lt;"&amp;$D75,Dataset!J:J,"&gt;="&amp;$C75)</f>
        <v>0</v>
      </c>
      <c r="AA75" s="159">
        <f>SUMIFS(Dataset!AA:AA,Dataset!F:F,'retorno absoluto'!$D$11,Dataset!J:J,"&lt;"&amp;$D75,Dataset!J:J,"&gt;="&amp;$C75,Dataset!AH:AH,"&lt;&gt;bono corporativo",Dataset!AH:AH,"&lt;&gt;bono de gobierno",Dataset!AH:AH,"&lt;&gt;deposito")</f>
        <v>0</v>
      </c>
      <c r="AB75" s="160">
        <f t="shared" si="9"/>
        <v>2.4402093632323386E-4</v>
      </c>
      <c r="AC75" s="161">
        <f>SUMIFS(Dataset!H:H,Dataset!F:F,'retorno absoluto'!$D$11,Dataset!AH:AH,"deposito",Dataset!T:T,"$",Dataset!J:J,"&lt;"&amp;$D75,Dataset!J:J,"&gt;="&amp;$C75)*10</f>
        <v>4.9506609666647473E-2</v>
      </c>
      <c r="AD75" s="162">
        <f>SUMIFS(Dataset!H:H,Dataset!F:F,'retorno absoluto'!$D$11,Dataset!AH:AH,"deposito",Dataset!T:T,"UF",Dataset!J:J,"&lt;"&amp;$D75,Dataset!J:J,"&gt;="&amp;$C75)*10</f>
        <v>0</v>
      </c>
      <c r="AE75" s="162">
        <f>SUMIFS(Dataset!H:H,Dataset!F:F,'retorno absoluto'!$D$11,Dataset!AH:AH,"bono de gobierno",Dataset!T:T,"$",Dataset!J:J,"&lt;"&amp;$D75,Dataset!J:J,"&gt;="&amp;$C75)*10</f>
        <v>0</v>
      </c>
      <c r="AF75" s="162">
        <f>SUMIFS(Dataset!H:H,Dataset!F:F,'retorno absoluto'!$D$11,Dataset!AH:AH,"bono de gobierno",Dataset!T:T,"UF",Dataset!J:J,"&lt;"&amp;$D75,Dataset!J:J,"&gt;="&amp;$C75)*10</f>
        <v>0</v>
      </c>
      <c r="AG75" s="162">
        <f>SUMIFS(Dataset!H:H,Dataset!F:F,'retorno absoluto'!$D$11,Dataset!AH:AH,"bono de gobierno",Dataset!T:T,"EU",Dataset!J:J,"&lt;"&amp;$D75,Dataset!J:J,"&gt;="&amp;$C75)*10</f>
        <v>0</v>
      </c>
      <c r="AH75" s="162">
        <f>SUMIFS(Dataset!H:H,Dataset!F:F,'retorno absoluto'!$D$11,Dataset!AH:AH,"bono de gobierno",Dataset!T:T,"MX",Dataset!J:J,"&lt;"&amp;$D75,Dataset!J:J,"&gt;="&amp;$C75)*10</f>
        <v>0</v>
      </c>
      <c r="AI75" s="162">
        <f>SUMIFS(Dataset!H:H,Dataset!F:F,'retorno absoluto'!$D$11,Dataset!AH:AH,"bono de gobierno",Dataset!T:T,"REA",Dataset!J:J,"&lt;"&amp;$D75,Dataset!J:J,"&gt;="&amp;$C75)*10</f>
        <v>0</v>
      </c>
      <c r="AJ75" s="162">
        <f>SUMIFS(Dataset!H:H,Dataset!F:F,'retorno absoluto'!$D$11,Dataset!AH:AH,"bono de gobierno",Dataset!T:T,"sol",Dataset!J:J,"&lt;"&amp;$D75,Dataset!J:J,"&gt;="&amp;$C75)*10</f>
        <v>0</v>
      </c>
      <c r="AK75" s="162">
        <f>SUMIFS(Dataset!H:H,Dataset!F:F,'retorno absoluto'!$D$11,Dataset!AH:AH,"bono corporativo",Dataset!T:T,"$",Dataset!J:J,"&lt;"&amp;$D75,Dataset!J:J,"&gt;="&amp;$C75)*10</f>
        <v>0</v>
      </c>
      <c r="AL75" s="162">
        <f>SUMIFS(Dataset!H:H,Dataset!F:F,'retorno absoluto'!$D$11,Dataset!AH:AH,"bono corporativo",Dataset!T:T,"UF",Dataset!J:J,"&lt;"&amp;$D75,Dataset!J:J,"&gt;="&amp;$C75)*10</f>
        <v>0</v>
      </c>
      <c r="AM75" s="162">
        <f>SUMIFS(Dataset!H:H,Dataset!F:F,'retorno absoluto'!$D$11,Dataset!J:J,"&lt;"&amp;$D75,Dataset!J:J,"&gt;="&amp;$C75,Dataset!AH:AH,"&lt;&gt;bono corporativo",Dataset!AH:AH,"&lt;&gt;bono de gobierno",Dataset!AH:AH,"&lt;&gt;deposito")*10</f>
        <v>0</v>
      </c>
      <c r="AN75" s="163">
        <f t="shared" si="10"/>
        <v>4.9506609666647473E-2</v>
      </c>
    </row>
    <row r="76" spans="2:40" ht="33" customHeight="1" x14ac:dyDescent="0.25">
      <c r="C76" s="89">
        <v>1.5</v>
      </c>
      <c r="D76" s="100">
        <v>2.5</v>
      </c>
      <c r="E76" s="158">
        <f>SUMIFS(Dataset!AK:AK,Dataset!F:F,'retorno absoluto'!$D$11,Dataset!AH:AH,"deposito",Dataset!T:T,"$",Dataset!J:J,"&lt;"&amp;$D76,Dataset!J:J,"&gt;="&amp;$C76)</f>
        <v>0</v>
      </c>
      <c r="F76" s="159">
        <f>SUMIFS(Dataset!AK:AK,Dataset!F:F,'retorno absoluto'!$D$11,Dataset!AH:AH,"deposito",Dataset!T:T,"UF",Dataset!J:J,"&lt;"&amp;$D76,Dataset!J:J,"&gt;="&amp;$C76)</f>
        <v>0</v>
      </c>
      <c r="G76" s="159">
        <f>SUMIFS(Dataset!AK:AK,Dataset!F:F,'retorno absoluto'!$D$11,Dataset!AH:AH,"bono de gobierno",Dataset!T:T,"$",Dataset!J:J,"&lt;"&amp;$D76,Dataset!J:J,"&gt;="&amp;$C76)</f>
        <v>0</v>
      </c>
      <c r="H76" s="159">
        <f>SUMIFS(Dataset!AK:AK,Dataset!F:F,'retorno absoluto'!$D$11,Dataset!AH:AH,"bono de gobierno",Dataset!T:T,"UF",Dataset!J:J,"&lt;"&amp;$D76,Dataset!J:J,"&gt;="&amp;$C76)</f>
        <v>4.9009133891632431E-2</v>
      </c>
      <c r="I76" s="159">
        <f>SUMIFS(Dataset!AK:AK,Dataset!F:F,'retorno absoluto'!$D$11,Dataset!AH:AH,"bono de gobierno",Dataset!T:T,"eu",Dataset!J:J,"&lt;"&amp;$D76,Dataset!J:J,"&gt;="&amp;$C76)</f>
        <v>0</v>
      </c>
      <c r="J76" s="159">
        <f>SUMIFS(Dataset!AK:AK,Dataset!F:F,'retorno absoluto'!$D$11,Dataset!AH:AH,"bono de gobierno",Dataset!T:T,"mx",Dataset!J:J,"&lt;"&amp;$D76,Dataset!J:J,"&gt;="&amp;$C76)</f>
        <v>0</v>
      </c>
      <c r="K76" s="159">
        <f>SUMIFS(Dataset!AK:AK,Dataset!F:F,'retorno absoluto'!$D$11,Dataset!AH:AH,"bono de gobierno",Dataset!T:T,"rea",Dataset!J:J,"&lt;"&amp;$D76,Dataset!J:J,"&gt;="&amp;$C76)</f>
        <v>0</v>
      </c>
      <c r="L76" s="159">
        <f>SUMIFS(Dataset!AK:AK,Dataset!F:F,'retorno absoluto'!$D$11,Dataset!AH:AH,"bono de gobierno",Dataset!T:T,"sol",Dataset!J:J,"&lt;"&amp;$D76,Dataset!J:J,"&gt;="&amp;$C76)</f>
        <v>0</v>
      </c>
      <c r="M76" s="159">
        <f>SUMIFS(Dataset!AK:AK,Dataset!F:F,'retorno absoluto'!$D$11,Dataset!AH:AH,"bono corporativo",Dataset!T:T,"$",Dataset!J:J,"&lt;"&amp;$D76,Dataset!J:J,"&gt;="&amp;$C76)</f>
        <v>0</v>
      </c>
      <c r="N76" s="159">
        <f>SUMIFS(Dataset!AK:AK,Dataset!F:F,'retorno absoluto'!$D$11,Dataset!AH:AH,"bono corporativo",Dataset!T:T,"UF",Dataset!J:J,"&lt;"&amp;$D76,Dataset!J:J,"&gt;="&amp;$C76)</f>
        <v>6.153514180388453E-3</v>
      </c>
      <c r="O76" s="159">
        <f>SUMIFS(Dataset!AK:AK,Dataset!F:F,'retorno absoluto'!$D$11,Dataset!J:J,"&lt;"&amp;$D76,Dataset!J:J,"&gt;="&amp;$C76,Dataset!AH:AH,"&lt;&gt;bono corporativo",Dataset!AH:AH,"&lt;&gt;bono de gobierno",Dataset!AH:AH,"&lt;&gt;deposito")</f>
        <v>0</v>
      </c>
      <c r="P76" s="160">
        <f t="shared" si="8"/>
        <v>5.5162648072020884E-2</v>
      </c>
      <c r="Q76" s="158">
        <f>SUMIFS(Dataset!AA:AA,Dataset!F:F,'retorno absoluto'!$D$11,Dataset!AH:AH,"deposito",Dataset!T:T,"$",Dataset!J:J,"&lt;"&amp;$D76,Dataset!J:J,"&gt;="&amp;$C76)</f>
        <v>0</v>
      </c>
      <c r="R76" s="159">
        <f>SUMIFS(Dataset!AA:AA,Dataset!F:F,'retorno absoluto'!$D$11,Dataset!AH:AH,"deposito",Dataset!T:T,"UF",Dataset!J:J,"&lt;"&amp;$D76,Dataset!J:J,"&gt;="&amp;$C76)</f>
        <v>0</v>
      </c>
      <c r="S76" s="159">
        <f>SUMIFS(Dataset!AA:AA,Dataset!F:F,'retorno absoluto'!$D$11,Dataset!AH:AH,"bono de gobierno",Dataset!T:T,"$",Dataset!J:J,"&lt;"&amp;$D76,Dataset!J:J,"&gt;="&amp;$C76)</f>
        <v>0</v>
      </c>
      <c r="T76" s="159">
        <f>SUMIFS(Dataset!AA:AA,Dataset!F:F,'retorno absoluto'!$D$11,Dataset!AH:AH,"bono de gobierno",Dataset!T:T,"UF",Dataset!J:J,"&lt;"&amp;$D76,Dataset!J:J,"&gt;="&amp;$C76)</f>
        <v>3.7254094586515824E-2</v>
      </c>
      <c r="U76" s="159">
        <f>SUMIFS(Dataset!AA:AA,Dataset!F:F,'retorno absoluto'!$D$11,Dataset!AH:AH,"bono de gobierno",Dataset!T:T,"EU",Dataset!J:J,"&lt;"&amp;$D76,Dataset!J:J,"&gt;="&amp;$C76)</f>
        <v>0</v>
      </c>
      <c r="V76" s="159">
        <f>SUMIFS(Dataset!AA:AA,Dataset!F:F,'retorno absoluto'!$D$11,Dataset!AH:AH,"bono de gobierno",Dataset!T:T,"MX",Dataset!J:J,"&lt;"&amp;$D76,Dataset!J:J,"&gt;="&amp;$C76)</f>
        <v>0</v>
      </c>
      <c r="W76" s="159">
        <f>SUMIFS(Dataset!AA:AA,Dataset!F:F,'retorno absoluto'!$D$11,Dataset!AH:AH,"bono de gobierno",Dataset!T:T,"REA",Dataset!J:J,"&lt;"&amp;$D76,Dataset!J:J,"&gt;="&amp;$C76)</f>
        <v>0</v>
      </c>
      <c r="X76" s="159">
        <f>SUMIFS(Dataset!AA:AA,Dataset!F:F,'retorno absoluto'!$D$11,Dataset!AH:AH,"bono de gobierno",Dataset!T:T,"sol",Dataset!J:J,"&lt;"&amp;$D76,Dataset!J:J,"&gt;="&amp;$C76)</f>
        <v>0</v>
      </c>
      <c r="Y76" s="159">
        <f>SUMIFS(Dataset!AA:AA,Dataset!F:F,'retorno absoluto'!$D$11,Dataset!AH:AH,"bono corporativo",Dataset!T:T,"$",Dataset!J:J,"&lt;"&amp;$D76,Dataset!J:J,"&gt;="&amp;$C76)</f>
        <v>0</v>
      </c>
      <c r="Z76" s="159">
        <f>SUMIFS(Dataset!AA:AA,Dataset!F:F,'retorno absoluto'!$D$11,Dataset!AH:AH,"bono corporativo",Dataset!T:T,"UF",Dataset!J:J,"&lt;"&amp;$D76,Dataset!J:J,"&gt;="&amp;$C76)</f>
        <v>2.2885052622240486E-3</v>
      </c>
      <c r="AA76" s="159">
        <f>SUMIFS(Dataset!AA:AA,Dataset!F:F,'retorno absoluto'!$D$11,Dataset!J:J,"&lt;"&amp;$D76,Dataset!J:J,"&gt;="&amp;$C76,Dataset!AH:AH,"&lt;&gt;bono corporativo",Dataset!AH:AH,"&lt;&gt;bono de gobierno",Dataset!AH:AH,"&lt;&gt;deposito")</f>
        <v>0</v>
      </c>
      <c r="AB76" s="160">
        <f t="shared" si="9"/>
        <v>3.9542599848739875E-2</v>
      </c>
      <c r="AC76" s="161">
        <f>SUMIFS(Dataset!H:H,Dataset!F:F,'retorno absoluto'!$D$11,Dataset!AH:AH,"deposito",Dataset!T:T,"$",Dataset!J:J,"&lt;"&amp;$D76,Dataset!J:J,"&gt;="&amp;$C76)*10</f>
        <v>0</v>
      </c>
      <c r="AD76" s="162">
        <f>SUMIFS(Dataset!H:H,Dataset!F:F,'retorno absoluto'!$D$11,Dataset!AH:AH,"deposito",Dataset!T:T,"UF",Dataset!J:J,"&lt;"&amp;$D76,Dataset!J:J,"&gt;="&amp;$C76)*10</f>
        <v>0</v>
      </c>
      <c r="AE76" s="162">
        <f>SUMIFS(Dataset!H:H,Dataset!F:F,'retorno absoluto'!$D$11,Dataset!AH:AH,"bono de gobierno",Dataset!T:T,"$",Dataset!J:J,"&lt;"&amp;$D76,Dataset!J:J,"&gt;="&amp;$C76)*10</f>
        <v>0</v>
      </c>
      <c r="AF76" s="162">
        <f>SUMIFS(Dataset!H:H,Dataset!F:F,'retorno absoluto'!$D$11,Dataset!AH:AH,"bono de gobierno",Dataset!T:T,"UF",Dataset!J:J,"&lt;"&amp;$D76,Dataset!J:J,"&gt;="&amp;$C76)*10</f>
        <v>1.0487974042210517</v>
      </c>
      <c r="AG76" s="162">
        <f>SUMIFS(Dataset!H:H,Dataset!F:F,'retorno absoluto'!$D$11,Dataset!AH:AH,"bono de gobierno",Dataset!T:T,"EU",Dataset!J:J,"&lt;"&amp;$D76,Dataset!J:J,"&gt;="&amp;$C76)*10</f>
        <v>0</v>
      </c>
      <c r="AH76" s="162">
        <f>SUMIFS(Dataset!H:H,Dataset!F:F,'retorno absoluto'!$D$11,Dataset!AH:AH,"bono de gobierno",Dataset!T:T,"MX",Dataset!J:J,"&lt;"&amp;$D76,Dataset!J:J,"&gt;="&amp;$C76)*10</f>
        <v>0</v>
      </c>
      <c r="AI76" s="162">
        <f>SUMIFS(Dataset!H:H,Dataset!F:F,'retorno absoluto'!$D$11,Dataset!AH:AH,"bono de gobierno",Dataset!T:T,"REA",Dataset!J:J,"&lt;"&amp;$D76,Dataset!J:J,"&gt;="&amp;$C76)*10</f>
        <v>0</v>
      </c>
      <c r="AJ76" s="162">
        <f>SUMIFS(Dataset!H:H,Dataset!F:F,'retorno absoluto'!$D$11,Dataset!AH:AH,"bono de gobierno",Dataset!T:T,"sol",Dataset!J:J,"&lt;"&amp;$D76,Dataset!J:J,"&gt;="&amp;$C76)*10</f>
        <v>0</v>
      </c>
      <c r="AK76" s="162">
        <f>SUMIFS(Dataset!H:H,Dataset!F:F,'retorno absoluto'!$D$11,Dataset!AH:AH,"bono corporativo",Dataset!T:T,"$",Dataset!J:J,"&lt;"&amp;$D76,Dataset!J:J,"&gt;="&amp;$C76)*10</f>
        <v>0</v>
      </c>
      <c r="AL76" s="162">
        <f>SUMIFS(Dataset!H:H,Dataset!F:F,'retorno absoluto'!$D$11,Dataset!AH:AH,"bono corporativo",Dataset!T:T,"UF",Dataset!J:J,"&lt;"&amp;$D76,Dataset!J:J,"&gt;="&amp;$C76)*10</f>
        <v>0.14030012331285671</v>
      </c>
      <c r="AM76" s="162">
        <f>SUMIFS(Dataset!H:H,Dataset!F:F,'retorno absoluto'!$D$11,Dataset!J:J,"&lt;"&amp;$D76,Dataset!J:J,"&gt;="&amp;$C76,Dataset!AH:AH,"&lt;&gt;bono corporativo",Dataset!AH:AH,"&lt;&gt;bono de gobierno",Dataset!AH:AH,"&lt;&gt;deposito")*10</f>
        <v>0</v>
      </c>
      <c r="AN76" s="163">
        <f t="shared" si="10"/>
        <v>1.1890975275339084</v>
      </c>
    </row>
    <row r="77" spans="2:40" ht="27" customHeight="1" x14ac:dyDescent="0.25">
      <c r="C77" s="89">
        <v>2.5</v>
      </c>
      <c r="D77" s="100">
        <v>3.5</v>
      </c>
      <c r="E77" s="158">
        <f>SUMIFS(Dataset!AK:AK,Dataset!F:F,'retorno absoluto'!$D$11,Dataset!AH:AH,"deposito",Dataset!T:T,"$",Dataset!J:J,"&lt;"&amp;$D77,Dataset!J:J,"&gt;="&amp;$C77)</f>
        <v>0</v>
      </c>
      <c r="F77" s="159">
        <f>SUMIFS(Dataset!AK:AK,Dataset!F:F,'retorno absoluto'!$D$11,Dataset!AH:AH,"deposito",Dataset!T:T,"UF",Dataset!J:J,"&lt;"&amp;$D77,Dataset!J:J,"&gt;="&amp;$C77)</f>
        <v>0</v>
      </c>
      <c r="G77" s="159">
        <f>SUMIFS(Dataset!AK:AK,Dataset!F:F,'retorno absoluto'!$D$11,Dataset!AH:AH,"bono de gobierno",Dataset!T:T,"$",Dataset!J:J,"&lt;"&amp;$D77,Dataset!J:J,"&gt;="&amp;$C77)</f>
        <v>0.69456365865775027</v>
      </c>
      <c r="H77" s="159">
        <f>SUMIFS(Dataset!AK:AK,Dataset!F:F,'retorno absoluto'!$D$11,Dataset!AH:AH,"bono de gobierno",Dataset!T:T,"UF",Dataset!J:J,"&lt;"&amp;$D77,Dataset!J:J,"&gt;="&amp;$C77)</f>
        <v>0.21069039317617666</v>
      </c>
      <c r="I77" s="159">
        <f>SUMIFS(Dataset!AK:AK,Dataset!F:F,'retorno absoluto'!$D$11,Dataset!AH:AH,"bono de gobierno",Dataset!T:T,"eu",Dataset!J:J,"&lt;"&amp;$D77,Dataset!J:J,"&gt;="&amp;$C77)</f>
        <v>0</v>
      </c>
      <c r="J77" s="159">
        <f>SUMIFS(Dataset!AK:AK,Dataset!F:F,'retorno absoluto'!$D$11,Dataset!AH:AH,"bono de gobierno",Dataset!T:T,"mx",Dataset!J:J,"&lt;"&amp;$D77,Dataset!J:J,"&gt;="&amp;$C77)</f>
        <v>0</v>
      </c>
      <c r="K77" s="159">
        <f>SUMIFS(Dataset!AK:AK,Dataset!F:F,'retorno absoluto'!$D$11,Dataset!AH:AH,"bono de gobierno",Dataset!T:T,"rea",Dataset!J:J,"&lt;"&amp;$D77,Dataset!J:J,"&gt;="&amp;$C77)</f>
        <v>0</v>
      </c>
      <c r="L77" s="159">
        <f>SUMIFS(Dataset!AK:AK,Dataset!F:F,'retorno absoluto'!$D$11,Dataset!AH:AH,"bono de gobierno",Dataset!T:T,"sol",Dataset!J:J,"&lt;"&amp;$D77,Dataset!J:J,"&gt;="&amp;$C77)</f>
        <v>0</v>
      </c>
      <c r="M77" s="159">
        <f>SUMIFS(Dataset!AK:AK,Dataset!F:F,'retorno absoluto'!$D$11,Dataset!AH:AH,"bono corporativo",Dataset!T:T,"$",Dataset!J:J,"&lt;"&amp;$D77,Dataset!J:J,"&gt;="&amp;$C77)</f>
        <v>3.012798611887562E-2</v>
      </c>
      <c r="N77" s="159">
        <f>SUMIFS(Dataset!AK:AK,Dataset!F:F,'retorno absoluto'!$D$11,Dataset!AH:AH,"bono corporativo",Dataset!T:T,"UF",Dataset!J:J,"&lt;"&amp;$D77,Dataset!J:J,"&gt;="&amp;$C77)</f>
        <v>0</v>
      </c>
      <c r="O77" s="159">
        <f>SUMIFS(Dataset!AK:AK,Dataset!F:F,'retorno absoluto'!$D$11,Dataset!J:J,"&lt;"&amp;$D77,Dataset!J:J,"&gt;="&amp;$C77,Dataset!AH:AH,"&lt;&gt;bono corporativo",Dataset!AH:AH,"&lt;&gt;bono de gobierno",Dataset!AH:AH,"&lt;&gt;deposito")</f>
        <v>0</v>
      </c>
      <c r="P77" s="160">
        <f t="shared" si="8"/>
        <v>0.9353820379528025</v>
      </c>
      <c r="Q77" s="158">
        <f>SUMIFS(Dataset!AA:AA,Dataset!F:F,'retorno absoluto'!$D$11,Dataset!AH:AH,"deposito",Dataset!T:T,"$",Dataset!J:J,"&lt;"&amp;$D77,Dataset!J:J,"&gt;="&amp;$C77)</f>
        <v>0</v>
      </c>
      <c r="R77" s="159">
        <f>SUMIFS(Dataset!AA:AA,Dataset!F:F,'retorno absoluto'!$D$11,Dataset!AH:AH,"deposito",Dataset!T:T,"UF",Dataset!J:J,"&lt;"&amp;$D77,Dataset!J:J,"&gt;="&amp;$C77)</f>
        <v>0</v>
      </c>
      <c r="S77" s="159">
        <f>SUMIFS(Dataset!AA:AA,Dataset!F:F,'retorno absoluto'!$D$11,Dataset!AH:AH,"bono de gobierno",Dataset!T:T,"$",Dataset!J:J,"&lt;"&amp;$D77,Dataset!J:J,"&gt;="&amp;$C77)</f>
        <v>0.25535253907331329</v>
      </c>
      <c r="T77" s="159">
        <f>SUMIFS(Dataset!AA:AA,Dataset!F:F,'retorno absoluto'!$D$11,Dataset!AH:AH,"bono de gobierno",Dataset!T:T,"UF",Dataset!J:J,"&lt;"&amp;$D77,Dataset!J:J,"&gt;="&amp;$C77)</f>
        <v>0.25918155226271372</v>
      </c>
      <c r="U77" s="159">
        <f>SUMIFS(Dataset!AA:AA,Dataset!F:F,'retorno absoluto'!$D$11,Dataset!AH:AH,"bono de gobierno",Dataset!T:T,"EU",Dataset!J:J,"&lt;"&amp;$D77,Dataset!J:J,"&gt;="&amp;$C77)</f>
        <v>0</v>
      </c>
      <c r="V77" s="159">
        <f>SUMIFS(Dataset!AA:AA,Dataset!F:F,'retorno absoluto'!$D$11,Dataset!AH:AH,"bono de gobierno",Dataset!T:T,"MX",Dataset!J:J,"&lt;"&amp;$D77,Dataset!J:J,"&gt;="&amp;$C77)</f>
        <v>0</v>
      </c>
      <c r="W77" s="159">
        <f>SUMIFS(Dataset!AA:AA,Dataset!F:F,'retorno absoluto'!$D$11,Dataset!AH:AH,"bono de gobierno",Dataset!T:T,"REA",Dataset!J:J,"&lt;"&amp;$D77,Dataset!J:J,"&gt;="&amp;$C77)</f>
        <v>0</v>
      </c>
      <c r="X77" s="159">
        <f>SUMIFS(Dataset!AA:AA,Dataset!F:F,'retorno absoluto'!$D$11,Dataset!AH:AH,"bono de gobierno",Dataset!T:T,"sol",Dataset!J:J,"&lt;"&amp;$D77,Dataset!J:J,"&gt;="&amp;$C77)</f>
        <v>0</v>
      </c>
      <c r="Y77" s="159">
        <f>SUMIFS(Dataset!AA:AA,Dataset!F:F,'retorno absoluto'!$D$11,Dataset!AH:AH,"bono corporativo",Dataset!T:T,"$",Dataset!J:J,"&lt;"&amp;$D77,Dataset!J:J,"&gt;="&amp;$C77)</f>
        <v>3.2216524459381187E-3</v>
      </c>
      <c r="Z77" s="159">
        <f>SUMIFS(Dataset!AA:AA,Dataset!F:F,'retorno absoluto'!$D$11,Dataset!AH:AH,"bono corporativo",Dataset!T:T,"UF",Dataset!J:J,"&lt;"&amp;$D77,Dataset!J:J,"&gt;="&amp;$C77)</f>
        <v>0</v>
      </c>
      <c r="AA77" s="159">
        <f>SUMIFS(Dataset!AA:AA,Dataset!F:F,'retorno absoluto'!$D$11,Dataset!J:J,"&lt;"&amp;$D77,Dataset!J:J,"&gt;="&amp;$C77,Dataset!AH:AH,"&lt;&gt;bono corporativo",Dataset!AH:AH,"&lt;&gt;bono de gobierno",Dataset!AH:AH,"&lt;&gt;deposito")</f>
        <v>0</v>
      </c>
      <c r="AB77" s="160">
        <f t="shared" si="9"/>
        <v>0.51775574378196509</v>
      </c>
      <c r="AC77" s="161">
        <f>SUMIFS(Dataset!H:H,Dataset!F:F,'retorno absoluto'!$D$11,Dataset!AH:AH,"deposito",Dataset!T:T,"$",Dataset!J:J,"&lt;"&amp;$D77,Dataset!J:J,"&gt;="&amp;$C77)*10</f>
        <v>0</v>
      </c>
      <c r="AD77" s="162">
        <f>SUMIFS(Dataset!H:H,Dataset!F:F,'retorno absoluto'!$D$11,Dataset!AH:AH,"deposito",Dataset!T:T,"UF",Dataset!J:J,"&lt;"&amp;$D77,Dataset!J:J,"&gt;="&amp;$C77)*10</f>
        <v>0</v>
      </c>
      <c r="AE77" s="162">
        <f>SUMIFS(Dataset!H:H,Dataset!F:F,'retorno absoluto'!$D$11,Dataset!AH:AH,"bono de gobierno",Dataset!T:T,"$",Dataset!J:J,"&lt;"&amp;$D77,Dataset!J:J,"&gt;="&amp;$C77)*10</f>
        <v>21.878755247719134</v>
      </c>
      <c r="AF77" s="162">
        <f>SUMIFS(Dataset!H:H,Dataset!F:F,'retorno absoluto'!$D$11,Dataset!AH:AH,"bono de gobierno",Dataset!T:T,"UF",Dataset!J:J,"&lt;"&amp;$D77,Dataset!J:J,"&gt;="&amp;$C77)*10</f>
        <v>6.9527829748138288</v>
      </c>
      <c r="AG77" s="162">
        <f>SUMIFS(Dataset!H:H,Dataset!F:F,'retorno absoluto'!$D$11,Dataset!AH:AH,"bono de gobierno",Dataset!T:T,"EU",Dataset!J:J,"&lt;"&amp;$D77,Dataset!J:J,"&gt;="&amp;$C77)*10</f>
        <v>0</v>
      </c>
      <c r="AH77" s="162">
        <f>SUMIFS(Dataset!H:H,Dataset!F:F,'retorno absoluto'!$D$11,Dataset!AH:AH,"bono de gobierno",Dataset!T:T,"MX",Dataset!J:J,"&lt;"&amp;$D77,Dataset!J:J,"&gt;="&amp;$C77)*10</f>
        <v>0</v>
      </c>
      <c r="AI77" s="162">
        <f>SUMIFS(Dataset!H:H,Dataset!F:F,'retorno absoluto'!$D$11,Dataset!AH:AH,"bono de gobierno",Dataset!T:T,"REA",Dataset!J:J,"&lt;"&amp;$D77,Dataset!J:J,"&gt;="&amp;$C77)*10</f>
        <v>0</v>
      </c>
      <c r="AJ77" s="162">
        <f>SUMIFS(Dataset!H:H,Dataset!F:F,'retorno absoluto'!$D$11,Dataset!AH:AH,"bono de gobierno",Dataset!T:T,"sol",Dataset!J:J,"&lt;"&amp;$D77,Dataset!J:J,"&gt;="&amp;$C77)*10</f>
        <v>0</v>
      </c>
      <c r="AK77" s="162">
        <f>SUMIFS(Dataset!H:H,Dataset!F:F,'retorno absoluto'!$D$11,Dataset!AH:AH,"bono corporativo",Dataset!T:T,"$",Dataset!J:J,"&lt;"&amp;$D77,Dataset!J:J,"&gt;="&amp;$C77)*10</f>
        <v>0.81646842382152929</v>
      </c>
      <c r="AL77" s="162">
        <f>SUMIFS(Dataset!H:H,Dataset!F:F,'retorno absoluto'!$D$11,Dataset!AH:AH,"bono corporativo",Dataset!T:T,"UF",Dataset!J:J,"&lt;"&amp;$D77,Dataset!J:J,"&gt;="&amp;$C77)*10</f>
        <v>0</v>
      </c>
      <c r="AM77" s="162">
        <f>SUMIFS(Dataset!H:H,Dataset!F:F,'retorno absoluto'!$D$11,Dataset!J:J,"&lt;"&amp;$D77,Dataset!J:J,"&gt;="&amp;$C77,Dataset!AH:AH,"&lt;&gt;bono corporativo",Dataset!AH:AH,"&lt;&gt;bono de gobierno",Dataset!AH:AH,"&lt;&gt;deposito")*10</f>
        <v>0</v>
      </c>
      <c r="AN77" s="163">
        <f t="shared" si="10"/>
        <v>29.648006646354492</v>
      </c>
    </row>
    <row r="78" spans="2:40" ht="27" customHeight="1" x14ac:dyDescent="0.25">
      <c r="C78" s="89">
        <v>3.5</v>
      </c>
      <c r="D78" s="100">
        <v>4.5</v>
      </c>
      <c r="E78" s="158">
        <f>SUMIFS(Dataset!AK:AK,Dataset!F:F,'retorno absoluto'!$D$11,Dataset!AH:AH,"deposito",Dataset!T:T,"$",Dataset!J:J,"&lt;"&amp;$D78,Dataset!J:J,"&gt;="&amp;$C78)</f>
        <v>0</v>
      </c>
      <c r="F78" s="159">
        <f>SUMIFS(Dataset!AK:AK,Dataset!F:F,'retorno absoluto'!$D$11,Dataset!AH:AH,"deposito",Dataset!T:T,"UF",Dataset!J:J,"&lt;"&amp;$D78,Dataset!J:J,"&gt;="&amp;$C78)</f>
        <v>0</v>
      </c>
      <c r="G78" s="159">
        <f>SUMIFS(Dataset!AK:AK,Dataset!F:F,'retorno absoluto'!$D$11,Dataset!AH:AH,"bono de gobierno",Dataset!T:T,"$",Dataset!J:J,"&lt;"&amp;$D78,Dataset!J:J,"&gt;="&amp;$C78)</f>
        <v>0.13472267637308538</v>
      </c>
      <c r="H78" s="159">
        <f>SUMIFS(Dataset!AK:AK,Dataset!F:F,'retorno absoluto'!$D$11,Dataset!AH:AH,"bono de gobierno",Dataset!T:T,"UF",Dataset!J:J,"&lt;"&amp;$D78,Dataset!J:J,"&gt;="&amp;$C78)</f>
        <v>5.0325269060776043E-3</v>
      </c>
      <c r="I78" s="159">
        <f>SUMIFS(Dataset!AK:AK,Dataset!F:F,'retorno absoluto'!$D$11,Dataset!AH:AH,"bono de gobierno",Dataset!T:T,"eu",Dataset!J:J,"&lt;"&amp;$D78,Dataset!J:J,"&gt;="&amp;$C78)</f>
        <v>0</v>
      </c>
      <c r="J78" s="159">
        <f>SUMIFS(Dataset!AK:AK,Dataset!F:F,'retorno absoluto'!$D$11,Dataset!AH:AH,"bono de gobierno",Dataset!T:T,"mx",Dataset!J:J,"&lt;"&amp;$D78,Dataset!J:J,"&gt;="&amp;$C78)</f>
        <v>0</v>
      </c>
      <c r="K78" s="159">
        <f>SUMIFS(Dataset!AK:AK,Dataset!F:F,'retorno absoluto'!$D$11,Dataset!AH:AH,"bono de gobierno",Dataset!T:T,"rea",Dataset!J:J,"&lt;"&amp;$D78,Dataset!J:J,"&gt;="&amp;$C78)</f>
        <v>0</v>
      </c>
      <c r="L78" s="159">
        <f>SUMIFS(Dataset!AK:AK,Dataset!F:F,'retorno absoluto'!$D$11,Dataset!AH:AH,"bono de gobierno",Dataset!T:T,"sol",Dataset!J:J,"&lt;"&amp;$D78,Dataset!J:J,"&gt;="&amp;$C78)</f>
        <v>0</v>
      </c>
      <c r="M78" s="159">
        <f>SUMIFS(Dataset!AK:AK,Dataset!F:F,'retorno absoluto'!$D$11,Dataset!AH:AH,"bono corporativo",Dataset!T:T,"$",Dataset!J:J,"&lt;"&amp;$D78,Dataset!J:J,"&gt;="&amp;$C78)</f>
        <v>0</v>
      </c>
      <c r="N78" s="159">
        <f>SUMIFS(Dataset!AK:AK,Dataset!F:F,'retorno absoluto'!$D$11,Dataset!AH:AH,"bono corporativo",Dataset!T:T,"UF",Dataset!J:J,"&lt;"&amp;$D78,Dataset!J:J,"&gt;="&amp;$C78)</f>
        <v>0</v>
      </c>
      <c r="O78" s="159">
        <f>SUMIFS(Dataset!AK:AK,Dataset!F:F,'retorno absoluto'!$D$11,Dataset!J:J,"&lt;"&amp;$D78,Dataset!J:J,"&gt;="&amp;$C78,Dataset!AH:AH,"&lt;&gt;bono corporativo",Dataset!AH:AH,"&lt;&gt;bono de gobierno",Dataset!AH:AH,"&lt;&gt;deposito")</f>
        <v>0</v>
      </c>
      <c r="P78" s="160">
        <f t="shared" si="8"/>
        <v>0.13975520327916299</v>
      </c>
      <c r="Q78" s="158">
        <f>SUMIFS(Dataset!AA:AA,Dataset!F:F,'retorno absoluto'!$D$11,Dataset!AH:AH,"deposito",Dataset!T:T,"$",Dataset!J:J,"&lt;"&amp;$D78,Dataset!J:J,"&gt;="&amp;$C78)</f>
        <v>0</v>
      </c>
      <c r="R78" s="159">
        <f>SUMIFS(Dataset!AA:AA,Dataset!F:F,'retorno absoluto'!$D$11,Dataset!AH:AH,"deposito",Dataset!T:T,"UF",Dataset!J:J,"&lt;"&amp;$D78,Dataset!J:J,"&gt;="&amp;$C78)</f>
        <v>0</v>
      </c>
      <c r="S78" s="159">
        <f>SUMIFS(Dataset!AA:AA,Dataset!F:F,'retorno absoluto'!$D$11,Dataset!AH:AH,"bono de gobierno",Dataset!T:T,"$",Dataset!J:J,"&lt;"&amp;$D78,Dataset!J:J,"&gt;="&amp;$C78)</f>
        <v>6.1121820151821916E-2</v>
      </c>
      <c r="T78" s="159">
        <f>SUMIFS(Dataset!AA:AA,Dataset!F:F,'retorno absoluto'!$D$11,Dataset!AH:AH,"bono de gobierno",Dataset!T:T,"UF",Dataset!J:J,"&lt;"&amp;$D78,Dataset!J:J,"&gt;="&amp;$C78)</f>
        <v>7.2315871604138509E-3</v>
      </c>
      <c r="U78" s="159">
        <f>SUMIFS(Dataset!AA:AA,Dataset!F:F,'retorno absoluto'!$D$11,Dataset!AH:AH,"bono de gobierno",Dataset!T:T,"EU",Dataset!J:J,"&lt;"&amp;$D78,Dataset!J:J,"&gt;="&amp;$C78)</f>
        <v>0</v>
      </c>
      <c r="V78" s="159">
        <f>SUMIFS(Dataset!AA:AA,Dataset!F:F,'retorno absoluto'!$D$11,Dataset!AH:AH,"bono de gobierno",Dataset!T:T,"MX",Dataset!J:J,"&lt;"&amp;$D78,Dataset!J:J,"&gt;="&amp;$C78)</f>
        <v>0</v>
      </c>
      <c r="W78" s="159">
        <f>SUMIFS(Dataset!AA:AA,Dataset!F:F,'retorno absoluto'!$D$11,Dataset!AH:AH,"bono de gobierno",Dataset!T:T,"REA",Dataset!J:J,"&lt;"&amp;$D78,Dataset!J:J,"&gt;="&amp;$C78)</f>
        <v>0</v>
      </c>
      <c r="X78" s="159">
        <f>SUMIFS(Dataset!AA:AA,Dataset!F:F,'retorno absoluto'!$D$11,Dataset!AH:AH,"bono de gobierno",Dataset!T:T,"sol",Dataset!J:J,"&lt;"&amp;$D78,Dataset!J:J,"&gt;="&amp;$C78)</f>
        <v>0</v>
      </c>
      <c r="Y78" s="159">
        <f>SUMIFS(Dataset!AA:AA,Dataset!F:F,'retorno absoluto'!$D$11,Dataset!AH:AH,"bono corporativo",Dataset!T:T,"$",Dataset!J:J,"&lt;"&amp;$D78,Dataset!J:J,"&gt;="&amp;$C78)</f>
        <v>0</v>
      </c>
      <c r="Z78" s="159">
        <f>SUMIFS(Dataset!AA:AA,Dataset!F:F,'retorno absoluto'!$D$11,Dataset!AH:AH,"bono corporativo",Dataset!T:T,"UF",Dataset!J:J,"&lt;"&amp;$D78,Dataset!J:J,"&gt;="&amp;$C78)</f>
        <v>0</v>
      </c>
      <c r="AA78" s="159">
        <f>SUMIFS(Dataset!AA:AA,Dataset!F:F,'retorno absoluto'!$D$11,Dataset!J:J,"&lt;"&amp;$D78,Dataset!J:J,"&gt;="&amp;$C78,Dataset!AH:AH,"&lt;&gt;bono corporativo",Dataset!AH:AH,"&lt;&gt;bono de gobierno",Dataset!AH:AH,"&lt;&gt;deposito")</f>
        <v>0</v>
      </c>
      <c r="AB78" s="160">
        <f t="shared" si="9"/>
        <v>6.835340731223577E-2</v>
      </c>
      <c r="AC78" s="161">
        <f>SUMIFS(Dataset!H:H,Dataset!F:F,'retorno absoluto'!$D$11,Dataset!AH:AH,"deposito",Dataset!T:T,"$",Dataset!J:J,"&lt;"&amp;$D78,Dataset!J:J,"&gt;="&amp;$C78)*10</f>
        <v>0</v>
      </c>
      <c r="AD78" s="162">
        <f>SUMIFS(Dataset!H:H,Dataset!F:F,'retorno absoluto'!$D$11,Dataset!AH:AH,"deposito",Dataset!T:T,"UF",Dataset!J:J,"&lt;"&amp;$D78,Dataset!J:J,"&gt;="&amp;$C78)*10</f>
        <v>0</v>
      </c>
      <c r="AE78" s="162">
        <f>SUMIFS(Dataset!H:H,Dataset!F:F,'retorno absoluto'!$D$11,Dataset!AH:AH,"bono de gobierno",Dataset!T:T,"$",Dataset!J:J,"&lt;"&amp;$D78,Dataset!J:J,"&gt;="&amp;$C78)*10</f>
        <v>5.2676566461876382</v>
      </c>
      <c r="AF78" s="162">
        <f>SUMIFS(Dataset!H:H,Dataset!F:F,'retorno absoluto'!$D$11,Dataset!AH:AH,"bono de gobierno",Dataset!T:T,"UF",Dataset!J:J,"&lt;"&amp;$D78,Dataset!J:J,"&gt;="&amp;$C78)*10</f>
        <v>0.18840720371626982</v>
      </c>
      <c r="AG78" s="162">
        <f>SUMIFS(Dataset!H:H,Dataset!F:F,'retorno absoluto'!$D$11,Dataset!AH:AH,"bono de gobierno",Dataset!T:T,"EU",Dataset!J:J,"&lt;"&amp;$D78,Dataset!J:J,"&gt;="&amp;$C78)*10</f>
        <v>0</v>
      </c>
      <c r="AH78" s="162">
        <f>SUMIFS(Dataset!H:H,Dataset!F:F,'retorno absoluto'!$D$11,Dataset!AH:AH,"bono de gobierno",Dataset!T:T,"MX",Dataset!J:J,"&lt;"&amp;$D78,Dataset!J:J,"&gt;="&amp;$C78)*10</f>
        <v>0</v>
      </c>
      <c r="AI78" s="162">
        <f>SUMIFS(Dataset!H:H,Dataset!F:F,'retorno absoluto'!$D$11,Dataset!AH:AH,"bono de gobierno",Dataset!T:T,"REA",Dataset!J:J,"&lt;"&amp;$D78,Dataset!J:J,"&gt;="&amp;$C78)*10</f>
        <v>0</v>
      </c>
      <c r="AJ78" s="162">
        <f>SUMIFS(Dataset!H:H,Dataset!F:F,'retorno absoluto'!$D$11,Dataset!AH:AH,"bono de gobierno",Dataset!T:T,"sol",Dataset!J:J,"&lt;"&amp;$D78,Dataset!J:J,"&gt;="&amp;$C78)*10</f>
        <v>0</v>
      </c>
      <c r="AK78" s="162">
        <f>SUMIFS(Dataset!H:H,Dataset!F:F,'retorno absoluto'!$D$11,Dataset!AH:AH,"bono corporativo",Dataset!T:T,"$",Dataset!J:J,"&lt;"&amp;$D78,Dataset!J:J,"&gt;="&amp;$C78)*10</f>
        <v>0</v>
      </c>
      <c r="AL78" s="162">
        <f>SUMIFS(Dataset!H:H,Dataset!F:F,'retorno absoluto'!$D$11,Dataset!AH:AH,"bono corporativo",Dataset!T:T,"UF",Dataset!J:J,"&lt;"&amp;$D78,Dataset!J:J,"&gt;="&amp;$C78)*10</f>
        <v>0</v>
      </c>
      <c r="AM78" s="162">
        <f>SUMIFS(Dataset!H:H,Dataset!F:F,'retorno absoluto'!$D$11,Dataset!J:J,"&lt;"&amp;$D78,Dataset!J:J,"&gt;="&amp;$C78,Dataset!AH:AH,"&lt;&gt;bono corporativo",Dataset!AH:AH,"&lt;&gt;bono de gobierno",Dataset!AH:AH,"&lt;&gt;deposito")*10</f>
        <v>0</v>
      </c>
      <c r="AN78" s="163">
        <f t="shared" si="10"/>
        <v>5.4560638499039076</v>
      </c>
    </row>
    <row r="79" spans="2:40" ht="36" customHeight="1" x14ac:dyDescent="0.5">
      <c r="B79" s="102"/>
      <c r="C79" s="89">
        <v>4.5</v>
      </c>
      <c r="D79" s="100">
        <v>5.5</v>
      </c>
      <c r="E79" s="158">
        <f>SUMIFS(Dataset!AK:AK,Dataset!F:F,'retorno absoluto'!$D$11,Dataset!AH:AH,"deposito",Dataset!T:T,"$",Dataset!J:J,"&lt;"&amp;$D79,Dataset!J:J,"&gt;="&amp;$C79)</f>
        <v>0</v>
      </c>
      <c r="F79" s="159">
        <f>SUMIFS(Dataset!AK:AK,Dataset!F:F,'retorno absoluto'!$D$11,Dataset!AH:AH,"deposito",Dataset!T:T,"UF",Dataset!J:J,"&lt;"&amp;$D79,Dataset!J:J,"&gt;="&amp;$C79)</f>
        <v>0</v>
      </c>
      <c r="G79" s="159">
        <f>SUMIFS(Dataset!AK:AK,Dataset!F:F,'retorno absoluto'!$D$11,Dataset!AH:AH,"bono de gobierno",Dataset!T:T,"$",Dataset!J:J,"&lt;"&amp;$D79,Dataset!J:J,"&gt;="&amp;$C79)</f>
        <v>0</v>
      </c>
      <c r="H79" s="159">
        <f>SUMIFS(Dataset!AK:AK,Dataset!F:F,'retorno absoluto'!$D$11,Dataset!AH:AH,"bono de gobierno",Dataset!T:T,"UF",Dataset!J:J,"&lt;"&amp;$D79,Dataset!J:J,"&gt;="&amp;$C79)</f>
        <v>4.1290652926091823E-4</v>
      </c>
      <c r="I79" s="159">
        <f>SUMIFS(Dataset!AK:AK,Dataset!F:F,'retorno absoluto'!$D$11,Dataset!AH:AH,"bono de gobierno",Dataset!T:T,"eu",Dataset!J:J,"&lt;"&amp;$D79,Dataset!J:J,"&gt;="&amp;$C79)</f>
        <v>0</v>
      </c>
      <c r="J79" s="159">
        <f>SUMIFS(Dataset!AK:AK,Dataset!F:F,'retorno absoluto'!$D$11,Dataset!AH:AH,"bono de gobierno",Dataset!T:T,"mx",Dataset!J:J,"&lt;"&amp;$D79,Dataset!J:J,"&gt;="&amp;$C79)</f>
        <v>0</v>
      </c>
      <c r="K79" s="159">
        <f>SUMIFS(Dataset!AK:AK,Dataset!F:F,'retorno absoluto'!$D$11,Dataset!AH:AH,"bono de gobierno",Dataset!T:T,"rea",Dataset!J:J,"&lt;"&amp;$D79,Dataset!J:J,"&gt;="&amp;$C79)</f>
        <v>0</v>
      </c>
      <c r="L79" s="159">
        <f>SUMIFS(Dataset!AK:AK,Dataset!F:F,'retorno absoluto'!$D$11,Dataset!AH:AH,"bono de gobierno",Dataset!T:T,"sol",Dataset!J:J,"&lt;"&amp;$D79,Dataset!J:J,"&gt;="&amp;$C79)</f>
        <v>0</v>
      </c>
      <c r="M79" s="159">
        <f>SUMIFS(Dataset!AK:AK,Dataset!F:F,'retorno absoluto'!$D$11,Dataset!AH:AH,"bono corporativo",Dataset!T:T,"$",Dataset!J:J,"&lt;"&amp;$D79,Dataset!J:J,"&gt;="&amp;$C79)</f>
        <v>0</v>
      </c>
      <c r="N79" s="159">
        <f>SUMIFS(Dataset!AK:AK,Dataset!F:F,'retorno absoluto'!$D$11,Dataset!AH:AH,"bono corporativo",Dataset!T:T,"UF",Dataset!J:J,"&lt;"&amp;$D79,Dataset!J:J,"&gt;="&amp;$C79)</f>
        <v>0</v>
      </c>
      <c r="O79" s="159">
        <f>SUMIFS(Dataset!AK:AK,Dataset!F:F,'retorno absoluto'!$D$11,Dataset!J:J,"&lt;"&amp;$D79,Dataset!J:J,"&gt;="&amp;$C79,Dataset!AH:AH,"&lt;&gt;bono corporativo",Dataset!AH:AH,"&lt;&gt;bono de gobierno",Dataset!AH:AH,"&lt;&gt;deposito")</f>
        <v>0</v>
      </c>
      <c r="P79" s="160">
        <f t="shared" si="8"/>
        <v>4.1290652926091823E-4</v>
      </c>
      <c r="Q79" s="158">
        <f>SUMIFS(Dataset!AA:AA,Dataset!F:F,'retorno absoluto'!$D$11,Dataset!AH:AH,"deposito",Dataset!T:T,"$",Dataset!J:J,"&lt;"&amp;$D79,Dataset!J:J,"&gt;="&amp;$C79)</f>
        <v>0</v>
      </c>
      <c r="R79" s="159">
        <f>SUMIFS(Dataset!AA:AA,Dataset!F:F,'retorno absoluto'!$D$11,Dataset!AH:AH,"deposito",Dataset!T:T,"UF",Dataset!J:J,"&lt;"&amp;$D79,Dataset!J:J,"&gt;="&amp;$C79)</f>
        <v>0</v>
      </c>
      <c r="S79" s="159">
        <f>SUMIFS(Dataset!AA:AA,Dataset!F:F,'retorno absoluto'!$D$11,Dataset!AH:AH,"bono de gobierno",Dataset!T:T,"$",Dataset!J:J,"&lt;"&amp;$D79,Dataset!J:J,"&gt;="&amp;$C79)</f>
        <v>0</v>
      </c>
      <c r="T79" s="159">
        <f>SUMIFS(Dataset!AA:AA,Dataset!F:F,'retorno absoluto'!$D$11,Dataset!AH:AH,"bono de gobierno",Dataset!T:T,"UF",Dataset!J:J,"&lt;"&amp;$D79,Dataset!J:J,"&gt;="&amp;$C79)</f>
        <v>6.2955220753332095E-4</v>
      </c>
      <c r="U79" s="159">
        <f>SUMIFS(Dataset!AA:AA,Dataset!F:F,'retorno absoluto'!$D$11,Dataset!AH:AH,"bono de gobierno",Dataset!T:T,"EU",Dataset!J:J,"&lt;"&amp;$D79,Dataset!J:J,"&gt;="&amp;$C79)</f>
        <v>0</v>
      </c>
      <c r="V79" s="159">
        <f>SUMIFS(Dataset!AA:AA,Dataset!F:F,'retorno absoluto'!$D$11,Dataset!AH:AH,"bono de gobierno",Dataset!T:T,"MX",Dataset!J:J,"&lt;"&amp;$D79,Dataset!J:J,"&gt;="&amp;$C79)</f>
        <v>0</v>
      </c>
      <c r="W79" s="159">
        <f>SUMIFS(Dataset!AA:AA,Dataset!F:F,'retorno absoluto'!$D$11,Dataset!AH:AH,"bono de gobierno",Dataset!T:T,"REA",Dataset!J:J,"&lt;"&amp;$D79,Dataset!J:J,"&gt;="&amp;$C79)</f>
        <v>0</v>
      </c>
      <c r="X79" s="159">
        <f>SUMIFS(Dataset!AA:AA,Dataset!F:F,'retorno absoluto'!$D$11,Dataset!AH:AH,"bono de gobierno",Dataset!T:T,"sol",Dataset!J:J,"&lt;"&amp;$D79,Dataset!J:J,"&gt;="&amp;$C79)</f>
        <v>0</v>
      </c>
      <c r="Y79" s="159">
        <f>SUMIFS(Dataset!AA:AA,Dataset!F:F,'retorno absoluto'!$D$11,Dataset!AH:AH,"bono corporativo",Dataset!T:T,"$",Dataset!J:J,"&lt;"&amp;$D79,Dataset!J:J,"&gt;="&amp;$C79)</f>
        <v>0</v>
      </c>
      <c r="Z79" s="159">
        <f>SUMIFS(Dataset!AA:AA,Dataset!F:F,'retorno absoluto'!$D$11,Dataset!AH:AH,"bono corporativo",Dataset!T:T,"UF",Dataset!J:J,"&lt;"&amp;$D79,Dataset!J:J,"&gt;="&amp;$C79)</f>
        <v>0</v>
      </c>
      <c r="AA79" s="159">
        <f>SUMIFS(Dataset!AA:AA,Dataset!F:F,'retorno absoluto'!$D$11,Dataset!J:J,"&lt;"&amp;$D79,Dataset!J:J,"&gt;="&amp;$C79,Dataset!AH:AH,"&lt;&gt;bono corporativo",Dataset!AH:AH,"&lt;&gt;bono de gobierno",Dataset!AH:AH,"&lt;&gt;deposito")</f>
        <v>0</v>
      </c>
      <c r="AB79" s="160">
        <f t="shared" si="9"/>
        <v>6.2955220753332095E-4</v>
      </c>
      <c r="AC79" s="161">
        <f>SUMIFS(Dataset!H:H,Dataset!F:F,'retorno absoluto'!$D$11,Dataset!AH:AH,"deposito",Dataset!T:T,"$",Dataset!J:J,"&lt;"&amp;$D79,Dataset!J:J,"&gt;="&amp;$C79)*10</f>
        <v>0</v>
      </c>
      <c r="AD79" s="162">
        <f>SUMIFS(Dataset!H:H,Dataset!F:F,'retorno absoluto'!$D$11,Dataset!AH:AH,"deposito",Dataset!T:T,"UF",Dataset!J:J,"&lt;"&amp;$D79,Dataset!J:J,"&gt;="&amp;$C79)*10</f>
        <v>0</v>
      </c>
      <c r="AE79" s="162">
        <f>SUMIFS(Dataset!H:H,Dataset!F:F,'retorno absoluto'!$D$11,Dataset!AH:AH,"bono de gobierno",Dataset!T:T,"$",Dataset!J:J,"&lt;"&amp;$D79,Dataset!J:J,"&gt;="&amp;$C79)*10</f>
        <v>0</v>
      </c>
      <c r="AF79" s="162">
        <f>SUMIFS(Dataset!H:H,Dataset!F:F,'retorno absoluto'!$D$11,Dataset!AH:AH,"bono de gobierno",Dataset!T:T,"UF",Dataset!J:J,"&lt;"&amp;$D79,Dataset!J:J,"&gt;="&amp;$C79)*10</f>
        <v>2.1471139521567748E-2</v>
      </c>
      <c r="AG79" s="162">
        <f>SUMIFS(Dataset!H:H,Dataset!F:F,'retorno absoluto'!$D$11,Dataset!AH:AH,"bono de gobierno",Dataset!T:T,"EU",Dataset!J:J,"&lt;"&amp;$D79,Dataset!J:J,"&gt;="&amp;$C79)*10</f>
        <v>0</v>
      </c>
      <c r="AH79" s="162">
        <f>SUMIFS(Dataset!H:H,Dataset!F:F,'retorno absoluto'!$D$11,Dataset!AH:AH,"bono de gobierno",Dataset!T:T,"MX",Dataset!J:J,"&lt;"&amp;$D79,Dataset!J:J,"&gt;="&amp;$C79)*10</f>
        <v>0</v>
      </c>
      <c r="AI79" s="162">
        <f>SUMIFS(Dataset!H:H,Dataset!F:F,'retorno absoluto'!$D$11,Dataset!AH:AH,"bono de gobierno",Dataset!T:T,"REA",Dataset!J:J,"&lt;"&amp;$D79,Dataset!J:J,"&gt;="&amp;$C79)*10</f>
        <v>0</v>
      </c>
      <c r="AJ79" s="162">
        <f>SUMIFS(Dataset!H:H,Dataset!F:F,'retorno absoluto'!$D$11,Dataset!AH:AH,"bono de gobierno",Dataset!T:T,"sol",Dataset!J:J,"&lt;"&amp;$D79,Dataset!J:J,"&gt;="&amp;$C79)*10</f>
        <v>0</v>
      </c>
      <c r="AK79" s="162">
        <f>SUMIFS(Dataset!H:H,Dataset!F:F,'retorno absoluto'!$D$11,Dataset!AH:AH,"bono corporativo",Dataset!T:T,"$",Dataset!J:J,"&lt;"&amp;$D79,Dataset!J:J,"&gt;="&amp;$C79)*10</f>
        <v>0</v>
      </c>
      <c r="AL79" s="162">
        <f>SUMIFS(Dataset!H:H,Dataset!F:F,'retorno absoluto'!$D$11,Dataset!AH:AH,"bono corporativo",Dataset!T:T,"UF",Dataset!J:J,"&lt;"&amp;$D79,Dataset!J:J,"&gt;="&amp;$C79)*10</f>
        <v>0</v>
      </c>
      <c r="AM79" s="162">
        <f>SUMIFS(Dataset!H:H,Dataset!F:F,'retorno absoluto'!$D$11,Dataset!J:J,"&lt;"&amp;$D79,Dataset!J:J,"&gt;="&amp;$C79,Dataset!AH:AH,"&lt;&gt;bono corporativo",Dataset!AH:AH,"&lt;&gt;bono de gobierno",Dataset!AH:AH,"&lt;&gt;deposito")*10</f>
        <v>0</v>
      </c>
      <c r="AN79" s="163">
        <f t="shared" si="10"/>
        <v>2.1471139521567748E-2</v>
      </c>
    </row>
    <row r="80" spans="2:40" ht="36" customHeight="1" x14ac:dyDescent="0.25">
      <c r="B80" s="103"/>
      <c r="C80" s="89">
        <v>5.5</v>
      </c>
      <c r="D80" s="100">
        <v>6.5</v>
      </c>
      <c r="E80" s="158">
        <f>SUMIFS(Dataset!AK:AK,Dataset!F:F,'retorno absoluto'!$D$11,Dataset!AH:AH,"deposito",Dataset!T:T,"$",Dataset!J:J,"&lt;"&amp;$D80,Dataset!J:J,"&gt;="&amp;$C80)</f>
        <v>0</v>
      </c>
      <c r="F80" s="159">
        <f>SUMIFS(Dataset!AK:AK,Dataset!F:F,'retorno absoluto'!$D$11,Dataset!AH:AH,"deposito",Dataset!T:T,"UF",Dataset!J:J,"&lt;"&amp;$D80,Dataset!J:J,"&gt;="&amp;$C80)</f>
        <v>0</v>
      </c>
      <c r="G80" s="159">
        <f>SUMIFS(Dataset!AK:AK,Dataset!F:F,'retorno absoluto'!$D$11,Dataset!AH:AH,"bono de gobierno",Dataset!T:T,"$",Dataset!J:J,"&lt;"&amp;$D80,Dataset!J:J,"&gt;="&amp;$C80)</f>
        <v>0</v>
      </c>
      <c r="H80" s="159">
        <f>SUMIFS(Dataset!AK:AK,Dataset!F:F,'retorno absoluto'!$D$11,Dataset!AH:AH,"bono de gobierno",Dataset!T:T,"UF",Dataset!J:J,"&lt;"&amp;$D80,Dataset!J:J,"&gt;="&amp;$C80)</f>
        <v>1.452014334966047E-3</v>
      </c>
      <c r="I80" s="159">
        <f>SUMIFS(Dataset!AK:AK,Dataset!F:F,'retorno absoluto'!$D$11,Dataset!AH:AH,"bono de gobierno",Dataset!T:T,"eu",Dataset!J:J,"&lt;"&amp;$D80,Dataset!J:J,"&gt;="&amp;$C80)</f>
        <v>0</v>
      </c>
      <c r="J80" s="159">
        <f>SUMIFS(Dataset!AK:AK,Dataset!F:F,'retorno absoluto'!$D$11,Dataset!AH:AH,"bono de gobierno",Dataset!T:T,"mx",Dataset!J:J,"&lt;"&amp;$D80,Dataset!J:J,"&gt;="&amp;$C80)</f>
        <v>0</v>
      </c>
      <c r="K80" s="159">
        <f>SUMIFS(Dataset!AK:AK,Dataset!F:F,'retorno absoluto'!$D$11,Dataset!AH:AH,"bono de gobierno",Dataset!T:T,"rea",Dataset!J:J,"&lt;"&amp;$D80,Dataset!J:J,"&gt;="&amp;$C80)</f>
        <v>0</v>
      </c>
      <c r="L80" s="159">
        <f>SUMIFS(Dataset!AK:AK,Dataset!F:F,'retorno absoluto'!$D$11,Dataset!AH:AH,"bono de gobierno",Dataset!T:T,"sol",Dataset!J:J,"&lt;"&amp;$D80,Dataset!J:J,"&gt;="&amp;$C80)</f>
        <v>0</v>
      </c>
      <c r="M80" s="159">
        <f>SUMIFS(Dataset!AK:AK,Dataset!F:F,'retorno absoluto'!$D$11,Dataset!AH:AH,"bono corporativo",Dataset!T:T,"$",Dataset!J:J,"&lt;"&amp;$D80,Dataset!J:J,"&gt;="&amp;$C80)</f>
        <v>0</v>
      </c>
      <c r="N80" s="159">
        <f>SUMIFS(Dataset!AK:AK,Dataset!F:F,'retorno absoluto'!$D$11,Dataset!AH:AH,"bono corporativo",Dataset!T:T,"UF",Dataset!J:J,"&lt;"&amp;$D80,Dataset!J:J,"&gt;="&amp;$C80)</f>
        <v>0</v>
      </c>
      <c r="O80" s="159">
        <f>SUMIFS(Dataset!AK:AK,Dataset!F:F,'retorno absoluto'!$D$11,Dataset!J:J,"&lt;"&amp;$D80,Dataset!J:J,"&gt;="&amp;$C80,Dataset!AH:AH,"&lt;&gt;bono corporativo",Dataset!AH:AH,"&lt;&gt;bono de gobierno",Dataset!AH:AH,"&lt;&gt;deposito")</f>
        <v>0</v>
      </c>
      <c r="P80" s="160">
        <f t="shared" si="8"/>
        <v>1.452014334966047E-3</v>
      </c>
      <c r="Q80" s="158">
        <f>SUMIFS(Dataset!AA:AA,Dataset!F:F,'retorno absoluto'!$D$11,Dataset!AH:AH,"deposito",Dataset!T:T,"$",Dataset!J:J,"&lt;"&amp;$D80,Dataset!J:J,"&gt;="&amp;$C80)</f>
        <v>0</v>
      </c>
      <c r="R80" s="159">
        <f>SUMIFS(Dataset!AA:AA,Dataset!F:F,'retorno absoluto'!$D$11,Dataset!AH:AH,"deposito",Dataset!T:T,"UF",Dataset!J:J,"&lt;"&amp;$D80,Dataset!J:J,"&gt;="&amp;$C80)</f>
        <v>0</v>
      </c>
      <c r="S80" s="159">
        <f>SUMIFS(Dataset!AA:AA,Dataset!F:F,'retorno absoluto'!$D$11,Dataset!AH:AH,"bono de gobierno",Dataset!T:T,"$",Dataset!J:J,"&lt;"&amp;$D80,Dataset!J:J,"&gt;="&amp;$C80)</f>
        <v>0</v>
      </c>
      <c r="T80" s="159">
        <f>SUMIFS(Dataset!AA:AA,Dataset!F:F,'retorno absoluto'!$D$11,Dataset!AH:AH,"bono de gobierno",Dataset!T:T,"UF",Dataset!J:J,"&lt;"&amp;$D80,Dataset!J:J,"&gt;="&amp;$C80)</f>
        <v>2.213863829143434E-3</v>
      </c>
      <c r="U80" s="159">
        <f>SUMIFS(Dataset!AA:AA,Dataset!F:F,'retorno absoluto'!$D$11,Dataset!AH:AH,"bono de gobierno",Dataset!T:T,"EU",Dataset!J:J,"&lt;"&amp;$D80,Dataset!J:J,"&gt;="&amp;$C80)</f>
        <v>0</v>
      </c>
      <c r="V80" s="159">
        <f>SUMIFS(Dataset!AA:AA,Dataset!F:F,'retorno absoluto'!$D$11,Dataset!AH:AH,"bono de gobierno",Dataset!T:T,"MX",Dataset!J:J,"&lt;"&amp;$D80,Dataset!J:J,"&gt;="&amp;$C80)</f>
        <v>0</v>
      </c>
      <c r="W80" s="159">
        <f>SUMIFS(Dataset!AA:AA,Dataset!F:F,'retorno absoluto'!$D$11,Dataset!AH:AH,"bono de gobierno",Dataset!T:T,"REA",Dataset!J:J,"&lt;"&amp;$D80,Dataset!J:J,"&gt;="&amp;$C80)</f>
        <v>0</v>
      </c>
      <c r="X80" s="159">
        <f>SUMIFS(Dataset!AA:AA,Dataset!F:F,'retorno absoluto'!$D$11,Dataset!AH:AH,"bono de gobierno",Dataset!T:T,"sol",Dataset!J:J,"&lt;"&amp;$D80,Dataset!J:J,"&gt;="&amp;$C80)</f>
        <v>0</v>
      </c>
      <c r="Y80" s="159">
        <f>SUMIFS(Dataset!AA:AA,Dataset!F:F,'retorno absoluto'!$D$11,Dataset!AH:AH,"bono corporativo",Dataset!T:T,"$",Dataset!J:J,"&lt;"&amp;$D80,Dataset!J:J,"&gt;="&amp;$C80)</f>
        <v>0</v>
      </c>
      <c r="Z80" s="159">
        <f>SUMIFS(Dataset!AA:AA,Dataset!F:F,'retorno absoluto'!$D$11,Dataset!AH:AH,"bono corporativo",Dataset!T:T,"UF",Dataset!J:J,"&lt;"&amp;$D80,Dataset!J:J,"&gt;="&amp;$C80)</f>
        <v>0</v>
      </c>
      <c r="AA80" s="159">
        <f>SUMIFS(Dataset!AA:AA,Dataset!F:F,'retorno absoluto'!$D$11,Dataset!J:J,"&lt;"&amp;$D80,Dataset!J:J,"&gt;="&amp;$C80,Dataset!AH:AH,"&lt;&gt;bono corporativo",Dataset!AH:AH,"&lt;&gt;bono de gobierno",Dataset!AH:AH,"&lt;&gt;deposito")</f>
        <v>0</v>
      </c>
      <c r="AB80" s="160">
        <f t="shared" si="9"/>
        <v>2.213863829143434E-3</v>
      </c>
      <c r="AC80" s="161">
        <f>SUMIFS(Dataset!H:H,Dataset!F:F,'retorno absoluto'!$D$11,Dataset!AH:AH,"deposito",Dataset!T:T,"$",Dataset!J:J,"&lt;"&amp;$D80,Dataset!J:J,"&gt;="&amp;$C80)*10</f>
        <v>0</v>
      </c>
      <c r="AD80" s="162">
        <f>SUMIFS(Dataset!H:H,Dataset!F:F,'retorno absoluto'!$D$11,Dataset!AH:AH,"deposito",Dataset!T:T,"UF",Dataset!J:J,"&lt;"&amp;$D80,Dataset!J:J,"&gt;="&amp;$C80)*10</f>
        <v>0</v>
      </c>
      <c r="AE80" s="162">
        <f>SUMIFS(Dataset!H:H,Dataset!F:F,'retorno absoluto'!$D$11,Dataset!AH:AH,"bono de gobierno",Dataset!T:T,"$",Dataset!J:J,"&lt;"&amp;$D80,Dataset!J:J,"&gt;="&amp;$C80)*10</f>
        <v>0</v>
      </c>
      <c r="AF80" s="162">
        <f>SUMIFS(Dataset!H:H,Dataset!F:F,'retorno absoluto'!$D$11,Dataset!AH:AH,"bono de gobierno",Dataset!T:T,"UF",Dataset!J:J,"&lt;"&amp;$D80,Dataset!J:J,"&gt;="&amp;$C80)*10</f>
        <v>8.0296392723622406E-2</v>
      </c>
      <c r="AG80" s="162">
        <f>SUMIFS(Dataset!H:H,Dataset!F:F,'retorno absoluto'!$D$11,Dataset!AH:AH,"bono de gobierno",Dataset!T:T,"EU",Dataset!J:J,"&lt;"&amp;$D80,Dataset!J:J,"&gt;="&amp;$C80)*10</f>
        <v>0</v>
      </c>
      <c r="AH80" s="162">
        <f>SUMIFS(Dataset!H:H,Dataset!F:F,'retorno absoluto'!$D$11,Dataset!AH:AH,"bono de gobierno",Dataset!T:T,"MX",Dataset!J:J,"&lt;"&amp;$D80,Dataset!J:J,"&gt;="&amp;$C80)*10</f>
        <v>0</v>
      </c>
      <c r="AI80" s="162">
        <f>SUMIFS(Dataset!H:H,Dataset!F:F,'retorno absoluto'!$D$11,Dataset!AH:AH,"bono de gobierno",Dataset!T:T,"REA",Dataset!J:J,"&lt;"&amp;$D80,Dataset!J:J,"&gt;="&amp;$C80)*10</f>
        <v>0</v>
      </c>
      <c r="AJ80" s="162">
        <f>SUMIFS(Dataset!H:H,Dataset!F:F,'retorno absoluto'!$D$11,Dataset!AH:AH,"bono de gobierno",Dataset!T:T,"sol",Dataset!J:J,"&lt;"&amp;$D80,Dataset!J:J,"&gt;="&amp;$C80)*10</f>
        <v>0</v>
      </c>
      <c r="AK80" s="162">
        <f>SUMIFS(Dataset!H:H,Dataset!F:F,'retorno absoluto'!$D$11,Dataset!AH:AH,"bono corporativo",Dataset!T:T,"$",Dataset!J:J,"&lt;"&amp;$D80,Dataset!J:J,"&gt;="&amp;$C80)*10</f>
        <v>0</v>
      </c>
      <c r="AL80" s="162">
        <f>SUMIFS(Dataset!H:H,Dataset!F:F,'retorno absoluto'!$D$11,Dataset!AH:AH,"bono corporativo",Dataset!T:T,"UF",Dataset!J:J,"&lt;"&amp;$D80,Dataset!J:J,"&gt;="&amp;$C80)*10</f>
        <v>0</v>
      </c>
      <c r="AM80" s="162">
        <f>SUMIFS(Dataset!H:H,Dataset!F:F,'retorno absoluto'!$D$11,Dataset!J:J,"&lt;"&amp;$D80,Dataset!J:J,"&gt;="&amp;$C80,Dataset!AH:AH,"&lt;&gt;bono corporativo",Dataset!AH:AH,"&lt;&gt;bono de gobierno",Dataset!AH:AH,"&lt;&gt;deposito")*10</f>
        <v>0</v>
      </c>
      <c r="AN80" s="163">
        <f t="shared" si="10"/>
        <v>8.0296392723622406E-2</v>
      </c>
    </row>
    <row r="81" spans="3:40" ht="27" customHeight="1" x14ac:dyDescent="0.25">
      <c r="C81" s="89">
        <v>6.5</v>
      </c>
      <c r="D81" s="100">
        <v>7.5</v>
      </c>
      <c r="E81" s="158">
        <f>SUMIFS(Dataset!AK:AK,Dataset!F:F,'retorno absoluto'!$D$11,Dataset!AH:AH,"deposito",Dataset!T:T,"$",Dataset!J:J,"&lt;"&amp;$D81,Dataset!J:J,"&gt;="&amp;$C81)</f>
        <v>0</v>
      </c>
      <c r="F81" s="159">
        <f>SUMIFS(Dataset!AK:AK,Dataset!F:F,'retorno absoluto'!$D$11,Dataset!AH:AH,"deposito",Dataset!T:T,"UF",Dataset!J:J,"&lt;"&amp;$D81,Dataset!J:J,"&gt;="&amp;$C81)</f>
        <v>0</v>
      </c>
      <c r="G81" s="159">
        <f>SUMIFS(Dataset!AK:AK,Dataset!F:F,'retorno absoluto'!$D$11,Dataset!AH:AH,"bono de gobierno",Dataset!T:T,"$",Dataset!J:J,"&lt;"&amp;$D81,Dataset!J:J,"&gt;="&amp;$C81)</f>
        <v>0</v>
      </c>
      <c r="H81" s="159">
        <f>SUMIFS(Dataset!AK:AK,Dataset!F:F,'retorno absoluto'!$D$11,Dataset!AH:AH,"bono de gobierno",Dataset!T:T,"UF",Dataset!J:J,"&lt;"&amp;$D81,Dataset!J:J,"&gt;="&amp;$C81)</f>
        <v>0</v>
      </c>
      <c r="I81" s="159">
        <f>SUMIFS(Dataset!AK:AK,Dataset!F:F,'retorno absoluto'!$D$11,Dataset!AH:AH,"bono de gobierno",Dataset!T:T,"eu",Dataset!J:J,"&lt;"&amp;$D81,Dataset!J:J,"&gt;="&amp;$C81)</f>
        <v>0</v>
      </c>
      <c r="J81" s="159">
        <f>SUMIFS(Dataset!AK:AK,Dataset!F:F,'retorno absoluto'!$D$11,Dataset!AH:AH,"bono de gobierno",Dataset!T:T,"mx",Dataset!J:J,"&lt;"&amp;$D81,Dataset!J:J,"&gt;="&amp;$C81)</f>
        <v>0</v>
      </c>
      <c r="K81" s="159">
        <f>SUMIFS(Dataset!AK:AK,Dataset!F:F,'retorno absoluto'!$D$11,Dataset!AH:AH,"bono de gobierno",Dataset!T:T,"rea",Dataset!J:J,"&lt;"&amp;$D81,Dataset!J:J,"&gt;="&amp;$C81)</f>
        <v>0</v>
      </c>
      <c r="L81" s="159">
        <f>SUMIFS(Dataset!AK:AK,Dataset!F:F,'retorno absoluto'!$D$11,Dataset!AH:AH,"bono de gobierno",Dataset!T:T,"sol",Dataset!J:J,"&lt;"&amp;$D81,Dataset!J:J,"&gt;="&amp;$C81)</f>
        <v>0</v>
      </c>
      <c r="M81" s="159">
        <f>SUMIFS(Dataset!AK:AK,Dataset!F:F,'retorno absoluto'!$D$11,Dataset!AH:AH,"bono corporativo",Dataset!T:T,"$",Dataset!J:J,"&lt;"&amp;$D81,Dataset!J:J,"&gt;="&amp;$C81)</f>
        <v>0</v>
      </c>
      <c r="N81" s="159">
        <f>SUMIFS(Dataset!AK:AK,Dataset!F:F,'retorno absoluto'!$D$11,Dataset!AH:AH,"bono corporativo",Dataset!T:T,"UF",Dataset!J:J,"&lt;"&amp;$D81,Dataset!J:J,"&gt;="&amp;$C81)</f>
        <v>0</v>
      </c>
      <c r="O81" s="159">
        <f>SUMIFS(Dataset!AK:AK,Dataset!F:F,'retorno absoluto'!$D$11,Dataset!J:J,"&lt;"&amp;$D81,Dataset!J:J,"&gt;="&amp;$C81,Dataset!AH:AH,"&lt;&gt;bono corporativo",Dataset!AH:AH,"&lt;&gt;bono de gobierno",Dataset!AH:AH,"&lt;&gt;deposito")</f>
        <v>0</v>
      </c>
      <c r="P81" s="160">
        <f t="shared" si="8"/>
        <v>0</v>
      </c>
      <c r="Q81" s="158">
        <f>SUMIFS(Dataset!AA:AA,Dataset!F:F,'retorno absoluto'!$D$11,Dataset!AH:AH,"deposito",Dataset!T:T,"$",Dataset!J:J,"&lt;"&amp;$D81,Dataset!J:J,"&gt;="&amp;$C81)</f>
        <v>0</v>
      </c>
      <c r="R81" s="159">
        <f>SUMIFS(Dataset!AA:AA,Dataset!F:F,'retorno absoluto'!$D$11,Dataset!AH:AH,"deposito",Dataset!T:T,"UF",Dataset!J:J,"&lt;"&amp;$D81,Dataset!J:J,"&gt;="&amp;$C81)</f>
        <v>0</v>
      </c>
      <c r="S81" s="159">
        <f>SUMIFS(Dataset!AA:AA,Dataset!F:F,'retorno absoluto'!$D$11,Dataset!AH:AH,"bono de gobierno",Dataset!T:T,"$",Dataset!J:J,"&lt;"&amp;$D81,Dataset!J:J,"&gt;="&amp;$C81)</f>
        <v>0</v>
      </c>
      <c r="T81" s="159">
        <f>SUMIFS(Dataset!AA:AA,Dataset!F:F,'retorno absoluto'!$D$11,Dataset!AH:AH,"bono de gobierno",Dataset!T:T,"UF",Dataset!J:J,"&lt;"&amp;$D81,Dataset!J:J,"&gt;="&amp;$C81)</f>
        <v>0</v>
      </c>
      <c r="U81" s="159">
        <f>SUMIFS(Dataset!AA:AA,Dataset!F:F,'retorno absoluto'!$D$11,Dataset!AH:AH,"bono de gobierno",Dataset!T:T,"EU",Dataset!J:J,"&lt;"&amp;$D81,Dataset!J:J,"&gt;="&amp;$C81)</f>
        <v>0</v>
      </c>
      <c r="V81" s="159">
        <f>SUMIFS(Dataset!AA:AA,Dataset!F:F,'retorno absoluto'!$D$11,Dataset!AH:AH,"bono de gobierno",Dataset!T:T,"MX",Dataset!J:J,"&lt;"&amp;$D81,Dataset!J:J,"&gt;="&amp;$C81)</f>
        <v>0</v>
      </c>
      <c r="W81" s="159">
        <f>SUMIFS(Dataset!AA:AA,Dataset!F:F,'retorno absoluto'!$D$11,Dataset!AH:AH,"bono de gobierno",Dataset!T:T,"REA",Dataset!J:J,"&lt;"&amp;$D81,Dataset!J:J,"&gt;="&amp;$C81)</f>
        <v>0</v>
      </c>
      <c r="X81" s="159">
        <f>SUMIFS(Dataset!AA:AA,Dataset!F:F,'retorno absoluto'!$D$11,Dataset!AH:AH,"bono de gobierno",Dataset!T:T,"sol",Dataset!J:J,"&lt;"&amp;$D81,Dataset!J:J,"&gt;="&amp;$C81)</f>
        <v>0</v>
      </c>
      <c r="Y81" s="159">
        <f>SUMIFS(Dataset!AA:AA,Dataset!F:F,'retorno absoluto'!$D$11,Dataset!AH:AH,"bono corporativo",Dataset!T:T,"$",Dataset!J:J,"&lt;"&amp;$D81,Dataset!J:J,"&gt;="&amp;$C81)</f>
        <v>0</v>
      </c>
      <c r="Z81" s="159">
        <f>SUMIFS(Dataset!AA:AA,Dataset!F:F,'retorno absoluto'!$D$11,Dataset!AH:AH,"bono corporativo",Dataset!T:T,"UF",Dataset!J:J,"&lt;"&amp;$D81,Dataset!J:J,"&gt;="&amp;$C81)</f>
        <v>0</v>
      </c>
      <c r="AA81" s="159">
        <f>SUMIFS(Dataset!AA:AA,Dataset!F:F,'retorno absoluto'!$D$11,Dataset!J:J,"&lt;"&amp;$D81,Dataset!J:J,"&gt;="&amp;$C81,Dataset!AH:AH,"&lt;&gt;bono corporativo",Dataset!AH:AH,"&lt;&gt;bono de gobierno",Dataset!AH:AH,"&lt;&gt;deposito")</f>
        <v>0</v>
      </c>
      <c r="AB81" s="160">
        <f t="shared" si="9"/>
        <v>0</v>
      </c>
      <c r="AC81" s="161">
        <f>SUMIFS(Dataset!H:H,Dataset!F:F,'retorno absoluto'!$D$11,Dataset!AH:AH,"deposito",Dataset!T:T,"$",Dataset!J:J,"&lt;"&amp;$D81,Dataset!J:J,"&gt;="&amp;$C81)*10</f>
        <v>0</v>
      </c>
      <c r="AD81" s="162">
        <f>SUMIFS(Dataset!H:H,Dataset!F:F,'retorno absoluto'!$D$11,Dataset!AH:AH,"deposito",Dataset!T:T,"UF",Dataset!J:J,"&lt;"&amp;$D81,Dataset!J:J,"&gt;="&amp;$C81)*10</f>
        <v>0</v>
      </c>
      <c r="AE81" s="162">
        <f>SUMIFS(Dataset!H:H,Dataset!F:F,'retorno absoluto'!$D$11,Dataset!AH:AH,"bono de gobierno",Dataset!T:T,"$",Dataset!J:J,"&lt;"&amp;$D81,Dataset!J:J,"&gt;="&amp;$C81)*10</f>
        <v>0</v>
      </c>
      <c r="AF81" s="162">
        <f>SUMIFS(Dataset!H:H,Dataset!F:F,'retorno absoluto'!$D$11,Dataset!AH:AH,"bono de gobierno",Dataset!T:T,"UF",Dataset!J:J,"&lt;"&amp;$D81,Dataset!J:J,"&gt;="&amp;$C81)*10</f>
        <v>0</v>
      </c>
      <c r="AG81" s="162">
        <f>SUMIFS(Dataset!H:H,Dataset!F:F,'retorno absoluto'!$D$11,Dataset!AH:AH,"bono de gobierno",Dataset!T:T,"EU",Dataset!J:J,"&lt;"&amp;$D81,Dataset!J:J,"&gt;="&amp;$C81)*10</f>
        <v>0</v>
      </c>
      <c r="AH81" s="162">
        <f>SUMIFS(Dataset!H:H,Dataset!F:F,'retorno absoluto'!$D$11,Dataset!AH:AH,"bono de gobierno",Dataset!T:T,"MX",Dataset!J:J,"&lt;"&amp;$D81,Dataset!J:J,"&gt;="&amp;$C81)*10</f>
        <v>0</v>
      </c>
      <c r="AI81" s="162">
        <f>SUMIFS(Dataset!H:H,Dataset!F:F,'retorno absoluto'!$D$11,Dataset!AH:AH,"bono de gobierno",Dataset!T:T,"REA",Dataset!J:J,"&lt;"&amp;$D81,Dataset!J:J,"&gt;="&amp;$C81)*10</f>
        <v>0</v>
      </c>
      <c r="AJ81" s="162">
        <f>SUMIFS(Dataset!H:H,Dataset!F:F,'retorno absoluto'!$D$11,Dataset!AH:AH,"bono de gobierno",Dataset!T:T,"sol",Dataset!J:J,"&lt;"&amp;$D81,Dataset!J:J,"&gt;="&amp;$C81)*10</f>
        <v>0</v>
      </c>
      <c r="AK81" s="162">
        <f>SUMIFS(Dataset!H:H,Dataset!F:F,'retorno absoluto'!$D$11,Dataset!AH:AH,"bono corporativo",Dataset!T:T,"$",Dataset!J:J,"&lt;"&amp;$D81,Dataset!J:J,"&gt;="&amp;$C81)*10</f>
        <v>0</v>
      </c>
      <c r="AL81" s="162">
        <f>SUMIFS(Dataset!H:H,Dataset!F:F,'retorno absoluto'!$D$11,Dataset!AH:AH,"bono corporativo",Dataset!T:T,"UF",Dataset!J:J,"&lt;"&amp;$D81,Dataset!J:J,"&gt;="&amp;$C81)*10</f>
        <v>0</v>
      </c>
      <c r="AM81" s="162">
        <f>SUMIFS(Dataset!H:H,Dataset!F:F,'retorno absoluto'!$D$11,Dataset!J:J,"&lt;"&amp;$D81,Dataset!J:J,"&gt;="&amp;$C81,Dataset!AH:AH,"&lt;&gt;bono corporativo",Dataset!AH:AH,"&lt;&gt;bono de gobierno",Dataset!AH:AH,"&lt;&gt;deposito")*10</f>
        <v>0</v>
      </c>
      <c r="AN81" s="163">
        <f t="shared" si="10"/>
        <v>0</v>
      </c>
    </row>
    <row r="82" spans="3:40" ht="27" customHeight="1" x14ac:dyDescent="0.25">
      <c r="C82" s="89">
        <v>7.5</v>
      </c>
      <c r="D82" s="100">
        <v>8.5</v>
      </c>
      <c r="E82" s="158">
        <f>SUMIFS(Dataset!AK:AK,Dataset!F:F,'retorno absoluto'!$D$11,Dataset!AH:AH,"deposito",Dataset!T:T,"$",Dataset!J:J,"&lt;"&amp;$D82,Dataset!J:J,"&gt;="&amp;$C82)</f>
        <v>0</v>
      </c>
      <c r="F82" s="159">
        <f>SUMIFS(Dataset!AK:AK,Dataset!F:F,'retorno absoluto'!$D$11,Dataset!AH:AH,"deposito",Dataset!T:T,"UF",Dataset!J:J,"&lt;"&amp;$D82,Dataset!J:J,"&gt;="&amp;$C82)</f>
        <v>0</v>
      </c>
      <c r="G82" s="159">
        <f>SUMIFS(Dataset!AK:AK,Dataset!F:F,'retorno absoluto'!$D$11,Dataset!AH:AH,"bono de gobierno",Dataset!T:T,"$",Dataset!J:J,"&lt;"&amp;$D82,Dataset!J:J,"&gt;="&amp;$C82)</f>
        <v>0</v>
      </c>
      <c r="H82" s="159">
        <f>SUMIFS(Dataset!AK:AK,Dataset!F:F,'retorno absoluto'!$D$11,Dataset!AH:AH,"bono de gobierno",Dataset!T:T,"UF",Dataset!J:J,"&lt;"&amp;$D82,Dataset!J:J,"&gt;="&amp;$C82)</f>
        <v>0.13179671473631233</v>
      </c>
      <c r="I82" s="159">
        <f>SUMIFS(Dataset!AK:AK,Dataset!F:F,'retorno absoluto'!$D$11,Dataset!AH:AH,"bono de gobierno",Dataset!T:T,"eu",Dataset!J:J,"&lt;"&amp;$D82,Dataset!J:J,"&gt;="&amp;$C82)</f>
        <v>0</v>
      </c>
      <c r="J82" s="159">
        <f>SUMIFS(Dataset!AK:AK,Dataset!F:F,'retorno absoluto'!$D$11,Dataset!AH:AH,"bono de gobierno",Dataset!T:T,"mx",Dataset!J:J,"&lt;"&amp;$D82,Dataset!J:J,"&gt;="&amp;$C82)</f>
        <v>0</v>
      </c>
      <c r="K82" s="159">
        <f>SUMIFS(Dataset!AK:AK,Dataset!F:F,'retorno absoluto'!$D$11,Dataset!AH:AH,"bono de gobierno",Dataset!T:T,"rea",Dataset!J:J,"&lt;"&amp;$D82,Dataset!J:J,"&gt;="&amp;$C82)</f>
        <v>0</v>
      </c>
      <c r="L82" s="159">
        <f>SUMIFS(Dataset!AK:AK,Dataset!F:F,'retorno absoluto'!$D$11,Dataset!AH:AH,"bono de gobierno",Dataset!T:T,"sol",Dataset!J:J,"&lt;"&amp;$D82,Dataset!J:J,"&gt;="&amp;$C82)</f>
        <v>0</v>
      </c>
      <c r="M82" s="159">
        <f>SUMIFS(Dataset!AK:AK,Dataset!F:F,'retorno absoluto'!$D$11,Dataset!AH:AH,"bono corporativo",Dataset!T:T,"$",Dataset!J:J,"&lt;"&amp;$D82,Dataset!J:J,"&gt;="&amp;$C82)</f>
        <v>0</v>
      </c>
      <c r="N82" s="159">
        <f>SUMIFS(Dataset!AK:AK,Dataset!F:F,'retorno absoluto'!$D$11,Dataset!AH:AH,"bono corporativo",Dataset!T:T,"UF",Dataset!J:J,"&lt;"&amp;$D82,Dataset!J:J,"&gt;="&amp;$C82)</f>
        <v>0</v>
      </c>
      <c r="O82" s="159">
        <f>SUMIFS(Dataset!AK:AK,Dataset!F:F,'retorno absoluto'!$D$11,Dataset!J:J,"&lt;"&amp;$D82,Dataset!J:J,"&gt;="&amp;$C82,Dataset!AH:AH,"&lt;&gt;bono corporativo",Dataset!AH:AH,"&lt;&gt;bono de gobierno",Dataset!AH:AH,"&lt;&gt;deposito")</f>
        <v>0</v>
      </c>
      <c r="P82" s="160">
        <f t="shared" si="8"/>
        <v>0.13179671473631233</v>
      </c>
      <c r="Q82" s="158">
        <f>SUMIFS(Dataset!AA:AA,Dataset!F:F,'retorno absoluto'!$D$11,Dataset!AH:AH,"deposito",Dataset!T:T,"$",Dataset!J:J,"&lt;"&amp;$D82,Dataset!J:J,"&gt;="&amp;$C82)</f>
        <v>0</v>
      </c>
      <c r="R82" s="159">
        <f>SUMIFS(Dataset!AA:AA,Dataset!F:F,'retorno absoluto'!$D$11,Dataset!AH:AH,"deposito",Dataset!T:T,"UF",Dataset!J:J,"&lt;"&amp;$D82,Dataset!J:J,"&gt;="&amp;$C82)</f>
        <v>0</v>
      </c>
      <c r="S82" s="159">
        <f>SUMIFS(Dataset!AA:AA,Dataset!F:F,'retorno absoluto'!$D$11,Dataset!AH:AH,"bono de gobierno",Dataset!T:T,"$",Dataset!J:J,"&lt;"&amp;$D82,Dataset!J:J,"&gt;="&amp;$C82)</f>
        <v>0</v>
      </c>
      <c r="T82" s="159">
        <f>SUMIFS(Dataset!AA:AA,Dataset!F:F,'retorno absoluto'!$D$11,Dataset!AH:AH,"bono de gobierno",Dataset!T:T,"UF",Dataset!J:J,"&lt;"&amp;$D82,Dataset!J:J,"&gt;="&amp;$C82)</f>
        <v>0.21995128312823137</v>
      </c>
      <c r="U82" s="159">
        <f>SUMIFS(Dataset!AA:AA,Dataset!F:F,'retorno absoluto'!$D$11,Dataset!AH:AH,"bono de gobierno",Dataset!T:T,"EU",Dataset!J:J,"&lt;"&amp;$D82,Dataset!J:J,"&gt;="&amp;$C82)</f>
        <v>0</v>
      </c>
      <c r="V82" s="159">
        <f>SUMIFS(Dataset!AA:AA,Dataset!F:F,'retorno absoluto'!$D$11,Dataset!AH:AH,"bono de gobierno",Dataset!T:T,"MX",Dataset!J:J,"&lt;"&amp;$D82,Dataset!J:J,"&gt;="&amp;$C82)</f>
        <v>0</v>
      </c>
      <c r="W82" s="159">
        <f>SUMIFS(Dataset!AA:AA,Dataset!F:F,'retorno absoluto'!$D$11,Dataset!AH:AH,"bono de gobierno",Dataset!T:T,"REA",Dataset!J:J,"&lt;"&amp;$D82,Dataset!J:J,"&gt;="&amp;$C82)</f>
        <v>0</v>
      </c>
      <c r="X82" s="159">
        <f>SUMIFS(Dataset!AA:AA,Dataset!F:F,'retorno absoluto'!$D$11,Dataset!AH:AH,"bono de gobierno",Dataset!T:T,"sol",Dataset!J:J,"&lt;"&amp;$D82,Dataset!J:J,"&gt;="&amp;$C82)</f>
        <v>0</v>
      </c>
      <c r="Y82" s="159">
        <f>SUMIFS(Dataset!AA:AA,Dataset!F:F,'retorno absoluto'!$D$11,Dataset!AH:AH,"bono corporativo",Dataset!T:T,"$",Dataset!J:J,"&lt;"&amp;$D82,Dataset!J:J,"&gt;="&amp;$C82)</f>
        <v>0</v>
      </c>
      <c r="Z82" s="159">
        <f>SUMIFS(Dataset!AA:AA,Dataset!F:F,'retorno absoluto'!$D$11,Dataset!AH:AH,"bono corporativo",Dataset!T:T,"UF",Dataset!J:J,"&lt;"&amp;$D82,Dataset!J:J,"&gt;="&amp;$C82)</f>
        <v>0</v>
      </c>
      <c r="AA82" s="159">
        <f>SUMIFS(Dataset!AA:AA,Dataset!F:F,'retorno absoluto'!$D$11,Dataset!J:J,"&lt;"&amp;$D82,Dataset!J:J,"&gt;="&amp;$C82,Dataset!AH:AH,"&lt;&gt;bono corporativo",Dataset!AH:AH,"&lt;&gt;bono de gobierno",Dataset!AH:AH,"&lt;&gt;deposito")</f>
        <v>0</v>
      </c>
      <c r="AB82" s="160">
        <f t="shared" si="9"/>
        <v>0.21995128312823137</v>
      </c>
      <c r="AC82" s="161">
        <f>SUMIFS(Dataset!H:H,Dataset!F:F,'retorno absoluto'!$D$11,Dataset!AH:AH,"deposito",Dataset!T:T,"$",Dataset!J:J,"&lt;"&amp;$D82,Dataset!J:J,"&gt;="&amp;$C82)*10</f>
        <v>0</v>
      </c>
      <c r="AD82" s="162">
        <f>SUMIFS(Dataset!H:H,Dataset!F:F,'retorno absoluto'!$D$11,Dataset!AH:AH,"deposito",Dataset!T:T,"UF",Dataset!J:J,"&lt;"&amp;$D82,Dataset!J:J,"&gt;="&amp;$C82)*10</f>
        <v>0</v>
      </c>
      <c r="AE82" s="162">
        <f>SUMIFS(Dataset!H:H,Dataset!F:F,'retorno absoluto'!$D$11,Dataset!AH:AH,"bono de gobierno",Dataset!T:T,"$",Dataset!J:J,"&lt;"&amp;$D82,Dataset!J:J,"&gt;="&amp;$C82)*10</f>
        <v>0</v>
      </c>
      <c r="AF82" s="162">
        <f>SUMIFS(Dataset!H:H,Dataset!F:F,'retorno absoluto'!$D$11,Dataset!AH:AH,"bono de gobierno",Dataset!T:T,"UF",Dataset!J:J,"&lt;"&amp;$D82,Dataset!J:J,"&gt;="&amp;$C82)*10</f>
        <v>10.385581121221412</v>
      </c>
      <c r="AG82" s="162">
        <f>SUMIFS(Dataset!H:H,Dataset!F:F,'retorno absoluto'!$D$11,Dataset!AH:AH,"bono de gobierno",Dataset!T:T,"EU",Dataset!J:J,"&lt;"&amp;$D82,Dataset!J:J,"&gt;="&amp;$C82)*10</f>
        <v>0</v>
      </c>
      <c r="AH82" s="162">
        <f>SUMIFS(Dataset!H:H,Dataset!F:F,'retorno absoluto'!$D$11,Dataset!AH:AH,"bono de gobierno",Dataset!T:T,"MX",Dataset!J:J,"&lt;"&amp;$D82,Dataset!J:J,"&gt;="&amp;$C82)*10</f>
        <v>0</v>
      </c>
      <c r="AI82" s="162">
        <f>SUMIFS(Dataset!H:H,Dataset!F:F,'retorno absoluto'!$D$11,Dataset!AH:AH,"bono de gobierno",Dataset!T:T,"REA",Dataset!J:J,"&lt;"&amp;$D82,Dataset!J:J,"&gt;="&amp;$C82)*10</f>
        <v>0</v>
      </c>
      <c r="AJ82" s="162">
        <f>SUMIFS(Dataset!H:H,Dataset!F:F,'retorno absoluto'!$D$11,Dataset!AH:AH,"bono de gobierno",Dataset!T:T,"sol",Dataset!J:J,"&lt;"&amp;$D82,Dataset!J:J,"&gt;="&amp;$C82)*10</f>
        <v>0</v>
      </c>
      <c r="AK82" s="162">
        <f>SUMIFS(Dataset!H:H,Dataset!F:F,'retorno absoluto'!$D$11,Dataset!AH:AH,"bono corporativo",Dataset!T:T,"$",Dataset!J:J,"&lt;"&amp;$D82,Dataset!J:J,"&gt;="&amp;$C82)*10</f>
        <v>0</v>
      </c>
      <c r="AL82" s="162">
        <f>SUMIFS(Dataset!H:H,Dataset!F:F,'retorno absoluto'!$D$11,Dataset!AH:AH,"bono corporativo",Dataset!T:T,"UF",Dataset!J:J,"&lt;"&amp;$D82,Dataset!J:J,"&gt;="&amp;$C82)*10</f>
        <v>0</v>
      </c>
      <c r="AM82" s="162">
        <f>SUMIFS(Dataset!H:H,Dataset!F:F,'retorno absoluto'!$D$11,Dataset!J:J,"&lt;"&amp;$D82,Dataset!J:J,"&gt;="&amp;$C82,Dataset!AH:AH,"&lt;&gt;bono corporativo",Dataset!AH:AH,"&lt;&gt;bono de gobierno",Dataset!AH:AH,"&lt;&gt;deposito")*10</f>
        <v>0</v>
      </c>
      <c r="AN82" s="163">
        <f t="shared" si="10"/>
        <v>10.385581121221412</v>
      </c>
    </row>
    <row r="83" spans="3:40" ht="27" customHeight="1" x14ac:dyDescent="0.25">
      <c r="C83" s="89">
        <v>8.5</v>
      </c>
      <c r="D83" s="100">
        <v>9.5</v>
      </c>
      <c r="E83" s="158">
        <f>SUMIFS(Dataset!AK:AK,Dataset!F:F,'retorno absoluto'!$D$11,Dataset!AH:AH,"deposito",Dataset!T:T,"$",Dataset!J:J,"&lt;"&amp;$D83,Dataset!J:J,"&gt;="&amp;$C83)</f>
        <v>0</v>
      </c>
      <c r="F83" s="159">
        <f>SUMIFS(Dataset!AK:AK,Dataset!F:F,'retorno absoluto'!$D$11,Dataset!AH:AH,"deposito",Dataset!T:T,"UF",Dataset!J:J,"&lt;"&amp;$D83,Dataset!J:J,"&gt;="&amp;$C83)</f>
        <v>0</v>
      </c>
      <c r="G83" s="159">
        <f>SUMIFS(Dataset!AK:AK,Dataset!F:F,'retorno absoluto'!$D$11,Dataset!AH:AH,"bono de gobierno",Dataset!T:T,"$",Dataset!J:J,"&lt;"&amp;$D83,Dataset!J:J,"&gt;="&amp;$C83)</f>
        <v>0</v>
      </c>
      <c r="H83" s="159">
        <f>SUMIFS(Dataset!AK:AK,Dataset!F:F,'retorno absoluto'!$D$11,Dataset!AH:AH,"bono de gobierno",Dataset!T:T,"UF",Dataset!J:J,"&lt;"&amp;$D83,Dataset!J:J,"&gt;="&amp;$C83)</f>
        <v>0</v>
      </c>
      <c r="I83" s="159">
        <f>SUMIFS(Dataset!AK:AK,Dataset!F:F,'retorno absoluto'!$D$11,Dataset!AH:AH,"bono de gobierno",Dataset!T:T,"eu",Dataset!J:J,"&lt;"&amp;$D83,Dataset!J:J,"&gt;="&amp;$C83)</f>
        <v>0</v>
      </c>
      <c r="J83" s="159">
        <f>SUMIFS(Dataset!AK:AK,Dataset!F:F,'retorno absoluto'!$D$11,Dataset!AH:AH,"bono de gobierno",Dataset!T:T,"mx",Dataset!J:J,"&lt;"&amp;$D83,Dataset!J:J,"&gt;="&amp;$C83)</f>
        <v>0</v>
      </c>
      <c r="K83" s="159">
        <f>SUMIFS(Dataset!AK:AK,Dataset!F:F,'retorno absoluto'!$D$11,Dataset!AH:AH,"bono de gobierno",Dataset!T:T,"rea",Dataset!J:J,"&lt;"&amp;$D83,Dataset!J:J,"&gt;="&amp;$C83)</f>
        <v>0</v>
      </c>
      <c r="L83" s="159">
        <f>SUMIFS(Dataset!AK:AK,Dataset!F:F,'retorno absoluto'!$D$11,Dataset!AH:AH,"bono de gobierno",Dataset!T:T,"sol",Dataset!J:J,"&lt;"&amp;$D83,Dataset!J:J,"&gt;="&amp;$C83)</f>
        <v>0</v>
      </c>
      <c r="M83" s="159">
        <f>SUMIFS(Dataset!AK:AK,Dataset!F:F,'retorno absoluto'!$D$11,Dataset!AH:AH,"bono corporativo",Dataset!T:T,"$",Dataset!J:J,"&lt;"&amp;$D83,Dataset!J:J,"&gt;="&amp;$C83)</f>
        <v>0</v>
      </c>
      <c r="N83" s="159">
        <f>SUMIFS(Dataset!AK:AK,Dataset!F:F,'retorno absoluto'!$D$11,Dataset!AH:AH,"bono corporativo",Dataset!T:T,"UF",Dataset!J:J,"&lt;"&amp;$D83,Dataset!J:J,"&gt;="&amp;$C83)</f>
        <v>2.0407686494486998E-3</v>
      </c>
      <c r="O83" s="159">
        <f>SUMIFS(Dataset!AK:AK,Dataset!F:F,'retorno absoluto'!$D$11,Dataset!J:J,"&lt;"&amp;$D83,Dataset!J:J,"&gt;="&amp;$C83,Dataset!AH:AH,"&lt;&gt;bono corporativo",Dataset!AH:AH,"&lt;&gt;bono de gobierno",Dataset!AH:AH,"&lt;&gt;deposito")</f>
        <v>0</v>
      </c>
      <c r="P83" s="160">
        <f t="shared" si="8"/>
        <v>2.0407686494486998E-3</v>
      </c>
      <c r="Q83" s="158">
        <f>SUMIFS(Dataset!AA:AA,Dataset!F:F,'retorno absoluto'!$D$11,Dataset!AH:AH,"deposito",Dataset!T:T,"$",Dataset!J:J,"&lt;"&amp;$D83,Dataset!J:J,"&gt;="&amp;$C83)</f>
        <v>0</v>
      </c>
      <c r="R83" s="159">
        <f>SUMIFS(Dataset!AA:AA,Dataset!F:F,'retorno absoluto'!$D$11,Dataset!AH:AH,"deposito",Dataset!T:T,"UF",Dataset!J:J,"&lt;"&amp;$D83,Dataset!J:J,"&gt;="&amp;$C83)</f>
        <v>0</v>
      </c>
      <c r="S83" s="159">
        <f>SUMIFS(Dataset!AA:AA,Dataset!F:F,'retorno absoluto'!$D$11,Dataset!AH:AH,"bono de gobierno",Dataset!T:T,"$",Dataset!J:J,"&lt;"&amp;$D83,Dataset!J:J,"&gt;="&amp;$C83)</f>
        <v>0</v>
      </c>
      <c r="T83" s="159">
        <f>SUMIFS(Dataset!AA:AA,Dataset!F:F,'retorno absoluto'!$D$11,Dataset!AH:AH,"bono de gobierno",Dataset!T:T,"UF",Dataset!J:J,"&lt;"&amp;$D83,Dataset!J:J,"&gt;="&amp;$C83)</f>
        <v>0</v>
      </c>
      <c r="U83" s="159">
        <f>SUMIFS(Dataset!AA:AA,Dataset!F:F,'retorno absoluto'!$D$11,Dataset!AH:AH,"bono de gobierno",Dataset!T:T,"EU",Dataset!J:J,"&lt;"&amp;$D83,Dataset!J:J,"&gt;="&amp;$C83)</f>
        <v>0</v>
      </c>
      <c r="V83" s="159">
        <f>SUMIFS(Dataset!AA:AA,Dataset!F:F,'retorno absoluto'!$D$11,Dataset!AH:AH,"bono de gobierno",Dataset!T:T,"MX",Dataset!J:J,"&lt;"&amp;$D83,Dataset!J:J,"&gt;="&amp;$C83)</f>
        <v>0</v>
      </c>
      <c r="W83" s="159">
        <f>SUMIFS(Dataset!AA:AA,Dataset!F:F,'retorno absoluto'!$D$11,Dataset!AH:AH,"bono de gobierno",Dataset!T:T,"REA",Dataset!J:J,"&lt;"&amp;$D83,Dataset!J:J,"&gt;="&amp;$C83)</f>
        <v>0</v>
      </c>
      <c r="X83" s="159">
        <f>SUMIFS(Dataset!AA:AA,Dataset!F:F,'retorno absoluto'!$D$11,Dataset!AH:AH,"bono de gobierno",Dataset!T:T,"sol",Dataset!J:J,"&lt;"&amp;$D83,Dataset!J:J,"&gt;="&amp;$C83)</f>
        <v>0</v>
      </c>
      <c r="Y83" s="159">
        <f>SUMIFS(Dataset!AA:AA,Dataset!F:F,'retorno absoluto'!$D$11,Dataset!AH:AH,"bono corporativo",Dataset!T:T,"$",Dataset!J:J,"&lt;"&amp;$D83,Dataset!J:J,"&gt;="&amp;$C83)</f>
        <v>0</v>
      </c>
      <c r="Z83" s="159">
        <f>SUMIFS(Dataset!AA:AA,Dataset!F:F,'retorno absoluto'!$D$11,Dataset!AH:AH,"bono corporativo",Dataset!T:T,"UF",Dataset!J:J,"&lt;"&amp;$D83,Dataset!J:J,"&gt;="&amp;$C83)</f>
        <v>3.2849686377658541E-3</v>
      </c>
      <c r="AA83" s="159">
        <f>SUMIFS(Dataset!AA:AA,Dataset!F:F,'retorno absoluto'!$D$11,Dataset!J:J,"&lt;"&amp;$D83,Dataset!J:J,"&gt;="&amp;$C83,Dataset!AH:AH,"&lt;&gt;bono corporativo",Dataset!AH:AH,"&lt;&gt;bono de gobierno",Dataset!AH:AH,"&lt;&gt;deposito")</f>
        <v>0</v>
      </c>
      <c r="AB83" s="160">
        <f t="shared" si="9"/>
        <v>3.2849686377658541E-3</v>
      </c>
      <c r="AC83" s="161">
        <f>SUMIFS(Dataset!H:H,Dataset!F:F,'retorno absoluto'!$D$11,Dataset!AH:AH,"deposito",Dataset!T:T,"$",Dataset!J:J,"&lt;"&amp;$D83,Dataset!J:J,"&gt;="&amp;$C83)*10</f>
        <v>0</v>
      </c>
      <c r="AD83" s="162">
        <f>SUMIFS(Dataset!H:H,Dataset!F:F,'retorno absoluto'!$D$11,Dataset!AH:AH,"deposito",Dataset!T:T,"UF",Dataset!J:J,"&lt;"&amp;$D83,Dataset!J:J,"&gt;="&amp;$C83)*10</f>
        <v>0</v>
      </c>
      <c r="AE83" s="162">
        <f>SUMIFS(Dataset!H:H,Dataset!F:F,'retorno absoluto'!$D$11,Dataset!AH:AH,"bono de gobierno",Dataset!T:T,"$",Dataset!J:J,"&lt;"&amp;$D83,Dataset!J:J,"&gt;="&amp;$C83)*10</f>
        <v>0</v>
      </c>
      <c r="AF83" s="162">
        <f>SUMIFS(Dataset!H:H,Dataset!F:F,'retorno absoluto'!$D$11,Dataset!AH:AH,"bono de gobierno",Dataset!T:T,"UF",Dataset!J:J,"&lt;"&amp;$D83,Dataset!J:J,"&gt;="&amp;$C83)*10</f>
        <v>0</v>
      </c>
      <c r="AG83" s="162">
        <f>SUMIFS(Dataset!H:H,Dataset!F:F,'retorno absoluto'!$D$11,Dataset!AH:AH,"bono de gobierno",Dataset!T:T,"EU",Dataset!J:J,"&lt;"&amp;$D83,Dataset!J:J,"&gt;="&amp;$C83)*10</f>
        <v>0</v>
      </c>
      <c r="AH83" s="162">
        <f>SUMIFS(Dataset!H:H,Dataset!F:F,'retorno absoluto'!$D$11,Dataset!AH:AH,"bono de gobierno",Dataset!T:T,"MX",Dataset!J:J,"&lt;"&amp;$D83,Dataset!J:J,"&gt;="&amp;$C83)*10</f>
        <v>0</v>
      </c>
      <c r="AI83" s="162">
        <f>SUMIFS(Dataset!H:H,Dataset!F:F,'retorno absoluto'!$D$11,Dataset!AH:AH,"bono de gobierno",Dataset!T:T,"REA",Dataset!J:J,"&lt;"&amp;$D83,Dataset!J:J,"&gt;="&amp;$C83)*10</f>
        <v>0</v>
      </c>
      <c r="AJ83" s="162">
        <f>SUMIFS(Dataset!H:H,Dataset!F:F,'retorno absoluto'!$D$11,Dataset!AH:AH,"bono de gobierno",Dataset!T:T,"sol",Dataset!J:J,"&lt;"&amp;$D83,Dataset!J:J,"&gt;="&amp;$C83)*10</f>
        <v>0</v>
      </c>
      <c r="AK83" s="162">
        <f>SUMIFS(Dataset!H:H,Dataset!F:F,'retorno absoluto'!$D$11,Dataset!AH:AH,"bono corporativo",Dataset!T:T,"$",Dataset!J:J,"&lt;"&amp;$D83,Dataset!J:J,"&gt;="&amp;$C83)*10</f>
        <v>0</v>
      </c>
      <c r="AL83" s="162">
        <f>SUMIFS(Dataset!H:H,Dataset!F:F,'retorno absoluto'!$D$11,Dataset!AH:AH,"bono corporativo",Dataset!T:T,"UF",Dataset!J:J,"&lt;"&amp;$D83,Dataset!J:J,"&gt;="&amp;$C83)*10</f>
        <v>0.18326102472049324</v>
      </c>
      <c r="AM83" s="162">
        <f>SUMIFS(Dataset!H:H,Dataset!F:F,'retorno absoluto'!$D$11,Dataset!J:J,"&lt;"&amp;$D83,Dataset!J:J,"&gt;="&amp;$C83,Dataset!AH:AH,"&lt;&gt;bono corporativo",Dataset!AH:AH,"&lt;&gt;bono de gobierno",Dataset!AH:AH,"&lt;&gt;deposito")*10</f>
        <v>0</v>
      </c>
      <c r="AN83" s="163">
        <f t="shared" si="10"/>
        <v>0.18326102472049324</v>
      </c>
    </row>
    <row r="84" spans="3:40" ht="27" customHeight="1" x14ac:dyDescent="0.25">
      <c r="C84" s="89">
        <v>9.5</v>
      </c>
      <c r="D84" s="100">
        <v>10.5</v>
      </c>
      <c r="E84" s="158">
        <f>SUMIFS(Dataset!AK:AK,Dataset!F:F,'retorno absoluto'!$D$11,Dataset!AH:AH,"deposito",Dataset!T:T,"$",Dataset!J:J,"&lt;"&amp;$D84,Dataset!J:J,"&gt;="&amp;$C84)</f>
        <v>0</v>
      </c>
      <c r="F84" s="159">
        <f>SUMIFS(Dataset!AK:AK,Dataset!F:F,'retorno absoluto'!$D$11,Dataset!AH:AH,"deposito",Dataset!T:T,"UF",Dataset!J:J,"&lt;"&amp;$D84,Dataset!J:J,"&gt;="&amp;$C84)</f>
        <v>0</v>
      </c>
      <c r="G84" s="159">
        <f>SUMIFS(Dataset!AK:AK,Dataset!F:F,'retorno absoluto'!$D$11,Dataset!AH:AH,"bono de gobierno",Dataset!T:T,"$",Dataset!J:J,"&lt;"&amp;$D84,Dataset!J:J,"&gt;="&amp;$C84)</f>
        <v>0</v>
      </c>
      <c r="H84" s="159">
        <f>SUMIFS(Dataset!AK:AK,Dataset!F:F,'retorno absoluto'!$D$11,Dataset!AH:AH,"bono de gobierno",Dataset!T:T,"UF",Dataset!J:J,"&lt;"&amp;$D84,Dataset!J:J,"&gt;="&amp;$C84)</f>
        <v>0</v>
      </c>
      <c r="I84" s="159">
        <f>SUMIFS(Dataset!AK:AK,Dataset!F:F,'retorno absoluto'!$D$11,Dataset!AH:AH,"bono de gobierno",Dataset!T:T,"eu",Dataset!J:J,"&lt;"&amp;$D84,Dataset!J:J,"&gt;="&amp;$C84)</f>
        <v>0</v>
      </c>
      <c r="J84" s="159">
        <f>SUMIFS(Dataset!AK:AK,Dataset!F:F,'retorno absoluto'!$D$11,Dataset!AH:AH,"bono de gobierno",Dataset!T:T,"mx",Dataset!J:J,"&lt;"&amp;$D84,Dataset!J:J,"&gt;="&amp;$C84)</f>
        <v>0</v>
      </c>
      <c r="K84" s="159">
        <f>SUMIFS(Dataset!AK:AK,Dataset!F:F,'retorno absoluto'!$D$11,Dataset!AH:AH,"bono de gobierno",Dataset!T:T,"rea",Dataset!J:J,"&lt;"&amp;$D84,Dataset!J:J,"&gt;="&amp;$C84)</f>
        <v>0</v>
      </c>
      <c r="L84" s="159">
        <f>SUMIFS(Dataset!AK:AK,Dataset!F:F,'retorno absoluto'!$D$11,Dataset!AH:AH,"bono de gobierno",Dataset!T:T,"sol",Dataset!J:J,"&lt;"&amp;$D84,Dataset!J:J,"&gt;="&amp;$C84)</f>
        <v>0</v>
      </c>
      <c r="M84" s="159">
        <f>SUMIFS(Dataset!AK:AK,Dataset!F:F,'retorno absoluto'!$D$11,Dataset!AH:AH,"bono corporativo",Dataset!T:T,"$",Dataset!J:J,"&lt;"&amp;$D84,Dataset!J:J,"&gt;="&amp;$C84)</f>
        <v>0</v>
      </c>
      <c r="N84" s="159">
        <f>SUMIFS(Dataset!AK:AK,Dataset!F:F,'retorno absoluto'!$D$11,Dataset!AH:AH,"bono corporativo",Dataset!T:T,"UF",Dataset!J:J,"&lt;"&amp;$D84,Dataset!J:J,"&gt;="&amp;$C84)</f>
        <v>0</v>
      </c>
      <c r="O84" s="159">
        <f>SUMIFS(Dataset!AK:AK,Dataset!F:F,'retorno absoluto'!$D$11,Dataset!J:J,"&lt;"&amp;$D84,Dataset!J:J,"&gt;="&amp;$C84,Dataset!AH:AH,"&lt;&gt;bono corporativo",Dataset!AH:AH,"&lt;&gt;bono de gobierno",Dataset!AH:AH,"&lt;&gt;deposito")</f>
        <v>0</v>
      </c>
      <c r="P84" s="160">
        <f t="shared" si="8"/>
        <v>0</v>
      </c>
      <c r="Q84" s="158">
        <f>SUMIFS(Dataset!AA:AA,Dataset!F:F,'retorno absoluto'!$D$11,Dataset!AH:AH,"deposito",Dataset!T:T,"$",Dataset!J:J,"&lt;"&amp;$D84,Dataset!J:J,"&gt;="&amp;$C84)</f>
        <v>0</v>
      </c>
      <c r="R84" s="159">
        <f>SUMIFS(Dataset!AA:AA,Dataset!F:F,'retorno absoluto'!$D$11,Dataset!AH:AH,"deposito",Dataset!T:T,"UF",Dataset!J:J,"&lt;"&amp;$D84,Dataset!J:J,"&gt;="&amp;$C84)</f>
        <v>0</v>
      </c>
      <c r="S84" s="159">
        <f>SUMIFS(Dataset!AA:AA,Dataset!F:F,'retorno absoluto'!$D$11,Dataset!AH:AH,"bono de gobierno",Dataset!T:T,"$",Dataset!J:J,"&lt;"&amp;$D84,Dataset!J:J,"&gt;="&amp;$C84)</f>
        <v>0</v>
      </c>
      <c r="T84" s="159">
        <f>SUMIFS(Dataset!AA:AA,Dataset!F:F,'retorno absoluto'!$D$11,Dataset!AH:AH,"bono de gobierno",Dataset!T:T,"UF",Dataset!J:J,"&lt;"&amp;$D84,Dataset!J:J,"&gt;="&amp;$C84)</f>
        <v>0</v>
      </c>
      <c r="U84" s="159">
        <f>SUMIFS(Dataset!AA:AA,Dataset!F:F,'retorno absoluto'!$D$11,Dataset!AH:AH,"bono de gobierno",Dataset!T:T,"EU",Dataset!J:J,"&lt;"&amp;$D84,Dataset!J:J,"&gt;="&amp;$C84)</f>
        <v>0</v>
      </c>
      <c r="V84" s="159">
        <f>SUMIFS(Dataset!AA:AA,Dataset!F:F,'retorno absoluto'!$D$11,Dataset!AH:AH,"bono de gobierno",Dataset!T:T,"MX",Dataset!J:J,"&lt;"&amp;$D84,Dataset!J:J,"&gt;="&amp;$C84)</f>
        <v>0</v>
      </c>
      <c r="W84" s="159">
        <f>SUMIFS(Dataset!AA:AA,Dataset!F:F,'retorno absoluto'!$D$11,Dataset!AH:AH,"bono de gobierno",Dataset!T:T,"REA",Dataset!J:J,"&lt;"&amp;$D84,Dataset!J:J,"&gt;="&amp;$C84)</f>
        <v>0</v>
      </c>
      <c r="X84" s="159">
        <f>SUMIFS(Dataset!AA:AA,Dataset!F:F,'retorno absoluto'!$D$11,Dataset!AH:AH,"bono de gobierno",Dataset!T:T,"sol",Dataset!J:J,"&lt;"&amp;$D84,Dataset!J:J,"&gt;="&amp;$C84)</f>
        <v>0</v>
      </c>
      <c r="Y84" s="159">
        <f>SUMIFS(Dataset!AA:AA,Dataset!F:F,'retorno absoluto'!$D$11,Dataset!AH:AH,"bono corporativo",Dataset!T:T,"$",Dataset!J:J,"&lt;"&amp;$D84,Dataset!J:J,"&gt;="&amp;$C84)</f>
        <v>0</v>
      </c>
      <c r="Z84" s="159">
        <f>SUMIFS(Dataset!AA:AA,Dataset!F:F,'retorno absoluto'!$D$11,Dataset!AH:AH,"bono corporativo",Dataset!T:T,"UF",Dataset!J:J,"&lt;"&amp;$D84,Dataset!J:J,"&gt;="&amp;$C84)</f>
        <v>0</v>
      </c>
      <c r="AA84" s="159">
        <f>SUMIFS(Dataset!AA:AA,Dataset!F:F,'retorno absoluto'!$D$11,Dataset!J:J,"&lt;"&amp;$D84,Dataset!J:J,"&gt;="&amp;$C84,Dataset!AH:AH,"&lt;&gt;bono corporativo",Dataset!AH:AH,"&lt;&gt;bono de gobierno",Dataset!AH:AH,"&lt;&gt;deposito")</f>
        <v>0</v>
      </c>
      <c r="AB84" s="160">
        <f t="shared" si="9"/>
        <v>0</v>
      </c>
      <c r="AC84" s="161">
        <f>SUMIFS(Dataset!H:H,Dataset!F:F,'retorno absoluto'!$D$11,Dataset!AH:AH,"deposito",Dataset!T:T,"$",Dataset!J:J,"&lt;"&amp;$D84,Dataset!J:J,"&gt;="&amp;$C84)*10</f>
        <v>0</v>
      </c>
      <c r="AD84" s="162">
        <f>SUMIFS(Dataset!H:H,Dataset!F:F,'retorno absoluto'!$D$11,Dataset!AH:AH,"deposito",Dataset!T:T,"UF",Dataset!J:J,"&lt;"&amp;$D84,Dataset!J:J,"&gt;="&amp;$C84)*10</f>
        <v>0</v>
      </c>
      <c r="AE84" s="162">
        <f>SUMIFS(Dataset!H:H,Dataset!F:F,'retorno absoluto'!$D$11,Dataset!AH:AH,"bono de gobierno",Dataset!T:T,"$",Dataset!J:J,"&lt;"&amp;$D84,Dataset!J:J,"&gt;="&amp;$C84)*10</f>
        <v>0</v>
      </c>
      <c r="AF84" s="162">
        <f>SUMIFS(Dataset!H:H,Dataset!F:F,'retorno absoluto'!$D$11,Dataset!AH:AH,"bono de gobierno",Dataset!T:T,"UF",Dataset!J:J,"&lt;"&amp;$D84,Dataset!J:J,"&gt;="&amp;$C84)*10</f>
        <v>0</v>
      </c>
      <c r="AG84" s="162">
        <f>SUMIFS(Dataset!H:H,Dataset!F:F,'retorno absoluto'!$D$11,Dataset!AH:AH,"bono de gobierno",Dataset!T:T,"EU",Dataset!J:J,"&lt;"&amp;$D84,Dataset!J:J,"&gt;="&amp;$C84)*10</f>
        <v>0</v>
      </c>
      <c r="AH84" s="162">
        <f>SUMIFS(Dataset!H:H,Dataset!F:F,'retorno absoluto'!$D$11,Dataset!AH:AH,"bono de gobierno",Dataset!T:T,"MX",Dataset!J:J,"&lt;"&amp;$D84,Dataset!J:J,"&gt;="&amp;$C84)*10</f>
        <v>0</v>
      </c>
      <c r="AI84" s="162">
        <f>SUMIFS(Dataset!H:H,Dataset!F:F,'retorno absoluto'!$D$11,Dataset!AH:AH,"bono de gobierno",Dataset!T:T,"REA",Dataset!J:J,"&lt;"&amp;$D84,Dataset!J:J,"&gt;="&amp;$C84)*10</f>
        <v>0</v>
      </c>
      <c r="AJ84" s="162">
        <f>SUMIFS(Dataset!H:H,Dataset!F:F,'retorno absoluto'!$D$11,Dataset!AH:AH,"bono de gobierno",Dataset!T:T,"sol",Dataset!J:J,"&lt;"&amp;$D84,Dataset!J:J,"&gt;="&amp;$C84)*10</f>
        <v>0</v>
      </c>
      <c r="AK84" s="162">
        <f>SUMIFS(Dataset!H:H,Dataset!F:F,'retorno absoluto'!$D$11,Dataset!AH:AH,"bono corporativo",Dataset!T:T,"$",Dataset!J:J,"&lt;"&amp;$D84,Dataset!J:J,"&gt;="&amp;$C84)*10</f>
        <v>0</v>
      </c>
      <c r="AL84" s="162">
        <f>SUMIFS(Dataset!H:H,Dataset!F:F,'retorno absoluto'!$D$11,Dataset!AH:AH,"bono corporativo",Dataset!T:T,"UF",Dataset!J:J,"&lt;"&amp;$D84,Dataset!J:J,"&gt;="&amp;$C84)*10</f>
        <v>0</v>
      </c>
      <c r="AM84" s="162">
        <f>SUMIFS(Dataset!H:H,Dataset!F:F,'retorno absoluto'!$D$11,Dataset!J:J,"&lt;"&amp;$D84,Dataset!J:J,"&gt;="&amp;$C84,Dataset!AH:AH,"&lt;&gt;bono corporativo",Dataset!AH:AH,"&lt;&gt;bono de gobierno",Dataset!AH:AH,"&lt;&gt;deposito")*10</f>
        <v>0</v>
      </c>
      <c r="AN84" s="163">
        <f t="shared" si="10"/>
        <v>0</v>
      </c>
    </row>
    <row r="85" spans="3:40" ht="27" customHeight="1" x14ac:dyDescent="0.25">
      <c r="C85" s="89">
        <v>10.5</v>
      </c>
      <c r="D85" s="100">
        <v>11.5</v>
      </c>
      <c r="E85" s="158">
        <f>SUMIFS(Dataset!AK:AK,Dataset!F:F,'retorno absoluto'!$D$11,Dataset!AH:AH,"deposito",Dataset!T:T,"$",Dataset!J:J,"&lt;"&amp;$D85,Dataset!J:J,"&gt;="&amp;$C85)</f>
        <v>0</v>
      </c>
      <c r="F85" s="159">
        <f>SUMIFS(Dataset!AK:AK,Dataset!F:F,'retorno absoluto'!$D$11,Dataset!AH:AH,"deposito",Dataset!T:T,"UF",Dataset!J:J,"&lt;"&amp;$D85,Dataset!J:J,"&gt;="&amp;$C85)</f>
        <v>0</v>
      </c>
      <c r="G85" s="159">
        <f>SUMIFS(Dataset!AK:AK,Dataset!F:F,'retorno absoluto'!$D$11,Dataset!AH:AH,"bono de gobierno",Dataset!T:T,"$",Dataset!J:J,"&lt;"&amp;$D85,Dataset!J:J,"&gt;="&amp;$C85)</f>
        <v>0</v>
      </c>
      <c r="H85" s="159">
        <f>SUMIFS(Dataset!AK:AK,Dataset!F:F,'retorno absoluto'!$D$11,Dataset!AH:AH,"bono de gobierno",Dataset!T:T,"UF",Dataset!J:J,"&lt;"&amp;$D85,Dataset!J:J,"&gt;="&amp;$C85)</f>
        <v>0</v>
      </c>
      <c r="I85" s="159">
        <f>SUMIFS(Dataset!AK:AK,Dataset!F:F,'retorno absoluto'!$D$11,Dataset!AH:AH,"bono de gobierno",Dataset!T:T,"eu",Dataset!J:J,"&lt;"&amp;$D85,Dataset!J:J,"&gt;="&amp;$C85)</f>
        <v>0</v>
      </c>
      <c r="J85" s="159">
        <f>SUMIFS(Dataset!AK:AK,Dataset!F:F,'retorno absoluto'!$D$11,Dataset!AH:AH,"bono de gobierno",Dataset!T:T,"mx",Dataset!J:J,"&lt;"&amp;$D85,Dataset!J:J,"&gt;="&amp;$C85)</f>
        <v>0</v>
      </c>
      <c r="K85" s="159">
        <f>SUMIFS(Dataset!AK:AK,Dataset!F:F,'retorno absoluto'!$D$11,Dataset!AH:AH,"bono de gobierno",Dataset!T:T,"rea",Dataset!J:J,"&lt;"&amp;$D85,Dataset!J:J,"&gt;="&amp;$C85)</f>
        <v>0</v>
      </c>
      <c r="L85" s="159">
        <f>SUMIFS(Dataset!AK:AK,Dataset!F:F,'retorno absoluto'!$D$11,Dataset!AH:AH,"bono de gobierno",Dataset!T:T,"sol",Dataset!J:J,"&lt;"&amp;$D85,Dataset!J:J,"&gt;="&amp;$C85)</f>
        <v>0</v>
      </c>
      <c r="M85" s="159">
        <f>SUMIFS(Dataset!AK:AK,Dataset!F:F,'retorno absoluto'!$D$11,Dataset!AH:AH,"bono corporativo",Dataset!T:T,"$",Dataset!J:J,"&lt;"&amp;$D85,Dataset!J:J,"&gt;="&amp;$C85)</f>
        <v>0</v>
      </c>
      <c r="N85" s="159">
        <f>SUMIFS(Dataset!AK:AK,Dataset!F:F,'retorno absoluto'!$D$11,Dataset!AH:AH,"bono corporativo",Dataset!T:T,"UF",Dataset!J:J,"&lt;"&amp;$D85,Dataset!J:J,"&gt;="&amp;$C85)</f>
        <v>0</v>
      </c>
      <c r="O85" s="159">
        <f>SUMIFS(Dataset!AK:AK,Dataset!F:F,'retorno absoluto'!$D$11,Dataset!J:J,"&lt;"&amp;$D85,Dataset!J:J,"&gt;="&amp;$C85,Dataset!AH:AH,"&lt;&gt;bono corporativo",Dataset!AH:AH,"&lt;&gt;bono de gobierno",Dataset!AH:AH,"&lt;&gt;deposito")</f>
        <v>0</v>
      </c>
      <c r="P85" s="160">
        <f t="shared" si="8"/>
        <v>0</v>
      </c>
      <c r="Q85" s="158">
        <f>SUMIFS(Dataset!AA:AA,Dataset!F:F,'retorno absoluto'!$D$11,Dataset!AH:AH,"deposito",Dataset!T:T,"$",Dataset!J:J,"&lt;"&amp;$D85,Dataset!J:J,"&gt;="&amp;$C85)</f>
        <v>0</v>
      </c>
      <c r="R85" s="159">
        <f>SUMIFS(Dataset!AA:AA,Dataset!F:F,'retorno absoluto'!$D$11,Dataset!AH:AH,"deposito",Dataset!T:T,"UF",Dataset!J:J,"&lt;"&amp;$D85,Dataset!J:J,"&gt;="&amp;$C85)</f>
        <v>0</v>
      </c>
      <c r="S85" s="159">
        <f>SUMIFS(Dataset!AA:AA,Dataset!F:F,'retorno absoluto'!$D$11,Dataset!AH:AH,"bono de gobierno",Dataset!T:T,"$",Dataset!J:J,"&lt;"&amp;$D85,Dataset!J:J,"&gt;="&amp;$C85)</f>
        <v>0</v>
      </c>
      <c r="T85" s="159">
        <f>SUMIFS(Dataset!AA:AA,Dataset!F:F,'retorno absoluto'!$D$11,Dataset!AH:AH,"bono de gobierno",Dataset!T:T,"UF",Dataset!J:J,"&lt;"&amp;$D85,Dataset!J:J,"&gt;="&amp;$C85)</f>
        <v>0</v>
      </c>
      <c r="U85" s="159">
        <f>SUMIFS(Dataset!AA:AA,Dataset!F:F,'retorno absoluto'!$D$11,Dataset!AH:AH,"bono de gobierno",Dataset!T:T,"EU",Dataset!J:J,"&lt;"&amp;$D85,Dataset!J:J,"&gt;="&amp;$C85)</f>
        <v>0</v>
      </c>
      <c r="V85" s="159">
        <f>SUMIFS(Dataset!AA:AA,Dataset!F:F,'retorno absoluto'!$D$11,Dataset!AH:AH,"bono de gobierno",Dataset!T:T,"MX",Dataset!J:J,"&lt;"&amp;$D85,Dataset!J:J,"&gt;="&amp;$C85)</f>
        <v>0</v>
      </c>
      <c r="W85" s="159">
        <f>SUMIFS(Dataset!AA:AA,Dataset!F:F,'retorno absoluto'!$D$11,Dataset!AH:AH,"bono de gobierno",Dataset!T:T,"REA",Dataset!J:J,"&lt;"&amp;$D85,Dataset!J:J,"&gt;="&amp;$C85)</f>
        <v>0</v>
      </c>
      <c r="X85" s="159">
        <f>SUMIFS(Dataset!AA:AA,Dataset!F:F,'retorno absoluto'!$D$11,Dataset!AH:AH,"bono de gobierno",Dataset!T:T,"sol",Dataset!J:J,"&lt;"&amp;$D85,Dataset!J:J,"&gt;="&amp;$C85)</f>
        <v>0</v>
      </c>
      <c r="Y85" s="159">
        <f>SUMIFS(Dataset!AA:AA,Dataset!F:F,'retorno absoluto'!$D$11,Dataset!AH:AH,"bono corporativo",Dataset!T:T,"$",Dataset!J:J,"&lt;"&amp;$D85,Dataset!J:J,"&gt;="&amp;$C85)</f>
        <v>0</v>
      </c>
      <c r="Z85" s="159">
        <f>SUMIFS(Dataset!AA:AA,Dataset!F:F,'retorno absoluto'!$D$11,Dataset!AH:AH,"bono corporativo",Dataset!T:T,"UF",Dataset!J:J,"&lt;"&amp;$D85,Dataset!J:J,"&gt;="&amp;$C85)</f>
        <v>0</v>
      </c>
      <c r="AA85" s="159">
        <f>SUMIFS(Dataset!AA:AA,Dataset!F:F,'retorno absoluto'!$D$11,Dataset!J:J,"&lt;"&amp;$D85,Dataset!J:J,"&gt;="&amp;$C85,Dataset!AH:AH,"&lt;&gt;bono corporativo",Dataset!AH:AH,"&lt;&gt;bono de gobierno",Dataset!AH:AH,"&lt;&gt;deposito")</f>
        <v>0</v>
      </c>
      <c r="AB85" s="160">
        <f t="shared" si="9"/>
        <v>0</v>
      </c>
      <c r="AC85" s="161">
        <f>SUMIFS(Dataset!H:H,Dataset!F:F,'retorno absoluto'!$D$11,Dataset!AH:AH,"deposito",Dataset!T:T,"$",Dataset!J:J,"&lt;"&amp;$D85,Dataset!J:J,"&gt;="&amp;$C85)*10</f>
        <v>0</v>
      </c>
      <c r="AD85" s="162">
        <f>SUMIFS(Dataset!H:H,Dataset!F:F,'retorno absoluto'!$D$11,Dataset!AH:AH,"deposito",Dataset!T:T,"UF",Dataset!J:J,"&lt;"&amp;$D85,Dataset!J:J,"&gt;="&amp;$C85)*10</f>
        <v>0</v>
      </c>
      <c r="AE85" s="162">
        <f>SUMIFS(Dataset!H:H,Dataset!F:F,'retorno absoluto'!$D$11,Dataset!AH:AH,"bono de gobierno",Dataset!T:T,"$",Dataset!J:J,"&lt;"&amp;$D85,Dataset!J:J,"&gt;="&amp;$C85)*10</f>
        <v>0</v>
      </c>
      <c r="AF85" s="162">
        <f>SUMIFS(Dataset!H:H,Dataset!F:F,'retorno absoluto'!$D$11,Dataset!AH:AH,"bono de gobierno",Dataset!T:T,"UF",Dataset!J:J,"&lt;"&amp;$D85,Dataset!J:J,"&gt;="&amp;$C85)*10</f>
        <v>0</v>
      </c>
      <c r="AG85" s="162">
        <f>SUMIFS(Dataset!H:H,Dataset!F:F,'retorno absoluto'!$D$11,Dataset!AH:AH,"bono de gobierno",Dataset!T:T,"EU",Dataset!J:J,"&lt;"&amp;$D85,Dataset!J:J,"&gt;="&amp;$C85)*10</f>
        <v>0</v>
      </c>
      <c r="AH85" s="162">
        <f>SUMIFS(Dataset!H:H,Dataset!F:F,'retorno absoluto'!$D$11,Dataset!AH:AH,"bono de gobierno",Dataset!T:T,"MX",Dataset!J:J,"&lt;"&amp;$D85,Dataset!J:J,"&gt;="&amp;$C85)*10</f>
        <v>0</v>
      </c>
      <c r="AI85" s="162">
        <f>SUMIFS(Dataset!H:H,Dataset!F:F,'retorno absoluto'!$D$11,Dataset!AH:AH,"bono de gobierno",Dataset!T:T,"REA",Dataset!J:J,"&lt;"&amp;$D85,Dataset!J:J,"&gt;="&amp;$C85)*10</f>
        <v>0</v>
      </c>
      <c r="AJ85" s="162">
        <f>SUMIFS(Dataset!H:H,Dataset!F:F,'retorno absoluto'!$D$11,Dataset!AH:AH,"bono de gobierno",Dataset!T:T,"sol",Dataset!J:J,"&lt;"&amp;$D85,Dataset!J:J,"&gt;="&amp;$C85)*10</f>
        <v>0</v>
      </c>
      <c r="AK85" s="162">
        <f>SUMIFS(Dataset!H:H,Dataset!F:F,'retorno absoluto'!$D$11,Dataset!AH:AH,"bono corporativo",Dataset!T:T,"$",Dataset!J:J,"&lt;"&amp;$D85,Dataset!J:J,"&gt;="&amp;$C85)*10</f>
        <v>0</v>
      </c>
      <c r="AL85" s="162">
        <f>SUMIFS(Dataset!H:H,Dataset!F:F,'retorno absoluto'!$D$11,Dataset!AH:AH,"bono corporativo",Dataset!T:T,"UF",Dataset!J:J,"&lt;"&amp;$D85,Dataset!J:J,"&gt;="&amp;$C85)*10</f>
        <v>0</v>
      </c>
      <c r="AM85" s="162">
        <f>SUMIFS(Dataset!H:H,Dataset!F:F,'retorno absoluto'!$D$11,Dataset!J:J,"&lt;"&amp;$D85,Dataset!J:J,"&gt;="&amp;$C85,Dataset!AH:AH,"&lt;&gt;bono corporativo",Dataset!AH:AH,"&lt;&gt;bono de gobierno",Dataset!AH:AH,"&lt;&gt;deposito")*10</f>
        <v>0</v>
      </c>
      <c r="AN85" s="163">
        <f t="shared" si="10"/>
        <v>0</v>
      </c>
    </row>
    <row r="86" spans="3:40" ht="27" customHeight="1" x14ac:dyDescent="0.25">
      <c r="C86" s="89">
        <v>11.5</v>
      </c>
      <c r="D86" s="100">
        <v>12.5</v>
      </c>
      <c r="E86" s="158">
        <f>SUMIFS(Dataset!AK:AK,Dataset!F:F,'retorno absoluto'!$D$11,Dataset!AH:AH,"deposito",Dataset!T:T,"$",Dataset!J:J,"&lt;"&amp;$D86,Dataset!J:J,"&gt;="&amp;$C86)</f>
        <v>0</v>
      </c>
      <c r="F86" s="159">
        <f>SUMIFS(Dataset!AK:AK,Dataset!F:F,'retorno absoluto'!$D$11,Dataset!AH:AH,"deposito",Dataset!T:T,"UF",Dataset!J:J,"&lt;"&amp;$D86,Dataset!J:J,"&gt;="&amp;$C86)</f>
        <v>0</v>
      </c>
      <c r="G86" s="159">
        <f>SUMIFS(Dataset!AK:AK,Dataset!F:F,'retorno absoluto'!$D$11,Dataset!AH:AH,"bono de gobierno",Dataset!T:T,"$",Dataset!J:J,"&lt;"&amp;$D86,Dataset!J:J,"&gt;="&amp;$C86)</f>
        <v>7.3687255584817812E-2</v>
      </c>
      <c r="H86" s="159">
        <f>SUMIFS(Dataset!AK:AK,Dataset!F:F,'retorno absoluto'!$D$11,Dataset!AH:AH,"bono de gobierno",Dataset!T:T,"UF",Dataset!J:J,"&lt;"&amp;$D86,Dataset!J:J,"&gt;="&amp;$C86)</f>
        <v>0</v>
      </c>
      <c r="I86" s="159">
        <f>SUMIFS(Dataset!AK:AK,Dataset!F:F,'retorno absoluto'!$D$11,Dataset!AH:AH,"bono de gobierno",Dataset!T:T,"eu",Dataset!J:J,"&lt;"&amp;$D86,Dataset!J:J,"&gt;="&amp;$C86)</f>
        <v>0</v>
      </c>
      <c r="J86" s="159">
        <f>SUMIFS(Dataset!AK:AK,Dataset!F:F,'retorno absoluto'!$D$11,Dataset!AH:AH,"bono de gobierno",Dataset!T:T,"mx",Dataset!J:J,"&lt;"&amp;$D86,Dataset!J:J,"&gt;="&amp;$C86)</f>
        <v>0</v>
      </c>
      <c r="K86" s="159">
        <f>SUMIFS(Dataset!AK:AK,Dataset!F:F,'retorno absoluto'!$D$11,Dataset!AH:AH,"bono de gobierno",Dataset!T:T,"rea",Dataset!J:J,"&lt;"&amp;$D86,Dataset!J:J,"&gt;="&amp;$C86)</f>
        <v>0</v>
      </c>
      <c r="L86" s="159">
        <f>SUMIFS(Dataset!AK:AK,Dataset!F:F,'retorno absoluto'!$D$11,Dataset!AH:AH,"bono de gobierno",Dataset!T:T,"sol",Dataset!J:J,"&lt;"&amp;$D86,Dataset!J:J,"&gt;="&amp;$C86)</f>
        <v>0</v>
      </c>
      <c r="M86" s="159">
        <f>SUMIFS(Dataset!AK:AK,Dataset!F:F,'retorno absoluto'!$D$11,Dataset!AH:AH,"bono corporativo",Dataset!T:T,"$",Dataset!J:J,"&lt;"&amp;$D86,Dataset!J:J,"&gt;="&amp;$C86)</f>
        <v>0</v>
      </c>
      <c r="N86" s="159">
        <f>SUMIFS(Dataset!AK:AK,Dataset!F:F,'retorno absoluto'!$D$11,Dataset!AH:AH,"bono corporativo",Dataset!T:T,"UF",Dataset!J:J,"&lt;"&amp;$D86,Dataset!J:J,"&gt;="&amp;$C86)</f>
        <v>0</v>
      </c>
      <c r="O86" s="159">
        <f>SUMIFS(Dataset!AK:AK,Dataset!F:F,'retorno absoluto'!$D$11,Dataset!J:J,"&lt;"&amp;$D86,Dataset!J:J,"&gt;="&amp;$C86,Dataset!AH:AH,"&lt;&gt;bono corporativo",Dataset!AH:AH,"&lt;&gt;bono de gobierno",Dataset!AH:AH,"&lt;&gt;deposito")</f>
        <v>0</v>
      </c>
      <c r="P86" s="160">
        <f t="shared" si="8"/>
        <v>7.3687255584817812E-2</v>
      </c>
      <c r="Q86" s="158">
        <f>SUMIFS(Dataset!AA:AA,Dataset!F:F,'retorno absoluto'!$D$11,Dataset!AH:AH,"deposito",Dataset!T:T,"$",Dataset!J:J,"&lt;"&amp;$D86,Dataset!J:J,"&gt;="&amp;$C86)</f>
        <v>0</v>
      </c>
      <c r="R86" s="159">
        <f>SUMIFS(Dataset!AA:AA,Dataset!F:F,'retorno absoluto'!$D$11,Dataset!AH:AH,"deposito",Dataset!T:T,"UF",Dataset!J:J,"&lt;"&amp;$D86,Dataset!J:J,"&gt;="&amp;$C86)</f>
        <v>0</v>
      </c>
      <c r="S86" s="159">
        <f>SUMIFS(Dataset!AA:AA,Dataset!F:F,'retorno absoluto'!$D$11,Dataset!AH:AH,"bono de gobierno",Dataset!T:T,"$",Dataset!J:J,"&lt;"&amp;$D86,Dataset!J:J,"&gt;="&amp;$C86)</f>
        <v>8.0532720278851555E-2</v>
      </c>
      <c r="T86" s="159">
        <f>SUMIFS(Dataset!AA:AA,Dataset!F:F,'retorno absoluto'!$D$11,Dataset!AH:AH,"bono de gobierno",Dataset!T:T,"UF",Dataset!J:J,"&lt;"&amp;$D86,Dataset!J:J,"&gt;="&amp;$C86)</f>
        <v>0</v>
      </c>
      <c r="U86" s="159">
        <f>SUMIFS(Dataset!AA:AA,Dataset!F:F,'retorno absoluto'!$D$11,Dataset!AH:AH,"bono de gobierno",Dataset!T:T,"EU",Dataset!J:J,"&lt;"&amp;$D86,Dataset!J:J,"&gt;="&amp;$C86)</f>
        <v>0</v>
      </c>
      <c r="V86" s="159">
        <f>SUMIFS(Dataset!AA:AA,Dataset!F:F,'retorno absoluto'!$D$11,Dataset!AH:AH,"bono de gobierno",Dataset!T:T,"MX",Dataset!J:J,"&lt;"&amp;$D86,Dataset!J:J,"&gt;="&amp;$C86)</f>
        <v>0</v>
      </c>
      <c r="W86" s="159">
        <f>SUMIFS(Dataset!AA:AA,Dataset!F:F,'retorno absoluto'!$D$11,Dataset!AH:AH,"bono de gobierno",Dataset!T:T,"REA",Dataset!J:J,"&lt;"&amp;$D86,Dataset!J:J,"&gt;="&amp;$C86)</f>
        <v>0</v>
      </c>
      <c r="X86" s="159">
        <f>SUMIFS(Dataset!AA:AA,Dataset!F:F,'retorno absoluto'!$D$11,Dataset!AH:AH,"bono de gobierno",Dataset!T:T,"sol",Dataset!J:J,"&lt;"&amp;$D86,Dataset!J:J,"&gt;="&amp;$C86)</f>
        <v>0</v>
      </c>
      <c r="Y86" s="159">
        <f>SUMIFS(Dataset!AA:AA,Dataset!F:F,'retorno absoluto'!$D$11,Dataset!AH:AH,"bono corporativo",Dataset!T:T,"$",Dataset!J:J,"&lt;"&amp;$D86,Dataset!J:J,"&gt;="&amp;$C86)</f>
        <v>0</v>
      </c>
      <c r="Z86" s="159">
        <f>SUMIFS(Dataset!AA:AA,Dataset!F:F,'retorno absoluto'!$D$11,Dataset!AH:AH,"bono corporativo",Dataset!T:T,"UF",Dataset!J:J,"&lt;"&amp;$D86,Dataset!J:J,"&gt;="&amp;$C86)</f>
        <v>0</v>
      </c>
      <c r="AA86" s="159">
        <f>SUMIFS(Dataset!AA:AA,Dataset!F:F,'retorno absoluto'!$D$11,Dataset!J:J,"&lt;"&amp;$D86,Dataset!J:J,"&gt;="&amp;$C86,Dataset!AH:AH,"&lt;&gt;bono corporativo",Dataset!AH:AH,"&lt;&gt;bono de gobierno",Dataset!AH:AH,"&lt;&gt;deposito")</f>
        <v>0</v>
      </c>
      <c r="AB86" s="160">
        <f t="shared" si="9"/>
        <v>8.0532720278851555E-2</v>
      </c>
      <c r="AC86" s="161">
        <f>SUMIFS(Dataset!H:H,Dataset!F:F,'retorno absoluto'!$D$11,Dataset!AH:AH,"deposito",Dataset!T:T,"$",Dataset!J:J,"&lt;"&amp;$D86,Dataset!J:J,"&gt;="&amp;$C86)*10</f>
        <v>0</v>
      </c>
      <c r="AD86" s="162">
        <f>SUMIFS(Dataset!H:H,Dataset!F:F,'retorno absoluto'!$D$11,Dataset!AH:AH,"deposito",Dataset!T:T,"UF",Dataset!J:J,"&lt;"&amp;$D86,Dataset!J:J,"&gt;="&amp;$C86)*10</f>
        <v>0</v>
      </c>
      <c r="AE86" s="162">
        <f>SUMIFS(Dataset!H:H,Dataset!F:F,'retorno absoluto'!$D$11,Dataset!AH:AH,"bono de gobierno",Dataset!T:T,"$",Dataset!J:J,"&lt;"&amp;$D86,Dataset!J:J,"&gt;="&amp;$C86)*10</f>
        <v>8.6582525312160925</v>
      </c>
      <c r="AF86" s="162">
        <f>SUMIFS(Dataset!H:H,Dataset!F:F,'retorno absoluto'!$D$11,Dataset!AH:AH,"bono de gobierno",Dataset!T:T,"UF",Dataset!J:J,"&lt;"&amp;$D86,Dataset!J:J,"&gt;="&amp;$C86)*10</f>
        <v>0</v>
      </c>
      <c r="AG86" s="162">
        <f>SUMIFS(Dataset!H:H,Dataset!F:F,'retorno absoluto'!$D$11,Dataset!AH:AH,"bono de gobierno",Dataset!T:T,"EU",Dataset!J:J,"&lt;"&amp;$D86,Dataset!J:J,"&gt;="&amp;$C86)*10</f>
        <v>0</v>
      </c>
      <c r="AH86" s="162">
        <f>SUMIFS(Dataset!H:H,Dataset!F:F,'retorno absoluto'!$D$11,Dataset!AH:AH,"bono de gobierno",Dataset!T:T,"MX",Dataset!J:J,"&lt;"&amp;$D86,Dataset!J:J,"&gt;="&amp;$C86)*10</f>
        <v>0</v>
      </c>
      <c r="AI86" s="162">
        <f>SUMIFS(Dataset!H:H,Dataset!F:F,'retorno absoluto'!$D$11,Dataset!AH:AH,"bono de gobierno",Dataset!T:T,"REA",Dataset!J:J,"&lt;"&amp;$D86,Dataset!J:J,"&gt;="&amp;$C86)*10</f>
        <v>0</v>
      </c>
      <c r="AJ86" s="162">
        <f>SUMIFS(Dataset!H:H,Dataset!F:F,'retorno absoluto'!$D$11,Dataset!AH:AH,"bono de gobierno",Dataset!T:T,"sol",Dataset!J:J,"&lt;"&amp;$D86,Dataset!J:J,"&gt;="&amp;$C86)*10</f>
        <v>0</v>
      </c>
      <c r="AK86" s="162">
        <f>SUMIFS(Dataset!H:H,Dataset!F:F,'retorno absoluto'!$D$11,Dataset!AH:AH,"bono corporativo",Dataset!T:T,"$",Dataset!J:J,"&lt;"&amp;$D86,Dataset!J:J,"&gt;="&amp;$C86)*10</f>
        <v>0</v>
      </c>
      <c r="AL86" s="162">
        <f>SUMIFS(Dataset!H:H,Dataset!F:F,'retorno absoluto'!$D$11,Dataset!AH:AH,"bono corporativo",Dataset!T:T,"UF",Dataset!J:J,"&lt;"&amp;$D86,Dataset!J:J,"&gt;="&amp;$C86)*10</f>
        <v>0</v>
      </c>
      <c r="AM86" s="162">
        <f>SUMIFS(Dataset!H:H,Dataset!F:F,'retorno absoluto'!$D$11,Dataset!J:J,"&lt;"&amp;$D86,Dataset!J:J,"&gt;="&amp;$C86,Dataset!AH:AH,"&lt;&gt;bono corporativo",Dataset!AH:AH,"&lt;&gt;bono de gobierno",Dataset!AH:AH,"&lt;&gt;deposito")*10</f>
        <v>0</v>
      </c>
      <c r="AN86" s="163">
        <f t="shared" si="10"/>
        <v>8.6582525312160925</v>
      </c>
    </row>
    <row r="87" spans="3:40" ht="27" customHeight="1" x14ac:dyDescent="0.25">
      <c r="C87" s="89">
        <v>12.5</v>
      </c>
      <c r="D87" s="100">
        <v>13.5</v>
      </c>
      <c r="E87" s="158">
        <f>SUMIFS(Dataset!AK:AK,Dataset!F:F,'retorno absoluto'!$D$11,Dataset!AH:AH,"deposito",Dataset!T:T,"$",Dataset!J:J,"&lt;"&amp;$D87,Dataset!J:J,"&gt;="&amp;$C87)</f>
        <v>0</v>
      </c>
      <c r="F87" s="159">
        <f>SUMIFS(Dataset!AK:AK,Dataset!F:F,'retorno absoluto'!$D$11,Dataset!AH:AH,"deposito",Dataset!T:T,"UF",Dataset!J:J,"&lt;"&amp;$D87,Dataset!J:J,"&gt;="&amp;$C87)</f>
        <v>0</v>
      </c>
      <c r="G87" s="159">
        <f>SUMIFS(Dataset!AK:AK,Dataset!F:F,'retorno absoluto'!$D$11,Dataset!AH:AH,"bono de gobierno",Dataset!T:T,"$",Dataset!J:J,"&lt;"&amp;$D87,Dataset!J:J,"&gt;="&amp;$C87)</f>
        <v>0</v>
      </c>
      <c r="H87" s="159">
        <f>SUMIFS(Dataset!AK:AK,Dataset!F:F,'retorno absoluto'!$D$11,Dataset!AH:AH,"bono de gobierno",Dataset!T:T,"UF",Dataset!J:J,"&lt;"&amp;$D87,Dataset!J:J,"&gt;="&amp;$C87)</f>
        <v>0</v>
      </c>
      <c r="I87" s="159">
        <f>SUMIFS(Dataset!AK:AK,Dataset!F:F,'retorno absoluto'!$D$11,Dataset!AH:AH,"bono de gobierno",Dataset!T:T,"eu",Dataset!J:J,"&lt;"&amp;$D87,Dataset!J:J,"&gt;="&amp;$C87)</f>
        <v>0</v>
      </c>
      <c r="J87" s="159">
        <f>SUMIFS(Dataset!AK:AK,Dataset!F:F,'retorno absoluto'!$D$11,Dataset!AH:AH,"bono de gobierno",Dataset!T:T,"mx",Dataset!J:J,"&lt;"&amp;$D87,Dataset!J:J,"&gt;="&amp;$C87)</f>
        <v>0</v>
      </c>
      <c r="K87" s="159">
        <f>SUMIFS(Dataset!AK:AK,Dataset!F:F,'retorno absoluto'!$D$11,Dataset!AH:AH,"bono de gobierno",Dataset!T:T,"rea",Dataset!J:J,"&lt;"&amp;$D87,Dataset!J:J,"&gt;="&amp;$C87)</f>
        <v>0</v>
      </c>
      <c r="L87" s="159">
        <f>SUMIFS(Dataset!AK:AK,Dataset!F:F,'retorno absoluto'!$D$11,Dataset!AH:AH,"bono de gobierno",Dataset!T:T,"sol",Dataset!J:J,"&lt;"&amp;$D87,Dataset!J:J,"&gt;="&amp;$C87)</f>
        <v>0</v>
      </c>
      <c r="M87" s="159">
        <f>SUMIFS(Dataset!AK:AK,Dataset!F:F,'retorno absoluto'!$D$11,Dataset!AH:AH,"bono corporativo",Dataset!T:T,"$",Dataset!J:J,"&lt;"&amp;$D87,Dataset!J:J,"&gt;="&amp;$C87)</f>
        <v>0</v>
      </c>
      <c r="N87" s="159">
        <f>SUMIFS(Dataset!AK:AK,Dataset!F:F,'retorno absoluto'!$D$11,Dataset!AH:AH,"bono corporativo",Dataset!T:T,"UF",Dataset!J:J,"&lt;"&amp;$D87,Dataset!J:J,"&gt;="&amp;$C87)</f>
        <v>0</v>
      </c>
      <c r="O87" s="159">
        <f>SUMIFS(Dataset!AK:AK,Dataset!F:F,'retorno absoluto'!$D$11,Dataset!J:J,"&lt;"&amp;$D87,Dataset!J:J,"&gt;="&amp;$C87,Dataset!AH:AH,"&lt;&gt;bono corporativo",Dataset!AH:AH,"&lt;&gt;bono de gobierno",Dataset!AH:AH,"&lt;&gt;deposito")</f>
        <v>0</v>
      </c>
      <c r="P87" s="160">
        <f t="shared" si="8"/>
        <v>0</v>
      </c>
      <c r="Q87" s="158">
        <f>SUMIFS(Dataset!AA:AA,Dataset!F:F,'retorno absoluto'!$D$11,Dataset!AH:AH,"deposito",Dataset!T:T,"$",Dataset!J:J,"&lt;"&amp;$D87,Dataset!J:J,"&gt;="&amp;$C87)</f>
        <v>0</v>
      </c>
      <c r="R87" s="159">
        <f>SUMIFS(Dataset!AA:AA,Dataset!F:F,'retorno absoluto'!$D$11,Dataset!AH:AH,"deposito",Dataset!T:T,"UF",Dataset!J:J,"&lt;"&amp;$D87,Dataset!J:J,"&gt;="&amp;$C87)</f>
        <v>0</v>
      </c>
      <c r="S87" s="159">
        <f>SUMIFS(Dataset!AA:AA,Dataset!F:F,'retorno absoluto'!$D$11,Dataset!AH:AH,"bono de gobierno",Dataset!T:T,"$",Dataset!J:J,"&lt;"&amp;$D87,Dataset!J:J,"&gt;="&amp;$C87)</f>
        <v>0</v>
      </c>
      <c r="T87" s="159">
        <f>SUMIFS(Dataset!AA:AA,Dataset!F:F,'retorno absoluto'!$D$11,Dataset!AH:AH,"bono de gobierno",Dataset!T:T,"UF",Dataset!J:J,"&lt;"&amp;$D87,Dataset!J:J,"&gt;="&amp;$C87)</f>
        <v>0</v>
      </c>
      <c r="U87" s="159">
        <f>SUMIFS(Dataset!AA:AA,Dataset!F:F,'retorno absoluto'!$D$11,Dataset!AH:AH,"bono de gobierno",Dataset!T:T,"EU",Dataset!J:J,"&lt;"&amp;$D87,Dataset!J:J,"&gt;="&amp;$C87)</f>
        <v>0</v>
      </c>
      <c r="V87" s="159">
        <f>SUMIFS(Dataset!AA:AA,Dataset!F:F,'retorno absoluto'!$D$11,Dataset!AH:AH,"bono de gobierno",Dataset!T:T,"MX",Dataset!J:J,"&lt;"&amp;$D87,Dataset!J:J,"&gt;="&amp;$C87)</f>
        <v>0</v>
      </c>
      <c r="W87" s="159">
        <f>SUMIFS(Dataset!AA:AA,Dataset!F:F,'retorno absoluto'!$D$11,Dataset!AH:AH,"bono de gobierno",Dataset!T:T,"REA",Dataset!J:J,"&lt;"&amp;$D87,Dataset!J:J,"&gt;="&amp;$C87)</f>
        <v>0</v>
      </c>
      <c r="X87" s="159">
        <f>SUMIFS(Dataset!AA:AA,Dataset!F:F,'retorno absoluto'!$D$11,Dataset!AH:AH,"bono de gobierno",Dataset!T:T,"sol",Dataset!J:J,"&lt;"&amp;$D87,Dataset!J:J,"&gt;="&amp;$C87)</f>
        <v>0</v>
      </c>
      <c r="Y87" s="159">
        <f>SUMIFS(Dataset!AA:AA,Dataset!F:F,'retorno absoluto'!$D$11,Dataset!AH:AH,"bono corporativo",Dataset!T:T,"$",Dataset!J:J,"&lt;"&amp;$D87,Dataset!J:J,"&gt;="&amp;$C87)</f>
        <v>0</v>
      </c>
      <c r="Z87" s="159">
        <f>SUMIFS(Dataset!AA:AA,Dataset!F:F,'retorno absoluto'!$D$11,Dataset!AH:AH,"bono corporativo",Dataset!T:T,"UF",Dataset!J:J,"&lt;"&amp;$D87,Dataset!J:J,"&gt;="&amp;$C87)</f>
        <v>0</v>
      </c>
      <c r="AA87" s="159">
        <f>SUMIFS(Dataset!AA:AA,Dataset!F:F,'retorno absoluto'!$D$11,Dataset!J:J,"&lt;"&amp;$D87,Dataset!J:J,"&gt;="&amp;$C87,Dataset!AH:AH,"&lt;&gt;bono corporativo",Dataset!AH:AH,"&lt;&gt;bono de gobierno",Dataset!AH:AH,"&lt;&gt;deposito")</f>
        <v>0</v>
      </c>
      <c r="AB87" s="160">
        <f t="shared" si="9"/>
        <v>0</v>
      </c>
      <c r="AC87" s="161">
        <f>SUMIFS(Dataset!H:H,Dataset!F:F,'retorno absoluto'!$D$11,Dataset!AH:AH,"deposito",Dataset!T:T,"$",Dataset!J:J,"&lt;"&amp;$D87,Dataset!J:J,"&gt;="&amp;$C87)*10</f>
        <v>0</v>
      </c>
      <c r="AD87" s="162">
        <f>SUMIFS(Dataset!H:H,Dataset!F:F,'retorno absoluto'!$D$11,Dataset!AH:AH,"deposito",Dataset!T:T,"UF",Dataset!J:J,"&lt;"&amp;$D87,Dataset!J:J,"&gt;="&amp;$C87)*10</f>
        <v>0</v>
      </c>
      <c r="AE87" s="162">
        <f>SUMIFS(Dataset!H:H,Dataset!F:F,'retorno absoluto'!$D$11,Dataset!AH:AH,"bono de gobierno",Dataset!T:T,"$",Dataset!J:J,"&lt;"&amp;$D87,Dataset!J:J,"&gt;="&amp;$C87)*10</f>
        <v>0</v>
      </c>
      <c r="AF87" s="162">
        <f>SUMIFS(Dataset!H:H,Dataset!F:F,'retorno absoluto'!$D$11,Dataset!AH:AH,"bono de gobierno",Dataset!T:T,"UF",Dataset!J:J,"&lt;"&amp;$D87,Dataset!J:J,"&gt;="&amp;$C87)*10</f>
        <v>0</v>
      </c>
      <c r="AG87" s="162">
        <f>SUMIFS(Dataset!H:H,Dataset!F:F,'retorno absoluto'!$D$11,Dataset!AH:AH,"bono de gobierno",Dataset!T:T,"EU",Dataset!J:J,"&lt;"&amp;$D87,Dataset!J:J,"&gt;="&amp;$C87)*10</f>
        <v>0</v>
      </c>
      <c r="AH87" s="162">
        <f>SUMIFS(Dataset!H:H,Dataset!F:F,'retorno absoluto'!$D$11,Dataset!AH:AH,"bono de gobierno",Dataset!T:T,"MX",Dataset!J:J,"&lt;"&amp;$D87,Dataset!J:J,"&gt;="&amp;$C87)*10</f>
        <v>0</v>
      </c>
      <c r="AI87" s="162">
        <f>SUMIFS(Dataset!H:H,Dataset!F:F,'retorno absoluto'!$D$11,Dataset!AH:AH,"bono de gobierno",Dataset!T:T,"REA",Dataset!J:J,"&lt;"&amp;$D87,Dataset!J:J,"&gt;="&amp;$C87)*10</f>
        <v>0</v>
      </c>
      <c r="AJ87" s="162">
        <f>SUMIFS(Dataset!H:H,Dataset!F:F,'retorno absoluto'!$D$11,Dataset!AH:AH,"bono de gobierno",Dataset!T:T,"sol",Dataset!J:J,"&lt;"&amp;$D87,Dataset!J:J,"&gt;="&amp;$C87)*10</f>
        <v>0</v>
      </c>
      <c r="AK87" s="162">
        <f>SUMIFS(Dataset!H:H,Dataset!F:F,'retorno absoluto'!$D$11,Dataset!AH:AH,"bono corporativo",Dataset!T:T,"$",Dataset!J:J,"&lt;"&amp;$D87,Dataset!J:J,"&gt;="&amp;$C87)*10</f>
        <v>0</v>
      </c>
      <c r="AL87" s="162">
        <f>SUMIFS(Dataset!H:H,Dataset!F:F,'retorno absoluto'!$D$11,Dataset!AH:AH,"bono corporativo",Dataset!T:T,"UF",Dataset!J:J,"&lt;"&amp;$D87,Dataset!J:J,"&gt;="&amp;$C87)*10</f>
        <v>0</v>
      </c>
      <c r="AM87" s="162">
        <f>SUMIFS(Dataset!H:H,Dataset!F:F,'retorno absoluto'!$D$11,Dataset!J:J,"&lt;"&amp;$D87,Dataset!J:J,"&gt;="&amp;$C87,Dataset!AH:AH,"&lt;&gt;bono corporativo",Dataset!AH:AH,"&lt;&gt;bono de gobierno",Dataset!AH:AH,"&lt;&gt;deposito")*10</f>
        <v>0</v>
      </c>
      <c r="AN87" s="163">
        <f t="shared" si="10"/>
        <v>0</v>
      </c>
    </row>
    <row r="88" spans="3:40" ht="27" customHeight="1" x14ac:dyDescent="0.25">
      <c r="C88" s="89">
        <v>13.5</v>
      </c>
      <c r="D88" s="100">
        <v>14.5</v>
      </c>
      <c r="E88" s="158">
        <f>SUMIFS(Dataset!AK:AK,Dataset!F:F,'retorno absoluto'!$D$11,Dataset!AH:AH,"deposito",Dataset!T:T,"$",Dataset!J:J,"&lt;"&amp;$D88,Dataset!J:J,"&gt;="&amp;$C88)</f>
        <v>0</v>
      </c>
      <c r="F88" s="159">
        <f>SUMIFS(Dataset!AK:AK,Dataset!F:F,'retorno absoluto'!$D$11,Dataset!AH:AH,"deposito",Dataset!T:T,"UF",Dataset!J:J,"&lt;"&amp;$D88,Dataset!J:J,"&gt;="&amp;$C88)</f>
        <v>0</v>
      </c>
      <c r="G88" s="159">
        <f>SUMIFS(Dataset!AK:AK,Dataset!F:F,'retorno absoluto'!$D$11,Dataset!AH:AH,"bono de gobierno",Dataset!T:T,"$",Dataset!J:J,"&lt;"&amp;$D88,Dataset!J:J,"&gt;="&amp;$C88)</f>
        <v>0</v>
      </c>
      <c r="H88" s="159">
        <f>SUMIFS(Dataset!AK:AK,Dataset!F:F,'retorno absoluto'!$D$11,Dataset!AH:AH,"bono de gobierno",Dataset!T:T,"UF",Dataset!J:J,"&lt;"&amp;$D88,Dataset!J:J,"&gt;="&amp;$C88)</f>
        <v>0</v>
      </c>
      <c r="I88" s="159">
        <f>SUMIFS(Dataset!AK:AK,Dataset!F:F,'retorno absoluto'!$D$11,Dataset!AH:AH,"bono de gobierno",Dataset!T:T,"eu",Dataset!J:J,"&lt;"&amp;$D88,Dataset!J:J,"&gt;="&amp;$C88)</f>
        <v>0</v>
      </c>
      <c r="J88" s="159">
        <f>SUMIFS(Dataset!AK:AK,Dataset!F:F,'retorno absoluto'!$D$11,Dataset!AH:AH,"bono de gobierno",Dataset!T:T,"mx",Dataset!J:J,"&lt;"&amp;$D88,Dataset!J:J,"&gt;="&amp;$C88)</f>
        <v>0</v>
      </c>
      <c r="K88" s="159">
        <f>SUMIFS(Dataset!AK:AK,Dataset!F:F,'retorno absoluto'!$D$11,Dataset!AH:AH,"bono de gobierno",Dataset!T:T,"rea",Dataset!J:J,"&lt;"&amp;$D88,Dataset!J:J,"&gt;="&amp;$C88)</f>
        <v>0</v>
      </c>
      <c r="L88" s="159">
        <f>SUMIFS(Dataset!AK:AK,Dataset!F:F,'retorno absoluto'!$D$11,Dataset!AH:AH,"bono de gobierno",Dataset!T:T,"sol",Dataset!J:J,"&lt;"&amp;$D88,Dataset!J:J,"&gt;="&amp;$C88)</f>
        <v>0</v>
      </c>
      <c r="M88" s="159">
        <f>SUMIFS(Dataset!AK:AK,Dataset!F:F,'retorno absoluto'!$D$11,Dataset!AH:AH,"bono corporativo",Dataset!T:T,"$",Dataset!J:J,"&lt;"&amp;$D88,Dataset!J:J,"&gt;="&amp;$C88)</f>
        <v>0</v>
      </c>
      <c r="N88" s="159">
        <f>SUMIFS(Dataset!AK:AK,Dataset!F:F,'retorno absoluto'!$D$11,Dataset!AH:AH,"bono corporativo",Dataset!T:T,"UF",Dataset!J:J,"&lt;"&amp;$D88,Dataset!J:J,"&gt;="&amp;$C88)</f>
        <v>0</v>
      </c>
      <c r="O88" s="159">
        <f>SUMIFS(Dataset!AK:AK,Dataset!F:F,'retorno absoluto'!$D$11,Dataset!J:J,"&lt;"&amp;$D88,Dataset!J:J,"&gt;="&amp;$C88,Dataset!AH:AH,"&lt;&gt;bono corporativo",Dataset!AH:AH,"&lt;&gt;bono de gobierno",Dataset!AH:AH,"&lt;&gt;deposito")</f>
        <v>0</v>
      </c>
      <c r="P88" s="160">
        <f t="shared" si="8"/>
        <v>0</v>
      </c>
      <c r="Q88" s="158">
        <f>SUMIFS(Dataset!AA:AA,Dataset!F:F,'retorno absoluto'!$D$11,Dataset!AH:AH,"deposito",Dataset!T:T,"$",Dataset!J:J,"&lt;"&amp;$D88,Dataset!J:J,"&gt;="&amp;$C88)</f>
        <v>0</v>
      </c>
      <c r="R88" s="159">
        <f>SUMIFS(Dataset!AA:AA,Dataset!F:F,'retorno absoluto'!$D$11,Dataset!AH:AH,"deposito",Dataset!T:T,"UF",Dataset!J:J,"&lt;"&amp;$D88,Dataset!J:J,"&gt;="&amp;$C88)</f>
        <v>0</v>
      </c>
      <c r="S88" s="159">
        <f>SUMIFS(Dataset!AA:AA,Dataset!F:F,'retorno absoluto'!$D$11,Dataset!AH:AH,"bono de gobierno",Dataset!T:T,"$",Dataset!J:J,"&lt;"&amp;$D88,Dataset!J:J,"&gt;="&amp;$C88)</f>
        <v>0</v>
      </c>
      <c r="T88" s="159">
        <f>SUMIFS(Dataset!AA:AA,Dataset!F:F,'retorno absoluto'!$D$11,Dataset!AH:AH,"bono de gobierno",Dataset!T:T,"UF",Dataset!J:J,"&lt;"&amp;$D88,Dataset!J:J,"&gt;="&amp;$C88)</f>
        <v>0</v>
      </c>
      <c r="U88" s="159">
        <f>SUMIFS(Dataset!AA:AA,Dataset!F:F,'retorno absoluto'!$D$11,Dataset!AH:AH,"bono de gobierno",Dataset!T:T,"EU",Dataset!J:J,"&lt;"&amp;$D88,Dataset!J:J,"&gt;="&amp;$C88)</f>
        <v>0</v>
      </c>
      <c r="V88" s="159">
        <f>SUMIFS(Dataset!AA:AA,Dataset!F:F,'retorno absoluto'!$D$11,Dataset!AH:AH,"bono de gobierno",Dataset!T:T,"MX",Dataset!J:J,"&lt;"&amp;$D88,Dataset!J:J,"&gt;="&amp;$C88)</f>
        <v>0</v>
      </c>
      <c r="W88" s="159">
        <f>SUMIFS(Dataset!AA:AA,Dataset!F:F,'retorno absoluto'!$D$11,Dataset!AH:AH,"bono de gobierno",Dataset!T:T,"REA",Dataset!J:J,"&lt;"&amp;$D88,Dataset!J:J,"&gt;="&amp;$C88)</f>
        <v>0</v>
      </c>
      <c r="X88" s="159">
        <f>SUMIFS(Dataset!AA:AA,Dataset!F:F,'retorno absoluto'!$D$11,Dataset!AH:AH,"bono de gobierno",Dataset!T:T,"sol",Dataset!J:J,"&lt;"&amp;$D88,Dataset!J:J,"&gt;="&amp;$C88)</f>
        <v>0</v>
      </c>
      <c r="Y88" s="159">
        <f>SUMIFS(Dataset!AA:AA,Dataset!F:F,'retorno absoluto'!$D$11,Dataset!AH:AH,"bono corporativo",Dataset!T:T,"$",Dataset!J:J,"&lt;"&amp;$D88,Dataset!J:J,"&gt;="&amp;$C88)</f>
        <v>0</v>
      </c>
      <c r="Z88" s="159">
        <f>SUMIFS(Dataset!AA:AA,Dataset!F:F,'retorno absoluto'!$D$11,Dataset!AH:AH,"bono corporativo",Dataset!T:T,"UF",Dataset!J:J,"&lt;"&amp;$D88,Dataset!J:J,"&gt;="&amp;$C88)</f>
        <v>0</v>
      </c>
      <c r="AA88" s="159">
        <f>SUMIFS(Dataset!AA:AA,Dataset!F:F,'retorno absoluto'!$D$11,Dataset!J:J,"&lt;"&amp;$D88,Dataset!J:J,"&gt;="&amp;$C88,Dataset!AH:AH,"&lt;&gt;bono corporativo",Dataset!AH:AH,"&lt;&gt;bono de gobierno",Dataset!AH:AH,"&lt;&gt;deposito")</f>
        <v>0</v>
      </c>
      <c r="AB88" s="160">
        <f t="shared" si="9"/>
        <v>0</v>
      </c>
      <c r="AC88" s="161">
        <f>SUMIFS(Dataset!H:H,Dataset!F:F,'retorno absoluto'!$D$11,Dataset!AH:AH,"deposito",Dataset!T:T,"$",Dataset!J:J,"&lt;"&amp;$D88,Dataset!J:J,"&gt;="&amp;$C88)*10</f>
        <v>0</v>
      </c>
      <c r="AD88" s="162">
        <f>SUMIFS(Dataset!H:H,Dataset!F:F,'retorno absoluto'!$D$11,Dataset!AH:AH,"deposito",Dataset!T:T,"UF",Dataset!J:J,"&lt;"&amp;$D88,Dataset!J:J,"&gt;="&amp;$C88)*10</f>
        <v>0</v>
      </c>
      <c r="AE88" s="162">
        <f>SUMIFS(Dataset!H:H,Dataset!F:F,'retorno absoluto'!$D$11,Dataset!AH:AH,"bono de gobierno",Dataset!T:T,"$",Dataset!J:J,"&lt;"&amp;$D88,Dataset!J:J,"&gt;="&amp;$C88)*10</f>
        <v>0</v>
      </c>
      <c r="AF88" s="162">
        <f>SUMIFS(Dataset!H:H,Dataset!F:F,'retorno absoluto'!$D$11,Dataset!AH:AH,"bono de gobierno",Dataset!T:T,"UF",Dataset!J:J,"&lt;"&amp;$D88,Dataset!J:J,"&gt;="&amp;$C88)*10</f>
        <v>0</v>
      </c>
      <c r="AG88" s="162">
        <f>SUMIFS(Dataset!H:H,Dataset!F:F,'retorno absoluto'!$D$11,Dataset!AH:AH,"bono de gobierno",Dataset!T:T,"EU",Dataset!J:J,"&lt;"&amp;$D88,Dataset!J:J,"&gt;="&amp;$C88)*10</f>
        <v>0</v>
      </c>
      <c r="AH88" s="162">
        <f>SUMIFS(Dataset!H:H,Dataset!F:F,'retorno absoluto'!$D$11,Dataset!AH:AH,"bono de gobierno",Dataset!T:T,"MX",Dataset!J:J,"&lt;"&amp;$D88,Dataset!J:J,"&gt;="&amp;$C88)*10</f>
        <v>0</v>
      </c>
      <c r="AI88" s="162">
        <f>SUMIFS(Dataset!H:H,Dataset!F:F,'retorno absoluto'!$D$11,Dataset!AH:AH,"bono de gobierno",Dataset!T:T,"REA",Dataset!J:J,"&lt;"&amp;$D88,Dataset!J:J,"&gt;="&amp;$C88)*10</f>
        <v>0</v>
      </c>
      <c r="AJ88" s="162">
        <f>SUMIFS(Dataset!H:H,Dataset!F:F,'retorno absoluto'!$D$11,Dataset!AH:AH,"bono de gobierno",Dataset!T:T,"sol",Dataset!J:J,"&lt;"&amp;$D88,Dataset!J:J,"&gt;="&amp;$C88)*10</f>
        <v>0</v>
      </c>
      <c r="AK88" s="162">
        <f>SUMIFS(Dataset!H:H,Dataset!F:F,'retorno absoluto'!$D$11,Dataset!AH:AH,"bono corporativo",Dataset!T:T,"$",Dataset!J:J,"&lt;"&amp;$D88,Dataset!J:J,"&gt;="&amp;$C88)*10</f>
        <v>0</v>
      </c>
      <c r="AL88" s="162">
        <f>SUMIFS(Dataset!H:H,Dataset!F:F,'retorno absoluto'!$D$11,Dataset!AH:AH,"bono corporativo",Dataset!T:T,"UF",Dataset!J:J,"&lt;"&amp;$D88,Dataset!J:J,"&gt;="&amp;$C88)*10</f>
        <v>0</v>
      </c>
      <c r="AM88" s="162">
        <f>SUMIFS(Dataset!H:H,Dataset!F:F,'retorno absoluto'!$D$11,Dataset!J:J,"&lt;"&amp;$D88,Dataset!J:J,"&gt;="&amp;$C88,Dataset!AH:AH,"&lt;&gt;bono corporativo",Dataset!AH:AH,"&lt;&gt;bono de gobierno",Dataset!AH:AH,"&lt;&gt;deposito")*10</f>
        <v>0</v>
      </c>
      <c r="AN88" s="163">
        <f t="shared" si="10"/>
        <v>0</v>
      </c>
    </row>
    <row r="89" spans="3:40" ht="27" customHeight="1" x14ac:dyDescent="0.25">
      <c r="C89" s="89">
        <v>14.5</v>
      </c>
      <c r="D89" s="100">
        <v>100</v>
      </c>
      <c r="E89" s="164">
        <f>SUMIFS(Dataset!AK:AK,Dataset!F:F,'retorno absoluto'!$D$11,Dataset!AH:AH,"deposito",Dataset!T:T,"$",Dataset!J:J,"&lt;"&amp;$D89,Dataset!J:J,"&gt;="&amp;$C89)</f>
        <v>0</v>
      </c>
      <c r="F89" s="165">
        <f>SUMIFS(Dataset!AK:AK,Dataset!F:F,'retorno absoluto'!$D$11,Dataset!AH:AH,"deposito",Dataset!T:T,"UF",Dataset!J:J,"&lt;"&amp;$D89,Dataset!J:J,"&gt;="&amp;$C89)</f>
        <v>0</v>
      </c>
      <c r="G89" s="165">
        <f>SUMIFS(Dataset!AK:AK,Dataset!F:F,'retorno absoluto'!$D$11,Dataset!AH:AH,"bono de gobierno",Dataset!T:T,"$",Dataset!J:J,"&lt;"&amp;$D89,Dataset!J:J,"&gt;="&amp;$C89)</f>
        <v>0</v>
      </c>
      <c r="H89" s="165">
        <f>SUMIFS(Dataset!AK:AK,Dataset!F:F,'retorno absoluto'!$D$11,Dataset!AH:AH,"bono de gobierno",Dataset!T:T,"UF",Dataset!J:J,"&lt;"&amp;$D89,Dataset!J:J,"&gt;="&amp;$C89)</f>
        <v>2.4977248926819757E-2</v>
      </c>
      <c r="I89" s="165">
        <f>SUMIFS(Dataset!AK:AK,Dataset!F:F,'retorno absoluto'!$D$11,Dataset!AH:AH,"bono de gobierno",Dataset!T:T,"eu",Dataset!J:J,"&lt;"&amp;$D89,Dataset!J:J,"&gt;="&amp;$C89)</f>
        <v>0</v>
      </c>
      <c r="J89" s="165">
        <f>SUMIFS(Dataset!AK:AK,Dataset!F:F,'retorno absoluto'!$D$11,Dataset!AH:AH,"bono de gobierno",Dataset!T:T,"mx",Dataset!J:J,"&lt;"&amp;$D89,Dataset!J:J,"&gt;="&amp;$C89)</f>
        <v>0</v>
      </c>
      <c r="K89" s="165">
        <f>SUMIFS(Dataset!AK:AK,Dataset!F:F,'retorno absoluto'!$D$11,Dataset!AH:AH,"bono de gobierno",Dataset!T:T,"rea",Dataset!J:J,"&lt;"&amp;$D89,Dataset!J:J,"&gt;="&amp;$C89)</f>
        <v>0</v>
      </c>
      <c r="L89" s="165">
        <f>SUMIFS(Dataset!AK:AK,Dataset!F:F,'retorno absoluto'!$D$11,Dataset!AH:AH,"bono de gobierno",Dataset!T:T,"sol",Dataset!J:J,"&lt;"&amp;$D89,Dataset!J:J,"&gt;="&amp;$C89)</f>
        <v>0</v>
      </c>
      <c r="M89" s="165">
        <f>SUMIFS(Dataset!AK:AK,Dataset!F:F,'retorno absoluto'!$D$11,Dataset!AH:AH,"bono corporativo",Dataset!T:T,"$",Dataset!J:J,"&lt;"&amp;$D89,Dataset!J:J,"&gt;="&amp;$C89)</f>
        <v>0</v>
      </c>
      <c r="N89" s="165">
        <f>SUMIFS(Dataset!AK:AK,Dataset!F:F,'retorno absoluto'!$D$11,Dataset!AH:AH,"bono corporativo",Dataset!T:T,"UF",Dataset!J:J,"&lt;"&amp;$D89,Dataset!J:J,"&gt;="&amp;$C89)</f>
        <v>0</v>
      </c>
      <c r="O89" s="165">
        <f>SUMIFS(Dataset!AK:AK,Dataset!F:F,'retorno absoluto'!$D$11,Dataset!J:J,"&lt;"&amp;$D89,Dataset!J:J,"&gt;="&amp;$C89,Dataset!AH:AH,"&lt;&gt;bono corporativo",Dataset!AH:AH,"&lt;&gt;bono de gobierno",Dataset!AH:AH,"&lt;&gt;deposito")</f>
        <v>0</v>
      </c>
      <c r="P89" s="166">
        <f t="shared" si="8"/>
        <v>2.4977248926819757E-2</v>
      </c>
      <c r="Q89" s="164">
        <f>SUMIFS(Dataset!AA:AA,Dataset!F:F,'retorno absoluto'!$D$11,Dataset!AH:AH,"deposito",Dataset!T:T,"$",Dataset!J:J,"&lt;"&amp;$D89,Dataset!J:J,"&gt;="&amp;$C89)</f>
        <v>0</v>
      </c>
      <c r="R89" s="165">
        <f>SUMIFS(Dataset!AA:AA,Dataset!F:F,'retorno absoluto'!$D$11,Dataset!AH:AH,"deposito",Dataset!T:T,"UF",Dataset!J:J,"&lt;"&amp;$D89,Dataset!J:J,"&gt;="&amp;$C89)</f>
        <v>0</v>
      </c>
      <c r="S89" s="165">
        <f>SUMIFS(Dataset!AA:AA,Dataset!F:F,'retorno absoluto'!$D$11,Dataset!AH:AH,"bono de gobierno",Dataset!T:T,"$",Dataset!J:J,"&lt;"&amp;$D89,Dataset!J:J,"&gt;="&amp;$C89)</f>
        <v>0</v>
      </c>
      <c r="T89" s="165">
        <f>SUMIFS(Dataset!AA:AA,Dataset!F:F,'retorno absoluto'!$D$11,Dataset!AH:AH,"bono de gobierno",Dataset!T:T,"UF",Dataset!J:J,"&lt;"&amp;$D89,Dataset!J:J,"&gt;="&amp;$C89)</f>
        <v>6.5834979721078032E-2</v>
      </c>
      <c r="U89" s="165">
        <f>SUMIFS(Dataset!AA:AA,Dataset!F:F,'retorno absoluto'!$D$11,Dataset!AH:AH,"bono de gobierno",Dataset!T:T,"EU",Dataset!J:J,"&lt;"&amp;$D89,Dataset!J:J,"&gt;="&amp;$C89)</f>
        <v>0</v>
      </c>
      <c r="V89" s="165">
        <f>SUMIFS(Dataset!AA:AA,Dataset!F:F,'retorno absoluto'!$D$11,Dataset!AH:AH,"bono de gobierno",Dataset!T:T,"MX",Dataset!J:J,"&lt;"&amp;$D89,Dataset!J:J,"&gt;="&amp;$C89)</f>
        <v>0</v>
      </c>
      <c r="W89" s="165">
        <f>SUMIFS(Dataset!AA:AA,Dataset!F:F,'retorno absoluto'!$D$11,Dataset!AH:AH,"bono de gobierno",Dataset!T:T,"REA",Dataset!J:J,"&lt;"&amp;$D89,Dataset!J:J,"&gt;="&amp;$C89)</f>
        <v>0</v>
      </c>
      <c r="X89" s="165">
        <f>SUMIFS(Dataset!AA:AA,Dataset!F:F,'retorno absoluto'!$D$11,Dataset!AH:AH,"bono de gobierno",Dataset!T:T,"sol",Dataset!J:J,"&lt;"&amp;$D89,Dataset!J:J,"&gt;="&amp;$C89)</f>
        <v>0</v>
      </c>
      <c r="Y89" s="165">
        <f>SUMIFS(Dataset!AA:AA,Dataset!F:F,'retorno absoluto'!$D$11,Dataset!AH:AH,"bono corporativo",Dataset!T:T,"$",Dataset!J:J,"&lt;"&amp;$D89,Dataset!J:J,"&gt;="&amp;$C89)</f>
        <v>0</v>
      </c>
      <c r="Z89" s="165">
        <f>SUMIFS(Dataset!AA:AA,Dataset!F:F,'retorno absoluto'!$D$11,Dataset!AH:AH,"bono corporativo",Dataset!T:T,"UF",Dataset!J:J,"&lt;"&amp;$D89,Dataset!J:J,"&gt;="&amp;$C89)</f>
        <v>0</v>
      </c>
      <c r="AA89" s="165">
        <f>SUMIFS(Dataset!AA:AA,Dataset!F:F,'retorno absoluto'!$D$11,Dataset!J:J,"&lt;"&amp;$D89,Dataset!J:J,"&gt;="&amp;$C89,Dataset!AH:AH,"&lt;&gt;bono corporativo",Dataset!AH:AH,"&lt;&gt;bono de gobierno",Dataset!AH:AH,"&lt;&gt;deposito")</f>
        <v>0</v>
      </c>
      <c r="AB89" s="166">
        <f t="shared" si="9"/>
        <v>6.5834979721078032E-2</v>
      </c>
      <c r="AC89" s="167">
        <f>SUMIFS(Dataset!H:H,Dataset!F:F,'retorno absoluto'!$D$11,Dataset!AH:AH,"deposito",Dataset!T:T,"$",Dataset!J:J,"&lt;"&amp;$D89,Dataset!J:J,"&gt;="&amp;$C89)*10</f>
        <v>0</v>
      </c>
      <c r="AD89" s="168">
        <f>SUMIFS(Dataset!H:H,Dataset!F:F,'retorno absoluto'!$D$11,Dataset!AH:AH,"deposito",Dataset!T:T,"UF",Dataset!J:J,"&lt;"&amp;$D89,Dataset!J:J,"&gt;="&amp;$C89)*10</f>
        <v>0</v>
      </c>
      <c r="AE89" s="168">
        <f>SUMIFS(Dataset!H:H,Dataset!F:F,'retorno absoluto'!$D$11,Dataset!AH:AH,"bono de gobierno",Dataset!T:T,"$",Dataset!J:J,"&lt;"&amp;$D89,Dataset!J:J,"&gt;="&amp;$C89)*10</f>
        <v>0</v>
      </c>
      <c r="AF89" s="168">
        <f>SUMIFS(Dataset!H:H,Dataset!F:F,'retorno absoluto'!$D$11,Dataset!AH:AH,"bono de gobierno",Dataset!T:T,"UF",Dataset!J:J,"&lt;"&amp;$D89,Dataset!J:J,"&gt;="&amp;$C89)*10</f>
        <v>3.6641624175644583</v>
      </c>
      <c r="AG89" s="168">
        <f>SUMIFS(Dataset!H:H,Dataset!F:F,'retorno absoluto'!$D$11,Dataset!AH:AH,"bono de gobierno",Dataset!T:T,"EU",Dataset!J:J,"&lt;"&amp;$D89,Dataset!J:J,"&gt;="&amp;$C89)*10</f>
        <v>0</v>
      </c>
      <c r="AH89" s="168">
        <f>SUMIFS(Dataset!H:H,Dataset!F:F,'retorno absoluto'!$D$11,Dataset!AH:AH,"bono de gobierno",Dataset!T:T,"MX",Dataset!J:J,"&lt;"&amp;$D89,Dataset!J:J,"&gt;="&amp;$C89)*10</f>
        <v>0</v>
      </c>
      <c r="AI89" s="168">
        <f>SUMIFS(Dataset!H:H,Dataset!F:F,'retorno absoluto'!$D$11,Dataset!AH:AH,"bono de gobierno",Dataset!T:T,"REA",Dataset!J:J,"&lt;"&amp;$D89,Dataset!J:J,"&gt;="&amp;$C89)*10</f>
        <v>0</v>
      </c>
      <c r="AJ89" s="168">
        <f>SUMIFS(Dataset!H:H,Dataset!F:F,'retorno absoluto'!$D$11,Dataset!AH:AH,"bono de gobierno",Dataset!T:T,"sol",Dataset!J:J,"&lt;"&amp;$D89,Dataset!J:J,"&gt;="&amp;$C89)*10</f>
        <v>0</v>
      </c>
      <c r="AK89" s="168">
        <f>SUMIFS(Dataset!H:H,Dataset!F:F,'retorno absoluto'!$D$11,Dataset!AH:AH,"bono corporativo",Dataset!T:T,"$",Dataset!J:J,"&lt;"&amp;$D89,Dataset!J:J,"&gt;="&amp;$C89)*10</f>
        <v>0</v>
      </c>
      <c r="AL89" s="168">
        <f>SUMIFS(Dataset!H:H,Dataset!F:F,'retorno absoluto'!$D$11,Dataset!AH:AH,"bono corporativo",Dataset!T:T,"UF",Dataset!J:J,"&lt;"&amp;$D89,Dataset!J:J,"&gt;="&amp;$C89)*10</f>
        <v>0</v>
      </c>
      <c r="AM89" s="168">
        <f>SUMIFS(Dataset!H:H,Dataset!F:F,'retorno absoluto'!$D$11,Dataset!J:J,"&lt;"&amp;$D89,Dataset!J:J,"&gt;="&amp;$C89,Dataset!AH:AH,"&lt;&gt;bono corporativo",Dataset!AH:AH,"&lt;&gt;bono de gobierno",Dataset!AH:AH,"&lt;&gt;deposito")*10</f>
        <v>0</v>
      </c>
      <c r="AN89" s="169">
        <f t="shared" si="10"/>
        <v>3.6641624175644583</v>
      </c>
    </row>
    <row r="90" spans="3:40" ht="39" customHeight="1" x14ac:dyDescent="0.25">
      <c r="C90" s="223" t="s">
        <v>84</v>
      </c>
      <c r="D90" s="224"/>
      <c r="E90" s="159">
        <f t="shared" ref="E90:O90" si="11">SUM(E74:E89)</f>
        <v>6.3891536999326953E-2</v>
      </c>
      <c r="F90" s="159">
        <f t="shared" si="11"/>
        <v>0</v>
      </c>
      <c r="G90" s="159">
        <f t="shared" si="11"/>
        <v>0.90297359061565352</v>
      </c>
      <c r="H90" s="159">
        <f t="shared" si="11"/>
        <v>0.42337093850124569</v>
      </c>
      <c r="I90" s="159">
        <f t="shared" si="11"/>
        <v>0</v>
      </c>
      <c r="J90" s="159">
        <f t="shared" si="11"/>
        <v>0</v>
      </c>
      <c r="K90" s="159">
        <f t="shared" si="11"/>
        <v>0</v>
      </c>
      <c r="L90" s="159">
        <f t="shared" si="11"/>
        <v>0</v>
      </c>
      <c r="M90" s="159">
        <f t="shared" si="11"/>
        <v>3.012798611887562E-2</v>
      </c>
      <c r="N90" s="159">
        <f t="shared" si="11"/>
        <v>8.1942828298371528E-3</v>
      </c>
      <c r="O90" s="159">
        <f t="shared" si="11"/>
        <v>-0.42855833506493896</v>
      </c>
      <c r="P90" s="160">
        <f t="shared" si="8"/>
        <v>1</v>
      </c>
      <c r="Q90" s="159">
        <f t="shared" ref="Q90:AA90" si="12">SUM(Q74:Q89)</f>
        <v>1.4848998009414503E-3</v>
      </c>
      <c r="R90" s="159">
        <f t="shared" si="12"/>
        <v>0</v>
      </c>
      <c r="S90" s="159">
        <f t="shared" si="12"/>
        <v>0.39700707950398678</v>
      </c>
      <c r="T90" s="159">
        <f t="shared" si="12"/>
        <v>0.59229691289562947</v>
      </c>
      <c r="U90" s="159">
        <f t="shared" si="12"/>
        <v>0</v>
      </c>
      <c r="V90" s="159">
        <f t="shared" si="12"/>
        <v>0</v>
      </c>
      <c r="W90" s="159">
        <f t="shared" si="12"/>
        <v>0</v>
      </c>
      <c r="X90" s="159">
        <f t="shared" si="12"/>
        <v>0</v>
      </c>
      <c r="Y90" s="159">
        <f t="shared" si="12"/>
        <v>3.2216524459381187E-3</v>
      </c>
      <c r="Z90" s="159">
        <f t="shared" si="12"/>
        <v>5.5734738999899027E-3</v>
      </c>
      <c r="AA90" s="159">
        <f t="shared" si="12"/>
        <v>4.1598145351425659E-4</v>
      </c>
      <c r="AB90" s="160">
        <f t="shared" si="9"/>
        <v>0.99999999999999989</v>
      </c>
      <c r="AC90" s="162">
        <f t="shared" ref="AC90:AM90" si="13">SUM(AC74:AC89)</f>
        <v>0.20581698266090917</v>
      </c>
      <c r="AD90" s="162">
        <f t="shared" si="13"/>
        <v>0</v>
      </c>
      <c r="AE90" s="162">
        <f t="shared" si="13"/>
        <v>35.804664425122866</v>
      </c>
      <c r="AF90" s="162">
        <f t="shared" si="13"/>
        <v>22.341498653782214</v>
      </c>
      <c r="AG90" s="162">
        <f t="shared" si="13"/>
        <v>0</v>
      </c>
      <c r="AH90" s="162">
        <f t="shared" si="13"/>
        <v>0</v>
      </c>
      <c r="AI90" s="162">
        <f t="shared" si="13"/>
        <v>0</v>
      </c>
      <c r="AJ90" s="162">
        <f t="shared" si="13"/>
        <v>0</v>
      </c>
      <c r="AK90" s="162">
        <f t="shared" si="13"/>
        <v>0.81646842382152929</v>
      </c>
      <c r="AL90" s="162">
        <f t="shared" si="13"/>
        <v>0.32356114803334995</v>
      </c>
      <c r="AM90" s="162">
        <f t="shared" si="13"/>
        <v>0</v>
      </c>
      <c r="AN90" s="163">
        <f t="shared" si="10"/>
        <v>59.492009633420857</v>
      </c>
    </row>
    <row r="91" spans="3:40" ht="40.5" customHeight="1" x14ac:dyDescent="0.25"/>
    <row r="92" spans="3:40" ht="40.5" customHeight="1" x14ac:dyDescent="0.25">
      <c r="AD92" s="222" t="s">
        <v>1750</v>
      </c>
      <c r="AE92" s="222"/>
      <c r="AF92" s="222"/>
      <c r="AG92" s="222"/>
      <c r="AH92" s="222"/>
      <c r="AI92" s="222"/>
      <c r="AJ92" s="222"/>
      <c r="AK92" s="222"/>
    </row>
    <row r="93" spans="3:40" ht="40.5" customHeight="1" x14ac:dyDescent="0.25">
      <c r="AD93" s="94"/>
    </row>
    <row r="94" spans="3:40" ht="40.5" customHeight="1" x14ac:dyDescent="0.25">
      <c r="AD94" s="229" t="s">
        <v>72</v>
      </c>
      <c r="AE94" s="230"/>
      <c r="AF94" s="101" t="s">
        <v>76</v>
      </c>
      <c r="AG94" s="101" t="s">
        <v>77</v>
      </c>
      <c r="AH94" s="101" t="s">
        <v>90</v>
      </c>
      <c r="AI94" s="101" t="s">
        <v>113</v>
      </c>
      <c r="AJ94" s="101" t="s">
        <v>114</v>
      </c>
      <c r="AK94" s="101"/>
    </row>
    <row r="95" spans="3:40" ht="31.5" customHeight="1" x14ac:dyDescent="0.25">
      <c r="AD95" s="97">
        <v>0</v>
      </c>
      <c r="AE95" s="104">
        <v>15</v>
      </c>
      <c r="AF95" s="170">
        <f>SUMIFS(Dataset!AJ:AJ,Dataset!F:F,'retorno absoluto'!$D$11,Dataset!AH:AH,"deposito",Dataset!T:T,"$",Dataset!J:J,"&lt;"&amp;$AE95/365,Dataset!J:J,"&gt;="&amp;$AD95/365)</f>
        <v>0</v>
      </c>
      <c r="AG95" s="170">
        <f>SUMIFS(Dataset!AJ:AJ,Dataset!F:F,'retorno absoluto'!$D$11,Dataset!AH:AH,"deposito",Dataset!T:T,"uf",Dataset!J:J,"&lt;"&amp;$AE95/365,Dataset!J:J,"&gt;="&amp;$AD95/365)</f>
        <v>0</v>
      </c>
      <c r="AH95" s="170">
        <f>SUMIFS(Dataset!AJ:AJ,Dataset!F:F,'retorno absoluto'!$D$11,Dataset!AH:AH,"deposito",Dataset!T:T,"us$",Dataset!J:J,"&lt;"&amp;$AE95/365,Dataset!J:J,"&gt;="&amp;$AD95/365)</f>
        <v>0</v>
      </c>
      <c r="AI95" s="170">
        <f>SUMIFS(Dataset!AJ:AJ,Dataset!F:F,'retorno absoluto'!$D$11,Dataset!AH:AH,"factura",Dataset!J:J,"&lt;"&amp;$AE95/365,Dataset!J:J,"&gt;="&amp;$AD95/365)</f>
        <v>0</v>
      </c>
      <c r="AJ95" s="171">
        <f>SUMIFS(Dataset!AJ:AJ,Dataset!F:F,'retorno absoluto'!$D$11,Dataset!AH:AH,"letra hipotecaria",Dataset!J:J,"&lt;"&amp;$AE95/365,Dataset!J:J,"&gt;="&amp;$AD95/365)</f>
        <v>0</v>
      </c>
      <c r="AK95" s="160">
        <f>SUM(AF95:AJ95)</f>
        <v>0</v>
      </c>
    </row>
    <row r="96" spans="3:40" ht="31.5" customHeight="1" x14ac:dyDescent="0.25">
      <c r="AD96" s="89">
        <v>15</v>
      </c>
      <c r="AE96" s="105">
        <v>30</v>
      </c>
      <c r="AF96" s="172">
        <f>SUMIFS(Dataset!AJ:AJ,Dataset!F:F,'retorno absoluto'!$D$11,Dataset!AH:AH,"deposito",Dataset!T:T,"$",Dataset!J:J,"&lt;"&amp;$AE96/365,Dataset!J:J,"&gt;="&amp;$AD96/365)</f>
        <v>2.0709864845849912E-2</v>
      </c>
      <c r="AG96" s="172">
        <f>SUMIFS(Dataset!AJ:AJ,Dataset!F:F,'retorno absoluto'!$D$11,Dataset!AH:AH,"deposito",Dataset!T:T,"uf",Dataset!J:J,"&lt;"&amp;$AE96/365,Dataset!J:J,"&gt;="&amp;$AD96/365)</f>
        <v>0</v>
      </c>
      <c r="AH96" s="172">
        <f>SUMIFS(Dataset!AJ:AJ,Dataset!F:F,'retorno absoluto'!$D$11,Dataset!AH:AH,"deposito",Dataset!T:T,"us$",Dataset!J:J,"&lt;"&amp;$AE96/365,Dataset!J:J,"&gt;="&amp;$AD96/365)</f>
        <v>0</v>
      </c>
      <c r="AI96" s="172">
        <f>SUMIFS(Dataset!AJ:AJ,Dataset!F:F,'retorno absoluto'!$D$11,Dataset!AH:AH,"factura",Dataset!J:J,"&lt;"&amp;$AE96/365,Dataset!J:J,"&gt;="&amp;$AD96/365)</f>
        <v>0</v>
      </c>
      <c r="AJ96" s="173">
        <f>SUMIFS(Dataset!AJ:AJ,Dataset!F:F,'retorno absoluto'!$D$11,Dataset!AH:AH,"letra hipotecaria",Dataset!J:J,"&lt;"&amp;$AE96/365,Dataset!J:J,"&gt;="&amp;$AD96/365)</f>
        <v>0</v>
      </c>
      <c r="AK96" s="160">
        <f t="shared" ref="AK96:AK122" si="14">SUM(AF96:AJ96)</f>
        <v>2.0709864845849912E-2</v>
      </c>
    </row>
    <row r="97" spans="30:37" ht="31.5" customHeight="1" x14ac:dyDescent="0.25">
      <c r="AD97" s="89">
        <v>30</v>
      </c>
      <c r="AE97" s="105">
        <v>45</v>
      </c>
      <c r="AF97" s="172">
        <f>SUMIFS(Dataset!AJ:AJ,Dataset!F:F,'retorno absoluto'!$D$11,Dataset!AH:AH,"deposito",Dataset!T:T,"$",Dataset!J:J,"&lt;"&amp;$AE97/365,Dataset!J:J,"&gt;="&amp;$AD97/365)</f>
        <v>0</v>
      </c>
      <c r="AG97" s="172">
        <f>SUMIFS(Dataset!AJ:AJ,Dataset!F:F,'retorno absoluto'!$D$11,Dataset!AH:AH,"deposito",Dataset!T:T,"uf",Dataset!J:J,"&lt;"&amp;$AE97/365,Dataset!J:J,"&gt;="&amp;$AD97/365)</f>
        <v>0</v>
      </c>
      <c r="AH97" s="172">
        <f>SUMIFS(Dataset!AJ:AJ,Dataset!F:F,'retorno absoluto'!$D$11,Dataset!AH:AH,"deposito",Dataset!T:T,"us$",Dataset!J:J,"&lt;"&amp;$AE97/365,Dataset!J:J,"&gt;="&amp;$AD97/365)</f>
        <v>0</v>
      </c>
      <c r="AI97" s="172">
        <f>SUMIFS(Dataset!AJ:AJ,Dataset!F:F,'retorno absoluto'!$D$11,Dataset!AH:AH,"factura",Dataset!J:J,"&lt;"&amp;$AE97/365,Dataset!J:J,"&gt;="&amp;$AD97/365)</f>
        <v>0</v>
      </c>
      <c r="AJ97" s="173">
        <f>SUMIFS(Dataset!AJ:AJ,Dataset!F:F,'retorno absoluto'!$D$11,Dataset!AH:AH,"letra hipotecaria",Dataset!J:J,"&lt;"&amp;$AE97/365,Dataset!J:J,"&gt;="&amp;$AD97/365)</f>
        <v>0</v>
      </c>
      <c r="AK97" s="160">
        <f t="shared" si="14"/>
        <v>0</v>
      </c>
    </row>
    <row r="98" spans="30:37" ht="31.5" customHeight="1" x14ac:dyDescent="0.25">
      <c r="AD98" s="89">
        <v>45</v>
      </c>
      <c r="AE98" s="105">
        <v>60</v>
      </c>
      <c r="AF98" s="172">
        <f>SUMIFS(Dataset!AJ:AJ,Dataset!F:F,'retorno absoluto'!$D$11,Dataset!AH:AH,"deposito",Dataset!T:T,"$",Dataset!J:J,"&lt;"&amp;$AE98/365,Dataset!J:J,"&gt;="&amp;$AD98/365)</f>
        <v>0</v>
      </c>
      <c r="AG98" s="172">
        <f>SUMIFS(Dataset!AJ:AJ,Dataset!F:F,'retorno absoluto'!$D$11,Dataset!AH:AH,"deposito",Dataset!T:T,"uf",Dataset!J:J,"&lt;"&amp;$AE98/365,Dataset!J:J,"&gt;="&amp;$AD98/365)</f>
        <v>0</v>
      </c>
      <c r="AH98" s="172">
        <f>SUMIFS(Dataset!AJ:AJ,Dataset!F:F,'retorno absoluto'!$D$11,Dataset!AH:AH,"deposito",Dataset!T:T,"us$",Dataset!J:J,"&lt;"&amp;$AE98/365,Dataset!J:J,"&gt;="&amp;$AD98/365)</f>
        <v>0</v>
      </c>
      <c r="AI98" s="172">
        <f>SUMIFS(Dataset!AJ:AJ,Dataset!F:F,'retorno absoluto'!$D$11,Dataset!AH:AH,"factura",Dataset!J:J,"&lt;"&amp;$AE98/365,Dataset!J:J,"&gt;="&amp;$AD98/365)</f>
        <v>0</v>
      </c>
      <c r="AJ98" s="173">
        <f>SUMIFS(Dataset!AJ:AJ,Dataset!F:F,'retorno absoluto'!$D$11,Dataset!AH:AH,"letra hipotecaria",Dataset!J:J,"&lt;"&amp;$AE98/365,Dataset!J:J,"&gt;="&amp;$AD98/365)</f>
        <v>0</v>
      </c>
      <c r="AK98" s="160">
        <f t="shared" si="14"/>
        <v>0</v>
      </c>
    </row>
    <row r="99" spans="30:37" ht="31.5" customHeight="1" x14ac:dyDescent="0.25">
      <c r="AD99" s="89">
        <v>60</v>
      </c>
      <c r="AE99" s="105">
        <v>75</v>
      </c>
      <c r="AF99" s="172">
        <f>SUMIFS(Dataset!AJ:AJ,Dataset!F:F,'retorno absoluto'!$D$11,Dataset!AH:AH,"deposito",Dataset!T:T,"$",Dataset!J:J,"&lt;"&amp;$AE99/365,Dataset!J:J,"&gt;="&amp;$AD99/365)</f>
        <v>0</v>
      </c>
      <c r="AG99" s="172">
        <f>SUMIFS(Dataset!AJ:AJ,Dataset!F:F,'retorno absoluto'!$D$11,Dataset!AH:AH,"deposito",Dataset!T:T,"uf",Dataset!J:J,"&lt;"&amp;$AE99/365,Dataset!J:J,"&gt;="&amp;$AD99/365)</f>
        <v>0</v>
      </c>
      <c r="AH99" s="172">
        <f>SUMIFS(Dataset!AJ:AJ,Dataset!F:F,'retorno absoluto'!$D$11,Dataset!AH:AH,"deposito",Dataset!T:T,"us$",Dataset!J:J,"&lt;"&amp;$AE99/365,Dataset!J:J,"&gt;="&amp;$AD99/365)</f>
        <v>0</v>
      </c>
      <c r="AI99" s="172">
        <f>SUMIFS(Dataset!AJ:AJ,Dataset!F:F,'retorno absoluto'!$D$11,Dataset!AH:AH,"factura",Dataset!J:J,"&lt;"&amp;$AE99/365,Dataset!J:J,"&gt;="&amp;$AD99/365)</f>
        <v>0</v>
      </c>
      <c r="AJ99" s="173">
        <f>SUMIFS(Dataset!AJ:AJ,Dataset!F:F,'retorno absoluto'!$D$11,Dataset!AH:AH,"letra hipotecaria",Dataset!J:J,"&lt;"&amp;$AE99/365,Dataset!J:J,"&gt;="&amp;$AD99/365)</f>
        <v>0</v>
      </c>
      <c r="AK99" s="160">
        <f t="shared" si="14"/>
        <v>0</v>
      </c>
    </row>
    <row r="100" spans="30:37" ht="31.5" customHeight="1" x14ac:dyDescent="0.25">
      <c r="AD100" s="89">
        <v>75</v>
      </c>
      <c r="AE100" s="105">
        <v>90</v>
      </c>
      <c r="AF100" s="172">
        <f>SUMIFS(Dataset!AJ:AJ,Dataset!F:F,'retorno absoluto'!$D$11,Dataset!AH:AH,"deposito",Dataset!T:T,"$",Dataset!J:J,"&lt;"&amp;$AE100/365,Dataset!J:J,"&gt;="&amp;$AD100/365)</f>
        <v>1.7816495667742969E-3</v>
      </c>
      <c r="AG100" s="172">
        <f>SUMIFS(Dataset!AJ:AJ,Dataset!F:F,'retorno absoluto'!$D$11,Dataset!AH:AH,"deposito",Dataset!T:T,"uf",Dataset!J:J,"&lt;"&amp;$AE100/365,Dataset!J:J,"&gt;="&amp;$AD100/365)</f>
        <v>0</v>
      </c>
      <c r="AH100" s="172">
        <f>SUMIFS(Dataset!AJ:AJ,Dataset!F:F,'retorno absoluto'!$D$11,Dataset!AH:AH,"deposito",Dataset!T:T,"us$",Dataset!J:J,"&lt;"&amp;$AE100/365,Dataset!J:J,"&gt;="&amp;$AD100/365)</f>
        <v>0</v>
      </c>
      <c r="AI100" s="172">
        <f>SUMIFS(Dataset!AJ:AJ,Dataset!F:F,'retorno absoluto'!$D$11,Dataset!AH:AH,"factura",Dataset!J:J,"&lt;"&amp;$AE100/365,Dataset!J:J,"&gt;="&amp;$AD100/365)</f>
        <v>0</v>
      </c>
      <c r="AJ100" s="173">
        <f>SUMIFS(Dataset!AJ:AJ,Dataset!F:F,'retorno absoluto'!$D$11,Dataset!AH:AH,"letra hipotecaria",Dataset!J:J,"&lt;"&amp;$AE100/365,Dataset!J:J,"&gt;="&amp;$AD100/365)</f>
        <v>0</v>
      </c>
      <c r="AK100" s="160">
        <f t="shared" si="14"/>
        <v>1.7816495667742969E-3</v>
      </c>
    </row>
    <row r="101" spans="30:37" ht="31.5" customHeight="1" x14ac:dyDescent="0.25">
      <c r="AD101" s="89">
        <v>90</v>
      </c>
      <c r="AE101" s="105">
        <v>105</v>
      </c>
      <c r="AF101" s="172">
        <f>SUMIFS(Dataset!AJ:AJ,Dataset!F:F,'retorno absoluto'!$D$11,Dataset!AH:AH,"deposito",Dataset!T:T,"$",Dataset!J:J,"&lt;"&amp;$AE101/365,Dataset!J:J,"&gt;="&amp;$AD101/365)</f>
        <v>2.0586553675433165E-3</v>
      </c>
      <c r="AG101" s="172">
        <f>SUMIFS(Dataset!AJ:AJ,Dataset!F:F,'retorno absoluto'!$D$11,Dataset!AH:AH,"deposito",Dataset!T:T,"uf",Dataset!J:J,"&lt;"&amp;$AE101/365,Dataset!J:J,"&gt;="&amp;$AD101/365)</f>
        <v>0</v>
      </c>
      <c r="AH101" s="172">
        <f>SUMIFS(Dataset!AJ:AJ,Dataset!F:F,'retorno absoluto'!$D$11,Dataset!AH:AH,"deposito",Dataset!T:T,"us$",Dataset!J:J,"&lt;"&amp;$AE101/365,Dataset!J:J,"&gt;="&amp;$AD101/365)</f>
        <v>0</v>
      </c>
      <c r="AI101" s="172">
        <f>SUMIFS(Dataset!AJ:AJ,Dataset!F:F,'retorno absoluto'!$D$11,Dataset!AH:AH,"factura",Dataset!J:J,"&lt;"&amp;$AE101/365,Dataset!J:J,"&gt;="&amp;$AD101/365)</f>
        <v>0</v>
      </c>
      <c r="AJ101" s="173">
        <f>SUMIFS(Dataset!AJ:AJ,Dataset!F:F,'retorno absoluto'!$D$11,Dataset!AH:AH,"letra hipotecaria",Dataset!J:J,"&lt;"&amp;$AE101/365,Dataset!J:J,"&gt;="&amp;$AD101/365)</f>
        <v>0</v>
      </c>
      <c r="AK101" s="160">
        <f t="shared" si="14"/>
        <v>2.0586553675433165E-3</v>
      </c>
    </row>
    <row r="102" spans="30:37" ht="31.5" customHeight="1" x14ac:dyDescent="0.25">
      <c r="AD102" s="89">
        <v>105</v>
      </c>
      <c r="AE102" s="105">
        <v>120</v>
      </c>
      <c r="AF102" s="172">
        <f>SUMIFS(Dataset!AJ:AJ,Dataset!F:F,'retorno absoluto'!$D$11,Dataset!AH:AH,"deposito",Dataset!T:T,"$",Dataset!J:J,"&lt;"&amp;$AE102/365,Dataset!J:J,"&gt;="&amp;$AD102/365)</f>
        <v>0</v>
      </c>
      <c r="AG102" s="172">
        <f>SUMIFS(Dataset!AJ:AJ,Dataset!F:F,'retorno absoluto'!$D$11,Dataset!AH:AH,"deposito",Dataset!T:T,"uf",Dataset!J:J,"&lt;"&amp;$AE102/365,Dataset!J:J,"&gt;="&amp;$AD102/365)</f>
        <v>0</v>
      </c>
      <c r="AH102" s="172">
        <f>SUMIFS(Dataset!AJ:AJ,Dataset!F:F,'retorno absoluto'!$D$11,Dataset!AH:AH,"deposito",Dataset!T:T,"us$",Dataset!J:J,"&lt;"&amp;$AE102/365,Dataset!J:J,"&gt;="&amp;$AD102/365)</f>
        <v>0</v>
      </c>
      <c r="AI102" s="172">
        <f>SUMIFS(Dataset!AJ:AJ,Dataset!F:F,'retorno absoluto'!$D$11,Dataset!AH:AH,"factura",Dataset!J:J,"&lt;"&amp;$AE102/365,Dataset!J:J,"&gt;="&amp;$AD102/365)</f>
        <v>0</v>
      </c>
      <c r="AJ102" s="173">
        <f>SUMIFS(Dataset!AJ:AJ,Dataset!F:F,'retorno absoluto'!$D$11,Dataset!AH:AH,"letra hipotecaria",Dataset!J:J,"&lt;"&amp;$AE102/365,Dataset!J:J,"&gt;="&amp;$AD102/365)</f>
        <v>0</v>
      </c>
      <c r="AK102" s="160">
        <f t="shared" si="14"/>
        <v>0</v>
      </c>
    </row>
    <row r="103" spans="30:37" ht="31.5" customHeight="1" x14ac:dyDescent="0.25">
      <c r="AD103" s="89">
        <v>120</v>
      </c>
      <c r="AE103" s="105">
        <v>135</v>
      </c>
      <c r="AF103" s="172">
        <f>SUMIFS(Dataset!AJ:AJ,Dataset!F:F,'retorno absoluto'!$D$11,Dataset!AH:AH,"deposito",Dataset!T:T,"$",Dataset!J:J,"&lt;"&amp;$AE103/365,Dataset!J:J,"&gt;="&amp;$AD103/365)</f>
        <v>1.3688939070884761E-3</v>
      </c>
      <c r="AG103" s="172">
        <f>SUMIFS(Dataset!AJ:AJ,Dataset!F:F,'retorno absoluto'!$D$11,Dataset!AH:AH,"deposito",Dataset!T:T,"uf",Dataset!J:J,"&lt;"&amp;$AE103/365,Dataset!J:J,"&gt;="&amp;$AD103/365)</f>
        <v>0</v>
      </c>
      <c r="AH103" s="172">
        <f>SUMIFS(Dataset!AJ:AJ,Dataset!F:F,'retorno absoluto'!$D$11,Dataset!AH:AH,"deposito",Dataset!T:T,"us$",Dataset!J:J,"&lt;"&amp;$AE103/365,Dataset!J:J,"&gt;="&amp;$AD103/365)</f>
        <v>0</v>
      </c>
      <c r="AI103" s="172">
        <f>SUMIFS(Dataset!AJ:AJ,Dataset!F:F,'retorno absoluto'!$D$11,Dataset!AH:AH,"factura",Dataset!J:J,"&lt;"&amp;$AE103/365,Dataset!J:J,"&gt;="&amp;$AD103/365)</f>
        <v>0</v>
      </c>
      <c r="AJ103" s="173">
        <f>SUMIFS(Dataset!AJ:AJ,Dataset!F:F,'retorno absoluto'!$D$11,Dataset!AH:AH,"letra hipotecaria",Dataset!J:J,"&lt;"&amp;$AE103/365,Dataset!J:J,"&gt;="&amp;$AD103/365)</f>
        <v>0</v>
      </c>
      <c r="AK103" s="160">
        <f t="shared" si="14"/>
        <v>1.3688939070884761E-3</v>
      </c>
    </row>
    <row r="104" spans="30:37" ht="31.5" customHeight="1" x14ac:dyDescent="0.25">
      <c r="AD104" s="89">
        <v>135</v>
      </c>
      <c r="AE104" s="105">
        <v>150</v>
      </c>
      <c r="AF104" s="172">
        <f>SUMIFS(Dataset!AJ:AJ,Dataset!F:F,'retorno absoluto'!$D$11,Dataset!AH:AH,"deposito",Dataset!T:T,"$",Dataset!J:J,"&lt;"&amp;$AE104/365,Dataset!J:J,"&gt;="&amp;$AD104/365)</f>
        <v>2.7305405871493413E-2</v>
      </c>
      <c r="AG104" s="172">
        <f>SUMIFS(Dataset!AJ:AJ,Dataset!F:F,'retorno absoluto'!$D$11,Dataset!AH:AH,"deposito",Dataset!T:T,"uf",Dataset!J:J,"&lt;"&amp;$AE104/365,Dataset!J:J,"&gt;="&amp;$AD104/365)</f>
        <v>0</v>
      </c>
      <c r="AH104" s="172">
        <f>SUMIFS(Dataset!AJ:AJ,Dataset!F:F,'retorno absoluto'!$D$11,Dataset!AH:AH,"deposito",Dataset!T:T,"us$",Dataset!J:J,"&lt;"&amp;$AE104/365,Dataset!J:J,"&gt;="&amp;$AD104/365)</f>
        <v>0</v>
      </c>
      <c r="AI104" s="172">
        <f>SUMIFS(Dataset!AJ:AJ,Dataset!F:F,'retorno absoluto'!$D$11,Dataset!AH:AH,"factura",Dataset!J:J,"&lt;"&amp;$AE104/365,Dataset!J:J,"&gt;="&amp;$AD104/365)</f>
        <v>0</v>
      </c>
      <c r="AJ104" s="173">
        <f>SUMIFS(Dataset!AJ:AJ,Dataset!F:F,'retorno absoluto'!$D$11,Dataset!AH:AH,"letra hipotecaria",Dataset!J:J,"&lt;"&amp;$AE104/365,Dataset!J:J,"&gt;="&amp;$AD104/365)</f>
        <v>0</v>
      </c>
      <c r="AK104" s="160">
        <f t="shared" si="14"/>
        <v>2.7305405871493413E-2</v>
      </c>
    </row>
    <row r="105" spans="30:37" ht="31.5" customHeight="1" x14ac:dyDescent="0.25">
      <c r="AD105" s="89">
        <v>150</v>
      </c>
      <c r="AE105" s="105">
        <v>165</v>
      </c>
      <c r="AF105" s="172">
        <f>SUMIFS(Dataset!AJ:AJ,Dataset!F:F,'retorno absoluto'!$D$11,Dataset!AH:AH,"deposito",Dataset!T:T,"$",Dataset!J:J,"&lt;"&amp;$AE105/365,Dataset!J:J,"&gt;="&amp;$AD105/365)</f>
        <v>7.6257099299685668E-4</v>
      </c>
      <c r="AG105" s="172">
        <f>SUMIFS(Dataset!AJ:AJ,Dataset!F:F,'retorno absoluto'!$D$11,Dataset!AH:AH,"deposito",Dataset!T:T,"uf",Dataset!J:J,"&lt;"&amp;$AE105/365,Dataset!J:J,"&gt;="&amp;$AD105/365)</f>
        <v>0</v>
      </c>
      <c r="AH105" s="172">
        <f>SUMIFS(Dataset!AJ:AJ,Dataset!F:F,'retorno absoluto'!$D$11,Dataset!AH:AH,"deposito",Dataset!T:T,"us$",Dataset!J:J,"&lt;"&amp;$AE105/365,Dataset!J:J,"&gt;="&amp;$AD105/365)</f>
        <v>0</v>
      </c>
      <c r="AI105" s="172">
        <f>SUMIFS(Dataset!AJ:AJ,Dataset!F:F,'retorno absoluto'!$D$11,Dataset!AH:AH,"factura",Dataset!J:J,"&lt;"&amp;$AE105/365,Dataset!J:J,"&gt;="&amp;$AD105/365)</f>
        <v>0</v>
      </c>
      <c r="AJ105" s="173">
        <f>SUMIFS(Dataset!AJ:AJ,Dataset!F:F,'retorno absoluto'!$D$11,Dataset!AH:AH,"letra hipotecaria",Dataset!J:J,"&lt;"&amp;$AE105/365,Dataset!J:J,"&gt;="&amp;$AD105/365)</f>
        <v>0</v>
      </c>
      <c r="AK105" s="160">
        <f t="shared" si="14"/>
        <v>7.6257099299685668E-4</v>
      </c>
    </row>
    <row r="106" spans="30:37" ht="31.5" customHeight="1" x14ac:dyDescent="0.25">
      <c r="AD106" s="89">
        <v>165</v>
      </c>
      <c r="AE106" s="105">
        <v>180</v>
      </c>
      <c r="AF106" s="172">
        <f>SUMIFS(Dataset!AJ:AJ,Dataset!F:F,'retorno absoluto'!$D$11,Dataset!AH:AH,"deposito",Dataset!T:T,"$",Dataset!J:J,"&lt;"&amp;$AE106/365,Dataset!J:J,"&gt;="&amp;$AD106/365)</f>
        <v>3.4027677547552142E-3</v>
      </c>
      <c r="AG106" s="172">
        <f>SUMIFS(Dataset!AJ:AJ,Dataset!F:F,'retorno absoluto'!$D$11,Dataset!AH:AH,"deposito",Dataset!T:T,"uf",Dataset!J:J,"&lt;"&amp;$AE106/365,Dataset!J:J,"&gt;="&amp;$AD106/365)</f>
        <v>0</v>
      </c>
      <c r="AH106" s="172">
        <f>SUMIFS(Dataset!AJ:AJ,Dataset!F:F,'retorno absoluto'!$D$11,Dataset!AH:AH,"deposito",Dataset!T:T,"us$",Dataset!J:J,"&lt;"&amp;$AE106/365,Dataset!J:J,"&gt;="&amp;$AD106/365)</f>
        <v>0</v>
      </c>
      <c r="AI106" s="172">
        <f>SUMIFS(Dataset!AJ:AJ,Dataset!F:F,'retorno absoluto'!$D$11,Dataset!AH:AH,"factura",Dataset!J:J,"&lt;"&amp;$AE106/365,Dataset!J:J,"&gt;="&amp;$AD106/365)</f>
        <v>0</v>
      </c>
      <c r="AJ106" s="173">
        <f>SUMIFS(Dataset!AJ:AJ,Dataset!F:F,'retorno absoluto'!$D$11,Dataset!AH:AH,"letra hipotecaria",Dataset!J:J,"&lt;"&amp;$AE106/365,Dataset!J:J,"&gt;="&amp;$AD106/365)</f>
        <v>0</v>
      </c>
      <c r="AK106" s="160">
        <f t="shared" si="14"/>
        <v>3.4027677547552142E-3</v>
      </c>
    </row>
    <row r="107" spans="30:37" ht="31.5" customHeight="1" x14ac:dyDescent="0.25">
      <c r="AD107" s="89">
        <v>180</v>
      </c>
      <c r="AE107" s="105">
        <v>195</v>
      </c>
      <c r="AF107" s="172">
        <f>SUMIFS(Dataset!AJ:AJ,Dataset!F:F,'retorno absoluto'!$D$11,Dataset!AH:AH,"deposito",Dataset!T:T,"$",Dataset!J:J,"&lt;"&amp;$AE107/365,Dataset!J:J,"&gt;="&amp;$AD107/365)</f>
        <v>0</v>
      </c>
      <c r="AG107" s="172">
        <f>SUMIFS(Dataset!AJ:AJ,Dataset!F:F,'retorno absoluto'!$D$11,Dataset!AH:AH,"deposito",Dataset!T:T,"uf",Dataset!J:J,"&lt;"&amp;$AE107/365,Dataset!J:J,"&gt;="&amp;$AD107/365)</f>
        <v>0</v>
      </c>
      <c r="AH107" s="172">
        <f>SUMIFS(Dataset!AJ:AJ,Dataset!F:F,'retorno absoluto'!$D$11,Dataset!AH:AH,"deposito",Dataset!T:T,"us$",Dataset!J:J,"&lt;"&amp;$AE107/365,Dataset!J:J,"&gt;="&amp;$AD107/365)</f>
        <v>0</v>
      </c>
      <c r="AI107" s="172">
        <f>SUMIFS(Dataset!AJ:AJ,Dataset!F:F,'retorno absoluto'!$D$11,Dataset!AH:AH,"factura",Dataset!J:J,"&lt;"&amp;$AE107/365,Dataset!J:J,"&gt;="&amp;$AD107/365)</f>
        <v>0</v>
      </c>
      <c r="AJ107" s="173">
        <f>SUMIFS(Dataset!AJ:AJ,Dataset!F:F,'retorno absoluto'!$D$11,Dataset!AH:AH,"letra hipotecaria",Dataset!J:J,"&lt;"&amp;$AE107/365,Dataset!J:J,"&gt;="&amp;$AD107/365)</f>
        <v>0</v>
      </c>
      <c r="AK107" s="160">
        <f t="shared" si="14"/>
        <v>0</v>
      </c>
    </row>
    <row r="108" spans="30:37" ht="31.5" customHeight="1" x14ac:dyDescent="0.25">
      <c r="AD108" s="89">
        <v>195</v>
      </c>
      <c r="AE108" s="105">
        <v>210</v>
      </c>
      <c r="AF108" s="172">
        <f>SUMIFS(Dataset!AJ:AJ,Dataset!F:F,'retorno absoluto'!$D$11,Dataset!AH:AH,"deposito",Dataset!T:T,"$",Dataset!J:J,"&lt;"&amp;$AE108/365,Dataset!J:J,"&gt;="&amp;$AD108/365)</f>
        <v>0</v>
      </c>
      <c r="AG108" s="172">
        <f>SUMIFS(Dataset!AJ:AJ,Dataset!F:F,'retorno absoluto'!$D$11,Dataset!AH:AH,"deposito",Dataset!T:T,"uf",Dataset!J:J,"&lt;"&amp;$AE108/365,Dataset!J:J,"&gt;="&amp;$AD108/365)</f>
        <v>0</v>
      </c>
      <c r="AH108" s="172">
        <f>SUMIFS(Dataset!AJ:AJ,Dataset!F:F,'retorno absoluto'!$D$11,Dataset!AH:AH,"deposito",Dataset!T:T,"us$",Dataset!J:J,"&lt;"&amp;$AE108/365,Dataset!J:J,"&gt;="&amp;$AD108/365)</f>
        <v>0</v>
      </c>
      <c r="AI108" s="172">
        <f>SUMIFS(Dataset!AJ:AJ,Dataset!F:F,'retorno absoluto'!$D$11,Dataset!AH:AH,"factura",Dataset!J:J,"&lt;"&amp;$AE108/365,Dataset!J:J,"&gt;="&amp;$AD108/365)</f>
        <v>0</v>
      </c>
      <c r="AJ108" s="173">
        <f>SUMIFS(Dataset!AJ:AJ,Dataset!F:F,'retorno absoluto'!$D$11,Dataset!AH:AH,"letra hipotecaria",Dataset!J:J,"&lt;"&amp;$AE108/365,Dataset!J:J,"&gt;="&amp;$AD108/365)</f>
        <v>0</v>
      </c>
      <c r="AK108" s="160">
        <f t="shared" si="14"/>
        <v>0</v>
      </c>
    </row>
    <row r="109" spans="30:37" ht="31.5" customHeight="1" x14ac:dyDescent="0.25">
      <c r="AD109" s="89">
        <v>210</v>
      </c>
      <c r="AE109" s="105">
        <v>225</v>
      </c>
      <c r="AF109" s="172">
        <f>SUMIFS(Dataset!AJ:AJ,Dataset!F:F,'retorno absoluto'!$D$11,Dataset!AH:AH,"deposito",Dataset!T:T,"$",Dataset!J:J,"&lt;"&amp;$AE109/365,Dataset!J:J,"&gt;="&amp;$AD109/365)</f>
        <v>0</v>
      </c>
      <c r="AG109" s="172">
        <f>SUMIFS(Dataset!AJ:AJ,Dataset!F:F,'retorno absoluto'!$D$11,Dataset!AH:AH,"deposito",Dataset!T:T,"uf",Dataset!J:J,"&lt;"&amp;$AE109/365,Dataset!J:J,"&gt;="&amp;$AD109/365)</f>
        <v>0</v>
      </c>
      <c r="AH109" s="172">
        <f>SUMIFS(Dataset!AJ:AJ,Dataset!F:F,'retorno absoluto'!$D$11,Dataset!AH:AH,"deposito",Dataset!T:T,"us$",Dataset!J:J,"&lt;"&amp;$AE109/365,Dataset!J:J,"&gt;="&amp;$AD109/365)</f>
        <v>0</v>
      </c>
      <c r="AI109" s="172">
        <f>SUMIFS(Dataset!AJ:AJ,Dataset!F:F,'retorno absoluto'!$D$11,Dataset!AH:AH,"factura",Dataset!J:J,"&lt;"&amp;$AE109/365,Dataset!J:J,"&gt;="&amp;$AD109/365)</f>
        <v>0</v>
      </c>
      <c r="AJ109" s="173">
        <f>SUMIFS(Dataset!AJ:AJ,Dataset!F:F,'retorno absoluto'!$D$11,Dataset!AH:AH,"letra hipotecaria",Dataset!J:J,"&lt;"&amp;$AE109/365,Dataset!J:J,"&gt;="&amp;$AD109/365)</f>
        <v>0</v>
      </c>
      <c r="AK109" s="160">
        <f t="shared" si="14"/>
        <v>0</v>
      </c>
    </row>
    <row r="110" spans="30:37" ht="31.5" customHeight="1" x14ac:dyDescent="0.25">
      <c r="AD110" s="89">
        <v>225</v>
      </c>
      <c r="AE110" s="105">
        <v>240</v>
      </c>
      <c r="AF110" s="172">
        <f>SUMIFS(Dataset!AJ:AJ,Dataset!F:F,'retorno absoluto'!$D$11,Dataset!AH:AH,"deposito",Dataset!T:T,"$",Dataset!J:J,"&lt;"&amp;$AE110/365,Dataset!J:J,"&gt;="&amp;$AD110/365)</f>
        <v>0</v>
      </c>
      <c r="AG110" s="172">
        <f>SUMIFS(Dataset!AJ:AJ,Dataset!F:F,'retorno absoluto'!$D$11,Dataset!AH:AH,"deposito",Dataset!T:T,"uf",Dataset!J:J,"&lt;"&amp;$AE110/365,Dataset!J:J,"&gt;="&amp;$AD110/365)</f>
        <v>0</v>
      </c>
      <c r="AH110" s="172">
        <f>SUMIFS(Dataset!AJ:AJ,Dataset!F:F,'retorno absoluto'!$D$11,Dataset!AH:AH,"deposito",Dataset!T:T,"us$",Dataset!J:J,"&lt;"&amp;$AE110/365,Dataset!J:J,"&gt;="&amp;$AD110/365)</f>
        <v>0</v>
      </c>
      <c r="AI110" s="172">
        <f>SUMIFS(Dataset!AJ:AJ,Dataset!F:F,'retorno absoluto'!$D$11,Dataset!AH:AH,"factura",Dataset!J:J,"&lt;"&amp;$AE110/365,Dataset!J:J,"&gt;="&amp;$AD110/365)</f>
        <v>0</v>
      </c>
      <c r="AJ110" s="173">
        <f>SUMIFS(Dataset!AJ:AJ,Dataset!F:F,'retorno absoluto'!$D$11,Dataset!AH:AH,"letra hipotecaria",Dataset!J:J,"&lt;"&amp;$AE110/365,Dataset!J:J,"&gt;="&amp;$AD110/365)</f>
        <v>0</v>
      </c>
      <c r="AK110" s="160">
        <f t="shared" si="14"/>
        <v>0</v>
      </c>
    </row>
    <row r="111" spans="30:37" ht="31.5" customHeight="1" x14ac:dyDescent="0.25">
      <c r="AD111" s="89">
        <v>240</v>
      </c>
      <c r="AE111" s="105">
        <v>255</v>
      </c>
      <c r="AF111" s="172">
        <f>SUMIFS(Dataset!AJ:AJ,Dataset!F:F,'retorno absoluto'!$D$11,Dataset!AH:AH,"deposito",Dataset!T:T,"$",Dataset!J:J,"&lt;"&amp;$AE111/365,Dataset!J:J,"&gt;="&amp;$AD111/365)</f>
        <v>0</v>
      </c>
      <c r="AG111" s="172">
        <f>SUMIFS(Dataset!AJ:AJ,Dataset!F:F,'retorno absoluto'!$D$11,Dataset!AH:AH,"deposito",Dataset!T:T,"uf",Dataset!J:J,"&lt;"&amp;$AE111/365,Dataset!J:J,"&gt;="&amp;$AD111/365)</f>
        <v>0</v>
      </c>
      <c r="AH111" s="172">
        <f>SUMIFS(Dataset!AJ:AJ,Dataset!F:F,'retorno absoluto'!$D$11,Dataset!AH:AH,"deposito",Dataset!T:T,"us$",Dataset!J:J,"&lt;"&amp;$AE111/365,Dataset!J:J,"&gt;="&amp;$AD111/365)</f>
        <v>0</v>
      </c>
      <c r="AI111" s="172">
        <f>SUMIFS(Dataset!AJ:AJ,Dataset!F:F,'retorno absoluto'!$D$11,Dataset!AH:AH,"factura",Dataset!J:J,"&lt;"&amp;$AE111/365,Dataset!J:J,"&gt;="&amp;$AD111/365)</f>
        <v>0</v>
      </c>
      <c r="AJ111" s="173">
        <f>SUMIFS(Dataset!AJ:AJ,Dataset!F:F,'retorno absoluto'!$D$11,Dataset!AH:AH,"letra hipotecaria",Dataset!J:J,"&lt;"&amp;$AE111/365,Dataset!J:J,"&gt;="&amp;$AD111/365)</f>
        <v>0</v>
      </c>
      <c r="AK111" s="160">
        <f t="shared" si="14"/>
        <v>0</v>
      </c>
    </row>
    <row r="112" spans="30:37" ht="31.5" customHeight="1" x14ac:dyDescent="0.25">
      <c r="AD112" s="89">
        <v>255</v>
      </c>
      <c r="AE112" s="105">
        <v>270</v>
      </c>
      <c r="AF112" s="172">
        <f>SUMIFS(Dataset!AJ:AJ,Dataset!F:F,'retorno absoluto'!$D$11,Dataset!AH:AH,"deposito",Dataset!T:T,"$",Dataset!J:J,"&lt;"&amp;$AE112/365,Dataset!J:J,"&gt;="&amp;$AD112/365)</f>
        <v>3.8075656145213845E-3</v>
      </c>
      <c r="AG112" s="172">
        <f>SUMIFS(Dataset!AJ:AJ,Dataset!F:F,'retorno absoluto'!$D$11,Dataset!AH:AH,"deposito",Dataset!T:T,"uf",Dataset!J:J,"&lt;"&amp;$AE112/365,Dataset!J:J,"&gt;="&amp;$AD112/365)</f>
        <v>0</v>
      </c>
      <c r="AH112" s="172">
        <f>SUMIFS(Dataset!AJ:AJ,Dataset!F:F,'retorno absoluto'!$D$11,Dataset!AH:AH,"deposito",Dataset!T:T,"us$",Dataset!J:J,"&lt;"&amp;$AE112/365,Dataset!J:J,"&gt;="&amp;$AD112/365)</f>
        <v>0</v>
      </c>
      <c r="AI112" s="172">
        <f>SUMIFS(Dataset!AJ:AJ,Dataset!F:F,'retorno absoluto'!$D$11,Dataset!AH:AH,"factura",Dataset!J:J,"&lt;"&amp;$AE112/365,Dataset!J:J,"&gt;="&amp;$AD112/365)</f>
        <v>0</v>
      </c>
      <c r="AJ112" s="173">
        <f>SUMIFS(Dataset!AJ:AJ,Dataset!F:F,'retorno absoluto'!$D$11,Dataset!AH:AH,"letra hipotecaria",Dataset!J:J,"&lt;"&amp;$AE112/365,Dataset!J:J,"&gt;="&amp;$AD112/365)</f>
        <v>0</v>
      </c>
      <c r="AK112" s="160">
        <f t="shared" si="14"/>
        <v>3.8075656145213845E-3</v>
      </c>
    </row>
    <row r="113" spans="3:40" ht="31.5" customHeight="1" x14ac:dyDescent="0.25">
      <c r="AD113" s="89">
        <v>270</v>
      </c>
      <c r="AE113" s="105">
        <v>285</v>
      </c>
      <c r="AF113" s="172">
        <f>SUMIFS(Dataset!AJ:AJ,Dataset!F:F,'retorno absoluto'!$D$11,Dataset!AH:AH,"deposito",Dataset!T:T,"$",Dataset!J:J,"&lt;"&amp;$AE113/365,Dataset!J:J,"&gt;="&amp;$AD113/365)</f>
        <v>0</v>
      </c>
      <c r="AG113" s="172">
        <f>SUMIFS(Dataset!AJ:AJ,Dataset!F:F,'retorno absoluto'!$D$11,Dataset!AH:AH,"deposito",Dataset!T:T,"uf",Dataset!J:J,"&lt;"&amp;$AE113/365,Dataset!J:J,"&gt;="&amp;$AD113/365)</f>
        <v>0</v>
      </c>
      <c r="AH113" s="172">
        <f>SUMIFS(Dataset!AJ:AJ,Dataset!F:F,'retorno absoluto'!$D$11,Dataset!AH:AH,"deposito",Dataset!T:T,"us$",Dataset!J:J,"&lt;"&amp;$AE113/365,Dataset!J:J,"&gt;="&amp;$AD113/365)</f>
        <v>0</v>
      </c>
      <c r="AI113" s="172">
        <f>SUMIFS(Dataset!AJ:AJ,Dataset!F:F,'retorno absoluto'!$D$11,Dataset!AH:AH,"factura",Dataset!J:J,"&lt;"&amp;$AE113/365,Dataset!J:J,"&gt;="&amp;$AD113/365)</f>
        <v>0</v>
      </c>
      <c r="AJ113" s="173">
        <f>SUMIFS(Dataset!AJ:AJ,Dataset!F:F,'retorno absoluto'!$D$11,Dataset!AH:AH,"letra hipotecaria",Dataset!J:J,"&lt;"&amp;$AE113/365,Dataset!J:J,"&gt;="&amp;$AD113/365)</f>
        <v>0</v>
      </c>
      <c r="AK113" s="160">
        <f t="shared" si="14"/>
        <v>0</v>
      </c>
    </row>
    <row r="114" spans="3:40" ht="31.5" customHeight="1" x14ac:dyDescent="0.25">
      <c r="AD114" s="89">
        <v>285</v>
      </c>
      <c r="AE114" s="105">
        <v>300</v>
      </c>
      <c r="AF114" s="172">
        <f>SUMIFS(Dataset!AJ:AJ,Dataset!F:F,'retorno absoluto'!$D$11,Dataset!AH:AH,"deposito",Dataset!T:T,"$",Dataset!J:J,"&lt;"&amp;$AE114/365,Dataset!J:J,"&gt;="&amp;$AD114/365)</f>
        <v>2.6941630783040862E-3</v>
      </c>
      <c r="AG114" s="172">
        <f>SUMIFS(Dataset!AJ:AJ,Dataset!F:F,'retorno absoluto'!$D$11,Dataset!AH:AH,"deposito",Dataset!T:T,"uf",Dataset!J:J,"&lt;"&amp;$AE114/365,Dataset!J:J,"&gt;="&amp;$AD114/365)</f>
        <v>0</v>
      </c>
      <c r="AH114" s="172">
        <f>SUMIFS(Dataset!AJ:AJ,Dataset!F:F,'retorno absoluto'!$D$11,Dataset!AH:AH,"deposito",Dataset!T:T,"us$",Dataset!J:J,"&lt;"&amp;$AE114/365,Dataset!J:J,"&gt;="&amp;$AD114/365)</f>
        <v>0</v>
      </c>
      <c r="AI114" s="172">
        <f>SUMIFS(Dataset!AJ:AJ,Dataset!F:F,'retorno absoluto'!$D$11,Dataset!AH:AH,"factura",Dataset!J:J,"&lt;"&amp;$AE114/365,Dataset!J:J,"&gt;="&amp;$AD114/365)</f>
        <v>0</v>
      </c>
      <c r="AJ114" s="173">
        <f>SUMIFS(Dataset!AJ:AJ,Dataset!F:F,'retorno absoluto'!$D$11,Dataset!AH:AH,"letra hipotecaria",Dataset!J:J,"&lt;"&amp;$AE114/365,Dataset!J:J,"&gt;="&amp;$AD114/365)</f>
        <v>0</v>
      </c>
      <c r="AK114" s="160">
        <f t="shared" si="14"/>
        <v>2.6941630783040862E-3</v>
      </c>
    </row>
    <row r="115" spans="3:40" ht="31.5" customHeight="1" x14ac:dyDescent="0.25">
      <c r="AD115" s="89">
        <v>300</v>
      </c>
      <c r="AE115" s="105">
        <v>315</v>
      </c>
      <c r="AF115" s="172">
        <f>SUMIFS(Dataset!AJ:AJ,Dataset!F:F,'retorno absoluto'!$D$11,Dataset!AH:AH,"deposito",Dataset!T:T,"$",Dataset!J:J,"&lt;"&amp;$AE115/365,Dataset!J:J,"&gt;="&amp;$AD115/365)</f>
        <v>0</v>
      </c>
      <c r="AG115" s="172">
        <f>SUMIFS(Dataset!AJ:AJ,Dataset!F:F,'retorno absoluto'!$D$11,Dataset!AH:AH,"deposito",Dataset!T:T,"uf",Dataset!J:J,"&lt;"&amp;$AE115/365,Dataset!J:J,"&gt;="&amp;$AD115/365)</f>
        <v>0</v>
      </c>
      <c r="AH115" s="172">
        <f>SUMIFS(Dataset!AJ:AJ,Dataset!F:F,'retorno absoluto'!$D$11,Dataset!AH:AH,"deposito",Dataset!T:T,"us$",Dataset!J:J,"&lt;"&amp;$AE115/365,Dataset!J:J,"&gt;="&amp;$AD115/365)</f>
        <v>0</v>
      </c>
      <c r="AI115" s="172">
        <f>SUMIFS(Dataset!AJ:AJ,Dataset!F:F,'retorno absoluto'!$D$11,Dataset!AH:AH,"factura",Dataset!J:J,"&lt;"&amp;$AE115/365,Dataset!J:J,"&gt;="&amp;$AD115/365)</f>
        <v>0</v>
      </c>
      <c r="AJ115" s="173">
        <f>SUMIFS(Dataset!AJ:AJ,Dataset!F:F,'retorno absoluto'!$D$11,Dataset!AH:AH,"letra hipotecaria",Dataset!J:J,"&lt;"&amp;$AE115/365,Dataset!J:J,"&gt;="&amp;$AD115/365)</f>
        <v>0</v>
      </c>
      <c r="AK115" s="160">
        <f t="shared" si="14"/>
        <v>0</v>
      </c>
    </row>
    <row r="116" spans="3:40" ht="31.5" customHeight="1" x14ac:dyDescent="0.25">
      <c r="AD116" s="89">
        <v>315</v>
      </c>
      <c r="AE116" s="105">
        <v>330</v>
      </c>
      <c r="AF116" s="172">
        <f>SUMIFS(Dataset!AJ:AJ,Dataset!F:F,'retorno absoluto'!$D$11,Dataset!AH:AH,"deposito",Dataset!T:T,"$",Dataset!J:J,"&lt;"&amp;$AE116/365,Dataset!J:J,"&gt;="&amp;$AD116/365)</f>
        <v>0</v>
      </c>
      <c r="AG116" s="172">
        <f>SUMIFS(Dataset!AJ:AJ,Dataset!F:F,'retorno absoluto'!$D$11,Dataset!AH:AH,"deposito",Dataset!T:T,"uf",Dataset!J:J,"&lt;"&amp;$AE116/365,Dataset!J:J,"&gt;="&amp;$AD116/365)</f>
        <v>0</v>
      </c>
      <c r="AH116" s="172">
        <f>SUMIFS(Dataset!AJ:AJ,Dataset!F:F,'retorno absoluto'!$D$11,Dataset!AH:AH,"deposito",Dataset!T:T,"us$",Dataset!J:J,"&lt;"&amp;$AE116/365,Dataset!J:J,"&gt;="&amp;$AD116/365)</f>
        <v>0</v>
      </c>
      <c r="AI116" s="172">
        <f>SUMIFS(Dataset!AJ:AJ,Dataset!F:F,'retorno absoluto'!$D$11,Dataset!AH:AH,"factura",Dataset!J:J,"&lt;"&amp;$AE116/365,Dataset!J:J,"&gt;="&amp;$AD116/365)</f>
        <v>0</v>
      </c>
      <c r="AJ116" s="173">
        <f>SUMIFS(Dataset!AJ:AJ,Dataset!F:F,'retorno absoluto'!$D$11,Dataset!AH:AH,"letra hipotecaria",Dataset!J:J,"&lt;"&amp;$AE116/365,Dataset!J:J,"&gt;="&amp;$AD116/365)</f>
        <v>0</v>
      </c>
      <c r="AK116" s="160">
        <f t="shared" si="14"/>
        <v>0</v>
      </c>
    </row>
    <row r="117" spans="3:40" ht="31.5" customHeight="1" x14ac:dyDescent="0.25">
      <c r="AD117" s="89">
        <v>330</v>
      </c>
      <c r="AE117" s="105">
        <v>345</v>
      </c>
      <c r="AF117" s="172">
        <f>SUMIFS(Dataset!AJ:AJ,Dataset!F:F,'retorno absoluto'!$D$11,Dataset!AH:AH,"deposito",Dataset!T:T,"$",Dataset!J:J,"&lt;"&amp;$AE117/365,Dataset!J:J,"&gt;="&amp;$AD117/365)</f>
        <v>0</v>
      </c>
      <c r="AG117" s="172">
        <f>SUMIFS(Dataset!AJ:AJ,Dataset!F:F,'retorno absoluto'!$D$11,Dataset!AH:AH,"deposito",Dataset!T:T,"uf",Dataset!J:J,"&lt;"&amp;$AE117/365,Dataset!J:J,"&gt;="&amp;$AD117/365)</f>
        <v>0</v>
      </c>
      <c r="AH117" s="172">
        <f>SUMIFS(Dataset!AJ:AJ,Dataset!F:F,'retorno absoluto'!$D$11,Dataset!AH:AH,"deposito",Dataset!T:T,"us$",Dataset!J:J,"&lt;"&amp;$AE117/365,Dataset!J:J,"&gt;="&amp;$AD117/365)</f>
        <v>0</v>
      </c>
      <c r="AI117" s="172">
        <f>SUMIFS(Dataset!AJ:AJ,Dataset!F:F,'retorno absoluto'!$D$11,Dataset!AH:AH,"factura",Dataset!J:J,"&lt;"&amp;$AE117/365,Dataset!J:J,"&gt;="&amp;$AD117/365)</f>
        <v>0</v>
      </c>
      <c r="AJ117" s="173">
        <f>SUMIFS(Dataset!AJ:AJ,Dataset!F:F,'retorno absoluto'!$D$11,Dataset!AH:AH,"letra hipotecaria",Dataset!J:J,"&lt;"&amp;$AE117/365,Dataset!J:J,"&gt;="&amp;$AD117/365)</f>
        <v>0</v>
      </c>
      <c r="AK117" s="160">
        <f t="shared" si="14"/>
        <v>0</v>
      </c>
    </row>
    <row r="118" spans="3:40" ht="31.5" customHeight="1" x14ac:dyDescent="0.25">
      <c r="AD118" s="89">
        <v>345</v>
      </c>
      <c r="AE118" s="105">
        <v>360</v>
      </c>
      <c r="AF118" s="172">
        <f>SUMIFS(Dataset!AJ:AJ,Dataset!F:F,'retorno absoluto'!$D$11,Dataset!AH:AH,"deposito",Dataset!T:T,"$",Dataset!J:J,"&lt;"&amp;$AE118/365,Dataset!J:J,"&gt;="&amp;$AD118/365)</f>
        <v>0</v>
      </c>
      <c r="AG118" s="172">
        <f>SUMIFS(Dataset!AJ:AJ,Dataset!F:F,'retorno absoluto'!$D$11,Dataset!AH:AH,"deposito",Dataset!T:T,"uf",Dataset!J:J,"&lt;"&amp;$AE118/365,Dataset!J:J,"&gt;="&amp;$AD118/365)</f>
        <v>0</v>
      </c>
      <c r="AH118" s="172">
        <f>SUMIFS(Dataset!AJ:AJ,Dataset!F:F,'retorno absoluto'!$D$11,Dataset!AH:AH,"deposito",Dataset!T:T,"us$",Dataset!J:J,"&lt;"&amp;$AE118/365,Dataset!J:J,"&gt;="&amp;$AD118/365)</f>
        <v>0</v>
      </c>
      <c r="AI118" s="172">
        <f>SUMIFS(Dataset!AJ:AJ,Dataset!F:F,'retorno absoluto'!$D$11,Dataset!AH:AH,"factura",Dataset!J:J,"&lt;"&amp;$AE118/365,Dataset!J:J,"&gt;="&amp;$AD118/365)</f>
        <v>0</v>
      </c>
      <c r="AJ118" s="173">
        <f>SUMIFS(Dataset!AJ:AJ,Dataset!F:F,'retorno absoluto'!$D$11,Dataset!AH:AH,"letra hipotecaria",Dataset!J:J,"&lt;"&amp;$AE118/365,Dataset!J:J,"&gt;="&amp;$AD118/365)</f>
        <v>0</v>
      </c>
      <c r="AK118" s="160">
        <f t="shared" si="14"/>
        <v>0</v>
      </c>
    </row>
    <row r="119" spans="3:40" ht="31.5" customHeight="1" x14ac:dyDescent="0.25">
      <c r="AD119" s="89">
        <v>360</v>
      </c>
      <c r="AE119" s="105">
        <v>720</v>
      </c>
      <c r="AF119" s="172">
        <f>SUMIFS(Dataset!AJ:AJ,Dataset!F:F,'retorno absoluto'!$D$11,Dataset!AH:AH,"deposito",Dataset!T:T,"$",Dataset!J:J,"&lt;"&amp;$AE119/365,Dataset!J:J,"&gt;="&amp;$AD119/365)</f>
        <v>0</v>
      </c>
      <c r="AG119" s="172">
        <f>SUMIFS(Dataset!AJ:AJ,Dataset!F:F,'retorno absoluto'!$D$11,Dataset!AH:AH,"deposito",Dataset!T:T,"uf",Dataset!J:J,"&lt;"&amp;$AE119/365,Dataset!J:J,"&gt;="&amp;$AD119/365)</f>
        <v>0</v>
      </c>
      <c r="AH119" s="172">
        <f>SUMIFS(Dataset!AJ:AJ,Dataset!F:F,'retorno absoluto'!$D$11,Dataset!AH:AH,"deposito",Dataset!T:T,"us$",Dataset!J:J,"&lt;"&amp;$AE119/365,Dataset!J:J,"&gt;="&amp;$AD119/365)</f>
        <v>0</v>
      </c>
      <c r="AI119" s="172">
        <f>SUMIFS(Dataset!AJ:AJ,Dataset!F:F,'retorno absoluto'!$D$11,Dataset!AH:AH,"factura",Dataset!J:J,"&lt;"&amp;$AE119/365,Dataset!J:J,"&gt;="&amp;$AD119/365)</f>
        <v>0</v>
      </c>
      <c r="AJ119" s="173">
        <f>SUMIFS(Dataset!AJ:AJ,Dataset!F:F,'retorno absoluto'!$D$11,Dataset!AH:AH,"letra hipotecaria",Dataset!J:J,"&lt;"&amp;$AE119/365,Dataset!J:J,"&gt;="&amp;$AD119/365)</f>
        <v>0</v>
      </c>
      <c r="AK119" s="160">
        <f t="shared" si="14"/>
        <v>0</v>
      </c>
    </row>
    <row r="120" spans="3:40" ht="31.5" customHeight="1" x14ac:dyDescent="0.25">
      <c r="AD120" s="89">
        <v>720</v>
      </c>
      <c r="AE120" s="105">
        <v>1080</v>
      </c>
      <c r="AF120" s="172">
        <f>SUMIFS(Dataset!AJ:AJ,Dataset!F:F,'retorno absoluto'!$D$11,Dataset!AH:AH,"deposito",Dataset!T:T,"$",Dataset!J:J,"&lt;"&amp;$AE120/365,Dataset!J:J,"&gt;="&amp;$AD120/365)</f>
        <v>0</v>
      </c>
      <c r="AG120" s="172">
        <f>SUMIFS(Dataset!AJ:AJ,Dataset!F:F,'retorno absoluto'!$D$11,Dataset!AH:AH,"deposito",Dataset!T:T,"uf",Dataset!J:J,"&lt;"&amp;$AE120/365,Dataset!J:J,"&gt;="&amp;$AD120/365)</f>
        <v>0</v>
      </c>
      <c r="AH120" s="172">
        <f>SUMIFS(Dataset!AJ:AJ,Dataset!F:F,'retorno absoluto'!$D$11,Dataset!AH:AH,"deposito",Dataset!T:T,"us$",Dataset!J:J,"&lt;"&amp;$AE120/365,Dataset!J:J,"&gt;="&amp;$AD120/365)</f>
        <v>0</v>
      </c>
      <c r="AI120" s="172">
        <f>SUMIFS(Dataset!AJ:AJ,Dataset!F:F,'retorno absoluto'!$D$11,Dataset!AH:AH,"factura",Dataset!J:J,"&lt;"&amp;$AE120/365,Dataset!J:J,"&gt;="&amp;$AD120/365)</f>
        <v>0</v>
      </c>
      <c r="AJ120" s="173">
        <f>SUMIFS(Dataset!AJ:AJ,Dataset!F:F,'retorno absoluto'!$D$11,Dataset!AH:AH,"letra hipotecaria",Dataset!J:J,"&lt;"&amp;$AE120/365,Dataset!J:J,"&gt;="&amp;$AD120/365)</f>
        <v>0</v>
      </c>
      <c r="AK120" s="160">
        <f t="shared" si="14"/>
        <v>0</v>
      </c>
    </row>
    <row r="121" spans="3:40" ht="31.5" customHeight="1" x14ac:dyDescent="0.25">
      <c r="AD121" s="89">
        <v>1080</v>
      </c>
      <c r="AE121" s="105">
        <v>3600</v>
      </c>
      <c r="AF121" s="172">
        <f>SUMIFS(Dataset!AJ:AJ,Dataset!F:F,'retorno absoluto'!$D$11,Dataset!AH:AH,"deposito",Dataset!T:T,"$",Dataset!J:J,"&lt;"&amp;$AE121/365,Dataset!J:J,"&gt;="&amp;$AD121/365)</f>
        <v>0</v>
      </c>
      <c r="AG121" s="172">
        <f>SUMIFS(Dataset!AJ:AJ,Dataset!F:F,'retorno absoluto'!$D$11,Dataset!AH:AH,"deposito",Dataset!T:T,"uf",Dataset!J:J,"&lt;"&amp;$AE121/365,Dataset!J:J,"&gt;="&amp;$AD121/365)</f>
        <v>0</v>
      </c>
      <c r="AH121" s="172">
        <f>SUMIFS(Dataset!AJ:AJ,Dataset!F:F,'retorno absoluto'!$D$11,Dataset!AH:AH,"deposito",Dataset!T:T,"us$",Dataset!J:J,"&lt;"&amp;$AE121/365,Dataset!J:J,"&gt;="&amp;$AD121/365)</f>
        <v>0</v>
      </c>
      <c r="AI121" s="172">
        <f>SUMIFS(Dataset!AJ:AJ,Dataset!F:F,'retorno absoluto'!$D$11,Dataset!AH:AH,"factura",Dataset!J:J,"&lt;"&amp;$AE121/365,Dataset!J:J,"&gt;="&amp;$AD121/365)</f>
        <v>0</v>
      </c>
      <c r="AJ121" s="173">
        <f>SUMIFS(Dataset!AJ:AJ,Dataset!F:F,'retorno absoluto'!$D$11,Dataset!AH:AH,"letra hipotecaria",Dataset!J:J,"&lt;"&amp;$AE121/365,Dataset!J:J,"&gt;="&amp;$AD121/365)</f>
        <v>0</v>
      </c>
      <c r="AK121" s="160">
        <f t="shared" si="14"/>
        <v>0</v>
      </c>
    </row>
    <row r="122" spans="3:40" ht="31.5" customHeight="1" x14ac:dyDescent="0.25">
      <c r="AD122" s="89">
        <v>3600</v>
      </c>
      <c r="AE122" s="106">
        <v>10000</v>
      </c>
      <c r="AF122" s="174">
        <f>SUMIFS(Dataset!AJ:AJ,Dataset!F:F,'retorno absoluto'!$D$11,Dataset!AH:AH,"deposito",Dataset!T:T,"$",Dataset!J:J,"&lt;"&amp;$AE122/365,Dataset!J:J,"&gt;="&amp;$AD122/365)</f>
        <v>0</v>
      </c>
      <c r="AG122" s="174">
        <f>SUMIFS(Dataset!AJ:AJ,Dataset!F:F,'retorno absoluto'!$D$11,Dataset!AH:AH,"deposito",Dataset!T:T,"uf",Dataset!J:J,"&lt;"&amp;$AE122/365,Dataset!J:J,"&gt;="&amp;$AD122/365)</f>
        <v>0</v>
      </c>
      <c r="AH122" s="174">
        <f>SUMIFS(Dataset!AJ:AJ,Dataset!F:F,'retorno absoluto'!$D$11,Dataset!AH:AH,"deposito",Dataset!T:T,"us$",Dataset!J:J,"&lt;"&amp;$AE122/365,Dataset!J:J,"&gt;="&amp;$AD122/365)</f>
        <v>0</v>
      </c>
      <c r="AI122" s="174">
        <f>SUMIFS(Dataset!AJ:AJ,Dataset!F:F,'retorno absoluto'!$D$11,Dataset!AH:AH,"factura",Dataset!J:J,"&lt;"&amp;$AE122/365,Dataset!J:J,"&gt;="&amp;$AD122/365)</f>
        <v>0</v>
      </c>
      <c r="AJ122" s="175">
        <f>SUMIFS(Dataset!AJ:AJ,Dataset!F:F,'retorno absoluto'!$D$11,Dataset!AH:AH,"letra hipotecaria",Dataset!J:J,"&lt;"&amp;$AE122/365,Dataset!J:J,"&gt;="&amp;$AD122/365)</f>
        <v>0</v>
      </c>
      <c r="AK122" s="166">
        <f t="shared" si="14"/>
        <v>0</v>
      </c>
    </row>
    <row r="123" spans="3:40" ht="31.5" customHeight="1" x14ac:dyDescent="0.25">
      <c r="AD123" s="223"/>
      <c r="AE123" s="225"/>
      <c r="AF123" s="159">
        <f t="shared" ref="AF123:AK123" si="15">SUM(AF95:AF122)</f>
        <v>6.3891536999326967E-2</v>
      </c>
      <c r="AG123" s="159">
        <f t="shared" si="15"/>
        <v>0</v>
      </c>
      <c r="AH123" s="159">
        <f t="shared" si="15"/>
        <v>0</v>
      </c>
      <c r="AI123" s="159">
        <f t="shared" si="15"/>
        <v>0</v>
      </c>
      <c r="AJ123" s="159">
        <f t="shared" si="15"/>
        <v>0</v>
      </c>
      <c r="AK123" s="160">
        <f t="shared" si="15"/>
        <v>6.3891536999326967E-2</v>
      </c>
    </row>
    <row r="127" spans="3:40" ht="30" customHeight="1" x14ac:dyDescent="0.25">
      <c r="C127" s="107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  <c r="Y127" s="107"/>
      <c r="Z127" s="107"/>
      <c r="AA127" s="107"/>
      <c r="AB127" s="107"/>
      <c r="AC127" s="107"/>
      <c r="AD127" s="107"/>
      <c r="AE127" s="107"/>
      <c r="AF127" s="107"/>
      <c r="AG127" s="107"/>
      <c r="AH127" s="107"/>
      <c r="AI127" s="107"/>
      <c r="AJ127" s="107"/>
      <c r="AK127" s="107"/>
      <c r="AL127" s="107"/>
      <c r="AM127" s="107"/>
      <c r="AN127" s="107"/>
    </row>
    <row r="128" spans="3:40" ht="27" customHeight="1" x14ac:dyDescent="0.25"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  <c r="AH128" s="228"/>
      <c r="AI128" s="228"/>
      <c r="AJ128" s="228"/>
      <c r="AK128" s="228"/>
      <c r="AL128" s="228"/>
      <c r="AM128" s="228"/>
      <c r="AN128" s="228"/>
    </row>
    <row r="129" spans="3:15" ht="40.5" customHeight="1" x14ac:dyDescent="0.5">
      <c r="C129" s="108" t="s">
        <v>74</v>
      </c>
      <c r="D129" s="109"/>
      <c r="E129" s="109"/>
    </row>
    <row r="131" spans="3:15" ht="27" customHeight="1" x14ac:dyDescent="0.25">
      <c r="O131" s="83"/>
    </row>
  </sheetData>
  <mergeCells count="20">
    <mergeCell ref="C128:AN128"/>
    <mergeCell ref="E50:L50"/>
    <mergeCell ref="C12:I12"/>
    <mergeCell ref="L12:R12"/>
    <mergeCell ref="AD94:AE94"/>
    <mergeCell ref="AD92:AK92"/>
    <mergeCell ref="C69:D69"/>
    <mergeCell ref="E71:O71"/>
    <mergeCell ref="W50:AD50"/>
    <mergeCell ref="N50:U50"/>
    <mergeCell ref="C73:D73"/>
    <mergeCell ref="C52:D52"/>
    <mergeCell ref="C37:G37"/>
    <mergeCell ref="L29:R29"/>
    <mergeCell ref="C90:D90"/>
    <mergeCell ref="AD123:AE123"/>
    <mergeCell ref="C3:AN3"/>
    <mergeCell ref="C4:AN4"/>
    <mergeCell ref="Q71:AA71"/>
    <mergeCell ref="AC71:AM71"/>
  </mergeCells>
  <conditionalFormatting sqref="E53:L68">
    <cfRule type="colorScale" priority="10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N53:U68">
    <cfRule type="colorScale" priority="8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W53:AD68">
    <cfRule type="colorScale" priority="7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E74:O89">
    <cfRule type="colorScale" priority="6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Q74:AA89">
    <cfRule type="colorScale" priority="3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AC74:AM89">
    <cfRule type="colorScale" priority="2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AF95:AJ122">
    <cfRule type="colorScale" priority="1">
      <colorScale>
        <cfvo type="min"/>
        <cfvo type="max"/>
        <color theme="0"/>
        <color theme="5" tint="0.59999389629810485"/>
      </colorScale>
    </cfRule>
  </conditionalFormatting>
  <printOptions horizontalCentered="1"/>
  <pageMargins left="0" right="0" top="0" bottom="0" header="0" footer="0"/>
  <pageSetup scale="1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  <pageSetUpPr fitToPage="1"/>
  </sheetPr>
  <dimension ref="A1:AI135"/>
  <sheetViews>
    <sheetView showGridLines="0" showZeros="0" topLeftCell="C13" zoomScale="40" zoomScaleNormal="40" zoomScalePageLayoutView="10" workbookViewId="0">
      <selection activeCell="F25" sqref="F25"/>
    </sheetView>
  </sheetViews>
  <sheetFormatPr baseColWidth="10" defaultRowHeight="27" customHeight="1" x14ac:dyDescent="0.2"/>
  <cols>
    <col min="1" max="1" width="11" style="19" customWidth="1"/>
    <col min="2" max="2" width="9.75" style="19" customWidth="1"/>
    <col min="3" max="3" width="32.5" style="19" customWidth="1"/>
    <col min="4" max="4" width="32.25" style="19" customWidth="1"/>
    <col min="5" max="5" width="27" style="19" customWidth="1"/>
    <col min="6" max="6" width="31.125" style="19" customWidth="1"/>
    <col min="7" max="7" width="25.875" style="19" customWidth="1"/>
    <col min="8" max="8" width="33.5" style="19" customWidth="1"/>
    <col min="9" max="9" width="29.25" style="19" customWidth="1"/>
    <col min="10" max="10" width="28.125" style="19" customWidth="1"/>
    <col min="11" max="11" width="27.375" style="19" customWidth="1"/>
    <col min="12" max="12" width="42.625" style="19" customWidth="1"/>
    <col min="13" max="13" width="24.625" style="19" customWidth="1"/>
    <col min="14" max="14" width="28.75" style="19" customWidth="1"/>
    <col min="15" max="15" width="33.125" style="19" customWidth="1"/>
    <col min="16" max="16" width="35.375" style="19" customWidth="1"/>
    <col min="17" max="17" width="20.75" style="19" customWidth="1"/>
    <col min="18" max="18" width="19.875" style="19" customWidth="1"/>
    <col min="19" max="19" width="25.25" style="19" customWidth="1"/>
    <col min="20" max="20" width="29" style="19" customWidth="1"/>
    <col min="21" max="21" width="32.375" style="19" customWidth="1"/>
    <col min="22" max="22" width="28.75" style="19" customWidth="1"/>
    <col min="23" max="23" width="18.875" style="19" customWidth="1"/>
    <col min="24" max="24" width="21.125" style="19" customWidth="1"/>
    <col min="25" max="25" width="26.625" style="19" customWidth="1"/>
    <col min="26" max="26" width="26.125" style="19" customWidth="1"/>
    <col min="27" max="27" width="31.75" style="19" customWidth="1"/>
    <col min="28" max="28" width="38.5" style="19" customWidth="1"/>
    <col min="29" max="29" width="25.125" style="19" customWidth="1"/>
    <col min="30" max="30" width="20" style="19" customWidth="1"/>
    <col min="31" max="31" width="30.25" style="19" customWidth="1"/>
    <col min="32" max="32" width="27.625" style="19" customWidth="1"/>
    <col min="33" max="33" width="36" style="19" customWidth="1"/>
    <col min="34" max="34" width="16.5" style="19" customWidth="1"/>
    <col min="35" max="35" width="32" style="19" customWidth="1"/>
    <col min="36" max="16384" width="11" style="19"/>
  </cols>
  <sheetData>
    <row r="1" spans="1:35" ht="27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</row>
    <row r="2" spans="1:35" ht="27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</row>
    <row r="3" spans="1:35" ht="81" customHeight="1" x14ac:dyDescent="0.25">
      <c r="A3" s="31"/>
      <c r="B3" s="31"/>
      <c r="C3" s="232" t="s">
        <v>1740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  <c r="AI3" s="232"/>
    </row>
    <row r="4" spans="1:35" ht="54" customHeight="1" x14ac:dyDescent="0.25">
      <c r="A4" s="31"/>
      <c r="B4" s="31"/>
      <c r="C4" s="233" t="str">
        <f>TEXT(Historical!H2," mmmm dd, aaaa")</f>
        <v xml:space="preserve"> October 16, Monday</v>
      </c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  <c r="O4" s="233"/>
      <c r="P4" s="233"/>
      <c r="Q4" s="233"/>
      <c r="R4" s="233"/>
      <c r="S4" s="233"/>
      <c r="T4" s="233"/>
      <c r="U4" s="233"/>
      <c r="V4" s="233"/>
      <c r="W4" s="233"/>
      <c r="X4" s="233"/>
      <c r="Y4" s="233"/>
      <c r="Z4" s="233"/>
      <c r="AA4" s="233"/>
      <c r="AB4" s="233"/>
      <c r="AC4" s="233"/>
      <c r="AD4" s="233"/>
      <c r="AE4" s="233"/>
      <c r="AF4" s="233"/>
      <c r="AG4" s="233"/>
      <c r="AH4" s="233"/>
      <c r="AI4" s="233"/>
    </row>
    <row r="5" spans="1:35" ht="27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</row>
    <row r="6" spans="1:35" ht="6" customHeight="1" x14ac:dyDescent="0.2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</row>
    <row r="7" spans="1:35" ht="27" customHeight="1" x14ac:dyDescent="0.25">
      <c r="A7" s="31"/>
      <c r="B7" s="31"/>
      <c r="C7" s="31"/>
      <c r="D7" s="31"/>
      <c r="E7" s="31"/>
      <c r="F7" s="54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</row>
    <row r="8" spans="1:35" ht="15" customHeight="1" x14ac:dyDescent="0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</row>
    <row r="9" spans="1:35" ht="9" customHeight="1" x14ac:dyDescent="0.9">
      <c r="A9" s="31"/>
      <c r="B9" s="31"/>
      <c r="C9" s="31"/>
      <c r="D9" s="70"/>
      <c r="E9" s="7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</row>
    <row r="10" spans="1:35" ht="15" customHeight="1" x14ac:dyDescent="0.2"/>
    <row r="11" spans="1:35" ht="63" customHeight="1" x14ac:dyDescent="0.9">
      <c r="D11" s="74" t="s">
        <v>53</v>
      </c>
      <c r="E11" s="62"/>
    </row>
    <row r="13" spans="1:35" ht="57" customHeight="1" x14ac:dyDescent="0.2">
      <c r="C13" s="231" t="s">
        <v>112</v>
      </c>
      <c r="D13" s="231"/>
      <c r="E13" s="231"/>
      <c r="F13" s="231"/>
      <c r="G13" s="231"/>
      <c r="H13" s="231"/>
      <c r="I13" s="231"/>
      <c r="O13" s="20"/>
      <c r="P13" s="20"/>
      <c r="Q13" s="20"/>
      <c r="R13" s="20"/>
      <c r="S13" s="20"/>
      <c r="T13" s="20"/>
    </row>
    <row r="14" spans="1:35" ht="51" customHeight="1" x14ac:dyDescent="0.2">
      <c r="J14" s="20"/>
    </row>
    <row r="15" spans="1:35" ht="41.25" customHeight="1" x14ac:dyDescent="0.5">
      <c r="C15" s="66"/>
      <c r="D15" s="67" t="s">
        <v>70</v>
      </c>
      <c r="E15" s="67" t="s">
        <v>1741</v>
      </c>
      <c r="F15" s="67" t="s">
        <v>75</v>
      </c>
      <c r="G15" s="67" t="s">
        <v>5</v>
      </c>
      <c r="H15" s="67" t="s">
        <v>6</v>
      </c>
      <c r="I15" s="67" t="s">
        <v>21</v>
      </c>
      <c r="K15" s="231" t="s">
        <v>1743</v>
      </c>
      <c r="L15" s="231"/>
      <c r="M15" s="231"/>
      <c r="N15" s="231"/>
      <c r="O15" s="231"/>
      <c r="P15" s="231"/>
      <c r="Q15" s="231"/>
      <c r="R15" s="231"/>
    </row>
    <row r="16" spans="1:35" ht="35.25" customHeight="1" x14ac:dyDescent="0.5">
      <c r="C16" s="68" t="s">
        <v>95</v>
      </c>
      <c r="D16" s="146">
        <f>SUMIFS(Dataset!AK:AK,Dataset!F:F,credito!D11,Dataset!AH:AH,"deposito", Dataset!T:T,"$")</f>
        <v>4.0119126529403627E-3</v>
      </c>
      <c r="E16" s="146">
        <f>SUMIFS(Dataset!AJ:AJ,Dataset!F:F,credito!D11,Dataset!AH:AH,"deposito", Dataset!T:T,"$")</f>
        <v>4.0119126529403627E-3</v>
      </c>
      <c r="F16" s="147">
        <f>SUMIFS(Dataset!V:V,Dataset!F:F,credito!D11,Dataset!AH:AH,"deposito", Dataset!T:T,"$")/1000000</f>
        <v>563.22131100000001</v>
      </c>
      <c r="G16" s="148">
        <f>SUMIFS(Dataset!H:H,Dataset!F:F,credito!D11,Dataset!AH:AH,"deposito", Dataset!T:T,"$")</f>
        <v>9.1835975321515723E-4</v>
      </c>
      <c r="H16" s="146">
        <f>SUMIFS(Dataset!I:I,Dataset!F:F,credito!D11,Dataset!AH:AH,"deposito", Dataset!T:T,"$")</f>
        <v>3.1164715595239089E-8</v>
      </c>
      <c r="I16" s="146">
        <f>SUMIFS(Dataset!AA:AA,Dataset!F:F,credito!D11,Dataset!AH:AH,"deposito", Dataset!T:T,"$")</f>
        <v>4.2446705332998682E-6</v>
      </c>
      <c r="W16" s="22"/>
    </row>
    <row r="17" spans="3:26" ht="35.25" customHeight="1" x14ac:dyDescent="0.5">
      <c r="C17" s="68" t="s">
        <v>64</v>
      </c>
      <c r="D17" s="146">
        <f>SUMIFS(Dataset!AK:AK,Dataset!F:F,credito!D11,Dataset!AH:AH,"deposito", Dataset!T:T,"uf")</f>
        <v>0</v>
      </c>
      <c r="E17" s="146">
        <f>SUMIFS(Dataset!AJ:AJ,Dataset!F:F,credito!D11,Dataset!AH:AH,"deposito", Dataset!T:T,"uf")</f>
        <v>0</v>
      </c>
      <c r="F17" s="147">
        <f>SUMIFS(Dataset!V:V,Dataset!F:F,credito!D11,Dataset!AH:AH,"deposito", Dataset!T:T,"uf")/1000000</f>
        <v>0</v>
      </c>
      <c r="G17" s="148">
        <f>SUMIFS(Dataset!H:H,Dataset!F:F,credito!D11,Dataset!AH:AH,"deposito", Dataset!T:T,"uf")</f>
        <v>0</v>
      </c>
      <c r="H17" s="146">
        <f>SUMIFS(Dataset!I:I,Dataset!F:F,credito!D11,Dataset!AH:AH,"deposito", Dataset!T:T,"uf")</f>
        <v>0</v>
      </c>
      <c r="I17" s="146">
        <f>SUMIFS(Dataset!AA:AA,Dataset!F:F,credito!D11,Dataset!AH:AH,"deposito", Dataset!T:T,"uf")</f>
        <v>0</v>
      </c>
      <c r="K17" s="56" t="s">
        <v>85</v>
      </c>
      <c r="L17" s="56" t="s">
        <v>86</v>
      </c>
      <c r="M17" s="56" t="s">
        <v>70</v>
      </c>
      <c r="N17" s="56" t="s">
        <v>1741</v>
      </c>
      <c r="O17" s="56" t="s">
        <v>6</v>
      </c>
      <c r="P17" s="56" t="s">
        <v>71</v>
      </c>
      <c r="Q17" s="56" t="s">
        <v>21</v>
      </c>
      <c r="R17" s="56" t="s">
        <v>72</v>
      </c>
      <c r="Z17" s="23"/>
    </row>
    <row r="18" spans="3:26" ht="35.25" customHeight="1" x14ac:dyDescent="0.5">
      <c r="C18" s="68" t="s">
        <v>96</v>
      </c>
      <c r="D18" s="146">
        <f>SUMIFS(Dataset!AK:AK,Dataset!F:F,credito!D11,Dataset!AH:AH,"bono de gobierno", Dataset!T:T,"$")</f>
        <v>0</v>
      </c>
      <c r="E18" s="146">
        <f>SUMIFS(Dataset!AJ:AJ,Dataset!F:F,credito!D11,Dataset!AH:AH,"bono de gobierno", Dataset!T:T,"$")</f>
        <v>0</v>
      </c>
      <c r="F18" s="147">
        <f>SUMIFS(Dataset!V:V,Dataset!F:F,credito!D11,Dataset!AH:AH,"bono de gobierno", Dataset!T:T,"$")/1000000</f>
        <v>0</v>
      </c>
      <c r="G18" s="148">
        <f>SUMIFS(Dataset!H:H,Dataset!F:F,credito!D11,Dataset!AH:AH,"bono de gobierno", Dataset!T:T,"$")</f>
        <v>0</v>
      </c>
      <c r="H18" s="146">
        <f>SUMIFS(Dataset!I:I,Dataset!F:F,credito!D11,Dataset!AH:AH,"bono de gobierno", Dataset!T:T,"$")</f>
        <v>0</v>
      </c>
      <c r="I18" s="146">
        <f>SUMIFS(Dataset!AA:AA,Dataset!F:F,credito!D11,Dataset!AH:AH,"bono de gobierno", Dataset!T:T,"$")</f>
        <v>0</v>
      </c>
      <c r="K18" s="57">
        <v>1</v>
      </c>
      <c r="L18" s="146" t="str">
        <f>IFERROR(INDEX(Dataset!G:G,MATCH(_xlfn.AGGREGATE(14,6,Dataset!AK:AK/(Dataset!F:F=$D$11),K18),Dataset!AK:AK,0),1),"-")</f>
        <v>BLATM-A</v>
      </c>
      <c r="M18" s="146">
        <f>IFERROR(INDEX(Dataset!AK:AK,MATCH(_xlfn.AGGREGATE(14,6,Dataset!AK:AK/(Dataset!F:F=$D$11),K18),Dataset!AK:AK,0),1),"-")</f>
        <v>2.9950024053775118E-2</v>
      </c>
      <c r="N18" s="146">
        <f>IFERROR(INDEX(Dataset!AJ:AJ,MATCH(_xlfn.AGGREGATE(14,6,Dataset!AK:AK/(Dataset!F:F=$D$11),K18),Dataset!AK:AK,0),1),"-")</f>
        <v>1.8218179064799118E-2</v>
      </c>
      <c r="O18" s="146">
        <f>IFERROR(INDEX(Dataset!I:I,MATCH(_xlfn.AGGREGATE(14,6,Dataset!AK:AK/(Dataset!F:F=$D$11),K18),Dataset!AK:AK,0),1),"-")</f>
        <v>-9.8212623847853558E-5</v>
      </c>
      <c r="P18" s="146">
        <f>IFERROR(INDEX(Dataset!R:R,MATCH(_xlfn.AGGREGATE(14,6,Dataset!AK:AK/(Dataset!F:F=$D$11),K18),Dataset!AK:AK,0),1),"-")/100</f>
        <v>-5.3909133014077381E-5</v>
      </c>
      <c r="Q18" s="146">
        <f>IFERROR(INDEX(Dataset!AA:AA,MATCH(_xlfn.AGGREGATE(14,6,Dataset!AK:AK/(Dataset!F:F=$D$11),K18),Dataset!AK:AK,0),1),"-")</f>
        <v>-1.3376673667085642E-2</v>
      </c>
      <c r="R18" s="148">
        <f>IFERROR(INDEX(Dataset!J:J,MATCH(_xlfn.AGGREGATE(14,6,Dataset!AK:AK/(Dataset!F:F=$D$11),K18),Dataset!AK:AK,0),1),"-")</f>
        <v>4.1100000000000003</v>
      </c>
    </row>
    <row r="19" spans="3:26" ht="35.25" customHeight="1" x14ac:dyDescent="0.5">
      <c r="C19" s="68" t="s">
        <v>67</v>
      </c>
      <c r="D19" s="146">
        <f>SUMIFS(Dataset!AK:AK,Dataset!F:F,credito!D11,Dataset!AH:AH,"bono de gobierno", Dataset!T:T,"uf")</f>
        <v>1.8481690972586014E-2</v>
      </c>
      <c r="E19" s="146">
        <f>SUMIFS(Dataset!AJ:AJ,Dataset!F:F,credito!D11,Dataset!AH:AH,"bono de gobierno", Dataset!T:T,"uf")</f>
        <v>1.8481690972586014E-2</v>
      </c>
      <c r="F19" s="147">
        <f>SUMIFS(Dataset!V:V,Dataset!F:F,credito!D11,Dataset!AH:AH,"bono de gobierno", Dataset!T:T,"uf")/1000000</f>
        <v>2594.5934320000001</v>
      </c>
      <c r="G19" s="148">
        <f>SUMIFS(Dataset!H:H,Dataset!F:F,credito!D11,Dataset!AH:AH,"bono de gobierno", Dataset!T:T,"uf")</f>
        <v>0.14563572486397777</v>
      </c>
      <c r="H19" s="146">
        <f>SUMIFS(Dataset!I:I,Dataset!F:F,credito!D11,Dataset!AH:AH,"bono de gobierno", Dataset!T:T,"uf")</f>
        <v>2.840975792763609E-5</v>
      </c>
      <c r="I19" s="146">
        <f>SUMIFS(Dataset!AA:AA,Dataset!F:F,credito!D11,Dataset!AH:AH,"bono de gobierno", Dataset!T:T,"uf")</f>
        <v>3.8694420927762718E-3</v>
      </c>
      <c r="K19" s="57">
        <v>2</v>
      </c>
      <c r="L19" s="146" t="str">
        <f>IFERROR(INDEX(Dataset!G:G,MATCH(_xlfn.AGGREGATE(14,6,Dataset!AK:AK/(Dataset!F:F=$D$11),K19),Dataset!AK:AK,0),1),"-")</f>
        <v>BRENT-C</v>
      </c>
      <c r="M19" s="146">
        <f>IFERROR(INDEX(Dataset!AK:AK,MATCH(_xlfn.AGGREGATE(14,6,Dataset!AK:AK/(Dataset!F:F=$D$11),K19),Dataset!AK:AK,0),1),"-")</f>
        <v>2.3762964498986159E-2</v>
      </c>
      <c r="N19" s="146">
        <f>IFERROR(INDEX(Dataset!AJ:AJ,MATCH(_xlfn.AGGREGATE(14,6,Dataset!AK:AK/(Dataset!F:F=$D$11),K19),Dataset!AK:AK,0),1),"-")</f>
        <v>2.3762964498986159E-2</v>
      </c>
      <c r="O19" s="146">
        <f>IFERROR(INDEX(Dataset!I:I,MATCH(_xlfn.AGGREGATE(14,6,Dataset!AK:AK/(Dataset!F:F=$D$11),K19),Dataset!AK:AK,0),1),"-")</f>
        <v>1.4984136210118406E-4</v>
      </c>
      <c r="P19" s="146">
        <f>IFERROR(INDEX(Dataset!R:R,MATCH(_xlfn.AGGREGATE(14,6,Dataset!AK:AK/(Dataset!F:F=$D$11),K19),Dataset!AK:AK,0),1),"-")/100</f>
        <v>6.3056678853169601E-5</v>
      </c>
      <c r="Q19" s="146">
        <f>IFERROR(INDEX(Dataset!AA:AA,MATCH(_xlfn.AGGREGATE(14,6,Dataset!AK:AK/(Dataset!F:F=$D$11),K19),Dataset!AK:AK,0),1),"-")</f>
        <v>2.0408567902271343E-2</v>
      </c>
      <c r="R19" s="148">
        <f>IFERROR(INDEX(Dataset!J:J,MATCH(_xlfn.AGGREGATE(14,6,Dataset!AK:AK/(Dataset!F:F=$D$11),K19),Dataset!AK:AK,0),1),"-")</f>
        <v>9.41</v>
      </c>
      <c r="X19" s="21"/>
      <c r="Y19" s="24"/>
    </row>
    <row r="20" spans="3:26" ht="35.25" customHeight="1" x14ac:dyDescent="0.5">
      <c r="C20" s="68" t="s">
        <v>118</v>
      </c>
      <c r="D20" s="146">
        <f>SUMIFS(Dataset!AK:AK,Dataset!F:F,credito!D11,Dataset!AH:AH,"bono de gobierno", Dataset!T:T,"us$")</f>
        <v>0</v>
      </c>
      <c r="E20" s="146">
        <f>SUMIFS(Dataset!AJ:AJ,Dataset!F:F,credito!D11,Dataset!AH:AH,"bono de gobierno", Dataset!T:T,"us$")</f>
        <v>0</v>
      </c>
      <c r="F20" s="147">
        <f>SUMIFS(Dataset!V:V,Dataset!F:F,credito!D11,Dataset!AH:AH,"bono de gobierno", Dataset!T:T,"us$")/1000000</f>
        <v>0</v>
      </c>
      <c r="G20" s="148">
        <f>SUMIFS(Dataset!H:H,Dataset!F:F,credito!D11,Dataset!AH:AH,"bono de gobierno", Dataset!T:T,"us$")</f>
        <v>0</v>
      </c>
      <c r="H20" s="146">
        <f>SUMIFS(Dataset!I:I,Dataset!F:F,credito!D11,Dataset!AH:AH,"bono de gobierno", Dataset!T:T,"us$")</f>
        <v>0</v>
      </c>
      <c r="I20" s="146">
        <f>SUMIFS(Dataset!AA:AA,Dataset!F:F,credito!D11,Dataset!AH:AH,"bono de gobierno", Dataset!T:T,"us$")</f>
        <v>0</v>
      </c>
      <c r="K20" s="57">
        <v>3</v>
      </c>
      <c r="L20" s="146" t="str">
        <f>IFERROR(INDEX(Dataset!G:G,MATCH(_xlfn.AGGREGATE(14,6,Dataset!AK:AK/(Dataset!F:F=$D$11),K20),Dataset!AK:AK,0),1),"-")</f>
        <v>BAVNO-A1</v>
      </c>
      <c r="M20" s="146">
        <f>IFERROR(INDEX(Dataset!AK:AK,MATCH(_xlfn.AGGREGATE(14,6,Dataset!AK:AK/(Dataset!F:F=$D$11),K20),Dataset!AK:AK,0),1),"-")</f>
        <v>2.3456621575259528E-2</v>
      </c>
      <c r="N20" s="146">
        <f>IFERROR(INDEX(Dataset!AJ:AJ,MATCH(_xlfn.AGGREGATE(14,6,Dataset!AK:AK/(Dataset!F:F=$D$11),K20),Dataset!AK:AK,0),1),"-")</f>
        <v>-8.7365423284647276E-4</v>
      </c>
      <c r="O20" s="146">
        <f>IFERROR(INDEX(Dataset!I:I,MATCH(_xlfn.AGGREGATE(14,6,Dataset!AK:AK/(Dataset!F:F=$D$11),K20),Dataset!AK:AK,0),1),"-")</f>
        <v>-1.053930245477314E-6</v>
      </c>
      <c r="P20" s="146">
        <f>IFERROR(INDEX(Dataset!R:R,MATCH(_xlfn.AGGREGATE(14,6,Dataset!AK:AK/(Dataset!F:F=$D$11),K20),Dataset!AK:AK,0),1),"-")/100</f>
        <v>1.2063470945976875E-5</v>
      </c>
      <c r="Q20" s="146">
        <f>IFERROR(INDEX(Dataset!AA:AA,MATCH(_xlfn.AGGREGATE(14,6,Dataset!AK:AK/(Dataset!F:F=$D$11),K20),Dataset!AK:AK,0),1),"-")</f>
        <v>-1.4354652598897659E-4</v>
      </c>
      <c r="R20" s="148">
        <f>IFERROR(INDEX(Dataset!J:J,MATCH(_xlfn.AGGREGATE(14,6,Dataset!AK:AK/(Dataset!F:F=$D$11),K20),Dataset!AK:AK,0),1),"-")</f>
        <v>5.72</v>
      </c>
    </row>
    <row r="21" spans="3:26" ht="35.25" customHeight="1" x14ac:dyDescent="0.5">
      <c r="C21" s="68" t="s">
        <v>91</v>
      </c>
      <c r="D21" s="146">
        <f>SUMIFS(Dataset!AK:AK,Dataset!F:F,credito!D11,Dataset!AH:AH,"bono de gobierno", Dataset!T:T,"eu")</f>
        <v>0</v>
      </c>
      <c r="E21" s="146">
        <f>SUMIFS(Dataset!AJ:AJ,Dataset!F:F,credito!D11,Dataset!AH:AH,"bono de gobierno", Dataset!T:T,"eu")</f>
        <v>0</v>
      </c>
      <c r="F21" s="147">
        <f>SUMIFS(Dataset!V:V,Dataset!F:F,credito!D11,Dataset!AH:AH,"bono de gobierno", Dataset!T:T,"eu")/1000000</f>
        <v>0</v>
      </c>
      <c r="G21" s="148">
        <f>SUMIFS(Dataset!H:H,Dataset!F:F,credito!D11,Dataset!AH:AH,"bono de gobierno", Dataset!T:T,"eu")</f>
        <v>0</v>
      </c>
      <c r="H21" s="146">
        <f>SUMIFS(Dataset!I:I,Dataset!F:F,credito!D11,Dataset!AH:AH,"bono de gobierno", Dataset!T:T,"eu")</f>
        <v>0</v>
      </c>
      <c r="I21" s="146">
        <f>SUMIFS(Dataset!AA:AA,Dataset!F:F,credito!D11,Dataset!AH:AH,"bono de gobierno", Dataset!T:T,"eu")</f>
        <v>0</v>
      </c>
      <c r="K21" s="57">
        <v>4</v>
      </c>
      <c r="L21" s="146" t="str">
        <f>IFERROR(INDEX(Dataset!G:G,MATCH(_xlfn.AGGREGATE(14,6,Dataset!AK:AK/(Dataset!F:F=$D$11),K21),Dataset!AK:AK,0),1),"-")</f>
        <v>BSOQU-H</v>
      </c>
      <c r="M21" s="146">
        <f>IFERROR(INDEX(Dataset!AK:AK,MATCH(_xlfn.AGGREGATE(14,6,Dataset!AK:AK/(Dataset!F:F=$D$11),K21),Dataset!AK:AK,0),1),"-")</f>
        <v>2.2881179556452566E-2</v>
      </c>
      <c r="N21" s="146">
        <f>IFERROR(INDEX(Dataset!AJ:AJ,MATCH(_xlfn.AGGREGATE(14,6,Dataset!AK:AK/(Dataset!F:F=$D$11),K21),Dataset!AK:AK,0),1),"-")</f>
        <v>-3.1864634866284325E-3</v>
      </c>
      <c r="O21" s="146">
        <f>IFERROR(INDEX(Dataset!I:I,MATCH(_xlfn.AGGREGATE(14,6,Dataset!AK:AK/(Dataset!F:F=$D$11),K21),Dataset!AK:AK,0),1),"-")</f>
        <v>-3.8439809691358267E-6</v>
      </c>
      <c r="P21" s="146">
        <f>IFERROR(INDEX(Dataset!R:R,MATCH(_xlfn.AGGREGATE(14,6,Dataset!AK:AK/(Dataset!F:F=$D$11),K21),Dataset!AK:AK,0),1),"-")/100</f>
        <v>1.2063470945976875E-5</v>
      </c>
      <c r="Q21" s="146">
        <f>IFERROR(INDEX(Dataset!AA:AA,MATCH(_xlfn.AGGREGATE(14,6,Dataset!AK:AK/(Dataset!F:F=$D$11),K21),Dataset!AK:AK,0),1),"-")</f>
        <v>-5.2355468158833164E-4</v>
      </c>
      <c r="R21" s="148">
        <f>IFERROR(INDEX(Dataset!J:J,MATCH(_xlfn.AGGREGATE(14,6,Dataset!AK:AK/(Dataset!F:F=$D$11),K21),Dataset!AK:AK,0),1),"-")</f>
        <v>5.98</v>
      </c>
    </row>
    <row r="22" spans="3:26" ht="35.25" customHeight="1" x14ac:dyDescent="0.5">
      <c r="C22" s="68" t="s">
        <v>166</v>
      </c>
      <c r="D22" s="146">
        <f>SUMIFS(Dataset!AK:AK,Dataset!F:F,credito!D11,Dataset!AH:AH,"bono de gobierno", Dataset!T:T,"mx")</f>
        <v>0</v>
      </c>
      <c r="E22" s="146">
        <f>SUMIFS(Dataset!AJ:AJ,Dataset!F:F,credito!D11,Dataset!AH:AH,"bono de gobierno", Dataset!T:T,"mx")</f>
        <v>0</v>
      </c>
      <c r="F22" s="147">
        <f>SUMIFS(Dataset!V:V,Dataset!F:F,credito!D11,Dataset!AH:AH,"bono de gobierno", Dataset!T:T,"mx")/1000000</f>
        <v>0</v>
      </c>
      <c r="G22" s="148">
        <f>SUMIFS(Dataset!H:H,Dataset!F:F,credito!D11,Dataset!AH:AH,"bono de gobierno", Dataset!T:T,"mx")</f>
        <v>0</v>
      </c>
      <c r="H22" s="146">
        <f>SUMIFS(Dataset!I:I,Dataset!F:F,credito!D11,Dataset!AH:AH,"bono de gobierno", Dataset!T:T,"mx")</f>
        <v>0</v>
      </c>
      <c r="I22" s="146">
        <f>SUMIFS(Dataset!AA:AA,Dataset!F:F,credito!D11,Dataset!AH:AH,"bono de gobierno", Dataset!T:T,"mx")</f>
        <v>0</v>
      </c>
      <c r="K22" s="57">
        <v>5</v>
      </c>
      <c r="L22" s="146" t="str">
        <f>IFERROR(INDEX(Dataset!G:G,MATCH(_xlfn.AGGREGATE(14,6,Dataset!AK:AK/(Dataset!F:F=$D$11),K22),Dataset!AK:AK,0),1),"-")</f>
        <v>BAGRS-D</v>
      </c>
      <c r="M22" s="146">
        <f>IFERROR(INDEX(Dataset!AK:AK,MATCH(_xlfn.AGGREGATE(14,6,Dataset!AK:AK/(Dataset!F:F=$D$11),K22),Dataset!AK:AK,0),1),"-")</f>
        <v>2.0822064987513583E-2</v>
      </c>
      <c r="N22" s="146">
        <f>IFERROR(INDEX(Dataset!AJ:AJ,MATCH(_xlfn.AGGREGATE(14,6,Dataset!AK:AK/(Dataset!F:F=$D$11),K22),Dataset!AK:AK,0),1),"-")</f>
        <v>2.0822064987513583E-2</v>
      </c>
      <c r="O22" s="146">
        <f>IFERROR(INDEX(Dataset!I:I,MATCH(_xlfn.AGGREGATE(14,6,Dataset!AK:AK/(Dataset!F:F=$D$11),K22),Dataset!AK:AK,0),1),"-")</f>
        <v>1.7099413741699648E-4</v>
      </c>
      <c r="P22" s="146">
        <f>IFERROR(INDEX(Dataset!R:R,MATCH(_xlfn.AGGREGATE(14,6,Dataset!AK:AK/(Dataset!F:F=$D$11),K22),Dataset!AK:AK,0),1),"-")/100</f>
        <v>8.212160394251817E-5</v>
      </c>
      <c r="Q22" s="146">
        <f>IFERROR(INDEX(Dataset!AA:AA,MATCH(_xlfn.AGGREGATE(14,6,Dataset!AK:AK/(Dataset!F:F=$D$11),K22),Dataset!AK:AK,0),1),"-")</f>
        <v>2.3289600517703207E-2</v>
      </c>
      <c r="R22" s="148">
        <f>IFERROR(INDEX(Dataset!J:J,MATCH(_xlfn.AGGREGATE(14,6,Dataset!AK:AK/(Dataset!F:F=$D$11),K22),Dataset!AK:AK,0),1),"-")</f>
        <v>8.15</v>
      </c>
    </row>
    <row r="23" spans="3:26" ht="35.25" customHeight="1" x14ac:dyDescent="0.5">
      <c r="C23" s="68" t="s">
        <v>98</v>
      </c>
      <c r="D23" s="146">
        <f>SUMIFS(Dataset!AK:AK,Dataset!F:F,credito!D11,Dataset!AH:AH,"bono corporativo", Dataset!T:T,"$")</f>
        <v>0.10304945395777097</v>
      </c>
      <c r="E23" s="146">
        <f>SUMIFS(Dataset!AJ:AJ,Dataset!F:F,credito!D11,Dataset!AH:AH,"bono corporativo", Dataset!T:T,"$")</f>
        <v>5.696032277425149E-2</v>
      </c>
      <c r="F23" s="147">
        <f>SUMIFS(Dataset!V:V,Dataset!F:F,credito!D11,Dataset!AH:AH,"bono corporativo", Dataset!T:T,"$")/1000000</f>
        <v>14466.827565</v>
      </c>
      <c r="G23" s="148">
        <f>SUMIFS(Dataset!H:H,Dataset!F:F,credito!D11,Dataset!AH:AH,"bono corporativo", Dataset!T:T,"$")</f>
        <v>0.33312223739633112</v>
      </c>
      <c r="H23" s="146">
        <f>SUMIFS(Dataset!I:I,Dataset!F:F,credito!D11,Dataset!AH:AH,"bono corporativo", Dataset!T:T,"$")</f>
        <v>1.9122373029641288E-4</v>
      </c>
      <c r="I23" s="146">
        <f>SUMIFS(Dataset!AA:AA,Dataset!F:F,credito!D11,Dataset!AH:AH,"bono corporativo", Dataset!T:T,"$")</f>
        <v>2.6044894610906144E-2</v>
      </c>
      <c r="K23" s="57">
        <v>6</v>
      </c>
      <c r="L23" s="146" t="str">
        <f>IFERROR(INDEX(Dataset!G:G,MATCH(_xlfn.AGGREGATE(14,6,Dataset!AK:AK/(Dataset!F:F=$D$11),K23),Dataset!AK:AK,0),1),"-")</f>
        <v>BTU0150326</v>
      </c>
      <c r="M23" s="146">
        <f>IFERROR(INDEX(Dataset!AK:AK,MATCH(_xlfn.AGGREGATE(14,6,Dataset!AK:AK/(Dataset!F:F=$D$11),K23),Dataset!AK:AK,0),1),"-")</f>
        <v>1.8481690972586014E-2</v>
      </c>
      <c r="N23" s="146">
        <f>IFERROR(INDEX(Dataset!AJ:AJ,MATCH(_xlfn.AGGREGATE(14,6,Dataset!AK:AK/(Dataset!F:F=$D$11),K23),Dataset!AK:AK,0),1),"-")</f>
        <v>1.8481690972586014E-2</v>
      </c>
      <c r="O23" s="146">
        <f>IFERROR(INDEX(Dataset!I:I,MATCH(_xlfn.AGGREGATE(14,6,Dataset!AK:AK/(Dataset!F:F=$D$11),K23),Dataset!AK:AK,0),1),"-")</f>
        <v>2.840975792763609E-5</v>
      </c>
      <c r="P23" s="146">
        <f>IFERROR(INDEX(Dataset!R:R,MATCH(_xlfn.AGGREGATE(14,6,Dataset!AK:AK/(Dataset!F:F=$D$11),K23),Dataset!AK:AK,0),1),"-")/100</f>
        <v>1.5371839064821735E-5</v>
      </c>
      <c r="Q23" s="146">
        <f>IFERROR(INDEX(Dataset!AA:AA,MATCH(_xlfn.AGGREGATE(14,6,Dataset!AK:AK/(Dataset!F:F=$D$11),K23),Dataset!AK:AK,0),1),"-")</f>
        <v>3.8694420927762718E-3</v>
      </c>
      <c r="R23" s="148">
        <f>IFERROR(INDEX(Dataset!J:J,MATCH(_xlfn.AGGREGATE(14,6,Dataset!AK:AK/(Dataset!F:F=$D$11),K23),Dataset!AK:AK,0),1),"-")</f>
        <v>7.88</v>
      </c>
    </row>
    <row r="24" spans="3:26" ht="35.25" customHeight="1" x14ac:dyDescent="0.5">
      <c r="C24" s="68" t="s">
        <v>73</v>
      </c>
      <c r="D24" s="146">
        <f>SUMIFS(Dataset!AK:AK,Dataset!F:F,credito!D11,Dataset!AH:AH,"bono corporativo", Dataset!T:T,"uf")</f>
        <v>0.80237126746263521</v>
      </c>
      <c r="E24" s="146">
        <f>SUMIFS(Dataset!AJ:AJ,Dataset!F:F,credito!D11,Dataset!AH:AH,"bono corporativo", Dataset!T:T,"uf")</f>
        <v>-0.17718283920835562</v>
      </c>
      <c r="F24" s="147">
        <f>SUMIFS(Dataset!V:V,Dataset!F:F,credito!D11,Dataset!AH:AH,"bono corporativo", Dataset!T:T,"uf")/1000000</f>
        <v>112642.681001</v>
      </c>
      <c r="G24" s="148">
        <f>SUMIFS(Dataset!H:H,Dataset!F:F,credito!D11,Dataset!AH:AH,"bono corporativo", Dataset!T:T,"uf")</f>
        <v>5.7040272829498271</v>
      </c>
      <c r="H24" s="146">
        <f>SUMIFS(Dataset!I:I,Dataset!F:F,credito!D11,Dataset!AH:AH,"bono corporativo", Dataset!T:T,"uf")</f>
        <v>6.4065992265935129E-3</v>
      </c>
      <c r="I24" s="146">
        <f>SUMIFS(Dataset!AA:AA,Dataset!F:F,credito!D11,Dataset!AH:AH,"bono corporativo", Dataset!T:T,"uf")</f>
        <v>0.87258627060718319</v>
      </c>
      <c r="K24" s="57">
        <v>7</v>
      </c>
      <c r="L24" s="146" t="str">
        <f>IFERROR(INDEX(Dataset!G:G,MATCH(_xlfn.AGGREGATE(14,6,Dataset!AK:AK/(Dataset!F:F=$D$11),K24),Dataset!AK:AK,0),1),"-")</f>
        <v>BRPLY-E</v>
      </c>
      <c r="M24" s="146">
        <f>IFERROR(INDEX(Dataset!AK:AK,MATCH(_xlfn.AGGREGATE(14,6,Dataset!AK:AK/(Dataset!F:F=$D$11),K24),Dataset!AK:AK,0),1),"-")</f>
        <v>1.7811502972660178E-2</v>
      </c>
      <c r="N24" s="146">
        <f>IFERROR(INDEX(Dataset!AJ:AJ,MATCH(_xlfn.AGGREGATE(14,6,Dataset!AK:AK/(Dataset!F:F=$D$11),K24),Dataset!AK:AK,0),1),"-")</f>
        <v>6.2130605142541786E-3</v>
      </c>
      <c r="O24" s="146">
        <f>IFERROR(INDEX(Dataset!I:I,MATCH(_xlfn.AGGREGATE(14,6,Dataset!AK:AK/(Dataset!F:F=$D$11),K24),Dataset!AK:AK,0),1),"-")</f>
        <v>7.4951074999301428E-6</v>
      </c>
      <c r="P24" s="146">
        <f>IFERROR(INDEX(Dataset!R:R,MATCH(_xlfn.AGGREGATE(14,6,Dataset!AK:AK/(Dataset!F:F=$D$11),K24),Dataset!AK:AK,0),1),"-")/100</f>
        <v>1.2063470945976875E-5</v>
      </c>
      <c r="Q24" s="146">
        <f>IFERROR(INDEX(Dataset!AA:AA,MATCH(_xlfn.AGGREGATE(14,6,Dataset!AK:AK/(Dataset!F:F=$D$11),K24),Dataset!AK:AK,0),1),"-")</f>
        <v>1.0208423642322109E-3</v>
      </c>
      <c r="R24" s="148">
        <f>IFERROR(INDEX(Dataset!J:J,MATCH(_xlfn.AGGREGATE(14,6,Dataset!AK:AK/(Dataset!F:F=$D$11),K24),Dataset!AK:AK,0),1),"-")</f>
        <v>6.28</v>
      </c>
    </row>
    <row r="25" spans="3:26" ht="35.25" customHeight="1" x14ac:dyDescent="0.5">
      <c r="C25" s="68" t="s">
        <v>97</v>
      </c>
      <c r="D25" s="146">
        <f>SUMIFS(Dataset!AK:AK,Dataset!F:F,credito!D11,Dataset!AH:AH,"bono corporativo", Dataset!T:T,"us$")</f>
        <v>4.9672477900183878E-2</v>
      </c>
      <c r="E25" s="146">
        <f>SUMIFS(Dataset!AJ:AJ,Dataset!F:F,credito!D11,Dataset!AH:AH,"bono corporativo", Dataset!T:T,"us$")</f>
        <v>4.9672477900183878E-2</v>
      </c>
      <c r="F25" s="147">
        <f>SUMIFS(Dataset!V:V,Dataset!F:F,credito!D11,Dataset!AH:AH,"bono corporativo", Dataset!T:T,"us$")/1000000</f>
        <v>6973.3816619999998</v>
      </c>
      <c r="G25" s="148">
        <f>SUMIFS(Dataset!H:H,Dataset!F:F,credito!D11,Dataset!AH:AH,"bono corporativo", Dataset!T:T,"us$")</f>
        <v>0.19277876040899738</v>
      </c>
      <c r="H25" s="146">
        <f>SUMIFS(Dataset!I:I,Dataset!F:F,credito!D11,Dataset!AH:AH,"bono corporativo", Dataset!T:T,"us$")</f>
        <v>1.8931116004889412E-3</v>
      </c>
      <c r="I25" s="146">
        <f>SUMIFS(Dataset!AA:AA,Dataset!F:F,credito!D11,Dataset!AH:AH,"bono corporativo", Dataset!T:T,"us$")</f>
        <v>0.25784400317361261</v>
      </c>
      <c r="K25" s="57">
        <v>8</v>
      </c>
      <c r="L25" s="146" t="str">
        <f>IFERROR(INDEX(Dataset!G:G,MATCH(_xlfn.AGGREGATE(14,6,Dataset!AK:AK/(Dataset!F:F=$D$11),K25),Dataset!AK:AK,0),1),"-")</f>
        <v>BCGVI-B</v>
      </c>
      <c r="M25" s="146">
        <f>IFERROR(INDEX(Dataset!AK:AK,MATCH(_xlfn.AGGREGATE(14,6,Dataset!AK:AK/(Dataset!F:F=$D$11),K25),Dataset!AK:AK,0),1),"-")</f>
        <v>1.7357583664989518E-2</v>
      </c>
      <c r="N25" s="146">
        <f>IFERROR(INDEX(Dataset!AJ:AJ,MATCH(_xlfn.AGGREGATE(14,6,Dataset!AK:AK/(Dataset!F:F=$D$11),K25),Dataset!AK:AK,0),1),"-")</f>
        <v>1.7357583664989518E-2</v>
      </c>
      <c r="O25" s="146">
        <f>IFERROR(INDEX(Dataset!I:I,MATCH(_xlfn.AGGREGATE(14,6,Dataset!AK:AK/(Dataset!F:F=$D$11),K25),Dataset!AK:AK,0),1),"-")</f>
        <v>1.425432611135392E-4</v>
      </c>
      <c r="P25" s="146">
        <f>IFERROR(INDEX(Dataset!R:R,MATCH(_xlfn.AGGREGATE(14,6,Dataset!AK:AK/(Dataset!F:F=$D$11),K25),Dataset!AK:AK,0),1),"-")/100</f>
        <v>8.212160394251817E-5</v>
      </c>
      <c r="Q25" s="146">
        <f>IFERROR(INDEX(Dataset!AA:AA,MATCH(_xlfn.AGGREGATE(14,6,Dataset!AK:AK/(Dataset!F:F=$D$11),K25),Dataset!AK:AK,0),1),"-")</f>
        <v>1.9414558054286879E-2</v>
      </c>
      <c r="R25" s="148">
        <f>IFERROR(INDEX(Dataset!J:J,MATCH(_xlfn.AGGREGATE(14,6,Dataset!AK:AK/(Dataset!F:F=$D$11),K25),Dataset!AK:AK,0),1),"-")</f>
        <v>7.1</v>
      </c>
    </row>
    <row r="26" spans="3:26" ht="35.25" customHeight="1" x14ac:dyDescent="0.5">
      <c r="C26" s="68" t="s">
        <v>65</v>
      </c>
      <c r="D26" s="146">
        <f>SUMIFS(Dataset!AK:AK,Dataset!F:F,credito!D11,Dataset!AH:AH,"factura")</f>
        <v>9.1280191785659166E-3</v>
      </c>
      <c r="E26" s="146">
        <f>SUMIFS(Dataset!AJ:AJ,Dataset!F:F,credito!D11,Dataset!AH:AH,"factura")</f>
        <v>9.1280191785659166E-3</v>
      </c>
      <c r="F26" s="147">
        <f>SUMIFS(Dataset!V:V,Dataset!F:F,credito!D11,Dataset!AH:AH,"factura")/1000000</f>
        <v>1281.457343</v>
      </c>
      <c r="G26" s="148">
        <f>SUMIFS(Dataset!H:H,Dataset!F:F,credito!D11,Dataset!AH:AH,"factura")</f>
        <v>1.0260494505006617E-3</v>
      </c>
      <c r="H26" s="146">
        <f>SUMIFS(Dataset!I:I,Dataset!F:F,credito!D11,Dataset!AH:AH,"factura")</f>
        <v>-1.0393207930968487E-7</v>
      </c>
      <c r="I26" s="146">
        <f>SUMIFS(Dataset!AA:AA,Dataset!F:F,credito!D11,Dataset!AH:AH,"factura")</f>
        <v>-1.4155670157240202E-5</v>
      </c>
      <c r="K26" s="57">
        <v>9</v>
      </c>
      <c r="L26" s="146" t="str">
        <f>IFERROR(INDEX(Dataset!G:G,MATCH(_xlfn.AGGREGATE(14,6,Dataset!AK:AK/(Dataset!F:F=$D$11),K26),Dataset!AK:AK,0),1),"-")</f>
        <v>BNAVI-A</v>
      </c>
      <c r="M26" s="146">
        <f>IFERROR(INDEX(Dataset!AK:AK,MATCH(_xlfn.AGGREGATE(14,6,Dataset!AK:AK/(Dataset!F:F=$D$11),K26),Dataset!AK:AK,0),1),"-")</f>
        <v>1.6867205094324988E-2</v>
      </c>
      <c r="N26" s="146">
        <f>IFERROR(INDEX(Dataset!AJ:AJ,MATCH(_xlfn.AGGREGATE(14,6,Dataset!AK:AK/(Dataset!F:F=$D$11),K26),Dataset!AK:AK,0),1),"-")</f>
        <v>4.7837098679389886E-3</v>
      </c>
      <c r="O26" s="146">
        <f>IFERROR(INDEX(Dataset!I:I,MATCH(_xlfn.AGGREGATE(14,6,Dataset!AK:AK/(Dataset!F:F=$D$11),K26),Dataset!AK:AK,0),1),"-")</f>
        <v>-2.5788565157147746E-5</v>
      </c>
      <c r="P26" s="146">
        <f>IFERROR(INDEX(Dataset!R:R,MATCH(_xlfn.AGGREGATE(14,6,Dataset!AK:AK/(Dataset!F:F=$D$11),K26),Dataset!AK:AK,0),1),"-")/100</f>
        <v>-5.3909133014077381E-5</v>
      </c>
      <c r="Q26" s="146">
        <f>IFERROR(INDEX(Dataset!AA:AA,MATCH(_xlfn.AGGREGATE(14,6,Dataset!AK:AK/(Dataset!F:F=$D$11),K26),Dataset!AK:AK,0),1),"-")</f>
        <v>-3.5124325869141291E-3</v>
      </c>
      <c r="R26" s="148">
        <f>IFERROR(INDEX(Dataset!J:J,MATCH(_xlfn.AGGREGATE(14,6,Dataset!AK:AK/(Dataset!F:F=$D$11),K26),Dataset!AK:AK,0),1),"-")</f>
        <v>3.72</v>
      </c>
    </row>
    <row r="27" spans="3:26" ht="35.25" customHeight="1" x14ac:dyDescent="0.5">
      <c r="C27" s="68" t="s">
        <v>99</v>
      </c>
      <c r="D27" s="146">
        <f>SUMIFS(Dataset!AK:AK,Dataset!F:F,credito!D11,Dataset!AH:AH,"fx forward", Dataset!T:T,"$")</f>
        <v>3.3494435330522765E-2</v>
      </c>
      <c r="E27" s="146">
        <f>SUMIFS(Dataset!AJ:AJ,Dataset!F:F,credito!D11,Dataset!AH:AH,"fx forward", Dataset!T:T,"$")</f>
        <v>3.3494435330522765E-2</v>
      </c>
      <c r="F27" s="147">
        <f>SUMIFS(Dataset!V:V,Dataset!F:F,credito!D11,Dataset!AH:AH,"fx forward", Dataset!T:T,"$")/1000000</f>
        <v>4702.1910520000001</v>
      </c>
      <c r="G27" s="148">
        <f>SUMIFS(Dataset!H:H,Dataset!F:F,credito!D11,Dataset!AH:AH,"fx forward", Dataset!T:T,"$")</f>
        <v>0</v>
      </c>
      <c r="H27" s="146">
        <f>SUMIFS(Dataset!I:I,Dataset!F:F,credito!D11,Dataset!AH:AH,"fx forward", Dataset!T:T,"$")</f>
        <v>0</v>
      </c>
      <c r="I27" s="146">
        <f>SUMIFS(Dataset!AA:AA,Dataset!F:F,credito!D11,Dataset!AH:AH,"fx forward", Dataset!T:T,"$")</f>
        <v>0</v>
      </c>
      <c r="K27" s="57">
        <v>10</v>
      </c>
      <c r="L27" s="146" t="str">
        <f>IFERROR(INDEX(Dataset!G:G,MATCH(_xlfn.AGGREGATE(14,6,Dataset!AK:AK/(Dataset!F:F=$D$11),K27),Dataset!AK:AK,0),1),"-")</f>
        <v>BUDC-A</v>
      </c>
      <c r="M27" s="146">
        <f>IFERROR(INDEX(Dataset!AK:AK,MATCH(_xlfn.AGGREGATE(14,6,Dataset!AK:AK/(Dataset!F:F=$D$11),K27),Dataset!AK:AK,0),1),"-")</f>
        <v>1.682560749366693E-2</v>
      </c>
      <c r="N27" s="146">
        <f>IFERROR(INDEX(Dataset!AJ:AJ,MATCH(_xlfn.AGGREGATE(14,6,Dataset!AK:AK/(Dataset!F:F=$D$11),K27),Dataset!AK:AK,0),1),"-")</f>
        <v>-3.1284578313990688E-3</v>
      </c>
      <c r="O27" s="146">
        <f>IFERROR(INDEX(Dataset!I:I,MATCH(_xlfn.AGGREGATE(14,6,Dataset!AK:AK/(Dataset!F:F=$D$11),K27),Dataset!AK:AK,0),1),"-")</f>
        <v>2.4838262362354418E-6</v>
      </c>
      <c r="P27" s="146">
        <f>IFERROR(INDEX(Dataset!R:R,MATCH(_xlfn.AGGREGATE(14,6,Dataset!AK:AK/(Dataset!F:F=$D$11),K27),Dataset!AK:AK,0),1),"-")/100</f>
        <v>-7.9394588966687689E-6</v>
      </c>
      <c r="Q27" s="146">
        <f>IFERROR(INDEX(Dataset!AA:AA,MATCH(_xlfn.AGGREGATE(14,6,Dataset!AK:AK/(Dataset!F:F=$D$11),K27),Dataset!AK:AK,0),1),"-")</f>
        <v>3.3830002403090485E-4</v>
      </c>
      <c r="R27" s="148">
        <f>IFERROR(INDEX(Dataset!J:J,MATCH(_xlfn.AGGREGATE(14,6,Dataset!AK:AK/(Dataset!F:F=$D$11),K27),Dataset!AK:AK,0),1),"-")</f>
        <v>2.92</v>
      </c>
    </row>
    <row r="28" spans="3:26" ht="35.25" customHeight="1" x14ac:dyDescent="0.5">
      <c r="C28" s="68" t="s">
        <v>119</v>
      </c>
      <c r="D28" s="146">
        <f>SUMIFS(Dataset!AK:AK,Dataset!F:F,credito!D11,Dataset!AH:AH,"fx forward", Dataset!T:T,"UF")</f>
        <v>0</v>
      </c>
      <c r="E28" s="146">
        <f>SUMIFS(Dataset!AJ:AJ,Dataset!F:F,credito!D11,Dataset!AH:AH,"fx forward", Dataset!T:T,"UF")</f>
        <v>0</v>
      </c>
      <c r="F28" s="147">
        <f>SUMIFS(Dataset!V:V,Dataset!F:F,credito!D11,Dataset!AH:AH,"fx forward", Dataset!T:T,"UF")/1000000</f>
        <v>0</v>
      </c>
      <c r="G28" s="148">
        <f>SUMIFS(Dataset!H:H,Dataset!F:F,credito!D11,Dataset!AH:AH,"fx forward", Dataset!T:T,"UF")</f>
        <v>0</v>
      </c>
      <c r="H28" s="146">
        <f>SUMIFS(Dataset!I:I,Dataset!F:F,credito!D11,Dataset!AH:AH,"fx forward", Dataset!T:T,"UF")</f>
        <v>0</v>
      </c>
      <c r="I28" s="146">
        <f>SUMIFS(Dataset!AA:AA,Dataset!F:F,credito!D11,Dataset!AH:AH,"fx forward", Dataset!T:T,"UF")</f>
        <v>0</v>
      </c>
    </row>
    <row r="29" spans="3:26" ht="44.25" customHeight="1" x14ac:dyDescent="0.5">
      <c r="C29" s="68" t="s">
        <v>100</v>
      </c>
      <c r="D29" s="146">
        <f>SUMIFS(Dataset!AK:AK,Dataset!F:F,credito!D11,Dataset!AH:AH,"fx forward", Dataset!T:T,"us$")</f>
        <v>-3.0887752744947705E-2</v>
      </c>
      <c r="E29" s="146">
        <f>SUMIFS(Dataset!AJ:AJ,Dataset!F:F,credito!D11,Dataset!AH:AH,"fx forward", Dataset!T:T,"us$")</f>
        <v>-3.0887752744947705E-2</v>
      </c>
      <c r="F29" s="147">
        <f>SUMIFS(Dataset!V:V,Dataset!F:F,credito!D11,Dataset!AH:AH,"fx forward", Dataset!T:T,"us$")/1000000</f>
        <v>-4336.2461000000003</v>
      </c>
      <c r="G29" s="148">
        <f>SUMIFS(Dataset!H:H,Dataset!F:F,credito!D11,Dataset!AH:AH,"fx forward", Dataset!T:T,"us$")</f>
        <v>0</v>
      </c>
      <c r="H29" s="146">
        <f>SUMIFS(Dataset!I:I,Dataset!F:F,credito!D11,Dataset!AH:AH,"fx forward", Dataset!T:T,"us$")</f>
        <v>-1.1771903779794763E-3</v>
      </c>
      <c r="I29" s="146">
        <f>SUMIFS(Dataset!AA:AA,Dataset!F:F,credito!D11,Dataset!AH:AH,"fx forward", Dataset!T:T,"us$")</f>
        <v>-0.16033469948485451</v>
      </c>
      <c r="K29" s="231" t="s">
        <v>1744</v>
      </c>
      <c r="L29" s="231"/>
      <c r="M29" s="231"/>
      <c r="N29" s="231"/>
      <c r="O29" s="231"/>
      <c r="P29" s="231"/>
      <c r="Q29" s="231"/>
      <c r="R29" s="231"/>
    </row>
    <row r="30" spans="3:26" ht="35.25" customHeight="1" x14ac:dyDescent="0.5">
      <c r="C30" s="68" t="s">
        <v>101</v>
      </c>
      <c r="D30" s="146">
        <f>SUMIFS(Dataset!AK:AK,Dataset!F:F,credito!D11,Dataset!AH:AH,"fx", Dataset!T:T,"$")</f>
        <v>0</v>
      </c>
      <c r="E30" s="146">
        <f>SUMIFS(Dataset!AJ:AJ,Dataset!F:F,credito!D11,Dataset!AH:AH,"fx", Dataset!T:T,"$")</f>
        <v>0</v>
      </c>
      <c r="F30" s="147">
        <f>SUMIFS(Dataset!V:V,Dataset!F:F,credito!D11,Dataset!AH:AH,"fx", Dataset!T:T,"$")/1000000</f>
        <v>0</v>
      </c>
      <c r="G30" s="148">
        <f>SUMIFS(Dataset!H:H,Dataset!F:F,credito!D11,Dataset!AH:AH,"fx", Dataset!T:T,"$")</f>
        <v>0</v>
      </c>
      <c r="H30" s="146">
        <f>SUMIFS(Dataset!I:I,Dataset!F:F,credito!D11,Dataset!AH:AH,"fx", Dataset!T:T,"$")</f>
        <v>0</v>
      </c>
      <c r="I30" s="146">
        <f>SUMIFS(Dataset!AA:AA,Dataset!F:F,credito!D11,Dataset!AH:AH,"fx", Dataset!T:T,"$")</f>
        <v>0</v>
      </c>
    </row>
    <row r="31" spans="3:26" ht="33" customHeight="1" x14ac:dyDescent="0.5">
      <c r="C31" s="68" t="s">
        <v>102</v>
      </c>
      <c r="D31" s="146">
        <f>SUMIFS(Dataset!AK:AK,Dataset!F:F,credito!D11,Dataset!AH:AH,"fx", Dataset!T:T,"us$")</f>
        <v>0</v>
      </c>
      <c r="E31" s="146">
        <f>SUMIFS(Dataset!AJ:AJ,Dataset!F:F,credito!D11,Dataset!AH:AH,"fx", Dataset!T:T,"us$")</f>
        <v>0</v>
      </c>
      <c r="F31" s="147">
        <f>SUMIFS(Dataset!V:V,Dataset!F:F,credito!D11,Dataset!AH:AH,"fx", Dataset!T:T,"us$")/1000000</f>
        <v>0</v>
      </c>
      <c r="G31" s="148">
        <f>SUMIFS(Dataset!H:H,Dataset!F:F,credito!D11,Dataset!AH:AH,"fx", Dataset!T:T,"us$")</f>
        <v>0</v>
      </c>
      <c r="H31" s="146">
        <f>SUMIFS(Dataset!I:I,Dataset!F:F,credito!D11,Dataset!AH:AH,"fx", Dataset!T:T,"us$")</f>
        <v>0</v>
      </c>
      <c r="I31" s="146">
        <f>SUMIFS(Dataset!AA:AA,Dataset!F:F,credito!D11,Dataset!AH:AH,"fx", Dataset!T:T,"us$")</f>
        <v>0</v>
      </c>
      <c r="K31" s="56" t="s">
        <v>85</v>
      </c>
      <c r="L31" s="56" t="s">
        <v>86</v>
      </c>
      <c r="M31" s="56" t="s">
        <v>70</v>
      </c>
      <c r="N31" s="56" t="s">
        <v>1741</v>
      </c>
      <c r="O31" s="56" t="s">
        <v>6</v>
      </c>
      <c r="P31" s="56" t="s">
        <v>71</v>
      </c>
      <c r="Q31" s="56" t="s">
        <v>21</v>
      </c>
      <c r="R31" s="56" t="s">
        <v>72</v>
      </c>
    </row>
    <row r="32" spans="3:26" ht="48" customHeight="1" x14ac:dyDescent="0.5">
      <c r="C32" s="68" t="s">
        <v>240</v>
      </c>
      <c r="D32" s="146">
        <f>SUMIFS(Dataset!AK:AK,Dataset!F:F,credito!D11,Dataset!AH:AH,"Leverage")</f>
        <v>0</v>
      </c>
      <c r="E32" s="146">
        <f>SUMIFS(Dataset!AJ:AJ,Dataset!F:F,credito!D11,Dataset!AH:AH,"Leverage")</f>
        <v>0</v>
      </c>
      <c r="F32" s="147">
        <f>SUMIFS(Dataset!V:V,Dataset!F:F,credito!D11,Dataset!AH:AH,"Leverage")/1000000</f>
        <v>0</v>
      </c>
      <c r="G32" s="148">
        <f>SUMIFS(Dataset!H:H,Dataset!F:F,credito!D11,Dataset!AH:AH,"Leverage")</f>
        <v>0</v>
      </c>
      <c r="H32" s="146">
        <f>SUMIFS(Dataset!I:I,Dataset!F:F,credito!D11,Dataset!AH:AH,"Leverage")</f>
        <v>0</v>
      </c>
      <c r="I32" s="146">
        <f>SUMIFS(Dataset!AA:AA,Dataset!F:F,credito!D11,Dataset!AH:AH,"Leverage")</f>
        <v>0</v>
      </c>
      <c r="K32" s="57">
        <v>1</v>
      </c>
      <c r="L32" s="146" t="str">
        <f>IFERROR(INDEX(Dataset!G:G,MATCH(_xlfn.AGGREGATE(14,6,Dataset!I:I/(Dataset!F:F=$D$11),K32),Dataset!I:I,0),1),"-")</f>
        <v>BMASI-L</v>
      </c>
      <c r="M32" s="146">
        <f>IFERROR(INDEX(Dataset!AK:AK,MATCH(_xlfn.AGGREGATE(14,6,Dataset!I:I/(Dataset!F:F=$D$11),K32),Dataset!I:I,0),1),"-")</f>
        <v>0</v>
      </c>
      <c r="N32" s="146">
        <f>IFERROR(INDEX(Dataset!AJ:AJ,MATCH(_xlfn.AGGREGATE(14,6,Dataset!I:I/(Dataset!F:F=$D$11),K32),Dataset!I:I,0),1),"-")</f>
        <v>-1.9584289264048E-2</v>
      </c>
      <c r="O32" s="146">
        <f>IFERROR(INDEX(Dataset!I:I,MATCH(_xlfn.AGGREGATE(14,6,Dataset!I:I/(Dataset!F:F=$D$11),K32),Dataset!I:I,0),1),"-")</f>
        <v>2.6109273251041874E-3</v>
      </c>
      <c r="P32" s="146">
        <f>IFERROR(INDEX(Dataset!R:R,MATCH(_xlfn.AGGREGATE(14,6,Dataset!I:I/(Dataset!F:F=$D$11),K32),Dataset!I:I,0),1),"-")/100</f>
        <v>-1.3331744082728681E-3</v>
      </c>
      <c r="Q32" s="146">
        <f>IFERROR(INDEX(Dataset!AA:AA,MATCH(_xlfn.AGGREGATE(14,6,Dataset!I:I/(Dataset!F:F=$D$11),K32),Dataset!I:I,0),1),"-")</f>
        <v>0.35561134025398344</v>
      </c>
      <c r="R32" s="148">
        <f>IFERROR(INDEX(Dataset!J:J,MATCH(_xlfn.AGGREGATE(14,6,Dataset!I:I/(Dataset!F:F=$D$11),K32),Dataset!I:I,0),1),"-")</f>
        <v>5.7444869739828999</v>
      </c>
    </row>
    <row r="33" spans="3:35" ht="33" customHeight="1" x14ac:dyDescent="0.5">
      <c r="C33" s="68" t="s">
        <v>37</v>
      </c>
      <c r="D33" s="146">
        <f>SUMIFS(Dataset!AK:AK,Dataset!F:F,credito!D11,Dataset!AH:AH,"&lt;&gt;deposito",Dataset!AH:AH,"&lt;&gt;bono de gobierno",Dataset!AH:AH,"&lt;&gt;bono corporativo",Dataset!AH:AH,"&lt;&gt;factura",Dataset!AH:AH,"&lt;&gt;fx",Dataset!AH:AH,"&lt;&gt;fx forward",Dataset!AH:AH,"&lt;&gt;Leverage")</f>
        <v>1.2505412559718047E-2</v>
      </c>
      <c r="E33" s="146">
        <f>SUMIFS(Dataset!AJ:AJ,Dataset!F:F,credito!D11,Dataset!AH:AH,"&lt;&gt;deposito",Dataset!AH:AH,"&lt;&gt;bono de gobierno",Dataset!AH:AH,"&lt;&gt;bono corporativo",Dataset!AH:AH,"&lt;&gt;factura",Dataset!AH:AH,"&lt;&gt;fx",Dataset!AH:AH,"&lt;&gt;fx forward",Dataset!AH:AH,"&lt;&gt;Leverage")</f>
        <v>1.2505412559718047E-2</v>
      </c>
      <c r="F33" s="147">
        <f>SUMIFS(Dataset!V:V,Dataset!F:F,credito!D11,Dataset!AH:AH,"&lt;&gt;deposito",Dataset!AH:AH,"&lt;&gt;bono de gobierno",Dataset!AH:AH,"&lt;&gt;bono corporativo",Dataset!AH:AH,"&lt;&gt;factura",Dataset!AH:AH,"&lt;&gt;fx",Dataset!AH:AH,"&lt;&gt;fx forward",Dataset!AH:AH,"&lt;&gt;Leverage")/1000000</f>
        <v>1755.60025</v>
      </c>
      <c r="G33" s="148">
        <f>SUMIFS(Dataset!H:H,Dataset!F:F,credito!D11,Dataset!AH:AH,"&lt;&gt;deposito",Dataset!AH:AH,"&lt;&gt;bono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H33" s="146">
        <f>SUMIFS(Dataset!I:I,Dataset!F:F,credito!D11,Dataset!AH:AH,"&lt;&gt;deposito",Dataset!AH:AH,"&lt;&gt;bono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I33" s="146">
        <f>SUMIFS(Dataset!AA:AA,Dataset!F:F,credito!D11,Dataset!AH:AH,"&lt;&gt;deposito",Dataset!AH:AH,"&lt;&gt;bono de gobierno",Dataset!AH:AH,"&lt;&gt;bono corporativo",Dataset!AH:AH,"&lt;&gt;factura",Dataset!AH:AH,"&lt;&gt;fx",Dataset!AH:AH,"&lt;&gt;fx forward",Dataset!AH:AH,"&lt;&gt;Leverage")</f>
        <v>0</v>
      </c>
      <c r="K33" s="57">
        <v>2</v>
      </c>
      <c r="L33" s="146" t="str">
        <f>IFERROR(INDEX(Dataset!G:G,MATCH(_xlfn.AGGREGATE(14,6,Dataset!I:I/(Dataset!F:F=$D$11),K33),Dataset!I:I,0),1),"-")</f>
        <v>BSALF-G</v>
      </c>
      <c r="M33" s="146">
        <f>IFERROR(INDEX(Dataset!AK:AK,MATCH(_xlfn.AGGREGATE(14,6,Dataset!I:I/(Dataset!F:F=$D$11),K33),Dataset!I:I,0),1),"-")</f>
        <v>0</v>
      </c>
      <c r="N33" s="146">
        <f>IFERROR(INDEX(Dataset!AJ:AJ,MATCH(_xlfn.AGGREGATE(14,6,Dataset!I:I/(Dataset!F:F=$D$11),K33),Dataset!I:I,0),1),"-")</f>
        <v>-7.5694453866994001E-3</v>
      </c>
      <c r="O33" s="146">
        <f>IFERROR(INDEX(Dataset!I:I,MATCH(_xlfn.AGGREGATE(14,6,Dataset!I:I/(Dataset!F:F=$D$11),K33),Dataset!I:I,0),1),"-")</f>
        <v>1.0091390874366764E-3</v>
      </c>
      <c r="P33" s="146">
        <f>IFERROR(INDEX(Dataset!R:R,MATCH(_xlfn.AGGREGATE(14,6,Dataset!I:I/(Dataset!F:F=$D$11),K33),Dataset!I:I,0),1),"-")/100</f>
        <v>-1.3331744082728681E-3</v>
      </c>
      <c r="Q33" s="146">
        <f>IFERROR(INDEX(Dataset!AA:AA,MATCH(_xlfn.AGGREGATE(14,6,Dataset!I:I/(Dataset!F:F=$D$11),K33),Dataset!I:I,0),1),"-")</f>
        <v>0.1374459181362768</v>
      </c>
      <c r="R33" s="148">
        <f>IFERROR(INDEX(Dataset!J:J,MATCH(_xlfn.AGGREGATE(14,6,Dataset!I:I/(Dataset!F:F=$D$11),K33),Dataset!I:I,0),1),"-")</f>
        <v>5.7706258365418996</v>
      </c>
    </row>
    <row r="34" spans="3:35" ht="42" customHeight="1" x14ac:dyDescent="0.5">
      <c r="C34" s="69" t="s">
        <v>66</v>
      </c>
      <c r="D34" s="149">
        <f t="shared" ref="D34:I34" si="0">SUM(D16:D33)</f>
        <v>1.0018269172699754</v>
      </c>
      <c r="E34" s="149">
        <f t="shared" si="0"/>
        <v>-2.3816320584534863E-2</v>
      </c>
      <c r="F34" s="150">
        <f t="shared" si="0"/>
        <v>140643.70751599999</v>
      </c>
      <c r="G34" s="151">
        <f t="shared" si="0"/>
        <v>6.3775084148228496</v>
      </c>
      <c r="H34" s="149">
        <f t="shared" si="0"/>
        <v>7.342081169963312E-3</v>
      </c>
      <c r="I34" s="149">
        <f t="shared" si="0"/>
        <v>1</v>
      </c>
      <c r="K34" s="57">
        <v>3</v>
      </c>
      <c r="L34" s="146" t="str">
        <f>IFERROR(INDEX(Dataset!G:G,MATCH(_xlfn.AGGREGATE(14,6,Dataset!I:I/(Dataset!F:F=$D$11),K34),Dataset!I:I,0),1),"-")</f>
        <v>BSALF-B</v>
      </c>
      <c r="M34" s="146">
        <f>IFERROR(INDEX(Dataset!AK:AK,MATCH(_xlfn.AGGREGATE(14,6,Dataset!I:I/(Dataset!F:F=$D$11),K34),Dataset!I:I,0),1),"-")</f>
        <v>0</v>
      </c>
      <c r="N34" s="146">
        <f>IFERROR(INDEX(Dataset!AJ:AJ,MATCH(_xlfn.AGGREGATE(14,6,Dataset!I:I/(Dataset!F:F=$D$11),K34),Dataset!I:I,0),1),"-")</f>
        <v>-6.4947660011925997E-3</v>
      </c>
      <c r="O34" s="146">
        <f>IFERROR(INDEX(Dataset!I:I,MATCH(_xlfn.AGGREGATE(14,6,Dataset!I:I/(Dataset!F:F=$D$11),K34),Dataset!I:I,0),1),"-")</f>
        <v>8.6586558205106853E-4</v>
      </c>
      <c r="P34" s="146">
        <f>IFERROR(INDEX(Dataset!R:R,MATCH(_xlfn.AGGREGATE(14,6,Dataset!I:I/(Dataset!F:F=$D$11),K34),Dataset!I:I,0),1),"-")/100</f>
        <v>-1.3331744082728681E-3</v>
      </c>
      <c r="Q34" s="146">
        <f>IFERROR(INDEX(Dataset!AA:AA,MATCH(_xlfn.AGGREGATE(14,6,Dataset!I:I/(Dataset!F:F=$D$11),K34),Dataset!I:I,0),1),"-")</f>
        <v>0.11793189996228215</v>
      </c>
      <c r="R34" s="148">
        <f>IFERROR(INDEX(Dataset!J:J,MATCH(_xlfn.AGGREGATE(14,6,Dataset!I:I/(Dataset!F:F=$D$11),K34),Dataset!I:I,0),1),"-")</f>
        <v>5.0118610019645002</v>
      </c>
    </row>
    <row r="35" spans="3:35" ht="39" customHeight="1" x14ac:dyDescent="0.5">
      <c r="K35" s="57">
        <v>4</v>
      </c>
      <c r="L35" s="146" t="str">
        <f>IFERROR(INDEX(Dataset!G:G,MATCH(_xlfn.AGGREGATE(14,6,Dataset!I:I/(Dataset!F:F=$D$11),K35),Dataset!I:I,0),1),"-")</f>
        <v>GEOPAR0924</v>
      </c>
      <c r="M35" s="146">
        <f>IFERROR(INDEX(Dataset!AK:AK,MATCH(_xlfn.AGGREGATE(14,6,Dataset!I:I/(Dataset!F:F=$D$11),K35),Dataset!I:I,0),1),"-")</f>
        <v>1.2127774448517504E-2</v>
      </c>
      <c r="N35" s="146">
        <f>IFERROR(INDEX(Dataset!AJ:AJ,MATCH(_xlfn.AGGREGATE(14,6,Dataset!I:I/(Dataset!F:F=$D$11),K35),Dataset!I:I,0),1),"-")</f>
        <v>1.2127774448517504E-2</v>
      </c>
      <c r="O35" s="146">
        <f>IFERROR(INDEX(Dataset!I:I,MATCH(_xlfn.AGGREGATE(14,6,Dataset!I:I/(Dataset!F:F=$D$11),K35),Dataset!I:I,0),1),"-")</f>
        <v>4.6221230482477836E-4</v>
      </c>
      <c r="P35" s="146">
        <f>IFERROR(INDEX(Dataset!R:R,MATCH(_xlfn.AGGREGATE(14,6,Dataset!I:I/(Dataset!F:F=$D$11),K35),Dataset!I:I,0),1),"-")/100</f>
        <v>3.8111881680094985E-4</v>
      </c>
      <c r="Q35" s="146">
        <f>IFERROR(INDEX(Dataset!AA:AA,MATCH(_xlfn.AGGREGATE(14,6,Dataset!I:I/(Dataset!F:F=$D$11),K35),Dataset!I:I,0),1),"-")</f>
        <v>6.2953853835844759E-2</v>
      </c>
      <c r="R35" s="148">
        <f>IFERROR(INDEX(Dataset!J:J,MATCH(_xlfn.AGGREGATE(14,6,Dataset!I:I/(Dataset!F:F=$D$11),K35),Dataset!I:I,0),1),"-")</f>
        <v>5.67</v>
      </c>
    </row>
    <row r="36" spans="3:35" ht="33" customHeight="1" x14ac:dyDescent="0.5">
      <c r="C36" s="231" t="s">
        <v>1742</v>
      </c>
      <c r="D36" s="231"/>
      <c r="E36" s="231"/>
      <c r="F36" s="231"/>
      <c r="G36" s="231"/>
      <c r="H36" s="231"/>
      <c r="K36" s="57">
        <v>5</v>
      </c>
      <c r="L36" s="146" t="str">
        <f>IFERROR(INDEX(Dataset!G:G,MATCH(_xlfn.AGGREGATE(14,6,Dataset!I:I/(Dataset!F:F=$D$11),K36),Dataset!I:I,0),1),"-")</f>
        <v>MASISA0519</v>
      </c>
      <c r="M36" s="146">
        <f>IFERROR(INDEX(Dataset!AK:AK,MATCH(_xlfn.AGGREGATE(14,6,Dataset!I:I/(Dataset!F:F=$D$11),K36),Dataset!I:I,0),1),"-")</f>
        <v>1.1494013116028618E-2</v>
      </c>
      <c r="N36" s="146">
        <f>IFERROR(INDEX(Dataset!AJ:AJ,MATCH(_xlfn.AGGREGATE(14,6,Dataset!I:I/(Dataset!F:F=$D$11),K36),Dataset!I:I,0),1),"-")</f>
        <v>1.1494013116028618E-2</v>
      </c>
      <c r="O36" s="146">
        <f>IFERROR(INDEX(Dataset!I:I,MATCH(_xlfn.AGGREGATE(14,6,Dataset!I:I/(Dataset!F:F=$D$11),K36),Dataset!I:I,0),1),"-")</f>
        <v>4.3805846790754259E-4</v>
      </c>
      <c r="P36" s="146">
        <f>IFERROR(INDEX(Dataset!R:R,MATCH(_xlfn.AGGREGATE(14,6,Dataset!I:I/(Dataset!F:F=$D$11),K36),Dataset!I:I,0),1),"-")/100</f>
        <v>3.8111881680094985E-4</v>
      </c>
      <c r="Q36" s="146">
        <f>IFERROR(INDEX(Dataset!AA:AA,MATCH(_xlfn.AGGREGATE(14,6,Dataset!I:I/(Dataset!F:F=$D$11),K36),Dataset!I:I,0),1),"-")</f>
        <v>5.966407313768933E-2</v>
      </c>
      <c r="R36" s="148">
        <f>IFERROR(INDEX(Dataset!J:J,MATCH(_xlfn.AGGREGATE(14,6,Dataset!I:I/(Dataset!F:F=$D$11),K36),Dataset!I:I,0),1),"-")</f>
        <v>1.42</v>
      </c>
    </row>
    <row r="37" spans="3:35" ht="33" customHeight="1" x14ac:dyDescent="0.5">
      <c r="C37" s="31"/>
      <c r="D37" s="31"/>
      <c r="E37" s="31"/>
      <c r="F37" s="31"/>
      <c r="G37" s="31"/>
      <c r="K37" s="57">
        <v>6</v>
      </c>
      <c r="L37" s="146" t="str">
        <f>IFERROR(INDEX(Dataset!G:G,MATCH(_xlfn.AGGREGATE(14,6,Dataset!I:I/(Dataset!F:F=$D$11),K37),Dataset!I:I,0),1),"-")</f>
        <v>ENJOY0522</v>
      </c>
      <c r="M37" s="146">
        <f>IFERROR(INDEX(Dataset!AK:AK,MATCH(_xlfn.AGGREGATE(14,6,Dataset!I:I/(Dataset!F:F=$D$11),K37),Dataset!I:I,0),1),"-")</f>
        <v>9.911526593741388E-3</v>
      </c>
      <c r="N37" s="146">
        <f>IFERROR(INDEX(Dataset!AJ:AJ,MATCH(_xlfn.AGGREGATE(14,6,Dataset!I:I/(Dataset!F:F=$D$11),K37),Dataset!I:I,0),1),"-")</f>
        <v>9.911526593741388E-3</v>
      </c>
      <c r="O37" s="146">
        <f>IFERROR(INDEX(Dataset!I:I,MATCH(_xlfn.AGGREGATE(14,6,Dataset!I:I/(Dataset!F:F=$D$11),K37),Dataset!I:I,0),1),"-")</f>
        <v>3.7774692880978666E-4</v>
      </c>
      <c r="P37" s="146">
        <f>IFERROR(INDEX(Dataset!R:R,MATCH(_xlfn.AGGREGATE(14,6,Dataset!I:I/(Dataset!F:F=$D$11),K37),Dataset!I:I,0),1),"-")/100</f>
        <v>3.8111881680094985E-4</v>
      </c>
      <c r="Q37" s="146">
        <f>IFERROR(INDEX(Dataset!AA:AA,MATCH(_xlfn.AGGREGATE(14,6,Dataset!I:I/(Dataset!F:F=$D$11),K37),Dataset!I:I,0),1),"-")</f>
        <v>5.1449571322523847E-2</v>
      </c>
      <c r="R37" s="148">
        <f>IFERROR(INDEX(Dataset!J:J,MATCH(_xlfn.AGGREGATE(14,6,Dataset!I:I/(Dataset!F:F=$D$11),K37),Dataset!I:I,0),1),"-")</f>
        <v>3.64</v>
      </c>
    </row>
    <row r="38" spans="3:35" ht="33" customHeight="1" x14ac:dyDescent="0.5">
      <c r="C38" s="66" t="s">
        <v>110</v>
      </c>
      <c r="D38" s="67" t="s">
        <v>70</v>
      </c>
      <c r="E38" s="67" t="s">
        <v>1741</v>
      </c>
      <c r="F38" s="67" t="s">
        <v>75</v>
      </c>
      <c r="G38" s="67" t="s">
        <v>6</v>
      </c>
      <c r="H38" s="67" t="s">
        <v>21</v>
      </c>
      <c r="J38" s="19" t="s">
        <v>137</v>
      </c>
      <c r="K38" s="57">
        <v>7</v>
      </c>
      <c r="L38" s="146" t="str">
        <f>IFERROR(INDEX(Dataset!G:G,MATCH(_xlfn.AGGREGATE(14,6,Dataset!I:I/(Dataset!F:F=$D$11),K38),Dataset!I:I,0),1),"-")</f>
        <v>BSECS-6AA1</v>
      </c>
      <c r="M38" s="146">
        <f>IFERROR(INDEX(Dataset!AK:AK,MATCH(_xlfn.AGGREGATE(14,6,Dataset!I:I/(Dataset!F:F=$D$11),K38),Dataset!I:I,0),1),"-")</f>
        <v>0</v>
      </c>
      <c r="N38" s="146">
        <f>IFERROR(INDEX(Dataset!AJ:AJ,MATCH(_xlfn.AGGREGATE(14,6,Dataset!I:I/(Dataset!F:F=$D$11),K38),Dataset!I:I,0),1),"-")</f>
        <v>-2.4355510613549001E-3</v>
      </c>
      <c r="O38" s="146">
        <f>IFERROR(INDEX(Dataset!I:I,MATCH(_xlfn.AGGREGATE(14,6,Dataset!I:I/(Dataset!F:F=$D$11),K38),Dataset!I:I,0),1),"-")</f>
        <v>3.2470143450401745E-4</v>
      </c>
      <c r="P38" s="146">
        <f>IFERROR(INDEX(Dataset!R:R,MATCH(_xlfn.AGGREGATE(14,6,Dataset!I:I/(Dataset!F:F=$D$11),K38),Dataset!I:I,0),1),"-")/100</f>
        <v>-1.3331744082728681E-3</v>
      </c>
      <c r="Q38" s="146">
        <f>IFERROR(INDEX(Dataset!AA:AA,MATCH(_xlfn.AGGREGATE(14,6,Dataset!I:I/(Dataset!F:F=$D$11),K38),Dataset!I:I,0),1),"-")</f>
        <v>4.4224713264187469E-2</v>
      </c>
      <c r="R38" s="148">
        <f>IFERROR(INDEX(Dataset!J:J,MATCH(_xlfn.AGGREGATE(14,6,Dataset!I:I/(Dataset!F:F=$D$11),K38),Dataset!I:I,0),1),"-")</f>
        <v>6.0896414216077002</v>
      </c>
    </row>
    <row r="39" spans="3:35" ht="33" customHeight="1" x14ac:dyDescent="0.5">
      <c r="C39" s="68" t="s">
        <v>39</v>
      </c>
      <c r="D39" s="146">
        <f>SUMIFS(Dataset!AK:AK,Dataset!F:F,credito!$D$11,Dataset!T:T,$C39)</f>
        <v>0.1621892336795181</v>
      </c>
      <c r="E39" s="146">
        <f>SUMIFS(Dataset!AJ:AJ,Dataset!F:F,credito!$D$11,Dataset!T:T,$C39)</f>
        <v>0.11610010249599859</v>
      </c>
      <c r="F39" s="147">
        <f>SUMIFS(Dataset!V:V,Dataset!F:F,credito!$D$11,Dataset!T:T,$C39)/1000000</f>
        <v>22769.297521</v>
      </c>
      <c r="G39" s="146">
        <f>SUMIFS(Dataset!I:I,Dataset!F:F,credito!$D$11,Dataset!T:T,$C39)</f>
        <v>1.9115096293269846E-4</v>
      </c>
      <c r="H39" s="146">
        <f>SUMIFS(Dataset!AA:AA,Dataset!F:F,credito!$D$11,Dataset!T:T,$C39)</f>
        <v>2.6034983611282203E-2</v>
      </c>
      <c r="K39" s="57">
        <v>8</v>
      </c>
      <c r="L39" s="146" t="str">
        <f>IFERROR(INDEX(Dataset!G:G,MATCH(_xlfn.AGGREGATE(14,6,Dataset!I:I/(Dataset!F:F=$D$11),K39),Dataset!I:I,0),1),"-")</f>
        <v>FWDUSCL42718</v>
      </c>
      <c r="M39" s="146">
        <f>IFERROR(INDEX(Dataset!AK:AK,MATCH(_xlfn.AGGREGATE(14,6,Dataset!I:I/(Dataset!F:F=$D$11),K39),Dataset!I:I,0),1),"-")</f>
        <v>6.6472925563015161E-3</v>
      </c>
      <c r="N39" s="146">
        <f>IFERROR(INDEX(Dataset!AJ:AJ,MATCH(_xlfn.AGGREGATE(14,6,Dataset!I:I/(Dataset!F:F=$D$11),K39),Dataset!I:I,0),1),"-")</f>
        <v>6.6472925563015161E-3</v>
      </c>
      <c r="O39" s="146">
        <f>IFERROR(INDEX(Dataset!I:I,MATCH(_xlfn.AGGREGATE(14,6,Dataset!I:I/(Dataset!F:F=$D$11),K39),Dataset!I:I,0),1),"-")</f>
        <v>2.5334082739873954E-4</v>
      </c>
      <c r="P39" s="146">
        <f>IFERROR(INDEX(Dataset!R:R,MATCH(_xlfn.AGGREGATE(14,6,Dataset!I:I/(Dataset!F:F=$D$11),K39),Dataset!I:I,0),1),"-")/100</f>
        <v>3.8111881680094985E-4</v>
      </c>
      <c r="Q39" s="146">
        <f>IFERROR(INDEX(Dataset!AA:AA,MATCH(_xlfn.AGGREGATE(14,6,Dataset!I:I/(Dataset!F:F=$D$11),K39),Dataset!I:I,0),1),"-")</f>
        <v>3.4505315527587052E-2</v>
      </c>
      <c r="R39" s="148">
        <f>IFERROR(INDEX(Dataset!J:J,MATCH(_xlfn.AGGREGATE(14,6,Dataset!I:I/(Dataset!F:F=$D$11),K39),Dataset!I:I,0),1),"-")</f>
        <v>0</v>
      </c>
    </row>
    <row r="40" spans="3:35" ht="33" customHeight="1" x14ac:dyDescent="0.5">
      <c r="C40" s="68" t="s">
        <v>32</v>
      </c>
      <c r="D40" s="146">
        <f>SUMIFS(Dataset!AK:AK,Dataset!F:F,credito!$D$11,Dataset!T:T,$C40)</f>
        <v>0.82085295843522121</v>
      </c>
      <c r="E40" s="146">
        <f>SUMIFS(Dataset!AJ:AJ,Dataset!F:F,credito!$D$11,Dataset!T:T,$C40)</f>
        <v>-0.15870114823576961</v>
      </c>
      <c r="F40" s="147">
        <f>SUMIFS(Dataset!V:V,Dataset!F:F,credito!$D$11,Dataset!T:T,$C40)/1000000</f>
        <v>115237.274433</v>
      </c>
      <c r="G40" s="146">
        <f>SUMIFS(Dataset!I:I,Dataset!F:F,credito!$D$11,Dataset!T:T,$C40)</f>
        <v>6.4350089845211485E-3</v>
      </c>
      <c r="H40" s="146">
        <f>SUMIFS(Dataset!AA:AA,Dataset!F:F,credito!$D$11,Dataset!T:T,$C40)</f>
        <v>0.87645571269995948</v>
      </c>
      <c r="K40" s="57">
        <v>9</v>
      </c>
      <c r="L40" s="146" t="str">
        <f>IFERROR(INDEX(Dataset!G:G,MATCH(_xlfn.AGGREGATE(14,6,Dataset!I:I/(Dataset!F:F=$D$11),K40),Dataset!I:I,0),1),"-")</f>
        <v>BLATM-D</v>
      </c>
      <c r="M40" s="146">
        <f>IFERROR(INDEX(Dataset!AK:AK,MATCH(_xlfn.AGGREGATE(14,6,Dataset!I:I/(Dataset!F:F=$D$11),K40),Dataset!I:I,0),1),"-")</f>
        <v>0</v>
      </c>
      <c r="N40" s="146">
        <f>IFERROR(INDEX(Dataset!AJ:AJ,MATCH(_xlfn.AGGREGATE(14,6,Dataset!I:I/(Dataset!F:F=$D$11),K40),Dataset!I:I,0),1),"-")</f>
        <v>-9.0312484697168995E-3</v>
      </c>
      <c r="O40" s="146">
        <f>IFERROR(INDEX(Dataset!I:I,MATCH(_xlfn.AGGREGATE(14,6,Dataset!I:I/(Dataset!F:F=$D$11),K40),Dataset!I:I,0),1),"-")</f>
        <v>2.1265814344551874E-4</v>
      </c>
      <c r="P40" s="146">
        <f>IFERROR(INDEX(Dataset!R:R,MATCH(_xlfn.AGGREGATE(14,6,Dataset!I:I/(Dataset!F:F=$D$11),K40),Dataset!I:I,0),1),"-")/100</f>
        <v>-2.3546926447499776E-4</v>
      </c>
      <c r="Q40" s="146">
        <f>IFERROR(INDEX(Dataset!AA:AA,MATCH(_xlfn.AGGREGATE(14,6,Dataset!I:I/(Dataset!F:F=$D$11),K40),Dataset!I:I,0),1),"-")</f>
        <v>2.896428662700026E-2</v>
      </c>
      <c r="R40" s="148">
        <f>IFERROR(INDEX(Dataset!J:J,MATCH(_xlfn.AGGREGATE(14,6,Dataset!I:I/(Dataset!F:F=$D$11),K40),Dataset!I:I,0),1),"-")</f>
        <v>7.8632461953568002</v>
      </c>
    </row>
    <row r="41" spans="3:35" ht="31.5" customHeight="1" x14ac:dyDescent="0.5">
      <c r="C41" s="68" t="s">
        <v>30</v>
      </c>
      <c r="D41" s="146">
        <f>SUMIFS(Dataset!AK:AK,Dataset!F:F,credito!$D$11,Dataset!T:T,$C41)</f>
        <v>1.8784725155236166E-2</v>
      </c>
      <c r="E41" s="146">
        <f>SUMIFS(Dataset!AJ:AJ,Dataset!F:F,credito!$D$11,Dataset!T:T,$C41)</f>
        <v>1.8784725155236166E-2</v>
      </c>
      <c r="F41" s="147">
        <f>SUMIFS(Dataset!V:V,Dataset!F:F,credito!$D$11,Dataset!T:T,$C41)/1000000</f>
        <v>2637.1355619999999</v>
      </c>
      <c r="G41" s="146">
        <f>SUMIFS(Dataset!I:I,Dataset!F:F,credito!$D$11,Dataset!T:T,$C41)</f>
        <v>7.1592122250946474E-4</v>
      </c>
      <c r="H41" s="146">
        <f>SUMIFS(Dataset!AA:AA,Dataset!F:F,credito!$D$11,Dataset!T:T,$C41)</f>
        <v>9.7509303688758098E-2</v>
      </c>
      <c r="K41" s="57">
        <v>10</v>
      </c>
      <c r="L41" s="146" t="str">
        <f>IFERROR(INDEX(Dataset!G:G,MATCH(_xlfn.AGGREGATE(14,6,Dataset!I:I/(Dataset!F:F=$D$11),K41),Dataset!I:I,0),1),"-")</f>
        <v>AUPIST0622</v>
      </c>
      <c r="M41" s="146">
        <f>IFERROR(INDEX(Dataset!AK:AK,MATCH(_xlfn.AGGREGATE(14,6,Dataset!I:I/(Dataset!F:F=$D$11),K41),Dataset!I:I,0),1),"-")</f>
        <v>5.1775578905261469E-3</v>
      </c>
      <c r="N41" s="146">
        <f>IFERROR(INDEX(Dataset!AJ:AJ,MATCH(_xlfn.AGGREGATE(14,6,Dataset!I:I/(Dataset!F:F=$D$11),K41),Dataset!I:I,0),1),"-")</f>
        <v>5.1775578905261469E-3</v>
      </c>
      <c r="O41" s="146">
        <f>IFERROR(INDEX(Dataset!I:I,MATCH(_xlfn.AGGREGATE(14,6,Dataset!I:I/(Dataset!F:F=$D$11),K41),Dataset!I:I,0),1),"-")</f>
        <v>1.9732647371557472E-4</v>
      </c>
      <c r="P41" s="146">
        <f>IFERROR(INDEX(Dataset!R:R,MATCH(_xlfn.AGGREGATE(14,6,Dataset!I:I/(Dataset!F:F=$D$11),K41),Dataset!I:I,0),1),"-")/100</f>
        <v>3.8111881680094985E-4</v>
      </c>
      <c r="Q41" s="146">
        <f>IFERROR(INDEX(Dataset!AA:AA,MATCH(_xlfn.AGGREGATE(14,6,Dataset!I:I/(Dataset!F:F=$D$11),K41),Dataset!I:I,0),1),"-")</f>
        <v>2.6876095366916354E-2</v>
      </c>
      <c r="R41" s="148">
        <f>IFERROR(INDEX(Dataset!J:J,MATCH(_xlfn.AGGREGATE(14,6,Dataset!I:I/(Dataset!F:F=$D$11),K41),Dataset!I:I,0),1),"-")</f>
        <v>3.65</v>
      </c>
    </row>
    <row r="42" spans="3:35" ht="39" customHeight="1" x14ac:dyDescent="0.5">
      <c r="C42" s="68" t="s">
        <v>49</v>
      </c>
      <c r="D42" s="146">
        <f>SUMIFS(Dataset!AK:AK,Dataset!F:F,credito!$D$11,Dataset!T:T,$C42)</f>
        <v>0</v>
      </c>
      <c r="E42" s="146">
        <f>SUMIFS(Dataset!AJ:AJ,Dataset!F:F,credito!$D$11,Dataset!T:T,$C42)</f>
        <v>0</v>
      </c>
      <c r="F42" s="147">
        <f>SUMIFS(Dataset!V:V,Dataset!F:F,credito!$D$11,Dataset!T:T,$C42)/1000000</f>
        <v>0</v>
      </c>
      <c r="G42" s="146">
        <f>SUMIFS(Dataset!I:I,Dataset!F:F,credito!$D$11,Dataset!T:T,$C42)</f>
        <v>0</v>
      </c>
      <c r="H42" s="146">
        <f>SUMIFS(Dataset!AA:AA,Dataset!F:F,credito!$D$11,Dataset!T:T,$C42)</f>
        <v>0</v>
      </c>
      <c r="I42" s="21"/>
      <c r="J42" s="21"/>
      <c r="S42" s="21"/>
      <c r="T42" s="21"/>
      <c r="U42" s="21"/>
      <c r="V42" s="21"/>
      <c r="W42" s="21"/>
      <c r="X42" s="21"/>
      <c r="Y42" s="21"/>
    </row>
    <row r="43" spans="3:35" ht="39" customHeight="1" x14ac:dyDescent="0.5">
      <c r="C43" s="68" t="s">
        <v>145</v>
      </c>
      <c r="D43" s="146">
        <f>SUMIFS(Dataset!AK:AK,Dataset!F:F,credito!$D$11,Dataset!T:T,$C43)</f>
        <v>0</v>
      </c>
      <c r="E43" s="146">
        <f>SUMIFS(Dataset!AJ:AJ,Dataset!F:F,credito!$D$11,Dataset!T:T,$C43)</f>
        <v>0</v>
      </c>
      <c r="F43" s="147">
        <f>SUMIFS(Dataset!V:V,Dataset!F:F,credito!$D$11,Dataset!T:T,$C43)/1000000</f>
        <v>0</v>
      </c>
      <c r="G43" s="146">
        <f>SUMIFS(Dataset!I:I,Dataset!F:F,credito!$D$11,Dataset!T:T,$C43)</f>
        <v>0</v>
      </c>
      <c r="H43" s="146">
        <f>SUMIFS(Dataset!AA:AA,Dataset!F:F,credito!$D$11,Dataset!T:T,$C43)</f>
        <v>0</v>
      </c>
      <c r="I43" s="29"/>
      <c r="J43" s="29"/>
      <c r="S43" s="29"/>
      <c r="T43" s="29"/>
      <c r="U43" s="29"/>
      <c r="V43" s="29"/>
      <c r="W43" s="29"/>
      <c r="X43" s="29"/>
      <c r="Y43" s="29"/>
    </row>
    <row r="44" spans="3:35" ht="39" customHeight="1" x14ac:dyDescent="0.5">
      <c r="C44" s="68" t="s">
        <v>240</v>
      </c>
      <c r="D44" s="146">
        <f>SUMIFS(Dataset!AK:AK,Dataset!F:F,credito!$D$11,Dataset!T:T,$C44)</f>
        <v>0</v>
      </c>
      <c r="E44" s="146">
        <f>SUMIFS(Dataset!AJ:AJ,Dataset!F:F,credito!$D$11,Dataset!T:T,$C44)</f>
        <v>0</v>
      </c>
      <c r="F44" s="147">
        <f>SUMIFS(Dataset!V:V,Dataset!F:F,credito!$D$11,Dataset!T:T,$C44)/1000000</f>
        <v>0</v>
      </c>
      <c r="G44" s="146">
        <f>SUMIFS(Dataset!I:I,Dataset!F:F,credito!$D$11,Dataset!T:T,$C44)</f>
        <v>0</v>
      </c>
      <c r="H44" s="146">
        <f>SUMIFS(Dataset!AA:AA,Dataset!F:F,credito!$D$11,Dataset!T:T,$C44)</f>
        <v>0</v>
      </c>
      <c r="I44" s="29"/>
      <c r="J44" s="29"/>
      <c r="S44" s="29"/>
      <c r="T44" s="29"/>
      <c r="U44" s="29"/>
      <c r="V44" s="29"/>
      <c r="W44" s="29"/>
      <c r="X44" s="29"/>
      <c r="Y44" s="29"/>
    </row>
    <row r="45" spans="3:35" ht="39" customHeight="1" x14ac:dyDescent="0.2">
      <c r="C45" s="69" t="s">
        <v>66</v>
      </c>
      <c r="D45" s="149">
        <f>SUM(D39:D44)</f>
        <v>1.0018269172699754</v>
      </c>
      <c r="E45" s="149">
        <f t="shared" ref="E45:H45" si="1">SUM(E39:E44)</f>
        <v>-2.381632058453486E-2</v>
      </c>
      <c r="F45" s="150">
        <f t="shared" si="1"/>
        <v>140643.70751599999</v>
      </c>
      <c r="G45" s="149">
        <f t="shared" si="1"/>
        <v>7.3420811699633111E-3</v>
      </c>
      <c r="H45" s="149">
        <f t="shared" si="1"/>
        <v>0.99999999999999978</v>
      </c>
      <c r="I45" s="30"/>
      <c r="J45" s="30"/>
      <c r="S45" s="30"/>
      <c r="T45" s="30"/>
      <c r="U45" s="30"/>
      <c r="V45" s="30"/>
      <c r="W45" s="30"/>
      <c r="X45" s="30"/>
      <c r="Y45" s="30"/>
    </row>
    <row r="46" spans="3:35" ht="54" customHeight="1" x14ac:dyDescent="0.2">
      <c r="E46" s="231" t="s">
        <v>1748</v>
      </c>
      <c r="F46" s="231"/>
      <c r="G46" s="231"/>
      <c r="H46" s="231"/>
      <c r="I46" s="231"/>
      <c r="J46" s="231"/>
      <c r="K46" s="231"/>
      <c r="L46" s="231"/>
      <c r="M46" s="231"/>
      <c r="N46" s="231"/>
      <c r="O46" s="235" t="s">
        <v>111</v>
      </c>
      <c r="P46" s="235"/>
      <c r="Q46" s="235"/>
      <c r="R46" s="235"/>
      <c r="S46" s="235"/>
      <c r="T46" s="235"/>
      <c r="U46" s="235"/>
      <c r="V46" s="235"/>
      <c r="X46" s="20"/>
      <c r="Y46" s="231" t="s">
        <v>1752</v>
      </c>
      <c r="Z46" s="231"/>
      <c r="AA46" s="231"/>
      <c r="AB46" s="231"/>
      <c r="AC46" s="231"/>
      <c r="AD46" s="231"/>
      <c r="AE46" s="231"/>
      <c r="AF46" s="231"/>
      <c r="AG46" s="231"/>
      <c r="AH46" s="231"/>
    </row>
    <row r="47" spans="3:35" ht="15" customHeight="1" x14ac:dyDescent="0.2"/>
    <row r="48" spans="3:35" ht="27" customHeight="1" x14ac:dyDescent="0.2">
      <c r="C48" s="234" t="s">
        <v>72</v>
      </c>
      <c r="D48" s="234"/>
      <c r="E48" s="60" t="s">
        <v>76</v>
      </c>
      <c r="F48" s="60" t="s">
        <v>77</v>
      </c>
      <c r="G48" s="60" t="s">
        <v>78</v>
      </c>
      <c r="H48" s="60" t="s">
        <v>79</v>
      </c>
      <c r="I48" s="60" t="s">
        <v>94</v>
      </c>
      <c r="J48" s="60" t="s">
        <v>167</v>
      </c>
      <c r="K48" s="60" t="s">
        <v>80</v>
      </c>
      <c r="L48" s="60" t="s">
        <v>81</v>
      </c>
      <c r="M48" s="60" t="s">
        <v>82</v>
      </c>
      <c r="N48" s="60" t="s">
        <v>83</v>
      </c>
      <c r="O48" s="60"/>
      <c r="P48" s="60" t="s">
        <v>52</v>
      </c>
      <c r="Q48" s="60" t="s">
        <v>42</v>
      </c>
      <c r="R48" s="60" t="s">
        <v>36</v>
      </c>
      <c r="S48" s="60" t="s">
        <v>33</v>
      </c>
      <c r="T48" s="60" t="s">
        <v>34</v>
      </c>
      <c r="U48" s="60" t="s">
        <v>55</v>
      </c>
      <c r="V48" s="60" t="s">
        <v>54</v>
      </c>
      <c r="W48" s="60" t="s">
        <v>83</v>
      </c>
      <c r="X48" s="60"/>
      <c r="Y48" s="60" t="s">
        <v>76</v>
      </c>
      <c r="Z48" s="60" t="s">
        <v>77</v>
      </c>
      <c r="AA48" s="60" t="s">
        <v>78</v>
      </c>
      <c r="AB48" s="60" t="s">
        <v>79</v>
      </c>
      <c r="AC48" s="60" t="s">
        <v>94</v>
      </c>
      <c r="AD48" s="60" t="s">
        <v>167</v>
      </c>
      <c r="AE48" s="60" t="s">
        <v>80</v>
      </c>
      <c r="AF48" s="60" t="s">
        <v>81</v>
      </c>
      <c r="AG48" s="60" t="s">
        <v>82</v>
      </c>
      <c r="AH48" s="60" t="s">
        <v>83</v>
      </c>
      <c r="AI48" s="60"/>
    </row>
    <row r="49" spans="3:35" ht="38.25" customHeight="1" x14ac:dyDescent="0.2">
      <c r="C49" s="59">
        <v>0</v>
      </c>
      <c r="D49" s="58">
        <v>0.5</v>
      </c>
      <c r="E49" s="152">
        <f>SUMIFS(Dataset!AK:AK,Dataset!F:F,credito!$D$11,Dataset!AH:AH,"deposito",Dataset!T:T,"$",Dataset!J:J,"&lt;"&amp;$D49,Dataset!J:J,"&gt;="&amp;$C49)</f>
        <v>3.8730714579840878E-3</v>
      </c>
      <c r="F49" s="153">
        <f>SUMIFS(Dataset!AK:AK,Dataset!F:F,credito!$D$11,Dataset!AH:AH,"deposito",Dataset!T:T,"UF",Dataset!J:J,"&lt;"&amp;$D49,Dataset!J:J,"&gt;="&amp;$C49)</f>
        <v>0</v>
      </c>
      <c r="G49" s="153">
        <f>SUMIFS(Dataset!AK:AK,Dataset!F:F,credito!$D$11,Dataset!AH:AH,"bono de gobierno",Dataset!T:T,"$",Dataset!J:J,"&lt;"&amp;$D49,Dataset!J:J,"&gt;="&amp;$C49)</f>
        <v>0</v>
      </c>
      <c r="H49" s="153">
        <f>SUMIFS(Dataset!AK:AK,Dataset!F:F,credito!$D$11,Dataset!AH:AH,"bono de gobierno",Dataset!T:T,"UF",Dataset!J:J,"&lt;"&amp;$D49,Dataset!J:J,"&gt;="&amp;$C49)</f>
        <v>0</v>
      </c>
      <c r="I49" s="153">
        <f>SUMIFS(Dataset!AK:AK,Dataset!F:F,credito!$D$11,Dataset!AH:AH,"bono de gobierno",Dataset!T:T,"eu",Dataset!J:J,"&lt;"&amp;$D49,Dataset!J:J,"&gt;="&amp;$C49)</f>
        <v>0</v>
      </c>
      <c r="J49" s="153">
        <f>SUMIFS(Dataset!AK:AK,Dataset!F:F,credito!$D$11,Dataset!AH:AH,"bono de gobierno",Dataset!T:T,"mx",Dataset!J:J,"&lt;"&amp;$D49,Dataset!J:J,"&gt;="&amp;$C49)</f>
        <v>0</v>
      </c>
      <c r="K49" s="153">
        <f>SUMIFS(Dataset!AK:AK,Dataset!F:F,credito!$D$11,Dataset!AH:AH,"bono corporativo",Dataset!T:T,"$",Dataset!J:J,"&lt;"&amp;$D49,Dataset!J:J,"&gt;="&amp;$C49)</f>
        <v>2.927336062877491E-3</v>
      </c>
      <c r="L49" s="153">
        <f>SUMIFS(Dataset!AK:AK,Dataset!F:F,credito!$D$11,Dataset!AH:AH,"bono corporativo",Dataset!T:T,"UF",Dataset!J:J,"&lt;"&amp;$D49,Dataset!J:J,"&gt;="&amp;$C49)</f>
        <v>0</v>
      </c>
      <c r="M49" s="153">
        <f>SUMIFS(Dataset!AK:AK,Dataset!F:F,credito!$D$11,Dataset!AH:AH,"bono corporativo",Dataset!T:T,"US$",Dataset!J:J,"&lt;"&amp;$D49,Dataset!J:J,"&gt;="&amp;$C49)</f>
        <v>0</v>
      </c>
      <c r="N49" s="153">
        <f>SUMIFS(Dataset!AK:AK,Dataset!F:F,credito!$D$11,Dataset!J:J,"&lt;"&amp;$D49,Dataset!J:J,"&gt;="&amp;$C49,Dataset!AH:AH,"&lt;&gt;bono corporativo",Dataset!AH:AH,"&lt;&gt;bono de gobierno",Dataset!AH:AH,"&lt;&gt;deposito")</f>
        <v>2.4240114323859016E-2</v>
      </c>
      <c r="O49" s="160">
        <f t="shared" ref="O49:O65" si="2">SUM(E49:N49)</f>
        <v>3.1040521844720594E-2</v>
      </c>
      <c r="P49" s="152">
        <f>SUMIFS(Dataset!$AK:$AK,Dataset!$F:$F,credito!$D$11,Dataset!$AC:$AC,P$48,Dataset!$J:$J,"&lt;"&amp;$D49,Dataset!J:J,"&gt;="&amp;$C49)</f>
        <v>3.8730714579840878E-3</v>
      </c>
      <c r="Q49" s="153">
        <f>SUMIFS(Dataset!$AK:$AK,Dataset!$F:$F,credito!$D$11,Dataset!$AC:$AC,Q$48,Dataset!$J:$J,"&lt;"&amp;$D49,Dataset!J:J,"&gt;="&amp;$C49)</f>
        <v>0</v>
      </c>
      <c r="R49" s="153">
        <f>SUMIFS(Dataset!$AK:$AK,Dataset!$F:$F,credito!$D$11,Dataset!$AC:$AC,R$48,Dataset!$J:$J,"&lt;"&amp;$D49,Dataset!J:J,"&gt;="&amp;$C49)</f>
        <v>0</v>
      </c>
      <c r="S49" s="153">
        <f>SUMIFS(Dataset!$AK:$AK,Dataset!$F:$F,credito!$D$11,Dataset!$AC:$AC,S$48,Dataset!$J:$J,"&lt;"&amp;$D49,Dataset!J:J,"&gt;="&amp;$C49)</f>
        <v>0</v>
      </c>
      <c r="T49" s="153">
        <f>SUMIFS(Dataset!$AK:$AK,Dataset!$F:$F,credito!$D$11,Dataset!$AC:$AC,T$48,Dataset!$J:$J,"&lt;"&amp;$D49,Dataset!J:J,"&gt;="&amp;$C49)</f>
        <v>0</v>
      </c>
      <c r="U49" s="153">
        <f>SUMIFS(Dataset!$AK:$AK,Dataset!$F:$F,credito!$D$11,Dataset!$AC:$AC,"A",Dataset!$J:$J,"&lt;"&amp;$D49,Dataset!$J:$J,"&gt;="&amp;$C49)+SUMIFS(Dataset!$AK:$AK,Dataset!$F:$F,credito!$D$11,Dataset!$AC:$AC,"A-",Dataset!$J:$J,"&lt;"&amp;$D49,Dataset!$J:$J,"&gt;="&amp;$C49)+SUMIFS(Dataset!$AK:$AK,Dataset!$F:$F,credito!$D$11,Dataset!$AC:$AC,"A+",Dataset!$J:$J,"&lt;"&amp;$D49,Dataset!$J:$J,"&gt;="&amp;$C49)</f>
        <v>2.927336062877491E-3</v>
      </c>
      <c r="V49" s="153">
        <f>SUMIFS(Dataset!$AK:$AK,Dataset!$F:$F,credito!$D$11,Dataset!$AC:$AC,"BBB",Dataset!$J:$J,"&lt;"&amp;$D49,Dataset!$J:$J,"&gt;="&amp;$C49)+SUMIFS(Dataset!$AK:$AK,Dataset!$F:$F,credito!$D$11,Dataset!$AC:$AC,"BBB-",Dataset!$J:$J,"&lt;"&amp;$D49,Dataset!$J:$J,"&gt;="&amp;$C49)+SUMIFS(Dataset!$AK:$AK,Dataset!$F:$F,credito!$D$11,Dataset!$AC:$AC,"BBB+",Dataset!$J:$J,"&lt;"&amp;$D49,Dataset!$J:$J,"&gt;="&amp;$C49)</f>
        <v>6.743987389867789E-3</v>
      </c>
      <c r="W49" s="153">
        <f>SUMIFS(Dataset!$AK:$AK,Dataset!$F:$F,credito!$D$11,Dataset!$J:$J,"&lt;"&amp;$D49,Dataset!$J:$J,"&gt;="&amp;$C49,Dataset!$AC:$AC,"&lt;&gt;N-1+",Dataset!$AC:$AC,"&lt;&gt;*AA*",Dataset!$AC:$AC,"&lt;&gt;*AAA*",Dataset!$AC:$AC,"&lt;&gt;A",Dataset!$AC:$AC,"&lt;&gt;A-",Dataset!$AC:$AC,"&lt;&gt;A+",Dataset!$AC:$AC,"&lt;&gt;*BBB*")</f>
        <v>1.7496126933991225E-2</v>
      </c>
      <c r="X49" s="160">
        <f t="shared" ref="X49:X65" si="3">SUM(P49:W49)</f>
        <v>3.1040521844720594E-2</v>
      </c>
      <c r="Y49" s="155">
        <f>10*SUMIFS(Dataset!$H:$H,Dataset!$F:$F,credito!$D$11,Dataset!AH:AH,"deposito",Dataset!T:T,"$",Dataset!$J:$J,"&lt;"&amp;$D49,Dataset!J:J,"&gt;="&amp;$C49)</f>
        <v>8.0450997335101242E-3</v>
      </c>
      <c r="Z49" s="156">
        <f>10*SUMIFS(Dataset!$H:$H,Dataset!$F:$F,credito!$D$11,Dataset!AH:AH,"deposito",Dataset!T:T,"UF",Dataset!$J:$J,"&lt;"&amp;$D49,Dataset!J:J,"&gt;="&amp;$C49)</f>
        <v>0</v>
      </c>
      <c r="AA49" s="156">
        <f>10*SUMIFS(Dataset!$H:$H,Dataset!$F:$F,credito!$D$11,Dataset!AH:AH,"bono de gobierno",Dataset!T:T,"$",Dataset!$J:$J,"&lt;"&amp;$D49,Dataset!J:J,"&gt;="&amp;$C49)</f>
        <v>0</v>
      </c>
      <c r="AB49" s="156">
        <f>10*SUMIFS(Dataset!$H:$H,Dataset!$F:$F,credito!$D$11,Dataset!AH:AH,"bono de gobierno",Dataset!T:T,"uf",Dataset!$J:$J,"&lt;"&amp;$D49,Dataset!J:J,"&gt;="&amp;$C49)</f>
        <v>0</v>
      </c>
      <c r="AC49" s="156">
        <f>10*SUMIFS(Dataset!$H:$H,Dataset!$F:$F,credito!$D$11,Dataset!AH:AH,"bono de gobierno",Dataset!T:T,"eu",Dataset!$J:$J,"&lt;"&amp;$D49,Dataset!J:J,"&gt;="&amp;$C49)</f>
        <v>0</v>
      </c>
      <c r="AD49" s="156">
        <f>10*SUMIFS(Dataset!$H:$H,Dataset!$F:$F,credito!$D$11,Dataset!AH:AH,"bono de gobierno",Dataset!T:T,"mx",Dataset!$J:$J,"&lt;"&amp;$D49,Dataset!J:J,"&gt;="&amp;$C49)</f>
        <v>0</v>
      </c>
      <c r="AE49" s="156">
        <f>10*SUMIFS(Dataset!$H:$H,Dataset!$F:$F,credito!$D$11,Dataset!AH:AH,"bono corporativo",Dataset!T:T,"$",Dataset!$J:$J,"&lt;"&amp;$D49,Dataset!J:J,"&gt;="&amp;$C49)</f>
        <v>4.2212402025539192E-3</v>
      </c>
      <c r="AF49" s="156">
        <f>10*SUMIFS(Dataset!$H:$H,Dataset!$F:$F,credito!$D$11,Dataset!AH:AH,"bono corporativo",Dataset!T:T,"uf",Dataset!$J:$J,"&lt;"&amp;$D49,Dataset!J:J,"&gt;="&amp;$C49)</f>
        <v>0</v>
      </c>
      <c r="AG49" s="156">
        <f>10*SUMIFS(Dataset!$H:$H,Dataset!$F:$F,credito!$D$11,Dataset!AH:AH,"bono corporativo",Dataset!T:T,"us$",Dataset!$J:$J,"&lt;"&amp;$D49,Dataset!J:J,"&gt;="&amp;$C49)</f>
        <v>0</v>
      </c>
      <c r="AH49" s="156">
        <f>10*SUMIFS(Dataset!H:H,Dataset!F:F,credito!$D$11,Dataset!J:J,"&lt;"&amp;$D72,Dataset!J:J,"&gt;="&amp;$C72,Dataset!AH:AH,"&lt;&gt;bono corporativo",Dataset!AH:AH,"&lt;&gt;bono de gobierno",Dataset!AH:AH,"&lt;&gt;deposito")</f>
        <v>1.0260494505006618E-2</v>
      </c>
      <c r="AI49" s="163">
        <f t="shared" ref="AI49:AI65" si="4">SUM(Y49:AH49)</f>
        <v>2.2526834441070662E-2</v>
      </c>
    </row>
    <row r="50" spans="3:35" ht="27" customHeight="1" x14ac:dyDescent="0.2">
      <c r="C50" s="57">
        <v>0.5</v>
      </c>
      <c r="D50" s="61">
        <v>1.5</v>
      </c>
      <c r="E50" s="158">
        <f>SUMIFS(Dataset!AK:AK,Dataset!F:F,credito!$D$11,Dataset!AH:AH,"deposito",Dataset!T:T,"$",Dataset!J:J,"&lt;"&amp;$D50,Dataset!J:J,"&gt;="&amp;$C50)</f>
        <v>1.3884119495627414E-4</v>
      </c>
      <c r="F50" s="159">
        <f>SUMIFS(Dataset!AK:AK,Dataset!F:F,credito!$D$11,Dataset!AH:AH,"deposito",Dataset!T:T,"UF",Dataset!J:J,"&lt;"&amp;$D50,Dataset!J:J,"&gt;="&amp;$C50)</f>
        <v>0</v>
      </c>
      <c r="G50" s="159">
        <f>SUMIFS(Dataset!AK:AK,Dataset!F:F,credito!$D$11,Dataset!AH:AH,"bono de gobierno",Dataset!T:T,"$",Dataset!J:J,"&lt;"&amp;$D50,Dataset!J:J,"&gt;="&amp;$C50)</f>
        <v>0</v>
      </c>
      <c r="H50" s="159">
        <f>SUMIFS(Dataset!AK:AK,Dataset!F:F,credito!$D$11,Dataset!AH:AH,"bono de gobierno",Dataset!T:T,"UF",Dataset!J:J,"&lt;"&amp;$D50,Dataset!J:J,"&gt;="&amp;$C50)</f>
        <v>0</v>
      </c>
      <c r="I50" s="159">
        <f>SUMIFS(Dataset!AK:AK,Dataset!F:F,credito!$D$11,Dataset!AH:AH,"bono de gobierno",Dataset!T:T,"eu",Dataset!J:J,"&lt;"&amp;$D50,Dataset!J:J,"&gt;="&amp;$C50)</f>
        <v>0</v>
      </c>
      <c r="J50" s="159">
        <f>SUMIFS(Dataset!AK:AK,Dataset!F:F,credito!$D$11,Dataset!AH:AH,"bono de gobierno",Dataset!T:T,"mx",Dataset!J:J,"&lt;"&amp;$D50,Dataset!J:J,"&gt;="&amp;$C50)</f>
        <v>0</v>
      </c>
      <c r="K50" s="159">
        <f>SUMIFS(Dataset!AK:AK,Dataset!F:F,credito!$D$11,Dataset!AH:AH,"bono corporativo",Dataset!T:T,"$",Dataset!J:J,"&lt;"&amp;$D50,Dataset!J:J,"&gt;="&amp;$C50)</f>
        <v>3.2097443925508312E-2</v>
      </c>
      <c r="L50" s="159">
        <f>SUMIFS(Dataset!AK:AK,Dataset!F:F,credito!$D$11,Dataset!AH:AH,"bono corporativo",Dataset!T:T,"UF",Dataset!J:J,"&lt;"&amp;$D50,Dataset!J:J,"&gt;="&amp;$C50)</f>
        <v>2.1369975727625511E-2</v>
      </c>
      <c r="M50" s="159">
        <f>SUMIFS(Dataset!AK:AK,Dataset!F:F,credito!$D$11,Dataset!AH:AH,"bono corporativo",Dataset!T:T,"US$",Dataset!J:J,"&lt;"&amp;$D50,Dataset!J:J,"&gt;="&amp;$C50)</f>
        <v>1.1494013116028618E-2</v>
      </c>
      <c r="N50" s="159">
        <f>SUMIFS(Dataset!AK:AK,Dataset!F:F,credito!$D$11,Dataset!J:J,"&lt;"&amp;$D50,Dataset!J:J,"&gt;="&amp;$C50,Dataset!AH:AH,"&lt;&gt;bono corporativo",Dataset!AH:AH,"&lt;&gt;bono de gobierno",Dataset!AH:AH,"&lt;&gt;deposito")</f>
        <v>0</v>
      </c>
      <c r="O50" s="160">
        <f t="shared" si="2"/>
        <v>6.5100273964118716E-2</v>
      </c>
      <c r="P50" s="158">
        <f>SUMIFS(Dataset!$AK:$AK,Dataset!$F:$F,credito!$D$11,Dataset!$AC:$AC,P$48,Dataset!$J:$J,"&lt;"&amp;$D50,Dataset!J:J,"&gt;="&amp;$C50)</f>
        <v>1.3884119495627414E-4</v>
      </c>
      <c r="Q50" s="159">
        <f>SUMIFS(Dataset!$AK:$AK,Dataset!$F:$F,credito!$D$11,Dataset!$AC:$AC,Q$48,Dataset!$J:$J,"&lt;"&amp;$D50,Dataset!J:J,"&gt;="&amp;$C50)</f>
        <v>1.4410606335827087E-3</v>
      </c>
      <c r="R50" s="159">
        <f>SUMIFS(Dataset!$AK:$AK,Dataset!$F:$F,credito!$D$11,Dataset!$AC:$AC,R$48,Dataset!$J:$J,"&lt;"&amp;$D50,Dataset!J:J,"&gt;="&amp;$C50)</f>
        <v>0</v>
      </c>
      <c r="S50" s="159">
        <f>SUMIFS(Dataset!$AK:$AK,Dataset!$F:$F,credito!$D$11,Dataset!$AC:$AC,S$48,Dataset!$J:$J,"&lt;"&amp;$D50,Dataset!J:J,"&gt;="&amp;$C50)</f>
        <v>1.8209776293813838E-2</v>
      </c>
      <c r="T50" s="159">
        <f>SUMIFS(Dataset!$AK:$AK,Dataset!$F:$F,credito!$D$11,Dataset!$AC:$AC,T$48,Dataset!$J:$J,"&lt;"&amp;$D50,Dataset!J:J,"&gt;="&amp;$C50)</f>
        <v>1.4235058861110605E-2</v>
      </c>
      <c r="U50" s="159">
        <f>SUMIFS(Dataset!$AK:$AK,Dataset!$F:$F,credito!$D$11,Dataset!$AC:$AC,"A",Dataset!$J:$J,"&lt;"&amp;$D50,Dataset!$J:$J,"&gt;="&amp;$C50)+SUMIFS(Dataset!$AK:$AK,Dataset!$F:$F,credito!$D$11,Dataset!$AC:$AC,"A-",Dataset!$J:$J,"&lt;"&amp;$D50,Dataset!$J:$J,"&gt;="&amp;$C50)+SUMIFS(Dataset!$AK:$AK,Dataset!$F:$F,credito!$D$11,Dataset!$AC:$AC,"A+",Dataset!$J:$J,"&lt;"&amp;$D50,Dataset!$J:$J,"&gt;="&amp;$C50)</f>
        <v>5.7919485938781549E-3</v>
      </c>
      <c r="V50" s="159">
        <f>SUMIFS(Dataset!$AK:$AK,Dataset!$F:$F,credito!$D$11,Dataset!$AC:$AC,"BBB",Dataset!$J:$J,"&lt;"&amp;$D50,Dataset!$J:$J,"&gt;="&amp;$C50)+SUMIFS(Dataset!$AK:$AK,Dataset!$F:$F,credito!$D$11,Dataset!$AC:$AC,"BBB-",Dataset!$J:$J,"&lt;"&amp;$D50,Dataset!$J:$J,"&gt;="&amp;$C50)+SUMIFS(Dataset!$AK:$AK,Dataset!$F:$F,credito!$D$11,Dataset!$AC:$AC,"BBB+",Dataset!$J:$J,"&lt;"&amp;$D50,Dataset!$J:$J,"&gt;="&amp;$C50)</f>
        <v>2.5283588386777134E-2</v>
      </c>
      <c r="W50" s="159">
        <f>SUMIFS(Dataset!$AK:$AK,Dataset!$F:$F,credito!$D$11,Dataset!$J:$J,"&lt;"&amp;$D50,Dataset!$J:$J,"&gt;="&amp;$C50,Dataset!$AC:$AC,"&lt;&gt;N-1+",Dataset!$AC:$AC,"&lt;&gt;*AA*",Dataset!$AC:$AC,"&lt;&gt;*AAA*",Dataset!$AC:$AC,"&lt;&gt;A",Dataset!$AC:$AC,"&lt;&gt;A-",Dataset!$AC:$AC,"&lt;&gt;A+",Dataset!$AC:$AC,"&lt;&gt;*BBB*")</f>
        <v>0</v>
      </c>
      <c r="X50" s="160">
        <f t="shared" si="3"/>
        <v>6.5100273964118716E-2</v>
      </c>
      <c r="Y50" s="161">
        <f>10*SUMIFS(Dataset!$H:$H,Dataset!$F:$F,credito!$D$11,Dataset!AH:AH,"deposito",Dataset!T:T,"$",Dataset!$J:$J,"&lt;"&amp;$D50,Dataset!J:J,"&gt;="&amp;$C50)</f>
        <v>1.1384977986414479E-3</v>
      </c>
      <c r="Z50" s="162">
        <f>10*SUMIFS(Dataset!$H:$H,Dataset!$F:$F,credito!$D$11,Dataset!AH:AH,"deposito",Dataset!T:T,"UF",Dataset!$J:$J,"&lt;"&amp;$D50,Dataset!J:J,"&gt;="&amp;$C50)</f>
        <v>0</v>
      </c>
      <c r="AA50" s="162">
        <f>10*SUMIFS(Dataset!$H:$H,Dataset!$F:$F,credito!$D$11,Dataset!AH:AH,"bono de gobierno",Dataset!T:T,"$",Dataset!$J:$J,"&lt;"&amp;$D50,Dataset!J:J,"&gt;="&amp;$C50)</f>
        <v>0</v>
      </c>
      <c r="AB50" s="162">
        <f>10*SUMIFS(Dataset!$H:$H,Dataset!$F:$F,credito!$D$11,Dataset!AH:AH,"bono de gobierno",Dataset!T:T,"uf",Dataset!$J:$J,"&lt;"&amp;$D50,Dataset!J:J,"&gt;="&amp;$C50)</f>
        <v>0</v>
      </c>
      <c r="AC50" s="162">
        <f>10*SUMIFS(Dataset!$H:$H,Dataset!$F:$F,credito!$D$11,Dataset!AH:AH,"bono de gobierno",Dataset!T:T,"eu",Dataset!$J:$J,"&lt;"&amp;$D50,Dataset!J:J,"&gt;="&amp;$C50)</f>
        <v>0</v>
      </c>
      <c r="AD50" s="162">
        <f>10*SUMIFS(Dataset!$H:$H,Dataset!$F:$F,credito!$D$11,Dataset!AH:AH,"bono de gobierno",Dataset!T:T,"mx",Dataset!$J:$J,"&lt;"&amp;$D50,Dataset!J:J,"&gt;="&amp;$C50)</f>
        <v>0</v>
      </c>
      <c r="AE50" s="162">
        <f>10*SUMIFS(Dataset!$H:$H,Dataset!$F:$F,credito!$D$11,Dataset!AH:AH,"bono corporativo",Dataset!T:T,"$",Dataset!$J:$J,"&lt;"&amp;$D50,Dataset!J:J,"&gt;="&amp;$C50)</f>
        <v>0.40884905992324411</v>
      </c>
      <c r="AF50" s="162">
        <f>10*SUMIFS(Dataset!$H:$H,Dataset!$F:$F,credito!$D$11,Dataset!AH:AH,"bono corporativo",Dataset!T:T,"uf",Dataset!$J:$J,"&lt;"&amp;$D50,Dataset!J:J,"&gt;="&amp;$C50)</f>
        <v>0.26602004749248748</v>
      </c>
      <c r="AG50" s="162">
        <f>10*SUMIFS(Dataset!$H:$H,Dataset!$F:$F,credito!$D$11,Dataset!AH:AH,"bono corporativo",Dataset!T:T,"us$",Dataset!$J:$J,"&lt;"&amp;$D50,Dataset!J:J,"&gt;="&amp;$C50)</f>
        <v>0.16321498624760636</v>
      </c>
      <c r="AH50" s="162">
        <f>10*SUMIFS(Dataset!H:H,Dataset!F:F,credito!$D$11,Dataset!J:J,"&lt;"&amp;$D73,Dataset!J:J,"&gt;="&amp;$C73,Dataset!AH:AH,"&lt;&gt;bono corporativo",Dataset!AH:AH,"&lt;&gt;bono de gobierno",Dataset!AH:AH,"&lt;&gt;deposito")</f>
        <v>0</v>
      </c>
      <c r="AI50" s="163">
        <f t="shared" si="4"/>
        <v>0.83922259146197942</v>
      </c>
    </row>
    <row r="51" spans="3:35" ht="33" customHeight="1" x14ac:dyDescent="0.2">
      <c r="C51" s="57">
        <v>1.5</v>
      </c>
      <c r="D51" s="61">
        <v>2.5</v>
      </c>
      <c r="E51" s="158">
        <f>SUMIFS(Dataset!AK:AK,Dataset!F:F,credito!$D$11,Dataset!AH:AH,"deposito",Dataset!T:T,"$",Dataset!J:J,"&lt;"&amp;$D51,Dataset!J:J,"&gt;="&amp;$C51)</f>
        <v>0</v>
      </c>
      <c r="F51" s="159">
        <f>SUMIFS(Dataset!AK:AK,Dataset!F:F,credito!$D$11,Dataset!AH:AH,"deposito",Dataset!T:T,"UF",Dataset!J:J,"&lt;"&amp;$D51,Dataset!J:J,"&gt;="&amp;$C51)</f>
        <v>0</v>
      </c>
      <c r="G51" s="159">
        <f>SUMIFS(Dataset!AK:AK,Dataset!F:F,credito!$D$11,Dataset!AH:AH,"bono de gobierno",Dataset!T:T,"$",Dataset!J:J,"&lt;"&amp;$D51,Dataset!J:J,"&gt;="&amp;$C51)</f>
        <v>0</v>
      </c>
      <c r="H51" s="159">
        <f>SUMIFS(Dataset!AK:AK,Dataset!F:F,credito!$D$11,Dataset!AH:AH,"bono de gobierno",Dataset!T:T,"UF",Dataset!J:J,"&lt;"&amp;$D51,Dataset!J:J,"&gt;="&amp;$C51)</f>
        <v>0</v>
      </c>
      <c r="I51" s="159">
        <f>SUMIFS(Dataset!AK:AK,Dataset!F:F,credito!$D$11,Dataset!AH:AH,"bono de gobierno",Dataset!T:T,"eu",Dataset!J:J,"&lt;"&amp;$D51,Dataset!J:J,"&gt;="&amp;$C51)</f>
        <v>0</v>
      </c>
      <c r="J51" s="159">
        <f>SUMIFS(Dataset!AK:AK,Dataset!F:F,credito!$D$11,Dataset!AH:AH,"bono de gobierno",Dataset!T:T,"mx",Dataset!J:J,"&lt;"&amp;$D51,Dataset!J:J,"&gt;="&amp;$C51)</f>
        <v>0</v>
      </c>
      <c r="K51" s="159">
        <f>SUMIFS(Dataset!AK:AK,Dataset!F:F,credito!$D$11,Dataset!AH:AH,"bono corporativo",Dataset!T:T,"$",Dataset!J:J,"&lt;"&amp;$D51,Dataset!J:J,"&gt;="&amp;$C51)</f>
        <v>1.2797151982999608E-2</v>
      </c>
      <c r="L51" s="159">
        <f>SUMIFS(Dataset!AK:AK,Dataset!F:F,credito!$D$11,Dataset!AH:AH,"bono corporativo",Dataset!T:T,"UF",Dataset!J:J,"&lt;"&amp;$D51,Dataset!J:J,"&gt;="&amp;$C51)</f>
        <v>1.9232508192607699E-2</v>
      </c>
      <c r="M51" s="159">
        <f>SUMIFS(Dataset!AK:AK,Dataset!F:F,credito!$D$11,Dataset!AH:AH,"bono corporativo",Dataset!T:T,"US$",Dataset!J:J,"&lt;"&amp;$D51,Dataset!J:J,"&gt;="&amp;$C51)</f>
        <v>2.4120972968890595E-3</v>
      </c>
      <c r="N51" s="159">
        <f>SUMIFS(Dataset!AK:AK,Dataset!F:F,credito!$D$11,Dataset!J:J,"&lt;"&amp;$D51,Dataset!J:J,"&gt;="&amp;$C51,Dataset!AH:AH,"&lt;&gt;bono corporativo",Dataset!AH:AH,"&lt;&gt;bono de gobierno",Dataset!AH:AH,"&lt;&gt;deposito")</f>
        <v>0</v>
      </c>
      <c r="O51" s="160">
        <f t="shared" si="2"/>
        <v>3.4441757472496365E-2</v>
      </c>
      <c r="P51" s="158">
        <f>SUMIFS(Dataset!$AK:$AK,Dataset!$F:$F,credito!$D$11,Dataset!$AC:$AC,P$48,Dataset!$J:$J,"&lt;"&amp;$D51,Dataset!J:J,"&gt;="&amp;$C51)</f>
        <v>0</v>
      </c>
      <c r="Q51" s="159">
        <f>SUMIFS(Dataset!$AK:$AK,Dataset!$F:$F,credito!$D$11,Dataset!$AC:$AC,Q$48,Dataset!$J:$J,"&lt;"&amp;$D51,Dataset!J:J,"&gt;="&amp;$C51)</f>
        <v>5.2290281197960196E-3</v>
      </c>
      <c r="R51" s="159">
        <f>SUMIFS(Dataset!$AK:$AK,Dataset!$F:$F,credito!$D$11,Dataset!$AC:$AC,R$48,Dataset!$J:$J,"&lt;"&amp;$D51,Dataset!J:J,"&gt;="&amp;$C51)</f>
        <v>0</v>
      </c>
      <c r="S51" s="159">
        <f>SUMIFS(Dataset!$AK:$AK,Dataset!$F:$F,credito!$D$11,Dataset!$AC:$AC,S$48,Dataset!$J:$J,"&lt;"&amp;$D51,Dataset!J:J,"&gt;="&amp;$C51)</f>
        <v>7.3412142530931536E-3</v>
      </c>
      <c r="T51" s="159">
        <f>SUMIFS(Dataset!$AK:$AK,Dataset!$F:$F,credito!$D$11,Dataset!$AC:$AC,T$48,Dataset!$J:$J,"&lt;"&amp;$D51,Dataset!J:J,"&gt;="&amp;$C51)</f>
        <v>5.455937729906454E-3</v>
      </c>
      <c r="U51" s="159">
        <f>SUMIFS(Dataset!$AK:$AK,Dataset!$F:$F,credito!$D$11,Dataset!$AC:$AC,"A",Dataset!$J:$J,"&lt;"&amp;$D51,Dataset!$J:$J,"&gt;="&amp;$C51)+SUMIFS(Dataset!$AK:$AK,Dataset!$F:$F,credito!$D$11,Dataset!$AC:$AC,"A-",Dataset!$J:$J,"&lt;"&amp;$D51,Dataset!$J:$J,"&gt;="&amp;$C51)+SUMIFS(Dataset!$AK:$AK,Dataset!$F:$F,credito!$D$11,Dataset!$AC:$AC,"A+",Dataset!$J:$J,"&lt;"&amp;$D51,Dataset!$J:$J,"&gt;="&amp;$C51)</f>
        <v>6.4010632119961136E-3</v>
      </c>
      <c r="V51" s="159">
        <f>SUMIFS(Dataset!$AK:$AK,Dataset!$F:$F,credito!$D$11,Dataset!$AC:$AC,"BBB",Dataset!$J:$J,"&lt;"&amp;$D51,Dataset!$J:$J,"&gt;="&amp;$C51)+SUMIFS(Dataset!$AK:$AK,Dataset!$F:$F,credito!$D$11,Dataset!$AC:$AC,"BBB-",Dataset!$J:$J,"&lt;"&amp;$D51,Dataset!$J:$J,"&gt;="&amp;$C51)+SUMIFS(Dataset!$AK:$AK,Dataset!$F:$F,credito!$D$11,Dataset!$AC:$AC,"BBB+",Dataset!$J:$J,"&lt;"&amp;$D51,Dataset!$J:$J,"&gt;="&amp;$C51)</f>
        <v>0</v>
      </c>
      <c r="W51" s="159">
        <f>SUMIFS(Dataset!$AK:$AK,Dataset!$F:$F,credito!$D$11,Dataset!$J:$J,"&lt;"&amp;$D51,Dataset!$J:$J,"&gt;="&amp;$C51,Dataset!$AC:$AC,"&lt;&gt;N-1+",Dataset!$AC:$AC,"&lt;&gt;*AA*",Dataset!$AC:$AC,"&lt;&gt;*AAA*",Dataset!$AC:$AC,"&lt;&gt;A",Dataset!$AC:$AC,"&lt;&gt;A-",Dataset!$AC:$AC,"&lt;&gt;A+",Dataset!$AC:$AC,"&lt;&gt;*BBB*")</f>
        <v>1.0014514157704626E-2</v>
      </c>
      <c r="X51" s="160">
        <f t="shared" si="3"/>
        <v>3.4441757472496365E-2</v>
      </c>
      <c r="Y51" s="161">
        <f>10*SUMIFS(Dataset!$H:$H,Dataset!$F:$F,credito!$D$11,Dataset!AH:AH,"deposito",Dataset!T:T,"$",Dataset!$J:$J,"&lt;"&amp;$D51,Dataset!J:J,"&gt;="&amp;$C51)</f>
        <v>0</v>
      </c>
      <c r="Z51" s="162">
        <f>10*SUMIFS(Dataset!$H:$H,Dataset!$F:$F,credito!$D$11,Dataset!AH:AH,"deposito",Dataset!T:T,"UF",Dataset!$J:$J,"&lt;"&amp;$D51,Dataset!J:J,"&gt;="&amp;$C51)</f>
        <v>0</v>
      </c>
      <c r="AA51" s="162">
        <f>10*SUMIFS(Dataset!$H:$H,Dataset!$F:$F,credito!$D$11,Dataset!AH:AH,"bono de gobierno",Dataset!T:T,"$",Dataset!$J:$J,"&lt;"&amp;$D51,Dataset!J:J,"&gt;="&amp;$C51)</f>
        <v>0</v>
      </c>
      <c r="AB51" s="162">
        <f>10*SUMIFS(Dataset!$H:$H,Dataset!$F:$F,credito!$D$11,Dataset!AH:AH,"bono de gobierno",Dataset!T:T,"uf",Dataset!$J:$J,"&lt;"&amp;$D51,Dataset!J:J,"&gt;="&amp;$C51)</f>
        <v>0</v>
      </c>
      <c r="AC51" s="162">
        <f>10*SUMIFS(Dataset!$H:$H,Dataset!$F:$F,credito!$D$11,Dataset!AH:AH,"bono de gobierno",Dataset!T:T,"eu",Dataset!$J:$J,"&lt;"&amp;$D51,Dataset!J:J,"&gt;="&amp;$C51)</f>
        <v>0</v>
      </c>
      <c r="AD51" s="162">
        <f>10*SUMIFS(Dataset!$H:$H,Dataset!$F:$F,credito!$D$11,Dataset!AH:AH,"bono de gobierno",Dataset!T:T,"mx",Dataset!$J:$J,"&lt;"&amp;$D51,Dataset!J:J,"&gt;="&amp;$C51)</f>
        <v>0</v>
      </c>
      <c r="AE51" s="162">
        <f>10*SUMIFS(Dataset!$H:$H,Dataset!$F:$F,credito!$D$11,Dataset!AH:AH,"bono corporativo",Dataset!T:T,"$",Dataset!$J:$J,"&lt;"&amp;$D51,Dataset!J:J,"&gt;="&amp;$C51)</f>
        <v>0.22864910093033242</v>
      </c>
      <c r="AF51" s="162">
        <f>10*SUMIFS(Dataset!$H:$H,Dataset!$F:$F,credito!$D$11,Dataset!AH:AH,"bono corporativo",Dataset!T:T,"uf",Dataset!$J:$J,"&lt;"&amp;$D51,Dataset!J:J,"&gt;="&amp;$C51)</f>
        <v>0.37730899121680572</v>
      </c>
      <c r="AG51" s="162">
        <f>10*SUMIFS(Dataset!$H:$H,Dataset!$F:$F,credito!$D$11,Dataset!AH:AH,"bono corporativo",Dataset!T:T,"us$",Dataset!$J:$J,"&lt;"&amp;$D51,Dataset!J:J,"&gt;="&amp;$C51)</f>
        <v>5.7890335125337429E-2</v>
      </c>
      <c r="AH51" s="162">
        <f>10*SUMIFS(Dataset!H:H,Dataset!F:F,credito!$D$11,Dataset!J:J,"&lt;"&amp;$D74,Dataset!J:J,"&gt;="&amp;$C74,Dataset!AH:AH,"&lt;&gt;bono corporativo",Dataset!AH:AH,"&lt;&gt;bono de gobierno",Dataset!AH:AH,"&lt;&gt;deposito")</f>
        <v>0</v>
      </c>
      <c r="AI51" s="163">
        <f t="shared" si="4"/>
        <v>0.66384842727247562</v>
      </c>
    </row>
    <row r="52" spans="3:35" ht="33" customHeight="1" x14ac:dyDescent="0.2">
      <c r="C52" s="57">
        <v>2.5</v>
      </c>
      <c r="D52" s="61">
        <v>3.5</v>
      </c>
      <c r="E52" s="158">
        <f>SUMIFS(Dataset!AK:AK,Dataset!F:F,credito!$D$11,Dataset!AH:AH,"deposito",Dataset!T:T,"$",Dataset!J:J,"&lt;"&amp;$D52,Dataset!J:J,"&gt;="&amp;$C52)</f>
        <v>0</v>
      </c>
      <c r="F52" s="159">
        <f>SUMIFS(Dataset!AK:AK,Dataset!F:F,credito!$D$11,Dataset!AH:AH,"deposito",Dataset!T:T,"UF",Dataset!J:J,"&lt;"&amp;$D52,Dataset!J:J,"&gt;="&amp;$C52)</f>
        <v>0</v>
      </c>
      <c r="G52" s="159">
        <f>SUMIFS(Dataset!AK:AK,Dataset!F:F,credito!$D$11,Dataset!AH:AH,"bono de gobierno",Dataset!T:T,"$",Dataset!J:J,"&lt;"&amp;$D52,Dataset!J:J,"&gt;="&amp;$C52)</f>
        <v>0</v>
      </c>
      <c r="H52" s="159">
        <f>SUMIFS(Dataset!AK:AK,Dataset!F:F,credito!$D$11,Dataset!AH:AH,"bono de gobierno",Dataset!T:T,"UF",Dataset!J:J,"&lt;"&amp;$D52,Dataset!J:J,"&gt;="&amp;$C52)</f>
        <v>0</v>
      </c>
      <c r="I52" s="159">
        <f>SUMIFS(Dataset!AK:AK,Dataset!F:F,credito!$D$11,Dataset!AH:AH,"bono de gobierno",Dataset!T:T,"eu",Dataset!J:J,"&lt;"&amp;$D52,Dataset!J:J,"&gt;="&amp;$C52)</f>
        <v>0</v>
      </c>
      <c r="J52" s="159">
        <f>SUMIFS(Dataset!AK:AK,Dataset!F:F,credito!$D$11,Dataset!AH:AH,"bono de gobierno",Dataset!T:T,"mx",Dataset!J:J,"&lt;"&amp;$D52,Dataset!J:J,"&gt;="&amp;$C52)</f>
        <v>0</v>
      </c>
      <c r="K52" s="159">
        <f>SUMIFS(Dataset!AK:AK,Dataset!F:F,credito!$D$11,Dataset!AH:AH,"bono corporativo",Dataset!T:T,"$",Dataset!J:J,"&lt;"&amp;$D52,Dataset!J:J,"&gt;="&amp;$C52)</f>
        <v>2.2716253645979421E-2</v>
      </c>
      <c r="L52" s="159">
        <f>SUMIFS(Dataset!AK:AK,Dataset!F:F,credito!$D$11,Dataset!AH:AH,"bono corporativo",Dataset!T:T,"UF",Dataset!J:J,"&lt;"&amp;$D52,Dataset!J:J,"&gt;="&amp;$C52)</f>
        <v>9.1523355003544693E-2</v>
      </c>
      <c r="M52" s="159">
        <f>SUMIFS(Dataset!AK:AK,Dataset!F:F,credito!$D$11,Dataset!AH:AH,"bono corporativo",Dataset!T:T,"US$",Dataset!J:J,"&lt;"&amp;$D52,Dataset!J:J,"&gt;="&amp;$C52)</f>
        <v>0</v>
      </c>
      <c r="N52" s="159">
        <f>SUMIFS(Dataset!AK:AK,Dataset!F:F,credito!$D$11,Dataset!J:J,"&lt;"&amp;$D52,Dataset!J:J,"&gt;="&amp;$C52,Dataset!AH:AH,"&lt;&gt;bono corporativo",Dataset!AH:AH,"&lt;&gt;bono de gobierno",Dataset!AH:AH,"&lt;&gt;deposito")</f>
        <v>0</v>
      </c>
      <c r="O52" s="160">
        <f t="shared" si="2"/>
        <v>0.11423960864952412</v>
      </c>
      <c r="P52" s="158">
        <f>SUMIFS(Dataset!$AK:$AK,Dataset!$F:$F,credito!$D$11,Dataset!$AC:$AC,P$48,Dataset!$J:$J,"&lt;"&amp;$D52,Dataset!J:J,"&gt;="&amp;$C52)</f>
        <v>0</v>
      </c>
      <c r="Q52" s="159">
        <f>SUMIFS(Dataset!$AK:$AK,Dataset!$F:$F,credito!$D$11,Dataset!$AC:$AC,Q$48,Dataset!$J:$J,"&lt;"&amp;$D52,Dataset!J:J,"&gt;="&amp;$C52)</f>
        <v>1.4442956407456563E-2</v>
      </c>
      <c r="R52" s="159">
        <f>SUMIFS(Dataset!$AK:$AK,Dataset!$F:$F,credito!$D$11,Dataset!$AC:$AC,R$48,Dataset!$J:$J,"&lt;"&amp;$D52,Dataset!J:J,"&gt;="&amp;$C52)</f>
        <v>0</v>
      </c>
      <c r="S52" s="159">
        <f>SUMIFS(Dataset!$AK:$AK,Dataset!$F:$F,credito!$D$11,Dataset!$AC:$AC,S$48,Dataset!$J:$J,"&lt;"&amp;$D52,Dataset!J:J,"&gt;="&amp;$C52)</f>
        <v>1.8823403245372086E-2</v>
      </c>
      <c r="T52" s="159">
        <f>SUMIFS(Dataset!$AK:$AK,Dataset!$F:$F,credito!$D$11,Dataset!$AC:$AC,T$48,Dataset!$J:$J,"&lt;"&amp;$D52,Dataset!J:J,"&gt;="&amp;$C52)</f>
        <v>6.0325735681086732E-3</v>
      </c>
      <c r="U52" s="159">
        <f>SUMIFS(Dataset!$AK:$AK,Dataset!$F:$F,credito!$D$11,Dataset!$AC:$AC,"A",Dataset!$J:$J,"&lt;"&amp;$D52,Dataset!$J:$J,"&gt;="&amp;$C52)+SUMIFS(Dataset!$AK:$AK,Dataset!$F:$F,credito!$D$11,Dataset!$AC:$AC,"A-",Dataset!$J:$J,"&lt;"&amp;$D52,Dataset!$J:$J,"&gt;="&amp;$C52)+SUMIFS(Dataset!$AK:$AK,Dataset!$F:$F,credito!$D$11,Dataset!$AC:$AC,"A+",Dataset!$J:$J,"&lt;"&amp;$D52,Dataset!$J:$J,"&gt;="&amp;$C52)</f>
        <v>4.6421588174601111E-2</v>
      </c>
      <c r="V52" s="159">
        <f>SUMIFS(Dataset!$AK:$AK,Dataset!$F:$F,credito!$D$11,Dataset!$AC:$AC,"BBB",Dataset!$J:$J,"&lt;"&amp;$D52,Dataset!$J:$J,"&gt;="&amp;$C52)+SUMIFS(Dataset!$AK:$AK,Dataset!$F:$F,credito!$D$11,Dataset!$AC:$AC,"BBB-",Dataset!$J:$J,"&lt;"&amp;$D52,Dataset!$J:$J,"&gt;="&amp;$C52)+SUMIFS(Dataset!$AK:$AK,Dataset!$F:$F,credito!$D$11,Dataset!$AC:$AC,"BBB+",Dataset!$J:$J,"&lt;"&amp;$D52,Dataset!$J:$J,"&gt;="&amp;$C52)</f>
        <v>9.5395523808214052E-4</v>
      </c>
      <c r="W52" s="159">
        <f>SUMIFS(Dataset!$AK:$AK,Dataset!$F:$F,credito!$D$11,Dataset!$J:$J,"&lt;"&amp;$D52,Dataset!$J:$J,"&gt;="&amp;$C52,Dataset!$AC:$AC,"&lt;&gt;N-1+",Dataset!$AC:$AC,"&lt;&gt;*AA*",Dataset!$AC:$AC,"&lt;&gt;*AAA*",Dataset!$AC:$AC,"&lt;&gt;A",Dataset!$AC:$AC,"&lt;&gt;A-",Dataset!$AC:$AC,"&lt;&gt;A+",Dataset!$AC:$AC,"&lt;&gt;*BBB*")</f>
        <v>2.7565132015903521E-2</v>
      </c>
      <c r="X52" s="160">
        <f t="shared" si="3"/>
        <v>0.11423960864952409</v>
      </c>
      <c r="Y52" s="161">
        <f>10*SUMIFS(Dataset!$H:$H,Dataset!$F:$F,credito!$D$11,Dataset!AH:AH,"deposito",Dataset!T:T,"$",Dataset!$J:$J,"&lt;"&amp;$D52,Dataset!J:J,"&gt;="&amp;$C52)</f>
        <v>0</v>
      </c>
      <c r="Z52" s="162">
        <f>10*SUMIFS(Dataset!$H:$H,Dataset!$F:$F,credito!$D$11,Dataset!AH:AH,"deposito",Dataset!T:T,"UF",Dataset!$J:$J,"&lt;"&amp;$D52,Dataset!J:J,"&gt;="&amp;$C52)</f>
        <v>0</v>
      </c>
      <c r="AA52" s="162">
        <f>10*SUMIFS(Dataset!$H:$H,Dataset!$F:$F,credito!$D$11,Dataset!AH:AH,"bono de gobierno",Dataset!T:T,"$",Dataset!$J:$J,"&lt;"&amp;$D52,Dataset!J:J,"&gt;="&amp;$C52)</f>
        <v>0</v>
      </c>
      <c r="AB52" s="162">
        <f>10*SUMIFS(Dataset!$H:$H,Dataset!$F:$F,credito!$D$11,Dataset!AH:AH,"bono de gobierno",Dataset!T:T,"uf",Dataset!$J:$J,"&lt;"&amp;$D52,Dataset!J:J,"&gt;="&amp;$C52)</f>
        <v>0</v>
      </c>
      <c r="AC52" s="162">
        <f>10*SUMIFS(Dataset!$H:$H,Dataset!$F:$F,credito!$D$11,Dataset!AH:AH,"bono de gobierno",Dataset!T:T,"eu",Dataset!$J:$J,"&lt;"&amp;$D52,Dataset!J:J,"&gt;="&amp;$C52)</f>
        <v>0</v>
      </c>
      <c r="AD52" s="162">
        <f>10*SUMIFS(Dataset!$H:$H,Dataset!$F:$F,credito!$D$11,Dataset!AH:AH,"bono de gobierno",Dataset!T:T,"mx",Dataset!$J:$J,"&lt;"&amp;$D52,Dataset!J:J,"&gt;="&amp;$C52)</f>
        <v>0</v>
      </c>
      <c r="AE52" s="162">
        <f>10*SUMIFS(Dataset!$H:$H,Dataset!$F:$F,credito!$D$11,Dataset!AH:AH,"bono corporativo",Dataset!T:T,"$",Dataset!$J:$J,"&lt;"&amp;$D52,Dataset!J:J,"&gt;="&amp;$C52)</f>
        <v>0.65284031137939513</v>
      </c>
      <c r="AF52" s="162">
        <f>10*SUMIFS(Dataset!$H:$H,Dataset!$F:$F,credito!$D$11,Dataset!AH:AH,"bono corporativo",Dataset!T:T,"uf",Dataset!$J:$J,"&lt;"&amp;$D52,Dataset!J:J,"&gt;="&amp;$C52)</f>
        <v>2.7507013620835536</v>
      </c>
      <c r="AG52" s="162">
        <f>10*SUMIFS(Dataset!$H:$H,Dataset!$F:$F,credito!$D$11,Dataset!AH:AH,"bono corporativo",Dataset!T:T,"us$",Dataset!$J:$J,"&lt;"&amp;$D52,Dataset!J:J,"&gt;="&amp;$C52)</f>
        <v>0</v>
      </c>
      <c r="AH52" s="162">
        <f>10*SUMIFS(Dataset!H:H,Dataset!F:F,credito!$D$11,Dataset!J:J,"&lt;"&amp;$D75,Dataset!J:J,"&gt;="&amp;$C75,Dataset!AH:AH,"&lt;&gt;bono corporativo",Dataset!AH:AH,"&lt;&gt;bono de gobierno",Dataset!AH:AH,"&lt;&gt;deposito")</f>
        <v>0</v>
      </c>
      <c r="AI52" s="163">
        <f t="shared" si="4"/>
        <v>3.4035416734629487</v>
      </c>
    </row>
    <row r="53" spans="3:35" ht="33" customHeight="1" x14ac:dyDescent="0.2">
      <c r="C53" s="57">
        <v>3.5</v>
      </c>
      <c r="D53" s="61">
        <v>4.5</v>
      </c>
      <c r="E53" s="158">
        <f>SUMIFS(Dataset!AK:AK,Dataset!F:F,credito!$D$11,Dataset!AH:AH,"deposito",Dataset!T:T,"$",Dataset!J:J,"&lt;"&amp;$D53,Dataset!J:J,"&gt;="&amp;$C53)</f>
        <v>0</v>
      </c>
      <c r="F53" s="159">
        <f>SUMIFS(Dataset!AK:AK,Dataset!F:F,credito!$D$11,Dataset!AH:AH,"deposito",Dataset!T:T,"UF",Dataset!J:J,"&lt;"&amp;$D53,Dataset!J:J,"&gt;="&amp;$C53)</f>
        <v>0</v>
      </c>
      <c r="G53" s="159">
        <f>SUMIFS(Dataset!AK:AK,Dataset!F:F,credito!$D$11,Dataset!AH:AH,"bono de gobierno",Dataset!T:T,"$",Dataset!J:J,"&lt;"&amp;$D53,Dataset!J:J,"&gt;="&amp;$C53)</f>
        <v>0</v>
      </c>
      <c r="H53" s="159">
        <f>SUMIFS(Dataset!AK:AK,Dataset!F:F,credito!$D$11,Dataset!AH:AH,"bono de gobierno",Dataset!T:T,"UF",Dataset!J:J,"&lt;"&amp;$D53,Dataset!J:J,"&gt;="&amp;$C53)</f>
        <v>0</v>
      </c>
      <c r="I53" s="159">
        <f>SUMIFS(Dataset!AK:AK,Dataset!F:F,credito!$D$11,Dataset!AH:AH,"bono de gobierno",Dataset!T:T,"eu",Dataset!J:J,"&lt;"&amp;$D53,Dataset!J:J,"&gt;="&amp;$C53)</f>
        <v>0</v>
      </c>
      <c r="J53" s="159">
        <f>SUMIFS(Dataset!AK:AK,Dataset!F:F,credito!$D$11,Dataset!AH:AH,"bono de gobierno",Dataset!T:T,"mx",Dataset!J:J,"&lt;"&amp;$D53,Dataset!J:J,"&gt;="&amp;$C53)</f>
        <v>0</v>
      </c>
      <c r="K53" s="159">
        <f>SUMIFS(Dataset!AK:AK,Dataset!F:F,credito!$D$11,Dataset!AH:AH,"bono corporativo",Dataset!T:T,"$",Dataset!J:J,"&lt;"&amp;$D53,Dataset!J:J,"&gt;="&amp;$C53)</f>
        <v>1.7338297217297495E-2</v>
      </c>
      <c r="L53" s="159">
        <f>SUMIFS(Dataset!AK:AK,Dataset!F:F,credito!$D$11,Dataset!AH:AH,"bono corporativo",Dataset!T:T,"UF",Dataset!J:J,"&lt;"&amp;$D53,Dataset!J:J,"&gt;="&amp;$C53)</f>
        <v>0.11353018219511103</v>
      </c>
      <c r="M53" s="159">
        <f>SUMIFS(Dataset!AK:AK,Dataset!F:F,credito!$D$11,Dataset!AH:AH,"bono corporativo",Dataset!T:T,"US$",Dataset!J:J,"&lt;"&amp;$D53,Dataset!J:J,"&gt;="&amp;$C53)</f>
        <v>1.5089084484267535E-2</v>
      </c>
      <c r="N53" s="159">
        <f>SUMIFS(Dataset!AK:AK,Dataset!F:F,credito!$D$11,Dataset!J:J,"&lt;"&amp;$D53,Dataset!J:J,"&gt;="&amp;$C53,Dataset!AH:AH,"&lt;&gt;bono corporativo",Dataset!AH:AH,"&lt;&gt;bono de gobierno",Dataset!AH:AH,"&lt;&gt;deposito")</f>
        <v>0</v>
      </c>
      <c r="O53" s="160">
        <f t="shared" si="2"/>
        <v>0.14595756389667608</v>
      </c>
      <c r="P53" s="158">
        <f>SUMIFS(Dataset!$AK:$AK,Dataset!$F:$F,credito!$D$11,Dataset!$AC:$AC,P$48,Dataset!$J:$J,"&lt;"&amp;$D53,Dataset!J:J,"&gt;="&amp;$C53)</f>
        <v>0</v>
      </c>
      <c r="Q53" s="159">
        <f>SUMIFS(Dataset!$AK:$AK,Dataset!$F:$F,credito!$D$11,Dataset!$AC:$AC,Q$48,Dataset!$J:$J,"&lt;"&amp;$D53,Dataset!J:J,"&gt;="&amp;$C53)</f>
        <v>6.2406325393914476E-3</v>
      </c>
      <c r="R53" s="159">
        <f>SUMIFS(Dataset!$AK:$AK,Dataset!$F:$F,credito!$D$11,Dataset!$AC:$AC,R$48,Dataset!$J:$J,"&lt;"&amp;$D53,Dataset!J:J,"&gt;="&amp;$C53)</f>
        <v>0</v>
      </c>
      <c r="S53" s="159">
        <f>SUMIFS(Dataset!$AK:$AK,Dataset!$F:$F,credito!$D$11,Dataset!$AC:$AC,S$48,Dataset!$J:$J,"&lt;"&amp;$D53,Dataset!J:J,"&gt;="&amp;$C53)</f>
        <v>1.0089477349696598E-2</v>
      </c>
      <c r="T53" s="159">
        <f>SUMIFS(Dataset!$AK:$AK,Dataset!$F:$F,credito!$D$11,Dataset!$AC:$AC,T$48,Dataset!$J:$J,"&lt;"&amp;$D53,Dataset!J:J,"&gt;="&amp;$C53)</f>
        <v>1.720677895326491E-2</v>
      </c>
      <c r="U53" s="159">
        <f>SUMIFS(Dataset!$AK:$AK,Dataset!$F:$F,credito!$D$11,Dataset!$AC:$AC,"A",Dataset!$J:$J,"&lt;"&amp;$D53,Dataset!$J:$J,"&gt;="&amp;$C53)+SUMIFS(Dataset!$AK:$AK,Dataset!$F:$F,credito!$D$11,Dataset!$AC:$AC,"A-",Dataset!$J:$J,"&lt;"&amp;$D53,Dataset!$J:$J,"&gt;="&amp;$C53)+SUMIFS(Dataset!$AK:$AK,Dataset!$F:$F,credito!$D$11,Dataset!$AC:$AC,"A+",Dataset!$J:$J,"&lt;"&amp;$D53,Dataset!$J:$J,"&gt;="&amp;$C53)</f>
        <v>4.899340691292884E-2</v>
      </c>
      <c r="V53" s="159">
        <f>SUMIFS(Dataset!$AK:$AK,Dataset!$F:$F,credito!$D$11,Dataset!$AC:$AC,"BBB",Dataset!$J:$J,"&lt;"&amp;$D53,Dataset!$J:$J,"&gt;="&amp;$C53)+SUMIFS(Dataset!$AK:$AK,Dataset!$F:$F,credito!$D$11,Dataset!$AC:$AC,"BBB-",Dataset!$J:$J,"&lt;"&amp;$D53,Dataset!$J:$J,"&gt;="&amp;$C53)+SUMIFS(Dataset!$AK:$AK,Dataset!$F:$F,credito!$D$11,Dataset!$AC:$AC,"BBB+",Dataset!$J:$J,"&lt;"&amp;$D53,Dataset!$J:$J,"&gt;="&amp;$C53)</f>
        <v>6.3427268141394266E-2</v>
      </c>
      <c r="W53" s="159">
        <f>SUMIFS(Dataset!$AK:$AK,Dataset!$F:$F,credito!$D$11,Dataset!$J:$J,"&lt;"&amp;$D53,Dataset!$J:$J,"&gt;="&amp;$C53,Dataset!$AC:$AC,"&lt;&gt;N-1+",Dataset!$AC:$AC,"&lt;&gt;*AA*",Dataset!$AC:$AC,"&lt;&gt;*AAA*",Dataset!$AC:$AC,"&lt;&gt;A",Dataset!$AC:$AC,"&lt;&gt;A-",Dataset!$AC:$AC,"&lt;&gt;A+",Dataset!$AC:$AC,"&lt;&gt;*BBB*")</f>
        <v>0</v>
      </c>
      <c r="X53" s="160">
        <f t="shared" si="3"/>
        <v>0.14595756389667605</v>
      </c>
      <c r="Y53" s="161">
        <f>10*SUMIFS(Dataset!$H:$H,Dataset!$F:$F,credito!$D$11,Dataset!AH:AH,"deposito",Dataset!T:T,"$",Dataset!$J:$J,"&lt;"&amp;$D53,Dataset!J:J,"&gt;="&amp;$C53)</f>
        <v>0</v>
      </c>
      <c r="Z53" s="162">
        <f>10*SUMIFS(Dataset!$H:$H,Dataset!$F:$F,credito!$D$11,Dataset!AH:AH,"deposito",Dataset!T:T,"UF",Dataset!$J:$J,"&lt;"&amp;$D53,Dataset!J:J,"&gt;="&amp;$C53)</f>
        <v>0</v>
      </c>
      <c r="AA53" s="162">
        <f>10*SUMIFS(Dataset!$H:$H,Dataset!$F:$F,credito!$D$11,Dataset!AH:AH,"bono de gobierno",Dataset!T:T,"$",Dataset!$J:$J,"&lt;"&amp;$D53,Dataset!J:J,"&gt;="&amp;$C53)</f>
        <v>0</v>
      </c>
      <c r="AB53" s="162">
        <f>10*SUMIFS(Dataset!$H:$H,Dataset!$F:$F,credito!$D$11,Dataset!AH:AH,"bono de gobierno",Dataset!T:T,"uf",Dataset!$J:$J,"&lt;"&amp;$D53,Dataset!J:J,"&gt;="&amp;$C53)</f>
        <v>0</v>
      </c>
      <c r="AC53" s="162">
        <f>10*SUMIFS(Dataset!$H:$H,Dataset!$F:$F,credito!$D$11,Dataset!AH:AH,"bono de gobierno",Dataset!T:T,"eu",Dataset!$J:$J,"&lt;"&amp;$D53,Dataset!J:J,"&gt;="&amp;$C53)</f>
        <v>0</v>
      </c>
      <c r="AD53" s="162">
        <f>10*SUMIFS(Dataset!$H:$H,Dataset!$F:$F,credito!$D$11,Dataset!AH:AH,"bono de gobierno",Dataset!T:T,"mx",Dataset!$J:$J,"&lt;"&amp;$D53,Dataset!J:J,"&gt;="&amp;$C53)</f>
        <v>0</v>
      </c>
      <c r="AE53" s="162">
        <f>10*SUMIFS(Dataset!$H:$H,Dataset!$F:$F,credito!$D$11,Dataset!AH:AH,"bono corporativo",Dataset!T:T,"$",Dataset!$J:$J,"&lt;"&amp;$D53,Dataset!J:J,"&gt;="&amp;$C53)</f>
        <v>0.68930282579573587</v>
      </c>
      <c r="AF53" s="162">
        <f>10*SUMIFS(Dataset!$H:$H,Dataset!$F:$F,credito!$D$11,Dataset!AH:AH,"bono corporativo",Dataset!T:T,"uf",Dataset!$J:$J,"&lt;"&amp;$D53,Dataset!J:J,"&gt;="&amp;$C53)</f>
        <v>4.3933397850769103</v>
      </c>
      <c r="AG53" s="162">
        <f>10*SUMIFS(Dataset!$H:$H,Dataset!$F:$F,credito!$D$11,Dataset!AH:AH,"bono corporativo",Dataset!T:T,"us$",Dataset!$J:$J,"&lt;"&amp;$D53,Dataset!J:J,"&gt;="&amp;$C53)</f>
        <v>0.54976043101639083</v>
      </c>
      <c r="AH53" s="162">
        <f>10*SUMIFS(Dataset!H:H,Dataset!F:F,credito!$D$11,Dataset!J:J,"&lt;"&amp;$D76,Dataset!J:J,"&gt;="&amp;$C76,Dataset!AH:AH,"&lt;&gt;bono corporativo",Dataset!AH:AH,"&lt;&gt;bono de gobierno",Dataset!AH:AH,"&lt;&gt;deposito")</f>
        <v>0</v>
      </c>
      <c r="AI53" s="163">
        <f t="shared" si="4"/>
        <v>5.6324030418890372</v>
      </c>
    </row>
    <row r="54" spans="3:35" ht="33" customHeight="1" x14ac:dyDescent="0.2">
      <c r="C54" s="57">
        <v>4.5</v>
      </c>
      <c r="D54" s="61">
        <v>5.5</v>
      </c>
      <c r="E54" s="158">
        <f>SUMIFS(Dataset!AK:AK,Dataset!F:F,credito!$D$11,Dataset!AH:AH,"deposito",Dataset!T:T,"$",Dataset!J:J,"&lt;"&amp;$D54,Dataset!J:J,"&gt;="&amp;$C54)</f>
        <v>0</v>
      </c>
      <c r="F54" s="159">
        <f>SUMIFS(Dataset!AK:AK,Dataset!F:F,credito!$D$11,Dataset!AH:AH,"deposito",Dataset!T:T,"UF",Dataset!J:J,"&lt;"&amp;$D54,Dataset!J:J,"&gt;="&amp;$C54)</f>
        <v>0</v>
      </c>
      <c r="G54" s="159">
        <f>SUMIFS(Dataset!AK:AK,Dataset!F:F,credito!$D$11,Dataset!AH:AH,"bono de gobierno",Dataset!T:T,"$",Dataset!J:J,"&lt;"&amp;$D54,Dataset!J:J,"&gt;="&amp;$C54)</f>
        <v>0</v>
      </c>
      <c r="H54" s="159">
        <f>SUMIFS(Dataset!AK:AK,Dataset!F:F,credito!$D$11,Dataset!AH:AH,"bono de gobierno",Dataset!T:T,"UF",Dataset!J:J,"&lt;"&amp;$D54,Dataset!J:J,"&gt;="&amp;$C54)</f>
        <v>0</v>
      </c>
      <c r="I54" s="159">
        <f>SUMIFS(Dataset!AK:AK,Dataset!F:F,credito!$D$11,Dataset!AH:AH,"bono de gobierno",Dataset!T:T,"eu",Dataset!J:J,"&lt;"&amp;$D54,Dataset!J:J,"&gt;="&amp;$C54)</f>
        <v>0</v>
      </c>
      <c r="J54" s="159">
        <f>SUMIFS(Dataset!AK:AK,Dataset!F:F,credito!$D$11,Dataset!AH:AH,"bono de gobierno",Dataset!T:T,"mx",Dataset!J:J,"&lt;"&amp;$D54,Dataset!J:J,"&gt;="&amp;$C54)</f>
        <v>0</v>
      </c>
      <c r="K54" s="159">
        <f>SUMIFS(Dataset!AK:AK,Dataset!F:F,credito!$D$11,Dataset!AH:AH,"bono corporativo",Dataset!T:T,"$",Dataset!J:J,"&lt;"&amp;$D54,Dataset!J:J,"&gt;="&amp;$C54)</f>
        <v>0</v>
      </c>
      <c r="L54" s="159">
        <f>SUMIFS(Dataset!AK:AK,Dataset!F:F,credito!$D$11,Dataset!AH:AH,"bono corporativo",Dataset!T:T,"UF",Dataset!J:J,"&lt;"&amp;$D54,Dataset!J:J,"&gt;="&amp;$C54)</f>
        <v>3.0966237389668409E-2</v>
      </c>
      <c r="M54" s="159">
        <f>SUMIFS(Dataset!AK:AK,Dataset!F:F,credito!$D$11,Dataset!AH:AH,"bono corporativo",Dataset!T:T,"US$",Dataset!J:J,"&lt;"&amp;$D54,Dataset!J:J,"&gt;="&amp;$C54)</f>
        <v>4.7609589711708825E-3</v>
      </c>
      <c r="N54" s="159">
        <f>SUMIFS(Dataset!AK:AK,Dataset!F:F,credito!$D$11,Dataset!J:J,"&lt;"&amp;$D54,Dataset!J:J,"&gt;="&amp;$C54,Dataset!AH:AH,"&lt;&gt;bono corporativo",Dataset!AH:AH,"&lt;&gt;bono de gobierno",Dataset!AH:AH,"&lt;&gt;deposito")</f>
        <v>0</v>
      </c>
      <c r="O54" s="160">
        <f t="shared" si="2"/>
        <v>3.5727196360839292E-2</v>
      </c>
      <c r="P54" s="158">
        <f>SUMIFS(Dataset!$AK:$AK,Dataset!$F:$F,credito!$D$11,Dataset!$AC:$AC,P$48,Dataset!$J:$J,"&lt;"&amp;$D54,Dataset!J:J,"&gt;="&amp;$C54)</f>
        <v>0</v>
      </c>
      <c r="Q54" s="159">
        <f>SUMIFS(Dataset!$AK:$AK,Dataset!$F:$F,credito!$D$11,Dataset!$AC:$AC,Q$48,Dataset!$J:$J,"&lt;"&amp;$D54,Dataset!J:J,"&gt;="&amp;$C54)</f>
        <v>0</v>
      </c>
      <c r="R54" s="159">
        <f>SUMIFS(Dataset!$AK:$AK,Dataset!$F:$F,credito!$D$11,Dataset!$AC:$AC,R$48,Dataset!$J:$J,"&lt;"&amp;$D54,Dataset!J:J,"&gt;="&amp;$C54)</f>
        <v>7.6525538064399863E-3</v>
      </c>
      <c r="S54" s="159">
        <f>SUMIFS(Dataset!$AK:$AK,Dataset!$F:$F,credito!$D$11,Dataset!$AC:$AC,S$48,Dataset!$J:$J,"&lt;"&amp;$D54,Dataset!J:J,"&gt;="&amp;$C54)</f>
        <v>0</v>
      </c>
      <c r="T54" s="159">
        <f>SUMIFS(Dataset!$AK:$AK,Dataset!$F:$F,credito!$D$11,Dataset!$AC:$AC,T$48,Dataset!$J:$J,"&lt;"&amp;$D54,Dataset!J:J,"&gt;="&amp;$C54)</f>
        <v>6.870785972543491E-3</v>
      </c>
      <c r="U54" s="159">
        <f>SUMIFS(Dataset!$AK:$AK,Dataset!$F:$F,credito!$D$11,Dataset!$AC:$AC,"A",Dataset!$J:$J,"&lt;"&amp;$D54,Dataset!$J:$J,"&gt;="&amp;$C54)+SUMIFS(Dataset!$AK:$AK,Dataset!$F:$F,credito!$D$11,Dataset!$AC:$AC,"A-",Dataset!$J:$J,"&lt;"&amp;$D54,Dataset!$J:$J,"&gt;="&amp;$C54)+SUMIFS(Dataset!$AK:$AK,Dataset!$F:$F,credito!$D$11,Dataset!$AC:$AC,"A+",Dataset!$J:$J,"&lt;"&amp;$D54,Dataset!$J:$J,"&gt;="&amp;$C54)</f>
        <v>1.6442897610684931E-2</v>
      </c>
      <c r="V54" s="159">
        <f>SUMIFS(Dataset!$AK:$AK,Dataset!$F:$F,credito!$D$11,Dataset!$AC:$AC,"BBB",Dataset!$J:$J,"&lt;"&amp;$D54,Dataset!$J:$J,"&gt;="&amp;$C54)+SUMIFS(Dataset!$AK:$AK,Dataset!$F:$F,credito!$D$11,Dataset!$AC:$AC,"BBB-",Dataset!$J:$J,"&lt;"&amp;$D54,Dataset!$J:$J,"&gt;="&amp;$C54)+SUMIFS(Dataset!$AK:$AK,Dataset!$F:$F,credito!$D$11,Dataset!$AC:$AC,"BBB+",Dataset!$J:$J,"&lt;"&amp;$D54,Dataset!$J:$J,"&gt;="&amp;$C54)</f>
        <v>0</v>
      </c>
      <c r="W54" s="159">
        <f>SUMIFS(Dataset!$AK:$AK,Dataset!$F:$F,credito!$D$11,Dataset!$J:$J,"&lt;"&amp;$D54,Dataset!$J:$J,"&gt;="&amp;$C54,Dataset!$AC:$AC,"&lt;&gt;N-1+",Dataset!$AC:$AC,"&lt;&gt;*AA*",Dataset!$AC:$AC,"&lt;&gt;*AAA*",Dataset!$AC:$AC,"&lt;&gt;A",Dataset!$AC:$AC,"&lt;&gt;A-",Dataset!$AC:$AC,"&lt;&gt;A+",Dataset!$AC:$AC,"&lt;&gt;*BBB*")</f>
        <v>4.7609589711708825E-3</v>
      </c>
      <c r="X54" s="160">
        <f t="shared" si="3"/>
        <v>3.5727196360839292E-2</v>
      </c>
      <c r="Y54" s="161">
        <f>10*SUMIFS(Dataset!$H:$H,Dataset!$F:$F,credito!$D$11,Dataset!AH:AH,"deposito",Dataset!T:T,"$",Dataset!$J:$J,"&lt;"&amp;$D54,Dataset!J:J,"&gt;="&amp;$C54)</f>
        <v>0</v>
      </c>
      <c r="Z54" s="162">
        <f>10*SUMIFS(Dataset!$H:$H,Dataset!$F:$F,credito!$D$11,Dataset!AH:AH,"deposito",Dataset!T:T,"UF",Dataset!$J:$J,"&lt;"&amp;$D54,Dataset!J:J,"&gt;="&amp;$C54)</f>
        <v>0</v>
      </c>
      <c r="AA54" s="162">
        <f>10*SUMIFS(Dataset!$H:$H,Dataset!$F:$F,credito!$D$11,Dataset!AH:AH,"bono de gobierno",Dataset!T:T,"$",Dataset!$J:$J,"&lt;"&amp;$D54,Dataset!J:J,"&gt;="&amp;$C54)</f>
        <v>0</v>
      </c>
      <c r="AB54" s="162">
        <f>10*SUMIFS(Dataset!$H:$H,Dataset!$F:$F,credito!$D$11,Dataset!AH:AH,"bono de gobierno",Dataset!T:T,"uf",Dataset!$J:$J,"&lt;"&amp;$D54,Dataset!J:J,"&gt;="&amp;$C54)</f>
        <v>0</v>
      </c>
      <c r="AC54" s="162">
        <f>10*SUMIFS(Dataset!$H:$H,Dataset!$F:$F,credito!$D$11,Dataset!AH:AH,"bono de gobierno",Dataset!T:T,"eu",Dataset!$J:$J,"&lt;"&amp;$D54,Dataset!J:J,"&gt;="&amp;$C54)</f>
        <v>0</v>
      </c>
      <c r="AD54" s="162">
        <f>10*SUMIFS(Dataset!$H:$H,Dataset!$F:$F,credito!$D$11,Dataset!AH:AH,"bono de gobierno",Dataset!T:T,"mx",Dataset!$J:$J,"&lt;"&amp;$D54,Dataset!J:J,"&gt;="&amp;$C54)</f>
        <v>0</v>
      </c>
      <c r="AE54" s="162">
        <f>10*SUMIFS(Dataset!$H:$H,Dataset!$F:$F,credito!$D$11,Dataset!AH:AH,"bono corporativo",Dataset!T:T,"$",Dataset!$J:$J,"&lt;"&amp;$D54,Dataset!J:J,"&gt;="&amp;$C54)</f>
        <v>0</v>
      </c>
      <c r="AF54" s="162">
        <f>10*SUMIFS(Dataset!$H:$H,Dataset!$F:$F,credito!$D$11,Dataset!AH:AH,"bono corporativo",Dataset!T:T,"uf",Dataset!$J:$J,"&lt;"&amp;$D54,Dataset!J:J,"&gt;="&amp;$C54)</f>
        <v>1.5388907171244792</v>
      </c>
      <c r="AG54" s="162">
        <f>10*SUMIFS(Dataset!$H:$H,Dataset!$F:$F,credito!$D$11,Dataset!AH:AH,"bono corporativo",Dataset!T:T,"us$",Dataset!$J:$J,"&lt;"&amp;$D54,Dataset!J:J,"&gt;="&amp;$C54)</f>
        <v>0.24423719522106624</v>
      </c>
      <c r="AH54" s="162">
        <f>10*SUMIFS(Dataset!H:H,Dataset!F:F,credito!$D$11,Dataset!J:J,"&lt;"&amp;$D77,Dataset!J:J,"&gt;="&amp;$C77,Dataset!AH:AH,"&lt;&gt;bono corporativo",Dataset!AH:AH,"&lt;&gt;bono de gobierno",Dataset!AH:AH,"&lt;&gt;deposito")</f>
        <v>0</v>
      </c>
      <c r="AI54" s="163">
        <f t="shared" si="4"/>
        <v>1.7831279123455455</v>
      </c>
    </row>
    <row r="55" spans="3:35" ht="33" customHeight="1" x14ac:dyDescent="0.2">
      <c r="C55" s="57">
        <v>5.5</v>
      </c>
      <c r="D55" s="61">
        <v>6.5</v>
      </c>
      <c r="E55" s="158">
        <f>SUMIFS(Dataset!AK:AK,Dataset!F:F,credito!$D$11,Dataset!AH:AH,"deposito",Dataset!T:T,"$",Dataset!J:J,"&lt;"&amp;$D55,Dataset!J:J,"&gt;="&amp;$C55)</f>
        <v>0</v>
      </c>
      <c r="F55" s="159">
        <f>SUMIFS(Dataset!AK:AK,Dataset!F:F,credito!$D$11,Dataset!AH:AH,"deposito",Dataset!T:T,"UF",Dataset!J:J,"&lt;"&amp;$D55,Dataset!J:J,"&gt;="&amp;$C55)</f>
        <v>0</v>
      </c>
      <c r="G55" s="159">
        <f>SUMIFS(Dataset!AK:AK,Dataset!F:F,credito!$D$11,Dataset!AH:AH,"bono de gobierno",Dataset!T:T,"$",Dataset!J:J,"&lt;"&amp;$D55,Dataset!J:J,"&gt;="&amp;$C55)</f>
        <v>0</v>
      </c>
      <c r="H55" s="159">
        <f>SUMIFS(Dataset!AK:AK,Dataset!F:F,credito!$D$11,Dataset!AH:AH,"bono de gobierno",Dataset!T:T,"UF",Dataset!J:J,"&lt;"&amp;$D55,Dataset!J:J,"&gt;="&amp;$C55)</f>
        <v>0</v>
      </c>
      <c r="I55" s="159">
        <f>SUMIFS(Dataset!AK:AK,Dataset!F:F,credito!$D$11,Dataset!AH:AH,"bono de gobierno",Dataset!T:T,"eu",Dataset!J:J,"&lt;"&amp;$D55,Dataset!J:J,"&gt;="&amp;$C55)</f>
        <v>0</v>
      </c>
      <c r="J55" s="159">
        <f>SUMIFS(Dataset!AK:AK,Dataset!F:F,credito!$D$11,Dataset!AH:AH,"bono de gobierno",Dataset!T:T,"mx",Dataset!J:J,"&lt;"&amp;$D55,Dataset!J:J,"&gt;="&amp;$C55)</f>
        <v>0</v>
      </c>
      <c r="K55" s="159">
        <f>SUMIFS(Dataset!AK:AK,Dataset!F:F,credito!$D$11,Dataset!AH:AH,"bono corporativo",Dataset!T:T,"$",Dataset!J:J,"&lt;"&amp;$D55,Dataset!J:J,"&gt;="&amp;$C55)</f>
        <v>0</v>
      </c>
      <c r="L55" s="159">
        <f>SUMIFS(Dataset!AK:AK,Dataset!F:F,credito!$D$11,Dataset!AH:AH,"bono corporativo",Dataset!T:T,"UF",Dataset!J:J,"&lt;"&amp;$D55,Dataset!J:J,"&gt;="&amp;$C55)</f>
        <v>0.10020479045608677</v>
      </c>
      <c r="M55" s="159">
        <f>SUMIFS(Dataset!AK:AK,Dataset!F:F,credito!$D$11,Dataset!AH:AH,"bono corporativo",Dataset!T:T,"US$",Dataset!J:J,"&lt;"&amp;$D55,Dataset!J:J,"&gt;="&amp;$C55)</f>
        <v>1.5916324031827786E-2</v>
      </c>
      <c r="N55" s="159">
        <f>SUMIFS(Dataset!AK:AK,Dataset!F:F,credito!$D$11,Dataset!J:J,"&lt;"&amp;$D55,Dataset!J:J,"&gt;="&amp;$C55,Dataset!AH:AH,"&lt;&gt;bono corporativo",Dataset!AH:AH,"&lt;&gt;bono de gobierno",Dataset!AH:AH,"&lt;&gt;deposito")</f>
        <v>0</v>
      </c>
      <c r="O55" s="160">
        <f t="shared" si="2"/>
        <v>0.11612111448791455</v>
      </c>
      <c r="P55" s="158">
        <f>SUMIFS(Dataset!$AK:$AK,Dataset!$F:$F,credito!$D$11,Dataset!$AC:$AC,P$48,Dataset!$J:$J,"&lt;"&amp;$D55,Dataset!J:J,"&gt;="&amp;$C55)</f>
        <v>0</v>
      </c>
      <c r="Q55" s="159">
        <f>SUMIFS(Dataset!$AK:$AK,Dataset!$F:$F,credito!$D$11,Dataset!$AC:$AC,Q$48,Dataset!$J:$J,"&lt;"&amp;$D55,Dataset!J:J,"&gt;="&amp;$C55)</f>
        <v>0</v>
      </c>
      <c r="R55" s="159">
        <f>SUMIFS(Dataset!$AK:$AK,Dataset!$F:$F,credito!$D$11,Dataset!$AC:$AC,R$48,Dataset!$J:$J,"&lt;"&amp;$D55,Dataset!J:J,"&gt;="&amp;$C55)</f>
        <v>0</v>
      </c>
      <c r="S55" s="159">
        <f>SUMIFS(Dataset!$AK:$AK,Dataset!$F:$F,credito!$D$11,Dataset!$AC:$AC,S$48,Dataset!$J:$J,"&lt;"&amp;$D55,Dataset!J:J,"&gt;="&amp;$C55)</f>
        <v>0</v>
      </c>
      <c r="T55" s="159">
        <f>SUMIFS(Dataset!$AK:$AK,Dataset!$F:$F,credito!$D$11,Dataset!$AC:$AC,T$48,Dataset!$J:$J,"&lt;"&amp;$D55,Dataset!J:J,"&gt;="&amp;$C55)</f>
        <v>1.1907239428100383E-2</v>
      </c>
      <c r="U55" s="159">
        <f>SUMIFS(Dataset!$AK:$AK,Dataset!$F:$F,credito!$D$11,Dataset!$AC:$AC,"A",Dataset!$J:$J,"&lt;"&amp;$D55,Dataset!$J:$J,"&gt;="&amp;$C55)+SUMIFS(Dataset!$AK:$AK,Dataset!$F:$F,credito!$D$11,Dataset!$AC:$AC,"A-",Dataset!$J:$J,"&lt;"&amp;$D55,Dataset!$J:$J,"&gt;="&amp;$C55)+SUMIFS(Dataset!$AK:$AK,Dataset!$F:$F,credito!$D$11,Dataset!$AC:$AC,"A+",Dataset!$J:$J,"&lt;"&amp;$D55,Dataset!$J:$J,"&gt;="&amp;$C55)</f>
        <v>9.2086100611296656E-2</v>
      </c>
      <c r="V55" s="159">
        <f>SUMIFS(Dataset!$AK:$AK,Dataset!$F:$F,credito!$D$11,Dataset!$AC:$AC,"BBB",Dataset!$J:$J,"&lt;"&amp;$D55,Dataset!$J:$J,"&gt;="&amp;$C55)+SUMIFS(Dataset!$AK:$AK,Dataset!$F:$F,credito!$D$11,Dataset!$AC:$AC,"BBB-",Dataset!$J:$J,"&lt;"&amp;$D55,Dataset!$J:$J,"&gt;="&amp;$C55)+SUMIFS(Dataset!$AK:$AK,Dataset!$F:$F,credito!$D$11,Dataset!$AC:$AC,"BBB+",Dataset!$J:$J,"&lt;"&amp;$D55,Dataset!$J:$J,"&gt;="&amp;$C55)</f>
        <v>0</v>
      </c>
      <c r="W55" s="159">
        <f>SUMIFS(Dataset!$AK:$AK,Dataset!$F:$F,credito!$D$11,Dataset!$J:$J,"&lt;"&amp;$D55,Dataset!$J:$J,"&gt;="&amp;$C55,Dataset!$AC:$AC,"&lt;&gt;N-1+",Dataset!$AC:$AC,"&lt;&gt;*AA*",Dataset!$AC:$AC,"&lt;&gt;*AAA*",Dataset!$AC:$AC,"&lt;&gt;A",Dataset!$AC:$AC,"&lt;&gt;A-",Dataset!$AC:$AC,"&lt;&gt;A+",Dataset!$AC:$AC,"&lt;&gt;*BBB*")</f>
        <v>1.2127774448517504E-2</v>
      </c>
      <c r="X55" s="160">
        <f t="shared" si="3"/>
        <v>0.11612111448791455</v>
      </c>
      <c r="Y55" s="161">
        <f>10*SUMIFS(Dataset!$H:$H,Dataset!$F:$F,credito!$D$11,Dataset!AH:AH,"deposito",Dataset!T:T,"$",Dataset!$J:$J,"&lt;"&amp;$D55,Dataset!J:J,"&gt;="&amp;$C55)</f>
        <v>0</v>
      </c>
      <c r="Z55" s="162">
        <f>10*SUMIFS(Dataset!$H:$H,Dataset!$F:$F,credito!$D$11,Dataset!AH:AH,"deposito",Dataset!T:T,"UF",Dataset!$J:$J,"&lt;"&amp;$D55,Dataset!J:J,"&gt;="&amp;$C55)</f>
        <v>0</v>
      </c>
      <c r="AA55" s="162">
        <f>10*SUMIFS(Dataset!$H:$H,Dataset!$F:$F,credito!$D$11,Dataset!AH:AH,"bono de gobierno",Dataset!T:T,"$",Dataset!$J:$J,"&lt;"&amp;$D55,Dataset!J:J,"&gt;="&amp;$C55)</f>
        <v>0</v>
      </c>
      <c r="AB55" s="162">
        <f>10*SUMIFS(Dataset!$H:$H,Dataset!$F:$F,credito!$D$11,Dataset!AH:AH,"bono de gobierno",Dataset!T:T,"uf",Dataset!$J:$J,"&lt;"&amp;$D55,Dataset!J:J,"&gt;="&amp;$C55)</f>
        <v>0</v>
      </c>
      <c r="AC55" s="162">
        <f>10*SUMIFS(Dataset!$H:$H,Dataset!$F:$F,credito!$D$11,Dataset!AH:AH,"bono de gobierno",Dataset!T:T,"eu",Dataset!$J:$J,"&lt;"&amp;$D55,Dataset!J:J,"&gt;="&amp;$C55)</f>
        <v>0</v>
      </c>
      <c r="AD55" s="162">
        <f>10*SUMIFS(Dataset!$H:$H,Dataset!$F:$F,credito!$D$11,Dataset!AH:AH,"bono de gobierno",Dataset!T:T,"mx",Dataset!$J:$J,"&lt;"&amp;$D55,Dataset!J:J,"&gt;="&amp;$C55)</f>
        <v>0</v>
      </c>
      <c r="AE55" s="162">
        <f>10*SUMIFS(Dataset!$H:$H,Dataset!$F:$F,credito!$D$11,Dataset!AH:AH,"bono corporativo",Dataset!T:T,"$",Dataset!$J:$J,"&lt;"&amp;$D55,Dataset!J:J,"&gt;="&amp;$C55)</f>
        <v>0</v>
      </c>
      <c r="AF55" s="162">
        <f>10*SUMIFS(Dataset!$H:$H,Dataset!$F:$F,credito!$D$11,Dataset!AH:AH,"bono corporativo",Dataset!T:T,"uf",Dataset!$J:$J,"&lt;"&amp;$D55,Dataset!J:J,"&gt;="&amp;$C55)</f>
        <v>5.961636477749483</v>
      </c>
      <c r="AG55" s="162">
        <f>10*SUMIFS(Dataset!$H:$H,Dataset!$F:$F,credito!$D$11,Dataset!AH:AH,"bono corporativo",Dataset!T:T,"us$",Dataset!$J:$J,"&lt;"&amp;$D55,Dataset!J:J,"&gt;="&amp;$C55)</f>
        <v>0.9126846564795732</v>
      </c>
      <c r="AH55" s="162">
        <f>10*SUMIFS(Dataset!H:H,Dataset!F:F,credito!$D$11,Dataset!J:J,"&lt;"&amp;$D78,Dataset!J:J,"&gt;="&amp;$C78,Dataset!AH:AH,"&lt;&gt;bono corporativo",Dataset!AH:AH,"&lt;&gt;bono de gobierno",Dataset!AH:AH,"&lt;&gt;deposito")</f>
        <v>0</v>
      </c>
      <c r="AI55" s="163">
        <f t="shared" si="4"/>
        <v>6.8743211342290564</v>
      </c>
    </row>
    <row r="56" spans="3:35" ht="33" customHeight="1" x14ac:dyDescent="0.2">
      <c r="C56" s="57">
        <v>6.5</v>
      </c>
      <c r="D56" s="61">
        <v>7.5</v>
      </c>
      <c r="E56" s="158">
        <f>SUMIFS(Dataset!AK:AK,Dataset!F:F,credito!$D$11,Dataset!AH:AH,"deposito",Dataset!T:T,"$",Dataset!J:J,"&lt;"&amp;$D56,Dataset!J:J,"&gt;="&amp;$C56)</f>
        <v>0</v>
      </c>
      <c r="F56" s="159">
        <f>SUMIFS(Dataset!AK:AK,Dataset!F:F,credito!$D$11,Dataset!AH:AH,"deposito",Dataset!T:T,"UF",Dataset!J:J,"&lt;"&amp;$D56,Dataset!J:J,"&gt;="&amp;$C56)</f>
        <v>0</v>
      </c>
      <c r="G56" s="159">
        <f>SUMIFS(Dataset!AK:AK,Dataset!F:F,credito!$D$11,Dataset!AH:AH,"bono de gobierno",Dataset!T:T,"$",Dataset!J:J,"&lt;"&amp;$D56,Dataset!J:J,"&gt;="&amp;$C56)</f>
        <v>0</v>
      </c>
      <c r="H56" s="159">
        <f>SUMIFS(Dataset!AK:AK,Dataset!F:F,credito!$D$11,Dataset!AH:AH,"bono de gobierno",Dataset!T:T,"UF",Dataset!J:J,"&lt;"&amp;$D56,Dataset!J:J,"&gt;="&amp;$C56)</f>
        <v>0</v>
      </c>
      <c r="I56" s="159">
        <f>SUMIFS(Dataset!AK:AK,Dataset!F:F,credito!$D$11,Dataset!AH:AH,"bono de gobierno",Dataset!T:T,"eu",Dataset!J:J,"&lt;"&amp;$D56,Dataset!J:J,"&gt;="&amp;$C56)</f>
        <v>0</v>
      </c>
      <c r="J56" s="159">
        <f>SUMIFS(Dataset!AK:AK,Dataset!F:F,credito!$D$11,Dataset!AH:AH,"bono de gobierno",Dataset!T:T,"mx",Dataset!J:J,"&lt;"&amp;$D56,Dataset!J:J,"&gt;="&amp;$C56)</f>
        <v>0</v>
      </c>
      <c r="K56" s="159">
        <f>SUMIFS(Dataset!AK:AK,Dataset!F:F,credito!$D$11,Dataset!AH:AH,"bono corporativo",Dataset!T:T,"$",Dataset!J:J,"&lt;"&amp;$D56,Dataset!J:J,"&gt;="&amp;$C56)</f>
        <v>0</v>
      </c>
      <c r="L56" s="159">
        <f>SUMIFS(Dataset!AK:AK,Dataset!F:F,credito!$D$11,Dataset!AH:AH,"bono corporativo",Dataset!T:T,"UF",Dataset!J:J,"&lt;"&amp;$D56,Dataset!J:J,"&gt;="&amp;$C56)</f>
        <v>7.7734200006059642E-2</v>
      </c>
      <c r="M56" s="159">
        <f>SUMIFS(Dataset!AK:AK,Dataset!F:F,credito!$D$11,Dataset!AH:AH,"bono corporativo",Dataset!T:T,"US$",Dataset!J:J,"&lt;"&amp;$D56,Dataset!J:J,"&gt;="&amp;$C56)</f>
        <v>0</v>
      </c>
      <c r="N56" s="159">
        <f>SUMIFS(Dataset!AK:AK,Dataset!F:F,credito!$D$11,Dataset!J:J,"&lt;"&amp;$D56,Dataset!J:J,"&gt;="&amp;$C56,Dataset!AH:AH,"&lt;&gt;bono corporativo",Dataset!AH:AH,"&lt;&gt;bono de gobierno",Dataset!AH:AH,"&lt;&gt;deposito")</f>
        <v>0</v>
      </c>
      <c r="O56" s="160">
        <f t="shared" si="2"/>
        <v>7.7734200006059642E-2</v>
      </c>
      <c r="P56" s="158">
        <f>SUMIFS(Dataset!$AK:$AK,Dataset!$F:$F,credito!$D$11,Dataset!$AC:$AC,P$48,Dataset!$J:$J,"&lt;"&amp;$D56,Dataset!J:J,"&gt;="&amp;$C56)</f>
        <v>0</v>
      </c>
      <c r="Q56" s="159">
        <f>SUMIFS(Dataset!$AK:$AK,Dataset!$F:$F,credito!$D$11,Dataset!$AC:$AC,Q$48,Dataset!$J:$J,"&lt;"&amp;$D56,Dataset!J:J,"&gt;="&amp;$C56)</f>
        <v>0</v>
      </c>
      <c r="R56" s="159">
        <f>SUMIFS(Dataset!$AK:$AK,Dataset!$F:$F,credito!$D$11,Dataset!$AC:$AC,R$48,Dataset!$J:$J,"&lt;"&amp;$D56,Dataset!J:J,"&gt;="&amp;$C56)</f>
        <v>0</v>
      </c>
      <c r="S56" s="159">
        <f>SUMIFS(Dataset!$AK:$AK,Dataset!$F:$F,credito!$D$11,Dataset!$AC:$AC,S$48,Dataset!$J:$J,"&lt;"&amp;$D56,Dataset!J:J,"&gt;="&amp;$C56)</f>
        <v>6.7312074242055929E-3</v>
      </c>
      <c r="T56" s="159">
        <f>SUMIFS(Dataset!$AK:$AK,Dataset!$F:$F,credito!$D$11,Dataset!$AC:$AC,T$48,Dataset!$J:$J,"&lt;"&amp;$D56,Dataset!J:J,"&gt;="&amp;$C56)</f>
        <v>5.5246596691174425E-2</v>
      </c>
      <c r="U56" s="159">
        <f>SUMIFS(Dataset!$AK:$AK,Dataset!$F:$F,credito!$D$11,Dataset!$AC:$AC,"A",Dataset!$J:$J,"&lt;"&amp;$D56,Dataset!$J:$J,"&gt;="&amp;$C56)+SUMIFS(Dataset!$AK:$AK,Dataset!$F:$F,credito!$D$11,Dataset!$AC:$AC,"A-",Dataset!$J:$J,"&lt;"&amp;$D56,Dataset!$J:$J,"&gt;="&amp;$C56)+SUMIFS(Dataset!$AK:$AK,Dataset!$F:$F,credito!$D$11,Dataset!$AC:$AC,"A+",Dataset!$J:$J,"&lt;"&amp;$D56,Dataset!$J:$J,"&gt;="&amp;$C56)</f>
        <v>1.5756395890679627E-2</v>
      </c>
      <c r="V56" s="159">
        <f>SUMIFS(Dataset!$AK:$AK,Dataset!$F:$F,credito!$D$11,Dataset!$AC:$AC,"BBB",Dataset!$J:$J,"&lt;"&amp;$D56,Dataset!$J:$J,"&gt;="&amp;$C56)+SUMIFS(Dataset!$AK:$AK,Dataset!$F:$F,credito!$D$11,Dataset!$AC:$AC,"BBB-",Dataset!$J:$J,"&lt;"&amp;$D56,Dataset!$J:$J,"&gt;="&amp;$C56)+SUMIFS(Dataset!$AK:$AK,Dataset!$F:$F,credito!$D$11,Dataset!$AC:$AC,"BBB+",Dataset!$J:$J,"&lt;"&amp;$D56,Dataset!$J:$J,"&gt;="&amp;$C56)</f>
        <v>0</v>
      </c>
      <c r="W56" s="159">
        <f>SUMIFS(Dataset!$AK:$AK,Dataset!$F:$F,credito!$D$11,Dataset!$J:$J,"&lt;"&amp;$D56,Dataset!$J:$J,"&gt;="&amp;$C56,Dataset!$AC:$AC,"&lt;&gt;N-1+",Dataset!$AC:$AC,"&lt;&gt;*AA*",Dataset!$AC:$AC,"&lt;&gt;*AAA*",Dataset!$AC:$AC,"&lt;&gt;A",Dataset!$AC:$AC,"&lt;&gt;A-",Dataset!$AC:$AC,"&lt;&gt;A+",Dataset!$AC:$AC,"&lt;&gt;*BBB*")</f>
        <v>0</v>
      </c>
      <c r="X56" s="160">
        <f t="shared" si="3"/>
        <v>7.7734200006059642E-2</v>
      </c>
      <c r="Y56" s="161">
        <f>10*SUMIFS(Dataset!$H:$H,Dataset!$F:$F,credito!$D$11,Dataset!AH:AH,"deposito",Dataset!T:T,"$",Dataset!$J:$J,"&lt;"&amp;$D56,Dataset!J:J,"&gt;="&amp;$C56)</f>
        <v>0</v>
      </c>
      <c r="Z56" s="162">
        <f>10*SUMIFS(Dataset!$H:$H,Dataset!$F:$F,credito!$D$11,Dataset!AH:AH,"deposito",Dataset!T:T,"UF",Dataset!$J:$J,"&lt;"&amp;$D56,Dataset!J:J,"&gt;="&amp;$C56)</f>
        <v>0</v>
      </c>
      <c r="AA56" s="162">
        <f>10*SUMIFS(Dataset!$H:$H,Dataset!$F:$F,credito!$D$11,Dataset!AH:AH,"bono de gobierno",Dataset!T:T,"$",Dataset!$J:$J,"&lt;"&amp;$D56,Dataset!J:J,"&gt;="&amp;$C56)</f>
        <v>0</v>
      </c>
      <c r="AB56" s="162">
        <f>10*SUMIFS(Dataset!$H:$H,Dataset!$F:$F,credito!$D$11,Dataset!AH:AH,"bono de gobierno",Dataset!T:T,"uf",Dataset!$J:$J,"&lt;"&amp;$D56,Dataset!J:J,"&gt;="&amp;$C56)</f>
        <v>0</v>
      </c>
      <c r="AC56" s="162">
        <f>10*SUMIFS(Dataset!$H:$H,Dataset!$F:$F,credito!$D$11,Dataset!AH:AH,"bono de gobierno",Dataset!T:T,"eu",Dataset!$J:$J,"&lt;"&amp;$D56,Dataset!J:J,"&gt;="&amp;$C56)</f>
        <v>0</v>
      </c>
      <c r="AD56" s="162">
        <f>10*SUMIFS(Dataset!$H:$H,Dataset!$F:$F,credito!$D$11,Dataset!AH:AH,"bono de gobierno",Dataset!T:T,"mx",Dataset!$J:$J,"&lt;"&amp;$D56,Dataset!J:J,"&gt;="&amp;$C56)</f>
        <v>0</v>
      </c>
      <c r="AE56" s="162">
        <f>10*SUMIFS(Dataset!$H:$H,Dataset!$F:$F,credito!$D$11,Dataset!AH:AH,"bono corporativo",Dataset!T:T,"$",Dataset!$J:$J,"&lt;"&amp;$D56,Dataset!J:J,"&gt;="&amp;$C56)</f>
        <v>0</v>
      </c>
      <c r="AF56" s="162">
        <f>10*SUMIFS(Dataset!$H:$H,Dataset!$F:$F,credito!$D$11,Dataset!AH:AH,"bono corporativo",Dataset!T:T,"uf",Dataset!$J:$J,"&lt;"&amp;$D56,Dataset!J:J,"&gt;="&amp;$C56)</f>
        <v>5.4341616017814438</v>
      </c>
      <c r="AG56" s="162">
        <f>10*SUMIFS(Dataset!$H:$H,Dataset!$F:$F,credito!$D$11,Dataset!AH:AH,"bono corporativo",Dataset!T:T,"us$",Dataset!$J:$J,"&lt;"&amp;$D56,Dataset!J:J,"&gt;="&amp;$C56)</f>
        <v>0</v>
      </c>
      <c r="AH56" s="162">
        <f>10*SUMIFS(Dataset!H:H,Dataset!F:F,credito!$D$11,Dataset!J:J,"&lt;"&amp;$D79,Dataset!J:J,"&gt;="&amp;$C79,Dataset!AH:AH,"&lt;&gt;bono corporativo",Dataset!AH:AH,"&lt;&gt;bono de gobierno",Dataset!AH:AH,"&lt;&gt;deposito")</f>
        <v>0</v>
      </c>
      <c r="AI56" s="163">
        <f t="shared" si="4"/>
        <v>5.4341616017814438</v>
      </c>
    </row>
    <row r="57" spans="3:35" ht="33" customHeight="1" x14ac:dyDescent="0.2">
      <c r="C57" s="57">
        <v>7.5</v>
      </c>
      <c r="D57" s="61">
        <v>8.5</v>
      </c>
      <c r="E57" s="158">
        <f>SUMIFS(Dataset!AK:AK,Dataset!F:F,credito!$D$11,Dataset!AH:AH,"deposito",Dataset!T:T,"$",Dataset!J:J,"&lt;"&amp;$D57,Dataset!J:J,"&gt;="&amp;$C57)</f>
        <v>0</v>
      </c>
      <c r="F57" s="159">
        <f>SUMIFS(Dataset!AK:AK,Dataset!F:F,credito!$D$11,Dataset!AH:AH,"deposito",Dataset!T:T,"UF",Dataset!J:J,"&lt;"&amp;$D57,Dataset!J:J,"&gt;="&amp;$C57)</f>
        <v>0</v>
      </c>
      <c r="G57" s="159">
        <f>SUMIFS(Dataset!AK:AK,Dataset!F:F,credito!$D$11,Dataset!AH:AH,"bono de gobierno",Dataset!T:T,"$",Dataset!J:J,"&lt;"&amp;$D57,Dataset!J:J,"&gt;="&amp;$C57)</f>
        <v>0</v>
      </c>
      <c r="H57" s="159">
        <f>SUMIFS(Dataset!AK:AK,Dataset!F:F,credito!$D$11,Dataset!AH:AH,"bono de gobierno",Dataset!T:T,"UF",Dataset!J:J,"&lt;"&amp;$D57,Dataset!J:J,"&gt;="&amp;$C57)</f>
        <v>1.8481690972586014E-2</v>
      </c>
      <c r="I57" s="159">
        <f>SUMIFS(Dataset!AK:AK,Dataset!F:F,credito!$D$11,Dataset!AH:AH,"bono de gobierno",Dataset!T:T,"eu",Dataset!J:J,"&lt;"&amp;$D57,Dataset!J:J,"&gt;="&amp;$C57)</f>
        <v>0</v>
      </c>
      <c r="J57" s="159">
        <f>SUMIFS(Dataset!AK:AK,Dataset!F:F,credito!$D$11,Dataset!AH:AH,"bono de gobierno",Dataset!T:T,"mx",Dataset!J:J,"&lt;"&amp;$D57,Dataset!J:J,"&gt;="&amp;$C57)</f>
        <v>0</v>
      </c>
      <c r="K57" s="159">
        <f>SUMIFS(Dataset!AK:AK,Dataset!F:F,credito!$D$11,Dataset!AH:AH,"bono corporativo",Dataset!T:T,"$",Dataset!J:J,"&lt;"&amp;$D57,Dataset!J:J,"&gt;="&amp;$C57)</f>
        <v>0</v>
      </c>
      <c r="L57" s="159">
        <f>SUMIFS(Dataset!AK:AK,Dataset!F:F,credito!$D$11,Dataset!AH:AH,"bono corporativo",Dataset!T:T,"UF",Dataset!J:J,"&lt;"&amp;$D57,Dataset!J:J,"&gt;="&amp;$C57)</f>
        <v>0.10636668850609865</v>
      </c>
      <c r="M57" s="159">
        <f>SUMIFS(Dataset!AK:AK,Dataset!F:F,credito!$D$11,Dataset!AH:AH,"bono corporativo",Dataset!T:T,"US$",Dataset!J:J,"&lt;"&amp;$D57,Dataset!J:J,"&gt;="&amp;$C57)</f>
        <v>0</v>
      </c>
      <c r="N57" s="159">
        <f>SUMIFS(Dataset!AK:AK,Dataset!F:F,credito!$D$11,Dataset!J:J,"&lt;"&amp;$D57,Dataset!J:J,"&gt;="&amp;$C57,Dataset!AH:AH,"&lt;&gt;bono corporativo",Dataset!AH:AH,"&lt;&gt;bono de gobierno",Dataset!AH:AH,"&lt;&gt;deposito")</f>
        <v>0</v>
      </c>
      <c r="O57" s="160">
        <f t="shared" si="2"/>
        <v>0.12484837947868466</v>
      </c>
      <c r="P57" s="158">
        <f>SUMIFS(Dataset!$AK:$AK,Dataset!$F:$F,credito!$D$11,Dataset!$AC:$AC,P$48,Dataset!$J:$J,"&lt;"&amp;$D57,Dataset!J:J,"&gt;="&amp;$C57)</f>
        <v>0</v>
      </c>
      <c r="Q57" s="159">
        <f>SUMIFS(Dataset!$AK:$AK,Dataset!$F:$F,credito!$D$11,Dataset!$AC:$AC,Q$48,Dataset!$J:$J,"&lt;"&amp;$D57,Dataset!J:J,"&gt;="&amp;$C57)</f>
        <v>1.8481690972586014E-2</v>
      </c>
      <c r="R57" s="159">
        <f>SUMIFS(Dataset!$AK:$AK,Dataset!$F:$F,credito!$D$11,Dataset!$AC:$AC,R$48,Dataset!$J:$J,"&lt;"&amp;$D57,Dataset!J:J,"&gt;="&amp;$C57)</f>
        <v>0</v>
      </c>
      <c r="S57" s="159">
        <f>SUMIFS(Dataset!$AK:$AK,Dataset!$F:$F,credito!$D$11,Dataset!$AC:$AC,S$48,Dataset!$J:$J,"&lt;"&amp;$D57,Dataset!J:J,"&gt;="&amp;$C57)</f>
        <v>0</v>
      </c>
      <c r="T57" s="159">
        <f>SUMIFS(Dataset!$AK:$AK,Dataset!$F:$F,credito!$D$11,Dataset!$AC:$AC,T$48,Dataset!$J:$J,"&lt;"&amp;$D57,Dataset!J:J,"&gt;="&amp;$C57)</f>
        <v>5.7337145507714724E-2</v>
      </c>
      <c r="U57" s="159">
        <f>SUMIFS(Dataset!$AK:$AK,Dataset!$F:$F,credito!$D$11,Dataset!$AC:$AC,"A",Dataset!$J:$J,"&lt;"&amp;$D57,Dataset!$J:$J,"&gt;="&amp;$C57)+SUMIFS(Dataset!$AK:$AK,Dataset!$F:$F,credito!$D$11,Dataset!$AC:$AC,"A-",Dataset!$J:$J,"&lt;"&amp;$D57,Dataset!$J:$J,"&gt;="&amp;$C57)+SUMIFS(Dataset!$AK:$AK,Dataset!$F:$F,credito!$D$11,Dataset!$AC:$AC,"A+",Dataset!$J:$J,"&lt;"&amp;$D57,Dataset!$J:$J,"&gt;="&amp;$C57)</f>
        <v>3.8321357152379103E-2</v>
      </c>
      <c r="V57" s="159">
        <f>SUMIFS(Dataset!$AK:$AK,Dataset!$F:$F,credito!$D$11,Dataset!$AC:$AC,"BBB",Dataset!$J:$J,"&lt;"&amp;$D57,Dataset!$J:$J,"&gt;="&amp;$C57)+SUMIFS(Dataset!$AK:$AK,Dataset!$F:$F,credito!$D$11,Dataset!$AC:$AC,"BBB-",Dataset!$J:$J,"&lt;"&amp;$D57,Dataset!$J:$J,"&gt;="&amp;$C57)+SUMIFS(Dataset!$AK:$AK,Dataset!$F:$F,credito!$D$11,Dataset!$AC:$AC,"BBB+",Dataset!$J:$J,"&lt;"&amp;$D57,Dataset!$J:$J,"&gt;="&amp;$C57)</f>
        <v>1.0708185846004853E-2</v>
      </c>
      <c r="W57" s="159">
        <f>SUMIFS(Dataset!$AK:$AK,Dataset!$F:$F,credito!$D$11,Dataset!$J:$J,"&lt;"&amp;$D57,Dataset!$J:$J,"&gt;="&amp;$C57,Dataset!$AC:$AC,"&lt;&gt;N-1+",Dataset!$AC:$AC,"&lt;&gt;*AA*",Dataset!$AC:$AC,"&lt;&gt;*AAA*",Dataset!$AC:$AC,"&lt;&gt;A",Dataset!$AC:$AC,"&lt;&gt;A-",Dataset!$AC:$AC,"&lt;&gt;A+",Dataset!$AC:$AC,"&lt;&gt;*BBB*")</f>
        <v>0</v>
      </c>
      <c r="X57" s="160">
        <f t="shared" si="3"/>
        <v>0.12484837947868471</v>
      </c>
      <c r="Y57" s="161">
        <f>10*SUMIFS(Dataset!$H:$H,Dataset!$F:$F,credito!$D$11,Dataset!AH:AH,"deposito",Dataset!T:T,"$",Dataset!$J:$J,"&lt;"&amp;$D57,Dataset!J:J,"&gt;="&amp;$C57)</f>
        <v>0</v>
      </c>
      <c r="Z57" s="162">
        <f>10*SUMIFS(Dataset!$H:$H,Dataset!$F:$F,credito!$D$11,Dataset!AH:AH,"deposito",Dataset!T:T,"UF",Dataset!$J:$J,"&lt;"&amp;$D57,Dataset!J:J,"&gt;="&amp;$C57)</f>
        <v>0</v>
      </c>
      <c r="AA57" s="162">
        <f>10*SUMIFS(Dataset!$H:$H,Dataset!$F:$F,credito!$D$11,Dataset!AH:AH,"bono de gobierno",Dataset!T:T,"$",Dataset!$J:$J,"&lt;"&amp;$D57,Dataset!J:J,"&gt;="&amp;$C57)</f>
        <v>0</v>
      </c>
      <c r="AB57" s="162">
        <f>10*SUMIFS(Dataset!$H:$H,Dataset!$F:$F,credito!$D$11,Dataset!AH:AH,"bono de gobierno",Dataset!T:T,"uf",Dataset!$J:$J,"&lt;"&amp;$D57,Dataset!J:J,"&gt;="&amp;$C57)</f>
        <v>1.4563572486397778</v>
      </c>
      <c r="AC57" s="162">
        <f>10*SUMIFS(Dataset!$H:$H,Dataset!$F:$F,credito!$D$11,Dataset!AH:AH,"bono de gobierno",Dataset!T:T,"eu",Dataset!$J:$J,"&lt;"&amp;$D57,Dataset!J:J,"&gt;="&amp;$C57)</f>
        <v>0</v>
      </c>
      <c r="AD57" s="162">
        <f>10*SUMIFS(Dataset!$H:$H,Dataset!$F:$F,credito!$D$11,Dataset!AH:AH,"bono de gobierno",Dataset!T:T,"mx",Dataset!$J:$J,"&lt;"&amp;$D57,Dataset!J:J,"&gt;="&amp;$C57)</f>
        <v>0</v>
      </c>
      <c r="AE57" s="162">
        <f>10*SUMIFS(Dataset!$H:$H,Dataset!$F:$F,credito!$D$11,Dataset!AH:AH,"bono corporativo",Dataset!T:T,"$",Dataset!$J:$J,"&lt;"&amp;$D57,Dataset!J:J,"&gt;="&amp;$C57)</f>
        <v>0</v>
      </c>
      <c r="AF57" s="162">
        <f>10*SUMIFS(Dataset!$H:$H,Dataset!$F:$F,credito!$D$11,Dataset!AH:AH,"bono corporativo",Dataset!T:T,"uf",Dataset!$J:$J,"&lt;"&amp;$D57,Dataset!J:J,"&gt;="&amp;$C57)</f>
        <v>8.5949715361855716</v>
      </c>
      <c r="AG57" s="162">
        <f>10*SUMIFS(Dataset!$H:$H,Dataset!$F:$F,credito!$D$11,Dataset!AH:AH,"bono corporativo",Dataset!T:T,"us$",Dataset!$J:$J,"&lt;"&amp;$D57,Dataset!J:J,"&gt;="&amp;$C57)</f>
        <v>0</v>
      </c>
      <c r="AH57" s="162">
        <f>10*SUMIFS(Dataset!H:H,Dataset!F:F,credito!$D$11,Dataset!J:J,"&lt;"&amp;$D80,Dataset!J:J,"&gt;="&amp;$C80,Dataset!AH:AH,"&lt;&gt;bono corporativo",Dataset!AH:AH,"&lt;&gt;bono de gobierno",Dataset!AH:AH,"&lt;&gt;deposito")</f>
        <v>0</v>
      </c>
      <c r="AI57" s="163">
        <f t="shared" si="4"/>
        <v>10.051328784825349</v>
      </c>
    </row>
    <row r="58" spans="3:35" ht="33" customHeight="1" x14ac:dyDescent="0.2">
      <c r="C58" s="57">
        <v>8.5</v>
      </c>
      <c r="D58" s="61">
        <v>9.5</v>
      </c>
      <c r="E58" s="158">
        <f>SUMIFS(Dataset!AK:AK,Dataset!F:F,credito!$D$11,Dataset!AH:AH,"deposito",Dataset!T:T,"$",Dataset!J:J,"&lt;"&amp;$D58,Dataset!J:J,"&gt;="&amp;$C58)</f>
        <v>0</v>
      </c>
      <c r="F58" s="159">
        <f>SUMIFS(Dataset!AK:AK,Dataset!F:F,credito!$D$11,Dataset!AH:AH,"deposito",Dataset!T:T,"UF",Dataset!J:J,"&lt;"&amp;$D58,Dataset!J:J,"&gt;="&amp;$C58)</f>
        <v>0</v>
      </c>
      <c r="G58" s="159">
        <f>SUMIFS(Dataset!AK:AK,Dataset!F:F,credito!$D$11,Dataset!AH:AH,"bono de gobierno",Dataset!T:T,"$",Dataset!J:J,"&lt;"&amp;$D58,Dataset!J:J,"&gt;="&amp;$C58)</f>
        <v>0</v>
      </c>
      <c r="H58" s="159">
        <f>SUMIFS(Dataset!AK:AK,Dataset!F:F,credito!$D$11,Dataset!AH:AH,"bono de gobierno",Dataset!T:T,"UF",Dataset!J:J,"&lt;"&amp;$D58,Dataset!J:J,"&gt;="&amp;$C58)</f>
        <v>0</v>
      </c>
      <c r="I58" s="159">
        <f>SUMIFS(Dataset!AK:AK,Dataset!F:F,credito!$D$11,Dataset!AH:AH,"bono de gobierno",Dataset!T:T,"eu",Dataset!J:J,"&lt;"&amp;$D58,Dataset!J:J,"&gt;="&amp;$C58)</f>
        <v>0</v>
      </c>
      <c r="J58" s="159">
        <f>SUMIFS(Dataset!AK:AK,Dataset!F:F,credito!$D$11,Dataset!AH:AH,"bono de gobierno",Dataset!T:T,"mx",Dataset!J:J,"&lt;"&amp;$D58,Dataset!J:J,"&gt;="&amp;$C58)</f>
        <v>0</v>
      </c>
      <c r="K58" s="159">
        <f>SUMIFS(Dataset!AK:AK,Dataset!F:F,credito!$D$11,Dataset!AH:AH,"bono corporativo",Dataset!T:T,"$",Dataset!J:J,"&lt;"&amp;$D58,Dataset!J:J,"&gt;="&amp;$C58)</f>
        <v>1.5172971123108661E-2</v>
      </c>
      <c r="L58" s="159">
        <f>SUMIFS(Dataset!AK:AK,Dataset!F:F,credito!$D$11,Dataset!AH:AH,"bono corporativo",Dataset!T:T,"UF",Dataset!J:J,"&lt;"&amp;$D58,Dataset!J:J,"&gt;="&amp;$C58)</f>
        <v>4.7214676696150107E-2</v>
      </c>
      <c r="M58" s="159">
        <f>SUMIFS(Dataset!AK:AK,Dataset!F:F,credito!$D$11,Dataset!AH:AH,"bono corporativo",Dataset!T:T,"US$",Dataset!J:J,"&lt;"&amp;$D58,Dataset!J:J,"&gt;="&amp;$C58)</f>
        <v>0</v>
      </c>
      <c r="N58" s="159">
        <f>SUMIFS(Dataset!AK:AK,Dataset!F:F,credito!$D$11,Dataset!J:J,"&lt;"&amp;$D58,Dataset!J:J,"&gt;="&amp;$C58,Dataset!AH:AH,"&lt;&gt;bono corporativo",Dataset!AH:AH,"&lt;&gt;bono de gobierno",Dataset!AH:AH,"&lt;&gt;deposito")</f>
        <v>0</v>
      </c>
      <c r="O58" s="160">
        <f t="shared" si="2"/>
        <v>6.2387647819258769E-2</v>
      </c>
      <c r="P58" s="158">
        <f>SUMIFS(Dataset!$AK:$AK,Dataset!$F:$F,credito!$D$11,Dataset!$AC:$AC,P$48,Dataset!$J:$J,"&lt;"&amp;$D58,Dataset!J:J,"&gt;="&amp;$C58)</f>
        <v>0</v>
      </c>
      <c r="Q58" s="159">
        <f>SUMIFS(Dataset!$AK:$AK,Dataset!$F:$F,credito!$D$11,Dataset!$AC:$AC,Q$48,Dataset!$J:$J,"&lt;"&amp;$D58,Dataset!J:J,"&gt;="&amp;$C58)</f>
        <v>0</v>
      </c>
      <c r="R58" s="159">
        <f>SUMIFS(Dataset!$AK:$AK,Dataset!$F:$F,credito!$D$11,Dataset!$AC:$AC,R$48,Dataset!$J:$J,"&lt;"&amp;$D58,Dataset!J:J,"&gt;="&amp;$C58)</f>
        <v>0</v>
      </c>
      <c r="S58" s="159">
        <f>SUMIFS(Dataset!$AK:$AK,Dataset!$F:$F,credito!$D$11,Dataset!$AC:$AC,S$48,Dataset!$J:$J,"&lt;"&amp;$D58,Dataset!J:J,"&gt;="&amp;$C58)</f>
        <v>0</v>
      </c>
      <c r="T58" s="159">
        <f>SUMIFS(Dataset!$AK:$AK,Dataset!$F:$F,credito!$D$11,Dataset!$AC:$AC,T$48,Dataset!$J:$J,"&lt;"&amp;$D58,Dataset!J:J,"&gt;="&amp;$C58)</f>
        <v>3.8522776118093058E-2</v>
      </c>
      <c r="U58" s="159">
        <f>SUMIFS(Dataset!$AK:$AK,Dataset!$F:$F,credito!$D$11,Dataset!$AC:$AC,"A",Dataset!$J:$J,"&lt;"&amp;$D58,Dataset!$J:$J,"&gt;="&amp;$C58)+SUMIFS(Dataset!$AK:$AK,Dataset!$F:$F,credito!$D$11,Dataset!$AC:$AC,"A-",Dataset!$J:$J,"&lt;"&amp;$D58,Dataset!$J:$J,"&gt;="&amp;$C58)+SUMIFS(Dataset!$AK:$AK,Dataset!$F:$F,credito!$D$11,Dataset!$AC:$AC,"A+",Dataset!$J:$J,"&lt;"&amp;$D58,Dataset!$J:$J,"&gt;="&amp;$C58)</f>
        <v>2.3864871701165715E-2</v>
      </c>
      <c r="V58" s="159">
        <f>SUMIFS(Dataset!$AK:$AK,Dataset!$F:$F,credito!$D$11,Dataset!$AC:$AC,"BBB",Dataset!$J:$J,"&lt;"&amp;$D58,Dataset!$J:$J,"&gt;="&amp;$C58)+SUMIFS(Dataset!$AK:$AK,Dataset!$F:$F,credito!$D$11,Dataset!$AC:$AC,"BBB-",Dataset!$J:$J,"&lt;"&amp;$D58,Dataset!$J:$J,"&gt;="&amp;$C58)+SUMIFS(Dataset!$AK:$AK,Dataset!$F:$F,credito!$D$11,Dataset!$AC:$AC,"BBB+",Dataset!$J:$J,"&lt;"&amp;$D58,Dataset!$J:$J,"&gt;="&amp;$C58)</f>
        <v>0</v>
      </c>
      <c r="W58" s="159">
        <f>SUMIFS(Dataset!$AK:$AK,Dataset!$F:$F,credito!$D$11,Dataset!$J:$J,"&lt;"&amp;$D58,Dataset!$J:$J,"&gt;="&amp;$C58,Dataset!$AC:$AC,"&lt;&gt;N-1+",Dataset!$AC:$AC,"&lt;&gt;*AA*",Dataset!$AC:$AC,"&lt;&gt;*AAA*",Dataset!$AC:$AC,"&lt;&gt;A",Dataset!$AC:$AC,"&lt;&gt;A-",Dataset!$AC:$AC,"&lt;&gt;A+",Dataset!$AC:$AC,"&lt;&gt;*BBB*")</f>
        <v>0</v>
      </c>
      <c r="X58" s="160">
        <f t="shared" si="3"/>
        <v>6.2387647819258776E-2</v>
      </c>
      <c r="Y58" s="161">
        <f>10*SUMIFS(Dataset!$H:$H,Dataset!$F:$F,credito!$D$11,Dataset!AH:AH,"deposito",Dataset!T:T,"$",Dataset!$J:$J,"&lt;"&amp;$D58,Dataset!J:J,"&gt;="&amp;$C58)</f>
        <v>0</v>
      </c>
      <c r="Z58" s="162">
        <f>10*SUMIFS(Dataset!$H:$H,Dataset!$F:$F,credito!$D$11,Dataset!AH:AH,"deposito",Dataset!T:T,"UF",Dataset!$J:$J,"&lt;"&amp;$D58,Dataset!J:J,"&gt;="&amp;$C58)</f>
        <v>0</v>
      </c>
      <c r="AA58" s="162">
        <f>10*SUMIFS(Dataset!$H:$H,Dataset!$F:$F,credito!$D$11,Dataset!AH:AH,"bono de gobierno",Dataset!T:T,"$",Dataset!$J:$J,"&lt;"&amp;$D58,Dataset!J:J,"&gt;="&amp;$C58)</f>
        <v>0</v>
      </c>
      <c r="AB58" s="162">
        <f>10*SUMIFS(Dataset!$H:$H,Dataset!$F:$F,credito!$D$11,Dataset!AH:AH,"bono de gobierno",Dataset!T:T,"uf",Dataset!$J:$J,"&lt;"&amp;$D58,Dataset!J:J,"&gt;="&amp;$C58)</f>
        <v>0</v>
      </c>
      <c r="AC58" s="162">
        <f>10*SUMIFS(Dataset!$H:$H,Dataset!$F:$F,credito!$D$11,Dataset!AH:AH,"bono de gobierno",Dataset!T:T,"eu",Dataset!$J:$J,"&lt;"&amp;$D58,Dataset!J:J,"&gt;="&amp;$C58)</f>
        <v>0</v>
      </c>
      <c r="AD58" s="162">
        <f>10*SUMIFS(Dataset!$H:$H,Dataset!$F:$F,credito!$D$11,Dataset!AH:AH,"bono de gobierno",Dataset!T:T,"mx",Dataset!$J:$J,"&lt;"&amp;$D58,Dataset!J:J,"&gt;="&amp;$C58)</f>
        <v>0</v>
      </c>
      <c r="AE58" s="162">
        <f>10*SUMIFS(Dataset!$H:$H,Dataset!$F:$F,credito!$D$11,Dataset!AH:AH,"bono corporativo",Dataset!T:T,"$",Dataset!$J:$J,"&lt;"&amp;$D58,Dataset!J:J,"&gt;="&amp;$C58)</f>
        <v>1.3473598357320493</v>
      </c>
      <c r="AF58" s="162">
        <f>10*SUMIFS(Dataset!$H:$H,Dataset!$F:$F,credito!$D$11,Dataset!AH:AH,"bono corporativo",Dataset!T:T,"uf",Dataset!$J:$J,"&lt;"&amp;$D58,Dataset!J:J,"&gt;="&amp;$C58)</f>
        <v>4.3153517425562624</v>
      </c>
      <c r="AG58" s="162">
        <f>10*SUMIFS(Dataset!$H:$H,Dataset!$F:$F,credito!$D$11,Dataset!AH:AH,"bono corporativo",Dataset!T:T,"us$",Dataset!$J:$J,"&lt;"&amp;$D58,Dataset!J:J,"&gt;="&amp;$C58)</f>
        <v>0</v>
      </c>
      <c r="AH58" s="162">
        <f>10*SUMIFS(Dataset!H:H,Dataset!F:F,credito!$D$11,Dataset!J:J,"&lt;"&amp;$D81,Dataset!J:J,"&gt;="&amp;$C81,Dataset!AH:AH,"&lt;&gt;bono corporativo",Dataset!AH:AH,"&lt;&gt;bono de gobierno",Dataset!AH:AH,"&lt;&gt;deposito")</f>
        <v>0</v>
      </c>
      <c r="AI58" s="163">
        <f t="shared" si="4"/>
        <v>5.6627115782883113</v>
      </c>
    </row>
    <row r="59" spans="3:35" ht="33" customHeight="1" x14ac:dyDescent="0.2">
      <c r="C59" s="57">
        <v>9.5</v>
      </c>
      <c r="D59" s="61">
        <v>10.5</v>
      </c>
      <c r="E59" s="158">
        <f>SUMIFS(Dataset!AK:AK,Dataset!F:F,credito!$D$11,Dataset!AH:AH,"deposito",Dataset!T:T,"$",Dataset!J:J,"&lt;"&amp;$D59,Dataset!J:J,"&gt;="&amp;$C59)</f>
        <v>0</v>
      </c>
      <c r="F59" s="159">
        <f>SUMIFS(Dataset!AK:AK,Dataset!F:F,credito!$D$11,Dataset!AH:AH,"deposito",Dataset!T:T,"UF",Dataset!J:J,"&lt;"&amp;$D59,Dataset!J:J,"&gt;="&amp;$C59)</f>
        <v>0</v>
      </c>
      <c r="G59" s="159">
        <f>SUMIFS(Dataset!AK:AK,Dataset!F:F,credito!$D$11,Dataset!AH:AH,"bono de gobierno",Dataset!T:T,"$",Dataset!J:J,"&lt;"&amp;$D59,Dataset!J:J,"&gt;="&amp;$C59)</f>
        <v>0</v>
      </c>
      <c r="H59" s="159">
        <f>SUMIFS(Dataset!AK:AK,Dataset!F:F,credito!$D$11,Dataset!AH:AH,"bono de gobierno",Dataset!T:T,"UF",Dataset!J:J,"&lt;"&amp;$D59,Dataset!J:J,"&gt;="&amp;$C59)</f>
        <v>0</v>
      </c>
      <c r="I59" s="159">
        <f>SUMIFS(Dataset!AK:AK,Dataset!F:F,credito!$D$11,Dataset!AH:AH,"bono de gobierno",Dataset!T:T,"eu",Dataset!J:J,"&lt;"&amp;$D59,Dataset!J:J,"&gt;="&amp;$C59)</f>
        <v>0</v>
      </c>
      <c r="J59" s="159">
        <f>SUMIFS(Dataset!AK:AK,Dataset!F:F,credito!$D$11,Dataset!AH:AH,"bono de gobierno",Dataset!T:T,"mx",Dataset!J:J,"&lt;"&amp;$D59,Dataset!J:J,"&gt;="&amp;$C59)</f>
        <v>0</v>
      </c>
      <c r="K59" s="159">
        <f>SUMIFS(Dataset!AK:AK,Dataset!F:F,credito!$D$11,Dataset!AH:AH,"bono corporativo",Dataset!T:T,"$",Dataset!J:J,"&lt;"&amp;$D59,Dataset!J:J,"&gt;="&amp;$C59)</f>
        <v>0</v>
      </c>
      <c r="L59" s="159">
        <f>SUMIFS(Dataset!AK:AK,Dataset!F:F,credito!$D$11,Dataset!AH:AH,"bono corporativo",Dataset!T:T,"UF",Dataset!J:J,"&lt;"&amp;$D59,Dataset!J:J,"&gt;="&amp;$C59)</f>
        <v>2.044855943162557E-2</v>
      </c>
      <c r="M59" s="159">
        <f>SUMIFS(Dataset!AK:AK,Dataset!F:F,credito!$D$11,Dataset!AH:AH,"bono corporativo",Dataset!T:T,"US$",Dataset!J:J,"&lt;"&amp;$D59,Dataset!J:J,"&gt;="&amp;$C59)</f>
        <v>0</v>
      </c>
      <c r="N59" s="159">
        <f>SUMIFS(Dataset!AK:AK,Dataset!F:F,credito!$D$11,Dataset!J:J,"&lt;"&amp;$D59,Dataset!J:J,"&gt;="&amp;$C59,Dataset!AH:AH,"&lt;&gt;bono corporativo",Dataset!AH:AH,"&lt;&gt;bono de gobierno",Dataset!AH:AH,"&lt;&gt;deposito")</f>
        <v>0</v>
      </c>
      <c r="O59" s="160">
        <f t="shared" si="2"/>
        <v>2.044855943162557E-2</v>
      </c>
      <c r="P59" s="158">
        <f>SUMIFS(Dataset!$AK:$AK,Dataset!$F:$F,credito!$D$11,Dataset!$AC:$AC,P$48,Dataset!$J:$J,"&lt;"&amp;$D59,Dataset!J:J,"&gt;="&amp;$C59)</f>
        <v>0</v>
      </c>
      <c r="Q59" s="159">
        <f>SUMIFS(Dataset!$AK:$AK,Dataset!$F:$F,credito!$D$11,Dataset!$AC:$AC,Q$48,Dataset!$J:$J,"&lt;"&amp;$D59,Dataset!J:J,"&gt;="&amp;$C59)</f>
        <v>0</v>
      </c>
      <c r="R59" s="159">
        <f>SUMIFS(Dataset!$AK:$AK,Dataset!$F:$F,credito!$D$11,Dataset!$AC:$AC,R$48,Dataset!$J:$J,"&lt;"&amp;$D59,Dataset!J:J,"&gt;="&amp;$C59)</f>
        <v>0</v>
      </c>
      <c r="S59" s="159">
        <f>SUMIFS(Dataset!$AK:$AK,Dataset!$F:$F,credito!$D$11,Dataset!$AC:$AC,S$48,Dataset!$J:$J,"&lt;"&amp;$D59,Dataset!J:J,"&gt;="&amp;$C59)</f>
        <v>5.5180163527062173E-3</v>
      </c>
      <c r="T59" s="159">
        <f>SUMIFS(Dataset!$AK:$AK,Dataset!$F:$F,credito!$D$11,Dataset!$AC:$AC,T$48,Dataset!$J:$J,"&lt;"&amp;$D59,Dataset!J:J,"&gt;="&amp;$C59)</f>
        <v>0</v>
      </c>
      <c r="U59" s="159">
        <f>SUMIFS(Dataset!$AK:$AK,Dataset!$F:$F,credito!$D$11,Dataset!$AC:$AC,"A",Dataset!$J:$J,"&lt;"&amp;$D59,Dataset!$J:$J,"&gt;="&amp;$C59)+SUMIFS(Dataset!$AK:$AK,Dataset!$F:$F,credito!$D$11,Dataset!$AC:$AC,"A-",Dataset!$J:$J,"&lt;"&amp;$D59,Dataset!$J:$J,"&gt;="&amp;$C59)+SUMIFS(Dataset!$AK:$AK,Dataset!$F:$F,credito!$D$11,Dataset!$AC:$AC,"A+",Dataset!$J:$J,"&lt;"&amp;$D59,Dataset!$J:$J,"&gt;="&amp;$C59)</f>
        <v>1.4930543078919355E-2</v>
      </c>
      <c r="V59" s="159">
        <f>SUMIFS(Dataset!$AK:$AK,Dataset!$F:$F,credito!$D$11,Dataset!$AC:$AC,"BBB",Dataset!$J:$J,"&lt;"&amp;$D59,Dataset!$J:$J,"&gt;="&amp;$C59)+SUMIFS(Dataset!$AK:$AK,Dataset!$F:$F,credito!$D$11,Dataset!$AC:$AC,"BBB-",Dataset!$J:$J,"&lt;"&amp;$D59,Dataset!$J:$J,"&gt;="&amp;$C59)+SUMIFS(Dataset!$AK:$AK,Dataset!$F:$F,credito!$D$11,Dataset!$AC:$AC,"BBB+",Dataset!$J:$J,"&lt;"&amp;$D59,Dataset!$J:$J,"&gt;="&amp;$C59)</f>
        <v>0</v>
      </c>
      <c r="W59" s="159">
        <f>SUMIFS(Dataset!$AK:$AK,Dataset!$F:$F,credito!$D$11,Dataset!$J:$J,"&lt;"&amp;$D59,Dataset!$J:$J,"&gt;="&amp;$C59,Dataset!$AC:$AC,"&lt;&gt;N-1+",Dataset!$AC:$AC,"&lt;&gt;*AA*",Dataset!$AC:$AC,"&lt;&gt;*AAA*",Dataset!$AC:$AC,"&lt;&gt;A",Dataset!$AC:$AC,"&lt;&gt;A-",Dataset!$AC:$AC,"&lt;&gt;A+",Dataset!$AC:$AC,"&lt;&gt;*BBB*")</f>
        <v>0</v>
      </c>
      <c r="X59" s="160">
        <f t="shared" si="3"/>
        <v>2.0448559431625574E-2</v>
      </c>
      <c r="Y59" s="161">
        <f>10*SUMIFS(Dataset!$H:$H,Dataset!$F:$F,credito!$D$11,Dataset!AH:AH,"deposito",Dataset!T:T,"$",Dataset!$J:$J,"&lt;"&amp;$D59,Dataset!J:J,"&gt;="&amp;$C59)</f>
        <v>0</v>
      </c>
      <c r="Z59" s="162">
        <f>10*SUMIFS(Dataset!$H:$H,Dataset!$F:$F,credito!$D$11,Dataset!AH:AH,"deposito",Dataset!T:T,"UF",Dataset!$J:$J,"&lt;"&amp;$D59,Dataset!J:J,"&gt;="&amp;$C59)</f>
        <v>0</v>
      </c>
      <c r="AA59" s="162">
        <f>10*SUMIFS(Dataset!$H:$H,Dataset!$F:$F,credito!$D$11,Dataset!AH:AH,"bono de gobierno",Dataset!T:T,"$",Dataset!$J:$J,"&lt;"&amp;$D59,Dataset!J:J,"&gt;="&amp;$C59)</f>
        <v>0</v>
      </c>
      <c r="AB59" s="162">
        <f>10*SUMIFS(Dataset!$H:$H,Dataset!$F:$F,credito!$D$11,Dataset!AH:AH,"bono de gobierno",Dataset!T:T,"uf",Dataset!$J:$J,"&lt;"&amp;$D59,Dataset!J:J,"&gt;="&amp;$C59)</f>
        <v>0</v>
      </c>
      <c r="AC59" s="162">
        <f>10*SUMIFS(Dataset!$H:$H,Dataset!$F:$F,credito!$D$11,Dataset!AH:AH,"bono de gobierno",Dataset!T:T,"eu",Dataset!$J:$J,"&lt;"&amp;$D59,Dataset!J:J,"&gt;="&amp;$C59)</f>
        <v>0</v>
      </c>
      <c r="AD59" s="162">
        <f>10*SUMIFS(Dataset!$H:$H,Dataset!$F:$F,credito!$D$11,Dataset!AH:AH,"bono de gobierno",Dataset!T:T,"mx",Dataset!$J:$J,"&lt;"&amp;$D59,Dataset!J:J,"&gt;="&amp;$C59)</f>
        <v>0</v>
      </c>
      <c r="AE59" s="162">
        <f>10*SUMIFS(Dataset!$H:$H,Dataset!$F:$F,credito!$D$11,Dataset!AH:AH,"bono corporativo",Dataset!T:T,"$",Dataset!$J:$J,"&lt;"&amp;$D59,Dataset!J:J,"&gt;="&amp;$C59)</f>
        <v>0</v>
      </c>
      <c r="AF59" s="162">
        <f>10*SUMIFS(Dataset!$H:$H,Dataset!$F:$F,credito!$D$11,Dataset!AH:AH,"bono corporativo",Dataset!T:T,"uf",Dataset!$J:$J,"&lt;"&amp;$D59,Dataset!J:J,"&gt;="&amp;$C59)</f>
        <v>2.0761404832288455</v>
      </c>
      <c r="AG59" s="162">
        <f>10*SUMIFS(Dataset!$H:$H,Dataset!$F:$F,credito!$D$11,Dataset!AH:AH,"bono corporativo",Dataset!T:T,"us$",Dataset!$J:$J,"&lt;"&amp;$D59,Dataset!J:J,"&gt;="&amp;$C59)</f>
        <v>0</v>
      </c>
      <c r="AH59" s="162">
        <f>10*SUMIFS(Dataset!H:H,Dataset!F:F,credito!$D$11,Dataset!J:J,"&lt;"&amp;$D82,Dataset!J:J,"&gt;="&amp;$C82,Dataset!AH:AH,"&lt;&gt;bono corporativo",Dataset!AH:AH,"&lt;&gt;bono de gobierno",Dataset!AH:AH,"&lt;&gt;deposito")</f>
        <v>0</v>
      </c>
      <c r="AI59" s="163">
        <f t="shared" si="4"/>
        <v>2.0761404832288455</v>
      </c>
    </row>
    <row r="60" spans="3:35" ht="33" customHeight="1" x14ac:dyDescent="0.2">
      <c r="C60" s="57">
        <v>10.5</v>
      </c>
      <c r="D60" s="61">
        <v>11.5</v>
      </c>
      <c r="E60" s="158">
        <f>SUMIFS(Dataset!AK:AK,Dataset!F:F,credito!$D$11,Dataset!AH:AH,"deposito",Dataset!T:T,"$",Dataset!J:J,"&lt;"&amp;$D60,Dataset!J:J,"&gt;="&amp;$C60)</f>
        <v>0</v>
      </c>
      <c r="F60" s="159">
        <f>SUMIFS(Dataset!AK:AK,Dataset!F:F,credito!$D$11,Dataset!AH:AH,"deposito",Dataset!T:T,"UF",Dataset!J:J,"&lt;"&amp;$D60,Dataset!J:J,"&gt;="&amp;$C60)</f>
        <v>0</v>
      </c>
      <c r="G60" s="159">
        <f>SUMIFS(Dataset!AK:AK,Dataset!F:F,credito!$D$11,Dataset!AH:AH,"bono de gobierno",Dataset!T:T,"$",Dataset!J:J,"&lt;"&amp;$D60,Dataset!J:J,"&gt;="&amp;$C60)</f>
        <v>0</v>
      </c>
      <c r="H60" s="159">
        <f>SUMIFS(Dataset!AK:AK,Dataset!F:F,credito!$D$11,Dataset!AH:AH,"bono de gobierno",Dataset!T:T,"UF",Dataset!J:J,"&lt;"&amp;$D60,Dataset!J:J,"&gt;="&amp;$C60)</f>
        <v>0</v>
      </c>
      <c r="I60" s="159">
        <f>SUMIFS(Dataset!AK:AK,Dataset!F:F,credito!$D$11,Dataset!AH:AH,"bono de gobierno",Dataset!T:T,"eu",Dataset!J:J,"&lt;"&amp;$D60,Dataset!J:J,"&gt;="&amp;$C60)</f>
        <v>0</v>
      </c>
      <c r="J60" s="159">
        <f>SUMIFS(Dataset!AK:AK,Dataset!F:F,credito!$D$11,Dataset!AH:AH,"bono de gobierno",Dataset!T:T,"mx",Dataset!J:J,"&lt;"&amp;$D60,Dataset!J:J,"&gt;="&amp;$C60)</f>
        <v>0</v>
      </c>
      <c r="K60" s="159">
        <f>SUMIFS(Dataset!AK:AK,Dataset!F:F,credito!$D$11,Dataset!AH:AH,"bono corporativo",Dataset!T:T,"$",Dataset!J:J,"&lt;"&amp;$D60,Dataset!J:J,"&gt;="&amp;$C60)</f>
        <v>0</v>
      </c>
      <c r="L60" s="159">
        <f>SUMIFS(Dataset!AK:AK,Dataset!F:F,credito!$D$11,Dataset!AH:AH,"bono corporativo",Dataset!T:T,"UF",Dataset!J:J,"&lt;"&amp;$D60,Dataset!J:J,"&gt;="&amp;$C60)</f>
        <v>4.7685831894659442E-2</v>
      </c>
      <c r="M60" s="159">
        <f>SUMIFS(Dataset!AK:AK,Dataset!F:F,credito!$D$11,Dataset!AH:AH,"bono corporativo",Dataset!T:T,"US$",Dataset!J:J,"&lt;"&amp;$D60,Dataset!J:J,"&gt;="&amp;$C60)</f>
        <v>0</v>
      </c>
      <c r="N60" s="159">
        <f>SUMIFS(Dataset!AK:AK,Dataset!F:F,credito!$D$11,Dataset!J:J,"&lt;"&amp;$D60,Dataset!J:J,"&gt;="&amp;$C60,Dataset!AH:AH,"&lt;&gt;bono corporativo",Dataset!AH:AH,"&lt;&gt;bono de gobierno",Dataset!AH:AH,"&lt;&gt;deposito")</f>
        <v>0</v>
      </c>
      <c r="O60" s="160">
        <f t="shared" si="2"/>
        <v>4.7685831894659442E-2</v>
      </c>
      <c r="P60" s="158">
        <f>SUMIFS(Dataset!$AK:$AK,Dataset!$F:$F,credito!$D$11,Dataset!$AC:$AC,P$48,Dataset!$J:$J,"&lt;"&amp;$D60,Dataset!J:J,"&gt;="&amp;$C60)</f>
        <v>0</v>
      </c>
      <c r="Q60" s="159">
        <f>SUMIFS(Dataset!$AK:$AK,Dataset!$F:$F,credito!$D$11,Dataset!$AC:$AC,Q$48,Dataset!$J:$J,"&lt;"&amp;$D60,Dataset!J:J,"&gt;="&amp;$C60)</f>
        <v>0</v>
      </c>
      <c r="R60" s="159">
        <f>SUMIFS(Dataset!$AK:$AK,Dataset!$F:$F,credito!$D$11,Dataset!$AC:$AC,R$48,Dataset!$J:$J,"&lt;"&amp;$D60,Dataset!J:J,"&gt;="&amp;$C60)</f>
        <v>0</v>
      </c>
      <c r="S60" s="159">
        <f>SUMIFS(Dataset!$AK:$AK,Dataset!$F:$F,credito!$D$11,Dataset!$AC:$AC,S$48,Dataset!$J:$J,"&lt;"&amp;$D60,Dataset!J:J,"&gt;="&amp;$C60)</f>
        <v>0</v>
      </c>
      <c r="T60" s="159">
        <f>SUMIFS(Dataset!$AK:$AK,Dataset!$F:$F,credito!$D$11,Dataset!$AC:$AC,T$48,Dataset!$J:$J,"&lt;"&amp;$D60,Dataset!J:J,"&gt;="&amp;$C60)</f>
        <v>1.2861831575956611E-2</v>
      </c>
      <c r="U60" s="159">
        <f>SUMIFS(Dataset!$AK:$AK,Dataset!$F:$F,credito!$D$11,Dataset!$AC:$AC,"A",Dataset!$J:$J,"&lt;"&amp;$D60,Dataset!$J:$J,"&gt;="&amp;$C60)+SUMIFS(Dataset!$AK:$AK,Dataset!$F:$F,credito!$D$11,Dataset!$AC:$AC,"A-",Dataset!$J:$J,"&lt;"&amp;$D60,Dataset!$J:$J,"&gt;="&amp;$C60)+SUMIFS(Dataset!$AK:$AK,Dataset!$F:$F,credito!$D$11,Dataset!$AC:$AC,"A+",Dataset!$J:$J,"&lt;"&amp;$D60,Dataset!$J:$J,"&gt;="&amp;$C60)</f>
        <v>3.4824000318702829E-2</v>
      </c>
      <c r="V60" s="159">
        <f>SUMIFS(Dataset!$AK:$AK,Dataset!$F:$F,credito!$D$11,Dataset!$AC:$AC,"BBB",Dataset!$J:$J,"&lt;"&amp;$D60,Dataset!$J:$J,"&gt;="&amp;$C60)+SUMIFS(Dataset!$AK:$AK,Dataset!$F:$F,credito!$D$11,Dataset!$AC:$AC,"BBB-",Dataset!$J:$J,"&lt;"&amp;$D60,Dataset!$J:$J,"&gt;="&amp;$C60)+SUMIFS(Dataset!$AK:$AK,Dataset!$F:$F,credito!$D$11,Dataset!$AC:$AC,"BBB+",Dataset!$J:$J,"&lt;"&amp;$D60,Dataset!$J:$J,"&gt;="&amp;$C60)</f>
        <v>0</v>
      </c>
      <c r="W60" s="159">
        <f>SUMIFS(Dataset!$AK:$AK,Dataset!$F:$F,credito!$D$11,Dataset!$J:$J,"&lt;"&amp;$D60,Dataset!$J:$J,"&gt;="&amp;$C60,Dataset!$AC:$AC,"&lt;&gt;N-1+",Dataset!$AC:$AC,"&lt;&gt;*AA*",Dataset!$AC:$AC,"&lt;&gt;*AAA*",Dataset!$AC:$AC,"&lt;&gt;A",Dataset!$AC:$AC,"&lt;&gt;A-",Dataset!$AC:$AC,"&lt;&gt;A+",Dataset!$AC:$AC,"&lt;&gt;*BBB*")</f>
        <v>0</v>
      </c>
      <c r="X60" s="160">
        <f t="shared" si="3"/>
        <v>4.7685831894659442E-2</v>
      </c>
      <c r="Y60" s="161">
        <f>10*SUMIFS(Dataset!$H:$H,Dataset!$F:$F,credito!$D$11,Dataset!AH:AH,"deposito",Dataset!T:T,"$",Dataset!$J:$J,"&lt;"&amp;$D60,Dataset!J:J,"&gt;="&amp;$C60)</f>
        <v>0</v>
      </c>
      <c r="Z60" s="162">
        <f>10*SUMIFS(Dataset!$H:$H,Dataset!$F:$F,credito!$D$11,Dataset!AH:AH,"deposito",Dataset!T:T,"UF",Dataset!$J:$J,"&lt;"&amp;$D60,Dataset!J:J,"&gt;="&amp;$C60)</f>
        <v>0</v>
      </c>
      <c r="AA60" s="162">
        <f>10*SUMIFS(Dataset!$H:$H,Dataset!$F:$F,credito!$D$11,Dataset!AH:AH,"bono de gobierno",Dataset!T:T,"$",Dataset!$J:$J,"&lt;"&amp;$D60,Dataset!J:J,"&gt;="&amp;$C60)</f>
        <v>0</v>
      </c>
      <c r="AB60" s="162">
        <f>10*SUMIFS(Dataset!$H:$H,Dataset!$F:$F,credito!$D$11,Dataset!AH:AH,"bono de gobierno",Dataset!T:T,"uf",Dataset!$J:$J,"&lt;"&amp;$D60,Dataset!J:J,"&gt;="&amp;$C60)</f>
        <v>0</v>
      </c>
      <c r="AC60" s="162">
        <f>10*SUMIFS(Dataset!$H:$H,Dataset!$F:$F,credito!$D$11,Dataset!AH:AH,"bono de gobierno",Dataset!T:T,"eu",Dataset!$J:$J,"&lt;"&amp;$D60,Dataset!J:J,"&gt;="&amp;$C60)</f>
        <v>0</v>
      </c>
      <c r="AD60" s="162">
        <f>10*SUMIFS(Dataset!$H:$H,Dataset!$F:$F,credito!$D$11,Dataset!AH:AH,"bono de gobierno",Dataset!T:T,"mx",Dataset!$J:$J,"&lt;"&amp;$D60,Dataset!J:J,"&gt;="&amp;$C60)</f>
        <v>0</v>
      </c>
      <c r="AE60" s="162">
        <f>10*SUMIFS(Dataset!$H:$H,Dataset!$F:$F,credito!$D$11,Dataset!AH:AH,"bono corporativo",Dataset!T:T,"$",Dataset!$J:$J,"&lt;"&amp;$D60,Dataset!J:J,"&gt;="&amp;$C60)</f>
        <v>0</v>
      </c>
      <c r="AF60" s="162">
        <f>10*SUMIFS(Dataset!$H:$H,Dataset!$F:$F,credito!$D$11,Dataset!AH:AH,"bono corporativo",Dataset!T:T,"uf",Dataset!$J:$J,"&lt;"&amp;$D60,Dataset!J:J,"&gt;="&amp;$C60)</f>
        <v>5.3242202563156402</v>
      </c>
      <c r="AG60" s="162">
        <f>10*SUMIFS(Dataset!$H:$H,Dataset!$F:$F,credito!$D$11,Dataset!AH:AH,"bono corporativo",Dataset!T:T,"us$",Dataset!$J:$J,"&lt;"&amp;$D60,Dataset!J:J,"&gt;="&amp;$C60)</f>
        <v>0</v>
      </c>
      <c r="AH60" s="162">
        <f>10*SUMIFS(Dataset!H:H,Dataset!F:F,credito!$D$11,Dataset!J:J,"&lt;"&amp;$D83,Dataset!J:J,"&gt;="&amp;$C83,Dataset!AH:AH,"&lt;&gt;bono corporativo",Dataset!AH:AH,"&lt;&gt;bono de gobierno",Dataset!AH:AH,"&lt;&gt;deposito")</f>
        <v>0</v>
      </c>
      <c r="AI60" s="163">
        <f t="shared" si="4"/>
        <v>5.3242202563156402</v>
      </c>
    </row>
    <row r="61" spans="3:35" ht="33" customHeight="1" x14ac:dyDescent="0.2">
      <c r="C61" s="57">
        <v>11.5</v>
      </c>
      <c r="D61" s="61">
        <v>12.5</v>
      </c>
      <c r="E61" s="158">
        <f>SUMIFS(Dataset!AK:AK,Dataset!F:F,credito!$D$11,Dataset!AH:AH,"deposito",Dataset!T:T,"$",Dataset!J:J,"&lt;"&amp;$D61,Dataset!J:J,"&gt;="&amp;$C61)</f>
        <v>0</v>
      </c>
      <c r="F61" s="159">
        <f>SUMIFS(Dataset!AK:AK,Dataset!F:F,credito!$D$11,Dataset!AH:AH,"deposito",Dataset!T:T,"UF",Dataset!J:J,"&lt;"&amp;$D61,Dataset!J:J,"&gt;="&amp;$C61)</f>
        <v>0</v>
      </c>
      <c r="G61" s="159">
        <f>SUMIFS(Dataset!AK:AK,Dataset!F:F,credito!$D$11,Dataset!AH:AH,"bono de gobierno",Dataset!T:T,"$",Dataset!J:J,"&lt;"&amp;$D61,Dataset!J:J,"&gt;="&amp;$C61)</f>
        <v>0</v>
      </c>
      <c r="H61" s="159">
        <f>SUMIFS(Dataset!AK:AK,Dataset!F:F,credito!$D$11,Dataset!AH:AH,"bono de gobierno",Dataset!T:T,"UF",Dataset!J:J,"&lt;"&amp;$D61,Dataset!J:J,"&gt;="&amp;$C61)</f>
        <v>0</v>
      </c>
      <c r="I61" s="159">
        <f>SUMIFS(Dataset!AK:AK,Dataset!F:F,credito!$D$11,Dataset!AH:AH,"bono de gobierno",Dataset!T:T,"eu",Dataset!J:J,"&lt;"&amp;$D61,Dataset!J:J,"&gt;="&amp;$C61)</f>
        <v>0</v>
      </c>
      <c r="J61" s="159">
        <f>SUMIFS(Dataset!AK:AK,Dataset!F:F,credito!$D$11,Dataset!AH:AH,"bono de gobierno",Dataset!T:T,"mx",Dataset!J:J,"&lt;"&amp;$D61,Dataset!J:J,"&gt;="&amp;$C61)</f>
        <v>0</v>
      </c>
      <c r="K61" s="159">
        <f>SUMIFS(Dataset!AK:AK,Dataset!F:F,credito!$D$11,Dataset!AH:AH,"bono corporativo",Dataset!T:T,"$",Dataset!J:J,"&lt;"&amp;$D61,Dataset!J:J,"&gt;="&amp;$C61)</f>
        <v>0</v>
      </c>
      <c r="L61" s="159">
        <f>SUMIFS(Dataset!AK:AK,Dataset!F:F,credito!$D$11,Dataset!AH:AH,"bono corporativo",Dataset!T:T,"UF",Dataset!J:J,"&lt;"&amp;$D61,Dataset!J:J,"&gt;="&amp;$C61)</f>
        <v>7.0046281416502515E-2</v>
      </c>
      <c r="M61" s="159">
        <f>SUMIFS(Dataset!AK:AK,Dataset!F:F,credito!$D$11,Dataset!AH:AH,"bono corporativo",Dataset!T:T,"US$",Dataset!J:J,"&lt;"&amp;$D61,Dataset!J:J,"&gt;="&amp;$C61)</f>
        <v>0</v>
      </c>
      <c r="N61" s="159">
        <f>SUMIFS(Dataset!AK:AK,Dataset!F:F,credito!$D$11,Dataset!J:J,"&lt;"&amp;$D61,Dataset!J:J,"&gt;="&amp;$C61,Dataset!AH:AH,"&lt;&gt;bono corporativo",Dataset!AH:AH,"&lt;&gt;bono de gobierno",Dataset!AH:AH,"&lt;&gt;deposito")</f>
        <v>0</v>
      </c>
      <c r="O61" s="160">
        <f t="shared" si="2"/>
        <v>7.0046281416502515E-2</v>
      </c>
      <c r="P61" s="158">
        <f>SUMIFS(Dataset!$AK:$AK,Dataset!$F:$F,credito!$D$11,Dataset!$AC:$AC,P$48,Dataset!$J:$J,"&lt;"&amp;$D61,Dataset!J:J,"&gt;="&amp;$C61)</f>
        <v>0</v>
      </c>
      <c r="Q61" s="159">
        <f>SUMIFS(Dataset!$AK:$AK,Dataset!$F:$F,credito!$D$11,Dataset!$AC:$AC,Q$48,Dataset!$J:$J,"&lt;"&amp;$D61,Dataset!J:J,"&gt;="&amp;$C61)</f>
        <v>0</v>
      </c>
      <c r="R61" s="159">
        <f>SUMIFS(Dataset!$AK:$AK,Dataset!$F:$F,credito!$D$11,Dataset!$AC:$AC,R$48,Dataset!$J:$J,"&lt;"&amp;$D61,Dataset!J:J,"&gt;="&amp;$C61)</f>
        <v>0</v>
      </c>
      <c r="S61" s="159">
        <f>SUMIFS(Dataset!$AK:$AK,Dataset!$F:$F,credito!$D$11,Dataset!$AC:$AC,S$48,Dataset!$J:$J,"&lt;"&amp;$D61,Dataset!J:J,"&gt;="&amp;$C61)</f>
        <v>0</v>
      </c>
      <c r="T61" s="159">
        <f>SUMIFS(Dataset!$AK:$AK,Dataset!$F:$F,credito!$D$11,Dataset!$AC:$AC,T$48,Dataset!$J:$J,"&lt;"&amp;$D61,Dataset!J:J,"&gt;="&amp;$C61)</f>
        <v>1.760280631517943E-2</v>
      </c>
      <c r="U61" s="159">
        <f>SUMIFS(Dataset!$AK:$AK,Dataset!$F:$F,credito!$D$11,Dataset!$AC:$AC,"A",Dataset!$J:$J,"&lt;"&amp;$D61,Dataset!$J:$J,"&gt;="&amp;$C61)+SUMIFS(Dataset!$AK:$AK,Dataset!$F:$F,credito!$D$11,Dataset!$AC:$AC,"A-",Dataset!$J:$J,"&lt;"&amp;$D61,Dataset!$J:$J,"&gt;="&amp;$C61)+SUMIFS(Dataset!$AK:$AK,Dataset!$F:$F,credito!$D$11,Dataset!$AC:$AC,"A+",Dataset!$J:$J,"&lt;"&amp;$D61,Dataset!$J:$J,"&gt;="&amp;$C61)</f>
        <v>5.2443475101323092E-2</v>
      </c>
      <c r="V61" s="159">
        <f>SUMIFS(Dataset!$AK:$AK,Dataset!$F:$F,credito!$D$11,Dataset!$AC:$AC,"BBB",Dataset!$J:$J,"&lt;"&amp;$D61,Dataset!$J:$J,"&gt;="&amp;$C61)+SUMIFS(Dataset!$AK:$AK,Dataset!$F:$F,credito!$D$11,Dataset!$AC:$AC,"BBB-",Dataset!$J:$J,"&lt;"&amp;$D61,Dataset!$J:$J,"&gt;="&amp;$C61)+SUMIFS(Dataset!$AK:$AK,Dataset!$F:$F,credito!$D$11,Dataset!$AC:$AC,"BBB+",Dataset!$J:$J,"&lt;"&amp;$D61,Dataset!$J:$J,"&gt;="&amp;$C61)</f>
        <v>0</v>
      </c>
      <c r="W61" s="159">
        <f>SUMIFS(Dataset!$AK:$AK,Dataset!$F:$F,credito!$D$11,Dataset!$J:$J,"&lt;"&amp;$D61,Dataset!$J:$J,"&gt;="&amp;$C61,Dataset!$AC:$AC,"&lt;&gt;N-1+",Dataset!$AC:$AC,"&lt;&gt;*AA*",Dataset!$AC:$AC,"&lt;&gt;*AAA*",Dataset!$AC:$AC,"&lt;&gt;A",Dataset!$AC:$AC,"&lt;&gt;A-",Dataset!$AC:$AC,"&lt;&gt;A+",Dataset!$AC:$AC,"&lt;&gt;*BBB*")</f>
        <v>0</v>
      </c>
      <c r="X61" s="160">
        <f t="shared" si="3"/>
        <v>7.0046281416502515E-2</v>
      </c>
      <c r="Y61" s="161">
        <f>10*SUMIFS(Dataset!$H:$H,Dataset!$F:$F,credito!$D$11,Dataset!AH:AH,"deposito",Dataset!T:T,"$",Dataset!$J:$J,"&lt;"&amp;$D61,Dataset!J:J,"&gt;="&amp;$C61)</f>
        <v>0</v>
      </c>
      <c r="Z61" s="162">
        <f>10*SUMIFS(Dataset!$H:$H,Dataset!$F:$F,credito!$D$11,Dataset!AH:AH,"deposito",Dataset!T:T,"UF",Dataset!$J:$J,"&lt;"&amp;$D61,Dataset!J:J,"&gt;="&amp;$C61)</f>
        <v>0</v>
      </c>
      <c r="AA61" s="162">
        <f>10*SUMIFS(Dataset!$H:$H,Dataset!$F:$F,credito!$D$11,Dataset!AH:AH,"bono de gobierno",Dataset!T:T,"$",Dataset!$J:$J,"&lt;"&amp;$D61,Dataset!J:J,"&gt;="&amp;$C61)</f>
        <v>0</v>
      </c>
      <c r="AB61" s="162">
        <f>10*SUMIFS(Dataset!$H:$H,Dataset!$F:$F,credito!$D$11,Dataset!AH:AH,"bono de gobierno",Dataset!T:T,"uf",Dataset!$J:$J,"&lt;"&amp;$D61,Dataset!J:J,"&gt;="&amp;$C61)</f>
        <v>0</v>
      </c>
      <c r="AC61" s="162">
        <f>10*SUMIFS(Dataset!$H:$H,Dataset!$F:$F,credito!$D$11,Dataset!AH:AH,"bono de gobierno",Dataset!T:T,"eu",Dataset!$J:$J,"&lt;"&amp;$D61,Dataset!J:J,"&gt;="&amp;$C61)</f>
        <v>0</v>
      </c>
      <c r="AD61" s="162">
        <f>10*SUMIFS(Dataset!$H:$H,Dataset!$F:$F,credito!$D$11,Dataset!AH:AH,"bono de gobierno",Dataset!T:T,"mx",Dataset!$J:$J,"&lt;"&amp;$D61,Dataset!J:J,"&gt;="&amp;$C61)</f>
        <v>0</v>
      </c>
      <c r="AE61" s="162">
        <f>10*SUMIFS(Dataset!$H:$H,Dataset!$F:$F,credito!$D$11,Dataset!AH:AH,"bono corporativo",Dataset!T:T,"$",Dataset!$J:$J,"&lt;"&amp;$D61,Dataset!J:J,"&gt;="&amp;$C61)</f>
        <v>0</v>
      </c>
      <c r="AF61" s="162">
        <f>10*SUMIFS(Dataset!$H:$H,Dataset!$F:$F,credito!$D$11,Dataset!AH:AH,"bono corporativo",Dataset!T:T,"uf",Dataset!$J:$J,"&lt;"&amp;$D61,Dataset!J:J,"&gt;="&amp;$C61)</f>
        <v>8.2999927517845595</v>
      </c>
      <c r="AG61" s="162">
        <f>10*SUMIFS(Dataset!$H:$H,Dataset!$F:$F,credito!$D$11,Dataset!AH:AH,"bono corporativo",Dataset!T:T,"us$",Dataset!$J:$J,"&lt;"&amp;$D61,Dataset!J:J,"&gt;="&amp;$C61)</f>
        <v>0</v>
      </c>
      <c r="AH61" s="162">
        <f>10*SUMIFS(Dataset!H:H,Dataset!F:F,credito!$D$11,Dataset!J:J,"&lt;"&amp;$D84,Dataset!J:J,"&gt;="&amp;$C84,Dataset!AH:AH,"&lt;&gt;bono corporativo",Dataset!AH:AH,"&lt;&gt;bono de gobierno",Dataset!AH:AH,"&lt;&gt;deposito")</f>
        <v>0</v>
      </c>
      <c r="AI61" s="163">
        <f t="shared" si="4"/>
        <v>8.2999927517845595</v>
      </c>
    </row>
    <row r="62" spans="3:35" ht="33" customHeight="1" x14ac:dyDescent="0.2">
      <c r="C62" s="57">
        <v>12.5</v>
      </c>
      <c r="D62" s="61">
        <v>13.5</v>
      </c>
      <c r="E62" s="158">
        <f>SUMIFS(Dataset!AK:AK,Dataset!F:F,credito!$D$11,Dataset!AH:AH,"deposito",Dataset!T:T,"$",Dataset!J:J,"&lt;"&amp;$D62,Dataset!J:J,"&gt;="&amp;$C62)</f>
        <v>0</v>
      </c>
      <c r="F62" s="159">
        <f>SUMIFS(Dataset!AK:AK,Dataset!F:F,credito!$D$11,Dataset!AH:AH,"deposito",Dataset!T:T,"UF",Dataset!J:J,"&lt;"&amp;$D62,Dataset!J:J,"&gt;="&amp;$C62)</f>
        <v>0</v>
      </c>
      <c r="G62" s="159">
        <f>SUMIFS(Dataset!AK:AK,Dataset!F:F,credito!$D$11,Dataset!AH:AH,"bono de gobierno",Dataset!T:T,"$",Dataset!J:J,"&lt;"&amp;$D62,Dataset!J:J,"&gt;="&amp;$C62)</f>
        <v>0</v>
      </c>
      <c r="H62" s="159">
        <f>SUMIFS(Dataset!AK:AK,Dataset!F:F,credito!$D$11,Dataset!AH:AH,"bono de gobierno",Dataset!T:T,"UF",Dataset!J:J,"&lt;"&amp;$D62,Dataset!J:J,"&gt;="&amp;$C62)</f>
        <v>0</v>
      </c>
      <c r="I62" s="159">
        <f>SUMIFS(Dataset!AK:AK,Dataset!F:F,credito!$D$11,Dataset!AH:AH,"bono de gobierno",Dataset!T:T,"eu",Dataset!J:J,"&lt;"&amp;$D62,Dataset!J:J,"&gt;="&amp;$C62)</f>
        <v>0</v>
      </c>
      <c r="J62" s="159">
        <f>SUMIFS(Dataset!AK:AK,Dataset!F:F,credito!$D$11,Dataset!AH:AH,"bono de gobierno",Dataset!T:T,"mx",Dataset!J:J,"&lt;"&amp;$D62,Dataset!J:J,"&gt;="&amp;$C62)</f>
        <v>0</v>
      </c>
      <c r="K62" s="159">
        <f>SUMIFS(Dataset!AK:AK,Dataset!F:F,credito!$D$11,Dataset!AH:AH,"bono corporativo",Dataset!T:T,"$",Dataset!J:J,"&lt;"&amp;$D62,Dataset!J:J,"&gt;="&amp;$C62)</f>
        <v>0</v>
      </c>
      <c r="L62" s="159">
        <f>SUMIFS(Dataset!AK:AK,Dataset!F:F,credito!$D$11,Dataset!AH:AH,"bono corporativo",Dataset!T:T,"UF",Dataset!J:J,"&lt;"&amp;$D62,Dataset!J:J,"&gt;="&amp;$C62)</f>
        <v>3.444721878825098E-2</v>
      </c>
      <c r="M62" s="159">
        <f>SUMIFS(Dataset!AK:AK,Dataset!F:F,credito!$D$11,Dataset!AH:AH,"bono corporativo",Dataset!T:T,"US$",Dataset!J:J,"&lt;"&amp;$D62,Dataset!J:J,"&gt;="&amp;$C62)</f>
        <v>0</v>
      </c>
      <c r="N62" s="159">
        <f>SUMIFS(Dataset!AK:AK,Dataset!F:F,credito!$D$11,Dataset!J:J,"&lt;"&amp;$D62,Dataset!J:J,"&gt;="&amp;$C62,Dataset!AH:AH,"&lt;&gt;bono corporativo",Dataset!AH:AH,"&lt;&gt;bono de gobierno",Dataset!AH:AH,"&lt;&gt;deposito")</f>
        <v>0</v>
      </c>
      <c r="O62" s="160">
        <f t="shared" si="2"/>
        <v>3.444721878825098E-2</v>
      </c>
      <c r="P62" s="158">
        <f>SUMIFS(Dataset!$AK:$AK,Dataset!$F:$F,credito!$D$11,Dataset!$AC:$AC,P$48,Dataset!$J:$J,"&lt;"&amp;$D62,Dataset!J:J,"&gt;="&amp;$C62)</f>
        <v>0</v>
      </c>
      <c r="Q62" s="159">
        <f>SUMIFS(Dataset!$AK:$AK,Dataset!$F:$F,credito!$D$11,Dataset!$AC:$AC,Q$48,Dataset!$J:$J,"&lt;"&amp;$D62,Dataset!J:J,"&gt;="&amp;$C62)</f>
        <v>0</v>
      </c>
      <c r="R62" s="159">
        <f>SUMIFS(Dataset!$AK:$AK,Dataset!$F:$F,credito!$D$11,Dataset!$AC:$AC,R$48,Dataset!$J:$J,"&lt;"&amp;$D62,Dataset!J:J,"&gt;="&amp;$C62)</f>
        <v>0</v>
      </c>
      <c r="S62" s="159">
        <f>SUMIFS(Dataset!$AK:$AK,Dataset!$F:$F,credito!$D$11,Dataset!$AC:$AC,S$48,Dataset!$J:$J,"&lt;"&amp;$D62,Dataset!J:J,"&gt;="&amp;$C62)</f>
        <v>0</v>
      </c>
      <c r="T62" s="159">
        <f>SUMIFS(Dataset!$AK:$AK,Dataset!$F:$F,credito!$D$11,Dataset!$AC:$AC,T$48,Dataset!$J:$J,"&lt;"&amp;$D62,Dataset!J:J,"&gt;="&amp;$C62)</f>
        <v>1.1441413923689039E-2</v>
      </c>
      <c r="U62" s="159">
        <f>SUMIFS(Dataset!$AK:$AK,Dataset!$F:$F,credito!$D$11,Dataset!$AC:$AC,"A",Dataset!$J:$J,"&lt;"&amp;$D62,Dataset!$J:$J,"&gt;="&amp;$C62)+SUMIFS(Dataset!$AK:$AK,Dataset!$F:$F,credito!$D$11,Dataset!$AC:$AC,"A-",Dataset!$J:$J,"&lt;"&amp;$D62,Dataset!$J:$J,"&gt;="&amp;$C62)+SUMIFS(Dataset!$AK:$AK,Dataset!$F:$F,credito!$D$11,Dataset!$AC:$AC,"A+",Dataset!$J:$J,"&lt;"&amp;$D62,Dataset!$J:$J,"&gt;="&amp;$C62)</f>
        <v>2.3005804864561937E-2</v>
      </c>
      <c r="V62" s="159">
        <f>SUMIFS(Dataset!$AK:$AK,Dataset!$F:$F,credito!$D$11,Dataset!$AC:$AC,"BBB",Dataset!$J:$J,"&lt;"&amp;$D62,Dataset!$J:$J,"&gt;="&amp;$C62)+SUMIFS(Dataset!$AK:$AK,Dataset!$F:$F,credito!$D$11,Dataset!$AC:$AC,"BBB-",Dataset!$J:$J,"&lt;"&amp;$D62,Dataset!$J:$J,"&gt;="&amp;$C62)+SUMIFS(Dataset!$AK:$AK,Dataset!$F:$F,credito!$D$11,Dataset!$AC:$AC,"BBB+",Dataset!$J:$J,"&lt;"&amp;$D62,Dataset!$J:$J,"&gt;="&amp;$C62)</f>
        <v>0</v>
      </c>
      <c r="W62" s="159">
        <f>SUMIFS(Dataset!$AK:$AK,Dataset!$F:$F,credito!$D$11,Dataset!$J:$J,"&lt;"&amp;$D62,Dataset!$J:$J,"&gt;="&amp;$C62,Dataset!$AC:$AC,"&lt;&gt;N-1+",Dataset!$AC:$AC,"&lt;&gt;*AA*",Dataset!$AC:$AC,"&lt;&gt;*AAA*",Dataset!$AC:$AC,"&lt;&gt;A",Dataset!$AC:$AC,"&lt;&gt;A-",Dataset!$AC:$AC,"&lt;&gt;A+",Dataset!$AC:$AC,"&lt;&gt;*BBB*")</f>
        <v>0</v>
      </c>
      <c r="X62" s="160">
        <f t="shared" si="3"/>
        <v>3.444721878825098E-2</v>
      </c>
      <c r="Y62" s="161">
        <f>10*SUMIFS(Dataset!$H:$H,Dataset!$F:$F,credito!$D$11,Dataset!AH:AH,"deposito",Dataset!T:T,"$",Dataset!$J:$J,"&lt;"&amp;$D62,Dataset!J:J,"&gt;="&amp;$C62)</f>
        <v>0</v>
      </c>
      <c r="Z62" s="162">
        <f>10*SUMIFS(Dataset!$H:$H,Dataset!$F:$F,credito!$D$11,Dataset!AH:AH,"deposito",Dataset!T:T,"UF",Dataset!$J:$J,"&lt;"&amp;$D62,Dataset!J:J,"&gt;="&amp;$C62)</f>
        <v>0</v>
      </c>
      <c r="AA62" s="162">
        <f>10*SUMIFS(Dataset!$H:$H,Dataset!$F:$F,credito!$D$11,Dataset!AH:AH,"bono de gobierno",Dataset!T:T,"$",Dataset!$J:$J,"&lt;"&amp;$D62,Dataset!J:J,"&gt;="&amp;$C62)</f>
        <v>0</v>
      </c>
      <c r="AB62" s="162">
        <f>10*SUMIFS(Dataset!$H:$H,Dataset!$F:$F,credito!$D$11,Dataset!AH:AH,"bono de gobierno",Dataset!T:T,"uf",Dataset!$J:$J,"&lt;"&amp;$D62,Dataset!J:J,"&gt;="&amp;$C62)</f>
        <v>0</v>
      </c>
      <c r="AC62" s="162">
        <f>10*SUMIFS(Dataset!$H:$H,Dataset!$F:$F,credito!$D$11,Dataset!AH:AH,"bono de gobierno",Dataset!T:T,"eu",Dataset!$J:$J,"&lt;"&amp;$D62,Dataset!J:J,"&gt;="&amp;$C62)</f>
        <v>0</v>
      </c>
      <c r="AD62" s="162">
        <f>10*SUMIFS(Dataset!$H:$H,Dataset!$F:$F,credito!$D$11,Dataset!AH:AH,"bono de gobierno",Dataset!T:T,"mx",Dataset!$J:$J,"&lt;"&amp;$D62,Dataset!J:J,"&gt;="&amp;$C62)</f>
        <v>0</v>
      </c>
      <c r="AE62" s="162">
        <f>10*SUMIFS(Dataset!$H:$H,Dataset!$F:$F,credito!$D$11,Dataset!AH:AH,"bono corporativo",Dataset!T:T,"$",Dataset!$J:$J,"&lt;"&amp;$D62,Dataset!J:J,"&gt;="&amp;$C62)</f>
        <v>0</v>
      </c>
      <c r="AF62" s="162">
        <f>10*SUMIFS(Dataset!$H:$H,Dataset!$F:$F,credito!$D$11,Dataset!AH:AH,"bono corporativo",Dataset!T:T,"uf",Dataset!$J:$J,"&lt;"&amp;$D62,Dataset!J:J,"&gt;="&amp;$C62)</f>
        <v>4.5020248461013352</v>
      </c>
      <c r="AG62" s="162">
        <f>10*SUMIFS(Dataset!$H:$H,Dataset!$F:$F,credito!$D$11,Dataset!AH:AH,"bono corporativo",Dataset!T:T,"us$",Dataset!$J:$J,"&lt;"&amp;$D62,Dataset!J:J,"&gt;="&amp;$C62)</f>
        <v>0</v>
      </c>
      <c r="AH62" s="162">
        <f>10*SUMIFS(Dataset!H:H,Dataset!F:F,credito!$D$11,Dataset!J:J,"&lt;"&amp;$D85,Dataset!J:J,"&gt;="&amp;$C85,Dataset!AH:AH,"&lt;&gt;bono corporativo",Dataset!AH:AH,"&lt;&gt;bono de gobierno",Dataset!AH:AH,"&lt;&gt;deposito")</f>
        <v>0</v>
      </c>
      <c r="AI62" s="163">
        <f t="shared" si="4"/>
        <v>4.5020248461013352</v>
      </c>
    </row>
    <row r="63" spans="3:35" ht="33" customHeight="1" x14ac:dyDescent="0.2">
      <c r="C63" s="57">
        <v>13.5</v>
      </c>
      <c r="D63" s="61">
        <v>14.5</v>
      </c>
      <c r="E63" s="158">
        <f>SUMIFS(Dataset!AK:AK,Dataset!F:F,credito!$D$11,Dataset!AH:AH,"deposito",Dataset!T:T,"$",Dataset!J:J,"&lt;"&amp;$D63,Dataset!J:J,"&gt;="&amp;$C63)</f>
        <v>0</v>
      </c>
      <c r="F63" s="159">
        <f>SUMIFS(Dataset!AK:AK,Dataset!F:F,credito!$D$11,Dataset!AH:AH,"deposito",Dataset!T:T,"UF",Dataset!J:J,"&lt;"&amp;$D63,Dataset!J:J,"&gt;="&amp;$C63)</f>
        <v>0</v>
      </c>
      <c r="G63" s="159">
        <f>SUMIFS(Dataset!AK:AK,Dataset!F:F,credito!$D$11,Dataset!AH:AH,"bono de gobierno",Dataset!T:T,"$",Dataset!J:J,"&lt;"&amp;$D63,Dataset!J:J,"&gt;="&amp;$C63)</f>
        <v>0</v>
      </c>
      <c r="H63" s="159">
        <f>SUMIFS(Dataset!AK:AK,Dataset!F:F,credito!$D$11,Dataset!AH:AH,"bono de gobierno",Dataset!T:T,"UF",Dataset!J:J,"&lt;"&amp;$D63,Dataset!J:J,"&gt;="&amp;$C63)</f>
        <v>0</v>
      </c>
      <c r="I63" s="159">
        <f>SUMIFS(Dataset!AK:AK,Dataset!F:F,credito!$D$11,Dataset!AH:AH,"bono de gobierno",Dataset!T:T,"eu",Dataset!J:J,"&lt;"&amp;$D63,Dataset!J:J,"&gt;="&amp;$C63)</f>
        <v>0</v>
      </c>
      <c r="J63" s="159">
        <f>SUMIFS(Dataset!AK:AK,Dataset!F:F,credito!$D$11,Dataset!AH:AH,"bono de gobierno",Dataset!T:T,"mx",Dataset!J:J,"&lt;"&amp;$D63,Dataset!J:J,"&gt;="&amp;$C63)</f>
        <v>0</v>
      </c>
      <c r="K63" s="159">
        <f>SUMIFS(Dataset!AK:AK,Dataset!F:F,credito!$D$11,Dataset!AH:AH,"bono corporativo",Dataset!T:T,"$",Dataset!J:J,"&lt;"&amp;$D63,Dataset!J:J,"&gt;="&amp;$C63)</f>
        <v>0</v>
      </c>
      <c r="L63" s="159">
        <f>SUMIFS(Dataset!AK:AK,Dataset!F:F,credito!$D$11,Dataset!AH:AH,"bono corporativo",Dataset!T:T,"UF",Dataset!J:J,"&lt;"&amp;$D63,Dataset!J:J,"&gt;="&amp;$C63)</f>
        <v>4.2528640599914349E-3</v>
      </c>
      <c r="M63" s="159">
        <f>SUMIFS(Dataset!AK:AK,Dataset!F:F,credito!$D$11,Dataset!AH:AH,"bono corporativo",Dataset!T:T,"US$",Dataset!J:J,"&lt;"&amp;$D63,Dataset!J:J,"&gt;="&amp;$C63)</f>
        <v>0</v>
      </c>
      <c r="N63" s="159">
        <f>SUMIFS(Dataset!AK:AK,Dataset!F:F,credito!$D$11,Dataset!J:J,"&lt;"&amp;$D63,Dataset!J:J,"&gt;="&amp;$C63,Dataset!AH:AH,"&lt;&gt;bono corporativo",Dataset!AH:AH,"&lt;&gt;bono de gobierno",Dataset!AH:AH,"&lt;&gt;deposito")</f>
        <v>0</v>
      </c>
      <c r="O63" s="160">
        <f t="shared" si="2"/>
        <v>4.2528640599914349E-3</v>
      </c>
      <c r="P63" s="158">
        <f>SUMIFS(Dataset!$AK:$AK,Dataset!$F:$F,credito!$D$11,Dataset!$AC:$AC,P$48,Dataset!$J:$J,"&lt;"&amp;$D63,Dataset!J:J,"&gt;="&amp;$C63)</f>
        <v>0</v>
      </c>
      <c r="Q63" s="159">
        <f>SUMIFS(Dataset!$AK:$AK,Dataset!$F:$F,credito!$D$11,Dataset!$AC:$AC,Q$48,Dataset!$J:$J,"&lt;"&amp;$D63,Dataset!J:J,"&gt;="&amp;$C63)</f>
        <v>0</v>
      </c>
      <c r="R63" s="159">
        <f>SUMIFS(Dataset!$AK:$AK,Dataset!$F:$F,credito!$D$11,Dataset!$AC:$AC,R$48,Dataset!$J:$J,"&lt;"&amp;$D63,Dataset!J:J,"&gt;="&amp;$C63)</f>
        <v>0</v>
      </c>
      <c r="S63" s="159">
        <f>SUMIFS(Dataset!$AK:$AK,Dataset!$F:$F,credito!$D$11,Dataset!$AC:$AC,S$48,Dataset!$J:$J,"&lt;"&amp;$D63,Dataset!J:J,"&gt;="&amp;$C63)</f>
        <v>0</v>
      </c>
      <c r="T63" s="159">
        <f>SUMIFS(Dataset!$AK:$AK,Dataset!$F:$F,credito!$D$11,Dataset!$AC:$AC,T$48,Dataset!$J:$J,"&lt;"&amp;$D63,Dataset!J:J,"&gt;="&amp;$C63)</f>
        <v>4.2528640599914349E-3</v>
      </c>
      <c r="U63" s="159">
        <f>SUMIFS(Dataset!$AK:$AK,Dataset!$F:$F,credito!$D$11,Dataset!$AC:$AC,"A",Dataset!$J:$J,"&lt;"&amp;$D63,Dataset!$J:$J,"&gt;="&amp;$C63)+SUMIFS(Dataset!$AK:$AK,Dataset!$F:$F,credito!$D$11,Dataset!$AC:$AC,"A-",Dataset!$J:$J,"&lt;"&amp;$D63,Dataset!$J:$J,"&gt;="&amp;$C63)+SUMIFS(Dataset!$AK:$AK,Dataset!$F:$F,credito!$D$11,Dataset!$AC:$AC,"A+",Dataset!$J:$J,"&lt;"&amp;$D63,Dataset!$J:$J,"&gt;="&amp;$C63)</f>
        <v>0</v>
      </c>
      <c r="V63" s="159">
        <f>SUMIFS(Dataset!$AK:$AK,Dataset!$F:$F,credito!$D$11,Dataset!$AC:$AC,"BBB",Dataset!$J:$J,"&lt;"&amp;$D63,Dataset!$J:$J,"&gt;="&amp;$C63)+SUMIFS(Dataset!$AK:$AK,Dataset!$F:$F,credito!$D$11,Dataset!$AC:$AC,"BBB-",Dataset!$J:$J,"&lt;"&amp;$D63,Dataset!$J:$J,"&gt;="&amp;$C63)+SUMIFS(Dataset!$AK:$AK,Dataset!$F:$F,credito!$D$11,Dataset!$AC:$AC,"BBB+",Dataset!$J:$J,"&lt;"&amp;$D63,Dataset!$J:$J,"&gt;="&amp;$C63)</f>
        <v>0</v>
      </c>
      <c r="W63" s="159">
        <f>SUMIFS(Dataset!$AK:$AK,Dataset!$F:$F,credito!$D$11,Dataset!$J:$J,"&lt;"&amp;$D63,Dataset!$J:$J,"&gt;="&amp;$C63,Dataset!$AC:$AC,"&lt;&gt;N-1+",Dataset!$AC:$AC,"&lt;&gt;*AA*",Dataset!$AC:$AC,"&lt;&gt;*AAA*",Dataset!$AC:$AC,"&lt;&gt;A",Dataset!$AC:$AC,"&lt;&gt;A-",Dataset!$AC:$AC,"&lt;&gt;A+",Dataset!$AC:$AC,"&lt;&gt;*BBB*")</f>
        <v>0</v>
      </c>
      <c r="X63" s="160">
        <f t="shared" si="3"/>
        <v>4.2528640599914349E-3</v>
      </c>
      <c r="Y63" s="161">
        <f>10*SUMIFS(Dataset!$H:$H,Dataset!$F:$F,credito!$D$11,Dataset!AH:AH,"deposito",Dataset!T:T,"$",Dataset!$J:$J,"&lt;"&amp;$D63,Dataset!J:J,"&gt;="&amp;$C63)</f>
        <v>0</v>
      </c>
      <c r="Z63" s="162">
        <f>10*SUMIFS(Dataset!$H:$H,Dataset!$F:$F,credito!$D$11,Dataset!AH:AH,"deposito",Dataset!T:T,"UF",Dataset!$J:$J,"&lt;"&amp;$D63,Dataset!J:J,"&gt;="&amp;$C63)</f>
        <v>0</v>
      </c>
      <c r="AA63" s="162">
        <f>10*SUMIFS(Dataset!$H:$H,Dataset!$F:$F,credito!$D$11,Dataset!AH:AH,"bono de gobierno",Dataset!T:T,"$",Dataset!$J:$J,"&lt;"&amp;$D63,Dataset!J:J,"&gt;="&amp;$C63)</f>
        <v>0</v>
      </c>
      <c r="AB63" s="162">
        <f>10*SUMIFS(Dataset!$H:$H,Dataset!$F:$F,credito!$D$11,Dataset!AH:AH,"bono de gobierno",Dataset!T:T,"uf",Dataset!$J:$J,"&lt;"&amp;$D63,Dataset!J:J,"&gt;="&amp;$C63)</f>
        <v>0</v>
      </c>
      <c r="AC63" s="162">
        <f>10*SUMIFS(Dataset!$H:$H,Dataset!$F:$F,credito!$D$11,Dataset!AH:AH,"bono de gobierno",Dataset!T:T,"eu",Dataset!$J:$J,"&lt;"&amp;$D63,Dataset!J:J,"&gt;="&amp;$C63)</f>
        <v>0</v>
      </c>
      <c r="AD63" s="162">
        <f>10*SUMIFS(Dataset!$H:$H,Dataset!$F:$F,credito!$D$11,Dataset!AH:AH,"bono de gobierno",Dataset!T:T,"mx",Dataset!$J:$J,"&lt;"&amp;$D63,Dataset!J:J,"&gt;="&amp;$C63)</f>
        <v>0</v>
      </c>
      <c r="AE63" s="162">
        <f>10*SUMIFS(Dataset!$H:$H,Dataset!$F:$F,credito!$D$11,Dataset!AH:AH,"bono corporativo",Dataset!T:T,"$",Dataset!$J:$J,"&lt;"&amp;$D63,Dataset!J:J,"&gt;="&amp;$C63)</f>
        <v>0</v>
      </c>
      <c r="AF63" s="162">
        <f>10*SUMIFS(Dataset!$H:$H,Dataset!$F:$F,credito!$D$11,Dataset!AH:AH,"bono corporativo",Dataset!T:T,"uf",Dataset!$J:$J,"&lt;"&amp;$D63,Dataset!J:J,"&gt;="&amp;$C63)</f>
        <v>0.57498722091084198</v>
      </c>
      <c r="AG63" s="162">
        <f>10*SUMIFS(Dataset!$H:$H,Dataset!$F:$F,credito!$D$11,Dataset!AH:AH,"bono corporativo",Dataset!T:T,"us$",Dataset!$J:$J,"&lt;"&amp;$D63,Dataset!J:J,"&gt;="&amp;$C63)</f>
        <v>0</v>
      </c>
      <c r="AH63" s="162">
        <f>10*SUMIFS(Dataset!H:H,Dataset!F:F,credito!$D$11,Dataset!J:J,"&lt;"&amp;$D86,Dataset!J:J,"&gt;="&amp;$C86,Dataset!AH:AH,"&lt;&gt;bono corporativo",Dataset!AH:AH,"&lt;&gt;bono de gobierno",Dataset!AH:AH,"&lt;&gt;deposito")</f>
        <v>0</v>
      </c>
      <c r="AI63" s="163">
        <f t="shared" si="4"/>
        <v>0.57498722091084198</v>
      </c>
    </row>
    <row r="64" spans="3:35" ht="33" customHeight="1" x14ac:dyDescent="0.2">
      <c r="C64" s="57">
        <v>14.5</v>
      </c>
      <c r="D64" s="61">
        <v>100</v>
      </c>
      <c r="E64" s="164">
        <f>SUMIFS(Dataset!AK:AK,Dataset!F:F,credito!$D$11,Dataset!AH:AH,"deposito",Dataset!T:T,"$",Dataset!J:J,"&lt;"&amp;$D64,Dataset!J:J,"&gt;="&amp;$C64)</f>
        <v>0</v>
      </c>
      <c r="F64" s="165">
        <f>SUMIFS(Dataset!AK:AK,Dataset!F:F,credito!$D$11,Dataset!AH:AH,"deposito",Dataset!T:T,"UF",Dataset!J:J,"&lt;"&amp;$D64,Dataset!J:J,"&gt;="&amp;$C64)</f>
        <v>0</v>
      </c>
      <c r="G64" s="165">
        <f>SUMIFS(Dataset!AK:AK,Dataset!F:F,credito!$D$11,Dataset!AH:AH,"bono de gobierno",Dataset!T:T,"$",Dataset!J:J,"&lt;"&amp;$D64,Dataset!J:J,"&gt;="&amp;$C64)</f>
        <v>0</v>
      </c>
      <c r="H64" s="165">
        <f>SUMIFS(Dataset!AK:AK,Dataset!F:F,credito!$D$11,Dataset!AH:AH,"bono de gobierno",Dataset!T:T,"UF",Dataset!J:J,"&lt;"&amp;$D64,Dataset!J:J,"&gt;="&amp;$C64)</f>
        <v>0</v>
      </c>
      <c r="I64" s="165">
        <f>SUMIFS(Dataset!AK:AK,Dataset!F:F,credito!$D$11,Dataset!AH:AH,"bono de gobierno",Dataset!T:T,"eu",Dataset!J:J,"&lt;"&amp;$D64,Dataset!J:J,"&gt;="&amp;$C64)</f>
        <v>0</v>
      </c>
      <c r="J64" s="165">
        <f>SUMIFS(Dataset!AK:AK,Dataset!F:F,credito!$D$11,Dataset!AH:AH,"bono de gobierno",Dataset!T:T,"mx",Dataset!J:J,"&lt;"&amp;$D64,Dataset!J:J,"&gt;="&amp;$C64)</f>
        <v>0</v>
      </c>
      <c r="K64" s="165">
        <f>SUMIFS(Dataset!AK:AK,Dataset!F:F,credito!$D$11,Dataset!AH:AH,"bono corporativo",Dataset!T:T,"$",Dataset!J:J,"&lt;"&amp;$D64,Dataset!J:J,"&gt;="&amp;$C64)</f>
        <v>0</v>
      </c>
      <c r="L64" s="165">
        <f>SUMIFS(Dataset!AK:AK,Dataset!F:F,credito!$D$11,Dataset!AH:AH,"bono corporativo",Dataset!T:T,"UF",Dataset!J:J,"&lt;"&amp;$D64,Dataset!J:J,"&gt;="&amp;$C64)</f>
        <v>1.7347897698652404E-2</v>
      </c>
      <c r="M64" s="165">
        <f>SUMIFS(Dataset!AK:AK,Dataset!F:F,credito!$D$11,Dataset!AH:AH,"bono corporativo",Dataset!T:T,"US$",Dataset!J:J,"&lt;"&amp;$D64,Dataset!J:J,"&gt;="&amp;$C64)</f>
        <v>0</v>
      </c>
      <c r="N64" s="165">
        <f>SUMIFS(Dataset!AK:AK,Dataset!F:F,credito!$D$11,Dataset!J:J,"&lt;"&amp;$D64,Dataset!J:J,"&gt;="&amp;$C64,Dataset!AH:AH,"&lt;&gt;bono corporativo",Dataset!AH:AH,"&lt;&gt;bono de gobierno",Dataset!AH:AH,"&lt;&gt;deposito")</f>
        <v>0</v>
      </c>
      <c r="O64" s="166">
        <f t="shared" si="2"/>
        <v>1.7347897698652404E-2</v>
      </c>
      <c r="P64" s="164">
        <f>SUMIFS(Dataset!$AK:$AK,Dataset!$F:$F,credito!$D$11,Dataset!$AC:$AC,P$48,Dataset!$J:$J,"&lt;"&amp;$D64,Dataset!J:J,"&gt;="&amp;$C64)</f>
        <v>0</v>
      </c>
      <c r="Q64" s="165">
        <f>SUMIFS(Dataset!$AK:$AK,Dataset!$F:$F,credito!$D$11,Dataset!$AC:$AC,Q$48,Dataset!$J:$J,"&lt;"&amp;$D64,Dataset!J:J,"&gt;="&amp;$C64)</f>
        <v>0</v>
      </c>
      <c r="R64" s="165">
        <f>SUMIFS(Dataset!$AK:$AK,Dataset!$F:$F,credito!$D$11,Dataset!$AC:$AC,R$48,Dataset!$J:$J,"&lt;"&amp;$D64,Dataset!J:J,"&gt;="&amp;$C64)</f>
        <v>0</v>
      </c>
      <c r="S64" s="165">
        <f>SUMIFS(Dataset!$AK:$AK,Dataset!$F:$F,credito!$D$11,Dataset!$AC:$AC,S$48,Dataset!$J:$J,"&lt;"&amp;$D64,Dataset!J:J,"&gt;="&amp;$C64)</f>
        <v>0</v>
      </c>
      <c r="T64" s="165">
        <f>SUMIFS(Dataset!$AK:$AK,Dataset!$F:$F,credito!$D$11,Dataset!$AC:$AC,T$48,Dataset!$J:$J,"&lt;"&amp;$D64,Dataset!J:J,"&gt;="&amp;$C64)</f>
        <v>0</v>
      </c>
      <c r="U64" s="165">
        <f>SUMIFS(Dataset!$AK:$AK,Dataset!$F:$F,credito!$D$11,Dataset!$AC:$AC,"A",Dataset!$J:$J,"&lt;"&amp;$D64,Dataset!$J:$J,"&gt;="&amp;$C64)+SUMIFS(Dataset!$AK:$AK,Dataset!$F:$F,credito!$D$11,Dataset!$AC:$AC,"A-",Dataset!$J:$J,"&lt;"&amp;$D64,Dataset!$J:$J,"&gt;="&amp;$C64)+SUMIFS(Dataset!$AK:$AK,Dataset!$F:$F,credito!$D$11,Dataset!$AC:$AC,"A+",Dataset!$J:$J,"&lt;"&amp;$D64,Dataset!$J:$J,"&gt;="&amp;$C64)</f>
        <v>1.7347897698652404E-2</v>
      </c>
      <c r="V64" s="165">
        <f>SUMIFS(Dataset!$AK:$AK,Dataset!$F:$F,credito!$D$11,Dataset!$AC:$AC,"BBB",Dataset!$J:$J,"&lt;"&amp;$D64,Dataset!$J:$J,"&gt;="&amp;$C64)+SUMIFS(Dataset!$AK:$AK,Dataset!$F:$F,credito!$D$11,Dataset!$AC:$AC,"BBB-",Dataset!$J:$J,"&lt;"&amp;$D64,Dataset!$J:$J,"&gt;="&amp;$C64)+SUMIFS(Dataset!$AK:$AK,Dataset!$F:$F,credito!$D$11,Dataset!$AC:$AC,"BBB+",Dataset!$J:$J,"&lt;"&amp;$D64,Dataset!$J:$J,"&gt;="&amp;$C64)</f>
        <v>0</v>
      </c>
      <c r="W64" s="165">
        <f>SUMIFS(Dataset!$AK:$AK,Dataset!$F:$F,credito!$D$11,Dataset!$J:$J,"&lt;"&amp;$D64,Dataset!$J:$J,"&gt;="&amp;$C64,Dataset!$AC:$AC,"&lt;&gt;N-1+",Dataset!$AC:$AC,"&lt;&gt;*AA*",Dataset!$AC:$AC,"&lt;&gt;*AAA*",Dataset!$AC:$AC,"&lt;&gt;A",Dataset!$AC:$AC,"&lt;&gt;A-",Dataset!$AC:$AC,"&lt;&gt;A+",Dataset!$AC:$AC,"&lt;&gt;*BBB*")</f>
        <v>0</v>
      </c>
      <c r="X64" s="166">
        <f t="shared" si="3"/>
        <v>1.7347897698652404E-2</v>
      </c>
      <c r="Y64" s="167">
        <f>10*SUMIFS(Dataset!$H:$H,Dataset!$F:$F,credito!$D$11,Dataset!AH:AH,"deposito",Dataset!T:T,"$",Dataset!$J:$J,"&lt;"&amp;$D64,Dataset!J:J,"&gt;="&amp;$C64)</f>
        <v>0</v>
      </c>
      <c r="Z64" s="168">
        <f>10*SUMIFS(Dataset!$H:$H,Dataset!$F:$F,credito!$D$11,Dataset!AH:AH,"deposito",Dataset!T:T,"UF",Dataset!$J:$J,"&lt;"&amp;$D64,Dataset!J:J,"&gt;="&amp;$C64)</f>
        <v>0</v>
      </c>
      <c r="AA64" s="168">
        <f>10*SUMIFS(Dataset!$H:$H,Dataset!$F:$F,credito!$D$11,Dataset!AH:AH,"bono de gobierno",Dataset!T:T,"$",Dataset!$J:$J,"&lt;"&amp;$D64,Dataset!J:J,"&gt;="&amp;$C64)</f>
        <v>0</v>
      </c>
      <c r="AB64" s="168">
        <f>10*SUMIFS(Dataset!$H:$H,Dataset!$F:$F,credito!$D$11,Dataset!AH:AH,"bono de gobierno",Dataset!T:T,"uf",Dataset!$J:$J,"&lt;"&amp;$D64,Dataset!J:J,"&gt;="&amp;$C64)</f>
        <v>0</v>
      </c>
      <c r="AC64" s="168">
        <f>10*SUMIFS(Dataset!$H:$H,Dataset!$F:$F,credito!$D$11,Dataset!AH:AH,"bono de gobierno",Dataset!T:T,"eu",Dataset!$J:$J,"&lt;"&amp;$D64,Dataset!J:J,"&gt;="&amp;$C64)</f>
        <v>0</v>
      </c>
      <c r="AD64" s="168">
        <f>10*SUMIFS(Dataset!$H:$H,Dataset!$F:$F,credito!$D$11,Dataset!AH:AH,"bono de gobierno",Dataset!T:T,"mx",Dataset!$J:$J,"&lt;"&amp;$D64,Dataset!J:J,"&gt;="&amp;$C64)</f>
        <v>0</v>
      </c>
      <c r="AE64" s="168">
        <f>10*SUMIFS(Dataset!$H:$H,Dataset!$F:$F,credito!$D$11,Dataset!AH:AH,"bono corporativo",Dataset!T:T,"$",Dataset!$J:$J,"&lt;"&amp;$D64,Dataset!J:J,"&gt;="&amp;$C64)</f>
        <v>0</v>
      </c>
      <c r="AF64" s="168">
        <f>10*SUMIFS(Dataset!$H:$H,Dataset!$F:$F,credito!$D$11,Dataset!AH:AH,"bono corporativo",Dataset!T:T,"uf",Dataset!$J:$J,"&lt;"&amp;$D64,Dataset!J:J,"&gt;="&amp;$C64)</f>
        <v>2.6305250098900701</v>
      </c>
      <c r="AG64" s="168">
        <f>10*SUMIFS(Dataset!$H:$H,Dataset!$F:$F,credito!$D$11,Dataset!AH:AH,"bono corporativo",Dataset!T:T,"us$",Dataset!$J:$J,"&lt;"&amp;$D64,Dataset!J:J,"&gt;="&amp;$C64)</f>
        <v>0</v>
      </c>
      <c r="AH64" s="168">
        <f>10*SUMIFS(Dataset!H:H,Dataset!F:F,credito!$D$11,Dataset!J:J,"&lt;"&amp;$D87,Dataset!J:J,"&gt;="&amp;$C87,Dataset!AH:AH,"&lt;&gt;bono corporativo",Dataset!AH:AH,"&lt;&gt;bono de gobierno",Dataset!AH:AH,"&lt;&gt;deposito")</f>
        <v>0</v>
      </c>
      <c r="AI64" s="169">
        <f t="shared" si="4"/>
        <v>2.6305250098900701</v>
      </c>
    </row>
    <row r="65" spans="3:35" ht="33" customHeight="1" x14ac:dyDescent="0.2">
      <c r="C65" s="236"/>
      <c r="D65" s="237"/>
      <c r="E65" s="159">
        <f t="shared" ref="E65:N65" si="5">SUM(E49:E64)</f>
        <v>4.0119126529403618E-3</v>
      </c>
      <c r="F65" s="159">
        <f t="shared" si="5"/>
        <v>0</v>
      </c>
      <c r="G65" s="159">
        <f t="shared" si="5"/>
        <v>0</v>
      </c>
      <c r="H65" s="159">
        <f t="shared" si="5"/>
        <v>1.8481690972586014E-2</v>
      </c>
      <c r="I65" s="159">
        <f t="shared" si="5"/>
        <v>0</v>
      </c>
      <c r="J65" s="159">
        <f t="shared" si="5"/>
        <v>0</v>
      </c>
      <c r="K65" s="159">
        <f t="shared" si="5"/>
        <v>0.10304945395777097</v>
      </c>
      <c r="L65" s="159">
        <f t="shared" si="5"/>
        <v>0.80237126746263487</v>
      </c>
      <c r="M65" s="159">
        <f t="shared" si="5"/>
        <v>4.9672477900183878E-2</v>
      </c>
      <c r="N65" s="159">
        <f t="shared" si="5"/>
        <v>2.4240114323859016E-2</v>
      </c>
      <c r="O65" s="160">
        <f t="shared" si="2"/>
        <v>1.0018269172699752</v>
      </c>
      <c r="P65" s="159">
        <f t="shared" ref="P65:W65" si="6">SUM(P49:P64)</f>
        <v>4.0119126529403618E-3</v>
      </c>
      <c r="Q65" s="159">
        <f t="shared" si="6"/>
        <v>4.5835368672812751E-2</v>
      </c>
      <c r="R65" s="159">
        <f t="shared" si="6"/>
        <v>7.6525538064399863E-3</v>
      </c>
      <c r="S65" s="159">
        <f t="shared" si="6"/>
        <v>6.6713094918887481E-2</v>
      </c>
      <c r="T65" s="159">
        <f t="shared" si="6"/>
        <v>0.25897380870483327</v>
      </c>
      <c r="U65" s="159">
        <f t="shared" si="6"/>
        <v>0.43955868698464728</v>
      </c>
      <c r="V65" s="159">
        <f t="shared" si="6"/>
        <v>0.10711698500212619</v>
      </c>
      <c r="W65" s="159">
        <f t="shared" si="6"/>
        <v>7.1964506527287753E-2</v>
      </c>
      <c r="X65" s="160">
        <f t="shared" si="3"/>
        <v>1.001826917269975</v>
      </c>
      <c r="Y65" s="162">
        <f>SUM(Y49:Y64)</f>
        <v>9.1835975321515727E-3</v>
      </c>
      <c r="Z65" s="162">
        <f t="shared" ref="Z65:AH65" si="7">SUM(Z49:Z64)</f>
        <v>0</v>
      </c>
      <c r="AA65" s="162">
        <f t="shared" si="7"/>
        <v>0</v>
      </c>
      <c r="AB65" s="162"/>
      <c r="AC65" s="162"/>
      <c r="AD65" s="162">
        <f t="shared" si="7"/>
        <v>0</v>
      </c>
      <c r="AE65" s="162">
        <f t="shared" si="7"/>
        <v>3.3312223739633109</v>
      </c>
      <c r="AF65" s="162">
        <f t="shared" si="7"/>
        <v>57.040272829498292</v>
      </c>
      <c r="AG65" s="162">
        <f t="shared" si="7"/>
        <v>1.9277876040899742</v>
      </c>
      <c r="AH65" s="162">
        <f t="shared" si="7"/>
        <v>1.0260494505006618E-2</v>
      </c>
      <c r="AI65" s="163">
        <f t="shared" si="4"/>
        <v>62.318726899588732</v>
      </c>
    </row>
    <row r="66" spans="3:35" ht="15" customHeight="1" x14ac:dyDescent="0.2"/>
    <row r="67" spans="3:35" ht="48" customHeight="1" x14ac:dyDescent="0.2">
      <c r="AB67" s="231" t="s">
        <v>1750</v>
      </c>
      <c r="AC67" s="231"/>
      <c r="AD67" s="231"/>
      <c r="AE67" s="231"/>
      <c r="AF67" s="231"/>
      <c r="AG67" s="231"/>
      <c r="AH67" s="231"/>
      <c r="AI67" s="231"/>
    </row>
    <row r="68" spans="3:35" ht="15" customHeight="1" x14ac:dyDescent="0.2">
      <c r="AB68" s="25"/>
    </row>
    <row r="69" spans="3:35" ht="42" customHeight="1" x14ac:dyDescent="0.2">
      <c r="E69" s="231" t="s">
        <v>1751</v>
      </c>
      <c r="F69" s="231"/>
      <c r="G69" s="231"/>
      <c r="H69" s="231"/>
      <c r="I69" s="231"/>
      <c r="J69" s="231"/>
      <c r="K69" s="231"/>
      <c r="L69" s="231"/>
      <c r="M69" s="231"/>
      <c r="N69" s="231"/>
      <c r="O69" s="20"/>
      <c r="P69" s="231" t="s">
        <v>1749</v>
      </c>
      <c r="Q69" s="231"/>
      <c r="R69" s="231"/>
      <c r="S69" s="231"/>
      <c r="T69" s="231"/>
      <c r="U69" s="231"/>
      <c r="V69" s="231"/>
      <c r="W69" s="231"/>
      <c r="X69" s="231"/>
      <c r="Y69" s="231"/>
    </row>
    <row r="70" spans="3:35" ht="27" customHeight="1" x14ac:dyDescent="0.2">
      <c r="E70" s="25"/>
      <c r="F70" s="25"/>
      <c r="G70" s="25"/>
      <c r="H70" s="25"/>
      <c r="I70" s="25"/>
      <c r="J70" s="25"/>
      <c r="K70" s="25"/>
      <c r="L70" s="25"/>
      <c r="M70" s="25"/>
      <c r="O70" s="25"/>
      <c r="P70" s="25"/>
      <c r="Q70" s="25"/>
      <c r="R70" s="25"/>
      <c r="S70" s="25"/>
      <c r="T70" s="25"/>
      <c r="U70" s="25"/>
      <c r="V70" s="25"/>
      <c r="AB70" s="234" t="s">
        <v>72</v>
      </c>
      <c r="AC70" s="238"/>
      <c r="AD70" s="60" t="s">
        <v>76</v>
      </c>
      <c r="AE70" s="60" t="s">
        <v>77</v>
      </c>
      <c r="AF70" s="60" t="s">
        <v>90</v>
      </c>
      <c r="AG70" s="60" t="s">
        <v>113</v>
      </c>
      <c r="AH70" s="60" t="s">
        <v>114</v>
      </c>
      <c r="AI70" s="60"/>
    </row>
    <row r="71" spans="3:35" ht="27" customHeight="1" x14ac:dyDescent="0.2">
      <c r="C71" s="234" t="s">
        <v>72</v>
      </c>
      <c r="D71" s="234"/>
      <c r="E71" s="60" t="s">
        <v>76</v>
      </c>
      <c r="F71" s="60" t="s">
        <v>77</v>
      </c>
      <c r="G71" s="60" t="s">
        <v>78</v>
      </c>
      <c r="H71" s="60" t="s">
        <v>79</v>
      </c>
      <c r="I71" s="60" t="s">
        <v>94</v>
      </c>
      <c r="J71" s="60" t="s">
        <v>167</v>
      </c>
      <c r="K71" s="60" t="s">
        <v>80</v>
      </c>
      <c r="L71" s="60" t="s">
        <v>81</v>
      </c>
      <c r="M71" s="60" t="s">
        <v>82</v>
      </c>
      <c r="N71" s="60" t="s">
        <v>83</v>
      </c>
      <c r="O71" s="60"/>
      <c r="P71" s="60" t="s">
        <v>76</v>
      </c>
      <c r="Q71" s="60" t="s">
        <v>77</v>
      </c>
      <c r="R71" s="60" t="s">
        <v>78</v>
      </c>
      <c r="S71" s="60" t="s">
        <v>79</v>
      </c>
      <c r="T71" s="60" t="s">
        <v>94</v>
      </c>
      <c r="U71" s="60" t="s">
        <v>167</v>
      </c>
      <c r="V71" s="60" t="s">
        <v>80</v>
      </c>
      <c r="W71" s="60" t="s">
        <v>81</v>
      </c>
      <c r="X71" s="60" t="s">
        <v>82</v>
      </c>
      <c r="Y71" s="60" t="s">
        <v>83</v>
      </c>
      <c r="Z71" s="60"/>
      <c r="AB71" s="59">
        <v>0</v>
      </c>
      <c r="AC71" s="63">
        <v>15</v>
      </c>
      <c r="AD71" s="170">
        <f>SUMIFS(Dataset!AJ:AJ,Dataset!F:F,credito!$D$11,Dataset!AH:AH,"deposito",Dataset!T:T,"$",Dataset!J:J,"&lt;"&amp;$AC71/365,Dataset!J:J,"&gt;="&amp;$AB71/365)</f>
        <v>1.3460340927609689E-5</v>
      </c>
      <c r="AE71" s="170">
        <f>SUMIFS(Dataset!AJ:AJ,Dataset!F:F,credito!$D$11,Dataset!AH:AH,"deposito",Dataset!T:T,"uf",Dataset!J:J,"&lt;"&amp;$AC71/365,Dataset!J:J,"&gt;="&amp;$AB71/365)</f>
        <v>0</v>
      </c>
      <c r="AF71" s="170">
        <f>SUMIFS(Dataset!AJ:AJ,Dataset!F:F,credito!$D$11,Dataset!AH:AH,"deposito",Dataset!T:T,"us$",Dataset!J:J,"&lt;"&amp;$AC71/365,Dataset!J:J,"&gt;="&amp;$AB71/365)</f>
        <v>0</v>
      </c>
      <c r="AG71" s="170">
        <f>SUMIFS(Dataset!AJ:AJ,Dataset!F:F,credito!$D$11,Dataset!AH:AH,"factura",Dataset!J:J,"&lt;"&amp;$AC71/365,Dataset!J:J,"&gt;="&amp;$AB71/365)</f>
        <v>1.3660036438867408E-3</v>
      </c>
      <c r="AH71" s="171">
        <f>SUMIFS(Dataset!AJ:AJ,Dataset!F:F,credito!$D$11,Dataset!AH:AH,"letra hipotecaria",Dataset!J:J,"&lt;"&amp;$AC71/365,Dataset!J:J,"&gt;="&amp;$AB71/365)</f>
        <v>0</v>
      </c>
      <c r="AI71" s="160">
        <f>SUM(AD71:AH71)</f>
        <v>1.3794639848143506E-3</v>
      </c>
    </row>
    <row r="72" spans="3:35" ht="39" customHeight="1" x14ac:dyDescent="0.2">
      <c r="C72" s="59">
        <v>0</v>
      </c>
      <c r="D72" s="58">
        <v>0.5</v>
      </c>
      <c r="E72" s="152">
        <f>SUMIFS(Dataset!AJ:AJ,Dataset!F:F,credito!$D$11,Dataset!AH:AH,"deposito",Dataset!T:T,"$",Dataset!J:J,"&lt;"&amp;$D72,Dataset!J:J,"&gt;="&amp;$C72)</f>
        <v>3.8730714579840878E-3</v>
      </c>
      <c r="F72" s="153">
        <f>SUMIFS(Dataset!AJ:AJ,Dataset!F:F,credito!$D$11,Dataset!AH:AH,"deposito",Dataset!T:T,"UF",Dataset!J:J,"&lt;"&amp;$D72,Dataset!J:J,"&gt;="&amp;$C72)</f>
        <v>0</v>
      </c>
      <c r="G72" s="153">
        <f>SUMIFS(Dataset!AJ:AJ,Dataset!F:F,credito!$D$11,Dataset!AH:AH,"bono de gobierno",Dataset!T:T,"$",Dataset!J:J,"&lt;"&amp;$D72,Dataset!J:J,"&gt;="&amp;$C72)</f>
        <v>0</v>
      </c>
      <c r="H72" s="153">
        <f>SUMIFS(Dataset!AJ:AJ,Dataset!F:F,credito!$D$11,Dataset!AH:AH,"bono de gobierno",Dataset!T:T,"UF",Dataset!J:J,"&lt;"&amp;$D72,Dataset!J:J,"&gt;="&amp;$C72)</f>
        <v>0</v>
      </c>
      <c r="I72" s="153">
        <f>SUMIFS(Dataset!AJ:AJ,Dataset!F:F,credito!$D$11,Dataset!AH:AH,"bono de gobierno",Dataset!T:T,"eu",Dataset!J:J,"&lt;"&amp;$D72,Dataset!J:J,"&gt;="&amp;$C72)</f>
        <v>0</v>
      </c>
      <c r="J72" s="153">
        <f>SUMIFS(Dataset!AJ:AJ,Dataset!F:F,credito!$D$11,Dataset!AH:AH,"bono de gobierno",Dataset!T:T,"mx",Dataset!J:J,"&lt;"&amp;$D72,Dataset!J:J,"&gt;="&amp;$C72)</f>
        <v>0</v>
      </c>
      <c r="K72" s="153">
        <f>SUMIFS(Dataset!AJ:AJ,Dataset!F:F,credito!$D$11,Dataset!AH:AH,"bono corporativo",Dataset!T:T,"$",Dataset!J:J,"&lt;"&amp;$D72,Dataset!J:J,"&gt;="&amp;$C72)</f>
        <v>-1.007669036611651E-2</v>
      </c>
      <c r="L72" s="153">
        <f>SUMIFS(Dataset!AJ:AJ,Dataset!F:F,credito!$D$11,Dataset!AH:AH,"bono corporativo",Dataset!T:T,"UF",Dataset!J:J,"&lt;"&amp;$D72,Dataset!J:J,"&gt;="&amp;$C72)</f>
        <v>-6.8266238717083006E-3</v>
      </c>
      <c r="M72" s="153">
        <f>SUMIFS(Dataset!AJ:AJ,Dataset!F:F,credito!$D$11,Dataset!AH:AH,"bono corporativo",Dataset!T:T,"US$",Dataset!J:J,"&lt;"&amp;$D72,Dataset!J:J,"&gt;="&amp;$C72)</f>
        <v>0</v>
      </c>
      <c r="N72" s="153">
        <f>SUMIFS(Dataset!AJ:AJ,Dataset!F:F,credito!$D$11,Dataset!J:J,"&lt;"&amp;$D72,Dataset!J:J,"&gt;="&amp;$C72,Dataset!AH:AH,"&lt;&gt;bono corporativo",Dataset!AH:AH,"&lt;&gt;bono de gobierno",Dataset!AH:AH,"&lt;&gt;deposito")</f>
        <v>2.4240114323859016E-2</v>
      </c>
      <c r="O72" s="160">
        <f t="shared" ref="O72:O88" si="8">SUM(E72:N72)</f>
        <v>1.1209871544018294E-2</v>
      </c>
      <c r="P72" s="152">
        <f>SUMIFS(Dataset!AA:AA,Dataset!F:F,credito!$D$11,Dataset!AH:AH,"deposito",Dataset!T:T,"$",Dataset!J:J,"&lt;"&amp;$D72,Dataset!J:J,"&gt;="&amp;$C72)</f>
        <v>-1.9970299293362561E-6</v>
      </c>
      <c r="Q72" s="153">
        <f>SUMIFS(Dataset!AA:AA,Dataset!F:F,credito!$D$11,Dataset!AH:AH,"deposito",Dataset!T:T,"UF",Dataset!J:J,"&lt;"&amp;$D72,Dataset!J:J,"&gt;="&amp;$C72)</f>
        <v>0</v>
      </c>
      <c r="R72" s="153">
        <f>SUMIFS(Dataset!AA:AA,Dataset!F:F,credito!$D$11,Dataset!AH:AH,"bono de gobierno",Dataset!T:T,"$",Dataset!J:J,"&lt;"&amp;$D72,Dataset!J:J,"&gt;="&amp;$C72)</f>
        <v>0</v>
      </c>
      <c r="S72" s="153">
        <f>SUMIFS(Dataset!AA:AA,Dataset!F:F,credito!$D$11,Dataset!AH:AH,"bono de gobierno",Dataset!T:T,"UF",Dataset!J:J,"&lt;"&amp;$D72,Dataset!J:J,"&gt;="&amp;$C72)</f>
        <v>0</v>
      </c>
      <c r="T72" s="153">
        <f>SUMIFS(Dataset!AA:AA,Dataset!F:F,credito!$D$11,Dataset!AH:AH,"bono de gobierno",Dataset!T:T,"EU",Dataset!J:J,"&lt;"&amp;$D72,Dataset!J:J,"&gt;="&amp;$C72)</f>
        <v>0</v>
      </c>
      <c r="U72" s="153">
        <f>SUMIFS(Dataset!AA:AA,Dataset!F:F,credito!$D$11,Dataset!AH:AH,"bono de gobierno",Dataset!T:T,"MX",Dataset!J:J,"&lt;"&amp;$D72,Dataset!J:J,"&gt;="&amp;$C72)</f>
        <v>0</v>
      </c>
      <c r="V72" s="153">
        <f>SUMIFS(Dataset!AA:AA,Dataset!F:F,credito!$D$11,Dataset!AH:AH,"bono corporativo",Dataset!T:T,"$",Dataset!J:J,"&lt;"&amp;$D72,Dataset!J:J,"&gt;="&amp;$C72)</f>
        <v>1.3423473025770383E-3</v>
      </c>
      <c r="W72" s="153">
        <f>SUMIFS(Dataset!AA:AA,Dataset!F:F,credito!$D$11,Dataset!AH:AH,"bono corporativo",Dataset!T:T,"UF",Dataset!J:J,"&lt;"&amp;$D72,Dataset!J:J,"&gt;="&amp;$C72)</f>
        <v>-4.708442029415203E-4</v>
      </c>
      <c r="X72" s="153">
        <f>SUMIFS(Dataset!AA:AA,Dataset!F:F,credito!$D$11,Dataset!AH:AH,"bono corporativo",Dataset!T:T,"US$",Dataset!J:J,"&lt;"&amp;$D72,Dataset!J:J,"&gt;="&amp;$C72)</f>
        <v>0</v>
      </c>
      <c r="Y72" s="153">
        <f>SUMIFS(Dataset!AA:AA,Dataset!F:F,credito!$D$11,Dataset!J:J,"&lt;"&amp;$D72,Dataset!J:J,"&gt;="&amp;$C72,Dataset!AH:AH,"&lt;&gt;bono corporativo",Dataset!AH:AH,"&lt;&gt;bono de gobierno",Dataset!AH:AH,"&lt;&gt;deposito")</f>
        <v>-0.16034885515501179</v>
      </c>
      <c r="Z72" s="160">
        <f t="shared" ref="Z72:Z88" si="9">SUM(P72:Y72)</f>
        <v>-0.15947934908530562</v>
      </c>
      <c r="AB72" s="57">
        <v>15</v>
      </c>
      <c r="AC72" s="64">
        <v>30</v>
      </c>
      <c r="AD72" s="172">
        <f>SUMIFS(Dataset!AJ:AJ,Dataset!F:F,credito!$D$11,Dataset!AH:AH,"deposito",Dataset!T:T,"$",Dataset!J:J,"&lt;"&amp;$AC72/365,Dataset!J:J,"&gt;="&amp;$AB72/365)</f>
        <v>3.5541138186662651E-4</v>
      </c>
      <c r="AE72" s="172">
        <f>SUMIFS(Dataset!AJ:AJ,Dataset!F:F,credito!$D$11,Dataset!AH:AH,"deposito",Dataset!T:T,"uf",Dataset!J:J,"&lt;"&amp;$AC72/365,Dataset!J:J,"&gt;="&amp;$AB72/365)</f>
        <v>0</v>
      </c>
      <c r="AF72" s="172">
        <f>SUMIFS(Dataset!AJ:AJ,Dataset!F:F,credito!$D$11,Dataset!AH:AH,"deposito",Dataset!T:T,"us$",Dataset!J:J,"&lt;"&amp;$AC72/365,Dataset!J:J,"&gt;="&amp;$AB72/365)</f>
        <v>0</v>
      </c>
      <c r="AG72" s="172">
        <f>SUMIFS(Dataset!AJ:AJ,Dataset!F:F,credito!$D$11,Dataset!AH:AH,"factura",Dataset!J:J,"&lt;"&amp;$AC72/365,Dataset!J:J,"&gt;="&amp;$AB72/365)</f>
        <v>1.5816765340948768E-3</v>
      </c>
      <c r="AH72" s="173">
        <f>SUMIFS(Dataset!AJ:AJ,Dataset!F:F,credito!$D$11,Dataset!AH:AH,"letra hipotecaria",Dataset!J:J,"&lt;"&amp;$AC72/365,Dataset!J:J,"&gt;="&amp;$AB72/365)</f>
        <v>0</v>
      </c>
      <c r="AI72" s="160">
        <f t="shared" ref="AI72:AI90" si="10">SUM(AD72:AH72)</f>
        <v>1.9370879159615034E-3</v>
      </c>
    </row>
    <row r="73" spans="3:35" ht="35.25" customHeight="1" x14ac:dyDescent="0.2">
      <c r="C73" s="57">
        <v>0.5</v>
      </c>
      <c r="D73" s="61">
        <v>1.5</v>
      </c>
      <c r="E73" s="158">
        <f>SUMIFS(Dataset!AJ:AJ,Dataset!F:F,credito!$D$11,Dataset!AH:AH,"deposito",Dataset!T:T,"$",Dataset!J:J,"&lt;"&amp;$D73,Dataset!J:J,"&gt;="&amp;$C73)</f>
        <v>1.3884119495627414E-4</v>
      </c>
      <c r="F73" s="159">
        <f>SUMIFS(Dataset!AJ:AJ,Dataset!F:F,credito!$D$11,Dataset!AH:AH,"deposito",Dataset!T:T,"UF",Dataset!J:J,"&lt;"&amp;$D73,Dataset!J:J,"&gt;="&amp;$C73)</f>
        <v>0</v>
      </c>
      <c r="G73" s="159">
        <f>SUMIFS(Dataset!AJ:AJ,Dataset!F:F,credito!$D$11,Dataset!AH:AH,"bono de gobierno",Dataset!T:T,"$",Dataset!J:J,"&lt;"&amp;$D73,Dataset!J:J,"&gt;="&amp;$C73)</f>
        <v>0</v>
      </c>
      <c r="H73" s="159">
        <f>SUMIFS(Dataset!AJ:AJ,Dataset!F:F,credito!$D$11,Dataset!AH:AH,"bono de gobierno",Dataset!T:T,"UF",Dataset!J:J,"&lt;"&amp;$D73,Dataset!J:J,"&gt;="&amp;$C73)</f>
        <v>0</v>
      </c>
      <c r="I73" s="159">
        <f>SUMIFS(Dataset!AJ:AJ,Dataset!F:F,credito!$D$11,Dataset!AH:AH,"bono de gobierno",Dataset!T:T,"eu",Dataset!J:J,"&lt;"&amp;$D73,Dataset!J:J,"&gt;="&amp;$C73)</f>
        <v>0</v>
      </c>
      <c r="J73" s="159">
        <f>SUMIFS(Dataset!AJ:AJ,Dataset!F:F,credito!$D$11,Dataset!AH:AH,"bono de gobierno",Dataset!T:T,"mx",Dataset!J:J,"&lt;"&amp;$D73,Dataset!J:J,"&gt;="&amp;$C73)</f>
        <v>0</v>
      </c>
      <c r="K73" s="159">
        <f>SUMIFS(Dataset!AJ:AJ,Dataset!F:F,credito!$D$11,Dataset!AH:AH,"bono corporativo",Dataset!T:T,"$",Dataset!J:J,"&lt;"&amp;$D73,Dataset!J:J,"&gt;="&amp;$C73)</f>
        <v>3.2097443925508312E-2</v>
      </c>
      <c r="L73" s="159">
        <f>SUMIFS(Dataset!AJ:AJ,Dataset!F:F,credito!$D$11,Dataset!AH:AH,"bono corporativo",Dataset!T:T,"UF",Dataset!J:J,"&lt;"&amp;$D73,Dataset!J:J,"&gt;="&amp;$C73)</f>
        <v>-2.0787830161580059E-2</v>
      </c>
      <c r="M73" s="159">
        <f>SUMIFS(Dataset!AJ:AJ,Dataset!F:F,credito!$D$11,Dataset!AH:AH,"bono corporativo",Dataset!T:T,"US$",Dataset!J:J,"&lt;"&amp;$D73,Dataset!J:J,"&gt;="&amp;$C73)</f>
        <v>1.1494013116028618E-2</v>
      </c>
      <c r="N73" s="159">
        <f>SUMIFS(Dataset!AJ:AJ,Dataset!F:F,credito!$D$11,Dataset!J:J,"&lt;"&amp;$D73,Dataset!J:J,"&gt;="&amp;$C73,Dataset!AH:AH,"&lt;&gt;bono corporativo",Dataset!AH:AH,"&lt;&gt;bono de gobierno",Dataset!AH:AH,"&lt;&gt;deposito")</f>
        <v>0</v>
      </c>
      <c r="O73" s="160">
        <f t="shared" si="8"/>
        <v>2.2942468074913146E-2</v>
      </c>
      <c r="P73" s="158">
        <f>SUMIFS(Dataset!AA:AA,Dataset!F:F,credito!$D$11,Dataset!AH:AH,"deposito",Dataset!T:T,"$",Dataset!J:J,"&lt;"&amp;$D73,Dataset!J:J,"&gt;="&amp;$C73)</f>
        <v>6.2417004626361244E-6</v>
      </c>
      <c r="Q73" s="159">
        <f>SUMIFS(Dataset!AA:AA,Dataset!F:F,credito!$D$11,Dataset!AH:AH,"deposito",Dataset!T:T,"UF",Dataset!J:J,"&lt;"&amp;$D73,Dataset!J:J,"&gt;="&amp;$C73)</f>
        <v>0</v>
      </c>
      <c r="R73" s="159">
        <f>SUMIFS(Dataset!AA:AA,Dataset!F:F,credito!$D$11,Dataset!AH:AH,"bono de gobierno",Dataset!T:T,"$",Dataset!J:J,"&lt;"&amp;$D73,Dataset!J:J,"&gt;="&amp;$C73)</f>
        <v>0</v>
      </c>
      <c r="S73" s="159">
        <f>SUMIFS(Dataset!AA:AA,Dataset!F:F,credito!$D$11,Dataset!AH:AH,"bono de gobierno",Dataset!T:T,"UF",Dataset!J:J,"&lt;"&amp;$D73,Dataset!J:J,"&gt;="&amp;$C73)</f>
        <v>0</v>
      </c>
      <c r="T73" s="159">
        <f>SUMIFS(Dataset!AA:AA,Dataset!F:F,credito!$D$11,Dataset!AH:AH,"bono de gobierno",Dataset!T:T,"EU",Dataset!J:J,"&lt;"&amp;$D73,Dataset!J:J,"&gt;="&amp;$C73)</f>
        <v>0</v>
      </c>
      <c r="U73" s="159">
        <f>SUMIFS(Dataset!AA:AA,Dataset!F:F,credito!$D$11,Dataset!AH:AH,"bono de gobierno",Dataset!T:T,"MX",Dataset!J:J,"&lt;"&amp;$D73,Dataset!J:J,"&gt;="&amp;$C73)</f>
        <v>0</v>
      </c>
      <c r="V73" s="159">
        <f>SUMIFS(Dataset!AA:AA,Dataset!F:F,credito!$D$11,Dataset!AH:AH,"bono corporativo",Dataset!T:T,"$",Dataset!J:J,"&lt;"&amp;$D73,Dataset!J:J,"&gt;="&amp;$C73)</f>
        <v>9.8763975306016532E-3</v>
      </c>
      <c r="W73" s="159">
        <f>SUMIFS(Dataset!AA:AA,Dataset!F:F,credito!$D$11,Dataset!AH:AH,"bono corporativo",Dataset!T:T,"UF",Dataset!J:J,"&lt;"&amp;$D73,Dataset!J:J,"&gt;="&amp;$C73)</f>
        <v>2.2911891972526529E-3</v>
      </c>
      <c r="X73" s="159">
        <f>SUMIFS(Dataset!AA:AA,Dataset!F:F,credito!$D$11,Dataset!AH:AH,"bono corporativo",Dataset!T:T,"US$",Dataset!J:J,"&lt;"&amp;$D73,Dataset!J:J,"&gt;="&amp;$C73)</f>
        <v>5.966407313768933E-2</v>
      </c>
      <c r="Y73" s="159">
        <f>SUMIFS(Dataset!AA:AA,Dataset!F:F,credito!$D$11,Dataset!J:J,"&lt;"&amp;$D73,Dataset!J:J,"&gt;="&amp;$C73,Dataset!AH:AH,"&lt;&gt;bono corporativo",Dataset!AH:AH,"&lt;&gt;bono de gobierno",Dataset!AH:AH,"&lt;&gt;deposito")</f>
        <v>0</v>
      </c>
      <c r="Z73" s="160">
        <f t="shared" si="9"/>
        <v>7.1837901566006279E-2</v>
      </c>
      <c r="AB73" s="57">
        <v>30</v>
      </c>
      <c r="AC73" s="64">
        <v>45</v>
      </c>
      <c r="AD73" s="172">
        <f>SUMIFS(Dataset!AJ:AJ,Dataset!F:F,credito!$D$11,Dataset!AH:AH,"deposito",Dataset!T:T,"$",Dataset!J:J,"&lt;"&amp;$AC73/365,Dataset!J:J,"&gt;="&amp;$AB73/365)</f>
        <v>2.1315465549530095E-3</v>
      </c>
      <c r="AE73" s="172">
        <f>SUMIFS(Dataset!AJ:AJ,Dataset!F:F,credito!$D$11,Dataset!AH:AH,"deposito",Dataset!T:T,"uf",Dataset!J:J,"&lt;"&amp;$AC73/365,Dataset!J:J,"&gt;="&amp;$AB73/365)</f>
        <v>0</v>
      </c>
      <c r="AF73" s="172">
        <f>SUMIFS(Dataset!AJ:AJ,Dataset!F:F,credito!$D$11,Dataset!AH:AH,"deposito",Dataset!T:T,"us$",Dataset!J:J,"&lt;"&amp;$AC73/365,Dataset!J:J,"&gt;="&amp;$AB73/365)</f>
        <v>0</v>
      </c>
      <c r="AG73" s="172">
        <f>SUMIFS(Dataset!AJ:AJ,Dataset!F:F,credito!$D$11,Dataset!AH:AH,"factura",Dataset!J:J,"&lt;"&amp;$AC73/365,Dataset!J:J,"&gt;="&amp;$AB73/365)</f>
        <v>2.0366002778409173E-3</v>
      </c>
      <c r="AH73" s="173">
        <f>SUMIFS(Dataset!AJ:AJ,Dataset!F:F,credito!$D$11,Dataset!AH:AH,"letra hipotecaria",Dataset!J:J,"&lt;"&amp;$AC73/365,Dataset!J:J,"&gt;="&amp;$AB73/365)</f>
        <v>0</v>
      </c>
      <c r="AI73" s="160">
        <f t="shared" si="10"/>
        <v>4.1681468327939269E-3</v>
      </c>
    </row>
    <row r="74" spans="3:35" ht="27" customHeight="1" x14ac:dyDescent="0.2">
      <c r="C74" s="57">
        <v>1.5</v>
      </c>
      <c r="D74" s="61">
        <v>2.5</v>
      </c>
      <c r="E74" s="158">
        <f>SUMIFS(Dataset!AJ:AJ,Dataset!F:F,credito!$D$11,Dataset!AH:AH,"deposito",Dataset!T:T,"$",Dataset!J:J,"&lt;"&amp;$D74,Dataset!J:J,"&gt;="&amp;$C74)</f>
        <v>0</v>
      </c>
      <c r="F74" s="159">
        <f>SUMIFS(Dataset!AJ:AJ,Dataset!F:F,credito!$D$11,Dataset!AH:AH,"deposito",Dataset!T:T,"UF",Dataset!J:J,"&lt;"&amp;$D74,Dataset!J:J,"&gt;="&amp;$C74)</f>
        <v>0</v>
      </c>
      <c r="G74" s="159">
        <f>SUMIFS(Dataset!AJ:AJ,Dataset!F:F,credito!$D$11,Dataset!AH:AH,"bono de gobierno",Dataset!T:T,"$",Dataset!J:J,"&lt;"&amp;$D74,Dataset!J:J,"&gt;="&amp;$C74)</f>
        <v>0</v>
      </c>
      <c r="H74" s="159">
        <f>SUMIFS(Dataset!AJ:AJ,Dataset!F:F,credito!$D$11,Dataset!AH:AH,"bono de gobierno",Dataset!T:T,"UF",Dataset!J:J,"&lt;"&amp;$D74,Dataset!J:J,"&gt;="&amp;$C74)</f>
        <v>0</v>
      </c>
      <c r="I74" s="159">
        <f>SUMIFS(Dataset!AJ:AJ,Dataset!F:F,credito!$D$11,Dataset!AH:AH,"bono de gobierno",Dataset!T:T,"eu",Dataset!J:J,"&lt;"&amp;$D74,Dataset!J:J,"&gt;="&amp;$C74)</f>
        <v>0</v>
      </c>
      <c r="J74" s="159">
        <f>SUMIFS(Dataset!AJ:AJ,Dataset!F:F,credito!$D$11,Dataset!AH:AH,"bono de gobierno",Dataset!T:T,"mx",Dataset!J:J,"&lt;"&amp;$D74,Dataset!J:J,"&gt;="&amp;$C74)</f>
        <v>0</v>
      </c>
      <c r="K74" s="159">
        <f>SUMIFS(Dataset!AJ:AJ,Dataset!F:F,credito!$D$11,Dataset!AH:AH,"bono corporativo",Dataset!T:T,"$",Dataset!J:J,"&lt;"&amp;$D74,Dataset!J:J,"&gt;="&amp;$C74)</f>
        <v>5.7742888338549085E-3</v>
      </c>
      <c r="L74" s="159">
        <f>SUMIFS(Dataset!AJ:AJ,Dataset!F:F,credito!$D$11,Dataset!AH:AH,"bono corporativo",Dataset!T:T,"UF",Dataset!J:J,"&lt;"&amp;$D74,Dataset!J:J,"&gt;="&amp;$C74)</f>
        <v>-2.9378862575077096E-2</v>
      </c>
      <c r="M74" s="159">
        <f>SUMIFS(Dataset!AJ:AJ,Dataset!F:F,credito!$D$11,Dataset!AH:AH,"bono corporativo",Dataset!T:T,"US$",Dataset!J:J,"&lt;"&amp;$D74,Dataset!J:J,"&gt;="&amp;$C74)</f>
        <v>2.4120972968890595E-3</v>
      </c>
      <c r="N74" s="159">
        <f>SUMIFS(Dataset!AJ:AJ,Dataset!F:F,credito!$D$11,Dataset!J:J,"&lt;"&amp;$D74,Dataset!J:J,"&gt;="&amp;$C74,Dataset!AH:AH,"&lt;&gt;bono corporativo",Dataset!AH:AH,"&lt;&gt;bono de gobierno",Dataset!AH:AH,"&lt;&gt;deposito")</f>
        <v>0</v>
      </c>
      <c r="O74" s="160">
        <f t="shared" si="8"/>
        <v>-2.1192476444333128E-2</v>
      </c>
      <c r="P74" s="158">
        <f>SUMIFS(Dataset!AA:AA,Dataset!F:F,credito!$D$11,Dataset!AH:AH,"deposito",Dataset!T:T,"$",Dataset!J:J,"&lt;"&amp;$D74,Dataset!J:J,"&gt;="&amp;$C74)</f>
        <v>0</v>
      </c>
      <c r="Q74" s="159">
        <f>SUMIFS(Dataset!AA:AA,Dataset!F:F,credito!$D$11,Dataset!AH:AH,"deposito",Dataset!T:T,"UF",Dataset!J:J,"&lt;"&amp;$D74,Dataset!J:J,"&gt;="&amp;$C74)</f>
        <v>0</v>
      </c>
      <c r="R74" s="159">
        <f>SUMIFS(Dataset!AA:AA,Dataset!F:F,credito!$D$11,Dataset!AH:AH,"bono de gobierno",Dataset!T:T,"$",Dataset!J:J,"&lt;"&amp;$D74,Dataset!J:J,"&gt;="&amp;$C74)</f>
        <v>0</v>
      </c>
      <c r="S74" s="159">
        <f>SUMIFS(Dataset!AA:AA,Dataset!F:F,credito!$D$11,Dataset!AH:AH,"bono de gobierno",Dataset!T:T,"UF",Dataset!J:J,"&lt;"&amp;$D74,Dataset!J:J,"&gt;="&amp;$C74)</f>
        <v>0</v>
      </c>
      <c r="T74" s="159">
        <f>SUMIFS(Dataset!AA:AA,Dataset!F:F,credito!$D$11,Dataset!AH:AH,"bono de gobierno",Dataset!T:T,"EU",Dataset!J:J,"&lt;"&amp;$D74,Dataset!J:J,"&gt;="&amp;$C74)</f>
        <v>0</v>
      </c>
      <c r="U74" s="159">
        <f>SUMIFS(Dataset!AA:AA,Dataset!F:F,credito!$D$11,Dataset!AH:AH,"bono de gobierno",Dataset!T:T,"MX",Dataset!J:J,"&lt;"&amp;$D74,Dataset!J:J,"&gt;="&amp;$C74)</f>
        <v>0</v>
      </c>
      <c r="V74" s="159">
        <f>SUMIFS(Dataset!AA:AA,Dataset!F:F,credito!$D$11,Dataset!AH:AH,"bono corporativo",Dataset!T:T,"$",Dataset!J:J,"&lt;"&amp;$D74,Dataset!J:J,"&gt;="&amp;$C74)</f>
        <v>4.9289277151489145E-3</v>
      </c>
      <c r="W74" s="159">
        <f>SUMIFS(Dataset!AA:AA,Dataset!F:F,credito!$D$11,Dataset!AH:AH,"bono corporativo",Dataset!T:T,"UF",Dataset!J:J,"&lt;"&amp;$D74,Dataset!J:J,"&gt;="&amp;$C74)</f>
        <v>3.0532229097625964E-3</v>
      </c>
      <c r="X74" s="159">
        <f>SUMIFS(Dataset!AA:AA,Dataset!F:F,credito!$D$11,Dataset!AH:AH,"bono corporativo",Dataset!T:T,"US$",Dataset!J:J,"&lt;"&amp;$D74,Dataset!J:J,"&gt;="&amp;$C74)</f>
        <v>1.2520913982264266E-2</v>
      </c>
      <c r="Y74" s="159">
        <f>SUMIFS(Dataset!AA:AA,Dataset!F:F,credito!$D$11,Dataset!J:J,"&lt;"&amp;$D74,Dataset!J:J,"&gt;="&amp;$C74,Dataset!AH:AH,"&lt;&gt;bono corporativo",Dataset!AH:AH,"&lt;&gt;bono de gobierno",Dataset!AH:AH,"&lt;&gt;deposito")</f>
        <v>0</v>
      </c>
      <c r="Z74" s="160">
        <f t="shared" si="9"/>
        <v>2.0503064607175776E-2</v>
      </c>
      <c r="AB74" s="57">
        <v>45</v>
      </c>
      <c r="AC74" s="64">
        <v>60</v>
      </c>
      <c r="AD74" s="172">
        <f>SUMIFS(Dataset!AJ:AJ,Dataset!F:F,credito!$D$11,Dataset!AH:AH,"deposito",Dataset!T:T,"$",Dataset!J:J,"&lt;"&amp;$AC74/365,Dataset!J:J,"&gt;="&amp;$AB74/365)</f>
        <v>0</v>
      </c>
      <c r="AE74" s="172">
        <f>SUMIFS(Dataset!AJ:AJ,Dataset!F:F,credito!$D$11,Dataset!AH:AH,"deposito",Dataset!T:T,"uf",Dataset!J:J,"&lt;"&amp;$AC74/365,Dataset!J:J,"&gt;="&amp;$AB74/365)</f>
        <v>0</v>
      </c>
      <c r="AF74" s="172">
        <f>SUMIFS(Dataset!AJ:AJ,Dataset!F:F,credito!$D$11,Dataset!AH:AH,"deposito",Dataset!T:T,"us$",Dataset!J:J,"&lt;"&amp;$AC74/365,Dataset!J:J,"&gt;="&amp;$AB74/365)</f>
        <v>0</v>
      </c>
      <c r="AG74" s="172">
        <f>SUMIFS(Dataset!AJ:AJ,Dataset!F:F,credito!$D$11,Dataset!AH:AH,"factura",Dataset!J:J,"&lt;"&amp;$AC74/365,Dataset!J:J,"&gt;="&amp;$AB74/365)</f>
        <v>4.1437387227433809E-3</v>
      </c>
      <c r="AH74" s="173">
        <f>SUMIFS(Dataset!AJ:AJ,Dataset!F:F,credito!$D$11,Dataset!AH:AH,"letra hipotecaria",Dataset!J:J,"&lt;"&amp;$AC74/365,Dataset!J:J,"&gt;="&amp;$AB74/365)</f>
        <v>0</v>
      </c>
      <c r="AI74" s="160">
        <f t="shared" si="10"/>
        <v>4.1437387227433809E-3</v>
      </c>
    </row>
    <row r="75" spans="3:35" ht="33" customHeight="1" x14ac:dyDescent="0.2">
      <c r="C75" s="57">
        <v>2.5</v>
      </c>
      <c r="D75" s="61">
        <v>3.5</v>
      </c>
      <c r="E75" s="158">
        <f>SUMIFS(Dataset!AJ:AJ,Dataset!F:F,credito!$D$11,Dataset!AH:AH,"deposito",Dataset!T:T,"$",Dataset!J:J,"&lt;"&amp;$D75,Dataset!J:J,"&gt;="&amp;$C75)</f>
        <v>0</v>
      </c>
      <c r="F75" s="159">
        <f>SUMIFS(Dataset!AJ:AJ,Dataset!F:F,credito!$D$11,Dataset!AH:AH,"deposito",Dataset!T:T,"UF",Dataset!J:J,"&lt;"&amp;$D75,Dataset!J:J,"&gt;="&amp;$C75)</f>
        <v>0</v>
      </c>
      <c r="G75" s="159">
        <f>SUMIFS(Dataset!AJ:AJ,Dataset!F:F,credito!$D$11,Dataset!AH:AH,"bono de gobierno",Dataset!T:T,"$",Dataset!J:J,"&lt;"&amp;$D75,Dataset!J:J,"&gt;="&amp;$C75)</f>
        <v>0</v>
      </c>
      <c r="H75" s="159">
        <f>SUMIFS(Dataset!AJ:AJ,Dataset!F:F,credito!$D$11,Dataset!AH:AH,"bono de gobierno",Dataset!T:T,"UF",Dataset!J:J,"&lt;"&amp;$D75,Dataset!J:J,"&gt;="&amp;$C75)</f>
        <v>0</v>
      </c>
      <c r="I75" s="159">
        <f>SUMIFS(Dataset!AJ:AJ,Dataset!F:F,credito!$D$11,Dataset!AH:AH,"bono de gobierno",Dataset!T:T,"eu",Dataset!J:J,"&lt;"&amp;$D75,Dataset!J:J,"&gt;="&amp;$C75)</f>
        <v>0</v>
      </c>
      <c r="J75" s="159">
        <f>SUMIFS(Dataset!AJ:AJ,Dataset!F:F,credito!$D$11,Dataset!AH:AH,"bono de gobierno",Dataset!T:T,"mx",Dataset!J:J,"&lt;"&amp;$D75,Dataset!J:J,"&gt;="&amp;$C75)</f>
        <v>0</v>
      </c>
      <c r="K75" s="159">
        <f>SUMIFS(Dataset!AJ:AJ,Dataset!F:F,credito!$D$11,Dataset!AH:AH,"bono corporativo",Dataset!T:T,"$",Dataset!J:J,"&lt;"&amp;$D75,Dataset!J:J,"&gt;="&amp;$C75)</f>
        <v>1.612647517115862E-2</v>
      </c>
      <c r="L75" s="159">
        <f>SUMIFS(Dataset!AJ:AJ,Dataset!F:F,credito!$D$11,Dataset!AH:AH,"bono corporativo",Dataset!T:T,"UF",Dataset!J:J,"&lt;"&amp;$D75,Dataset!J:J,"&gt;="&amp;$C75)</f>
        <v>-3.2673286974560692E-2</v>
      </c>
      <c r="M75" s="159">
        <f>SUMIFS(Dataset!AJ:AJ,Dataset!F:F,credito!$D$11,Dataset!AH:AH,"bono corporativo",Dataset!T:T,"US$",Dataset!J:J,"&lt;"&amp;$D75,Dataset!J:J,"&gt;="&amp;$C75)</f>
        <v>0</v>
      </c>
      <c r="N75" s="159">
        <f>SUMIFS(Dataset!AJ:AJ,Dataset!F:F,credito!$D$11,Dataset!J:J,"&lt;"&amp;$D75,Dataset!J:J,"&gt;="&amp;$C75,Dataset!AH:AH,"&lt;&gt;bono corporativo",Dataset!AH:AH,"&lt;&gt;bono de gobierno",Dataset!AH:AH,"&lt;&gt;deposito")</f>
        <v>0</v>
      </c>
      <c r="O75" s="160">
        <f t="shared" si="8"/>
        <v>-1.6546811803402072E-2</v>
      </c>
      <c r="P75" s="158">
        <f>SUMIFS(Dataset!AA:AA,Dataset!F:F,credito!$D$11,Dataset!AH:AH,"deposito",Dataset!T:T,"$",Dataset!J:J,"&lt;"&amp;$D75,Dataset!J:J,"&gt;="&amp;$C75)</f>
        <v>0</v>
      </c>
      <c r="Q75" s="159">
        <f>SUMIFS(Dataset!AA:AA,Dataset!F:F,credito!$D$11,Dataset!AH:AH,"deposito",Dataset!T:T,"UF",Dataset!J:J,"&lt;"&amp;$D75,Dataset!J:J,"&gt;="&amp;$C75)</f>
        <v>0</v>
      </c>
      <c r="R75" s="159">
        <f>SUMIFS(Dataset!AA:AA,Dataset!F:F,credito!$D$11,Dataset!AH:AH,"bono de gobierno",Dataset!T:T,"$",Dataset!J:J,"&lt;"&amp;$D75,Dataset!J:J,"&gt;="&amp;$C75)</f>
        <v>0</v>
      </c>
      <c r="S75" s="159">
        <f>SUMIFS(Dataset!AA:AA,Dataset!F:F,credito!$D$11,Dataset!AH:AH,"bono de gobierno",Dataset!T:T,"UF",Dataset!J:J,"&lt;"&amp;$D75,Dataset!J:J,"&gt;="&amp;$C75)</f>
        <v>0</v>
      </c>
      <c r="T75" s="159">
        <f>SUMIFS(Dataset!AA:AA,Dataset!F:F,credito!$D$11,Dataset!AH:AH,"bono de gobierno",Dataset!T:T,"EU",Dataset!J:J,"&lt;"&amp;$D75,Dataset!J:J,"&gt;="&amp;$C75)</f>
        <v>0</v>
      </c>
      <c r="U75" s="159">
        <f>SUMIFS(Dataset!AA:AA,Dataset!F:F,credito!$D$11,Dataset!AH:AH,"bono de gobierno",Dataset!T:T,"MX",Dataset!J:J,"&lt;"&amp;$D75,Dataset!J:J,"&gt;="&amp;$C75)</f>
        <v>0</v>
      </c>
      <c r="V75" s="159">
        <f>SUMIFS(Dataset!AA:AA,Dataset!F:F,credito!$D$11,Dataset!AH:AH,"bono corporativo",Dataset!T:T,"$",Dataset!J:J,"&lt;"&amp;$D75,Dataset!J:J,"&gt;="&amp;$C75)</f>
        <v>6.935254543598445E-3</v>
      </c>
      <c r="W75" s="159">
        <f>SUMIFS(Dataset!AA:AA,Dataset!F:F,credito!$D$11,Dataset!AH:AH,"bono corporativo",Dataset!T:T,"UF",Dataset!J:J,"&lt;"&amp;$D75,Dataset!J:J,"&gt;="&amp;$C75)</f>
        <v>2.0784022321273399E-2</v>
      </c>
      <c r="X75" s="159">
        <f>SUMIFS(Dataset!AA:AA,Dataset!F:F,credito!$D$11,Dataset!AH:AH,"bono corporativo",Dataset!T:T,"US$",Dataset!J:J,"&lt;"&amp;$D75,Dataset!J:J,"&gt;="&amp;$C75)</f>
        <v>0</v>
      </c>
      <c r="Y75" s="159">
        <f>SUMIFS(Dataset!AA:AA,Dataset!F:F,credito!$D$11,Dataset!J:J,"&lt;"&amp;$D75,Dataset!J:J,"&gt;="&amp;$C75,Dataset!AH:AH,"&lt;&gt;bono corporativo",Dataset!AH:AH,"&lt;&gt;bono de gobierno",Dataset!AH:AH,"&lt;&gt;deposito")</f>
        <v>0</v>
      </c>
      <c r="Z75" s="160">
        <f t="shared" si="9"/>
        <v>2.7719276864871845E-2</v>
      </c>
      <c r="AB75" s="57">
        <v>60</v>
      </c>
      <c r="AC75" s="64">
        <v>75</v>
      </c>
      <c r="AD75" s="172">
        <f>SUMIFS(Dataset!AJ:AJ,Dataset!F:F,credito!$D$11,Dataset!AH:AH,"deposito",Dataset!T:T,"$",Dataset!J:J,"&lt;"&amp;$AC75/365,Dataset!J:J,"&gt;="&amp;$AB75/365)</f>
        <v>0</v>
      </c>
      <c r="AE75" s="172">
        <f>SUMIFS(Dataset!AJ:AJ,Dataset!F:F,credito!$D$11,Dataset!AH:AH,"deposito",Dataset!T:T,"uf",Dataset!J:J,"&lt;"&amp;$AC75/365,Dataset!J:J,"&gt;="&amp;$AB75/365)</f>
        <v>0</v>
      </c>
      <c r="AF75" s="172">
        <f>SUMIFS(Dataset!AJ:AJ,Dataset!F:F,credito!$D$11,Dataset!AH:AH,"deposito",Dataset!T:T,"us$",Dataset!J:J,"&lt;"&amp;$AC75/365,Dataset!J:J,"&gt;="&amp;$AB75/365)</f>
        <v>0</v>
      </c>
      <c r="AG75" s="172">
        <f>SUMIFS(Dataset!AJ:AJ,Dataset!F:F,credito!$D$11,Dataset!AH:AH,"factura",Dataset!J:J,"&lt;"&amp;$AC75/365,Dataset!J:J,"&gt;="&amp;$AB75/365)</f>
        <v>0</v>
      </c>
      <c r="AH75" s="173">
        <f>SUMIFS(Dataset!AJ:AJ,Dataset!F:F,credito!$D$11,Dataset!AH:AH,"letra hipotecaria",Dataset!J:J,"&lt;"&amp;$AC75/365,Dataset!J:J,"&gt;="&amp;$AB75/365)</f>
        <v>0</v>
      </c>
      <c r="AI75" s="160">
        <f t="shared" si="10"/>
        <v>0</v>
      </c>
    </row>
    <row r="76" spans="3:35" ht="33" customHeight="1" x14ac:dyDescent="0.2">
      <c r="C76" s="57">
        <v>3.5</v>
      </c>
      <c r="D76" s="61">
        <v>4.5</v>
      </c>
      <c r="E76" s="158">
        <f>SUMIFS(Dataset!AJ:AJ,Dataset!F:F,credito!$D$11,Dataset!AH:AH,"deposito",Dataset!T:T,"$",Dataset!J:J,"&lt;"&amp;$D76,Dataset!J:J,"&gt;="&amp;$C76)</f>
        <v>0</v>
      </c>
      <c r="F76" s="159">
        <f>SUMIFS(Dataset!AJ:AJ,Dataset!F:F,credito!$D$11,Dataset!AH:AH,"deposito",Dataset!T:T,"UF",Dataset!J:J,"&lt;"&amp;$D76,Dataset!J:J,"&gt;="&amp;$C76)</f>
        <v>0</v>
      </c>
      <c r="G76" s="159">
        <f>SUMIFS(Dataset!AJ:AJ,Dataset!F:F,credito!$D$11,Dataset!AH:AH,"bono de gobierno",Dataset!T:T,"$",Dataset!J:J,"&lt;"&amp;$D76,Dataset!J:J,"&gt;="&amp;$C76)</f>
        <v>0</v>
      </c>
      <c r="H76" s="159">
        <f>SUMIFS(Dataset!AJ:AJ,Dataset!F:F,credito!$D$11,Dataset!AH:AH,"bono de gobierno",Dataset!T:T,"UF",Dataset!J:J,"&lt;"&amp;$D76,Dataset!J:J,"&gt;="&amp;$C76)</f>
        <v>0</v>
      </c>
      <c r="I76" s="159">
        <f>SUMIFS(Dataset!AJ:AJ,Dataset!F:F,credito!$D$11,Dataset!AH:AH,"bono de gobierno",Dataset!T:T,"eu",Dataset!J:J,"&lt;"&amp;$D76,Dataset!J:J,"&gt;="&amp;$C76)</f>
        <v>0</v>
      </c>
      <c r="J76" s="159">
        <f>SUMIFS(Dataset!AJ:AJ,Dataset!F:F,credito!$D$11,Dataset!AH:AH,"bono de gobierno",Dataset!T:T,"mx",Dataset!J:J,"&lt;"&amp;$D76,Dataset!J:J,"&gt;="&amp;$C76)</f>
        <v>0</v>
      </c>
      <c r="K76" s="159">
        <f>SUMIFS(Dataset!AJ:AJ,Dataset!F:F,credito!$D$11,Dataset!AH:AH,"bono corporativo",Dataset!T:T,"$",Dataset!J:J,"&lt;"&amp;$D76,Dataset!J:J,"&gt;="&amp;$C76)</f>
        <v>-2.1341659132625059E-3</v>
      </c>
      <c r="L76" s="159">
        <f>SUMIFS(Dataset!AJ:AJ,Dataset!F:F,credito!$D$11,Dataset!AH:AH,"bono corporativo",Dataset!T:T,"UF",Dataset!J:J,"&lt;"&amp;$D76,Dataset!J:J,"&gt;="&amp;$C76)</f>
        <v>5.2061901335475284E-3</v>
      </c>
      <c r="M76" s="159">
        <f>SUMIFS(Dataset!AJ:AJ,Dataset!F:F,credito!$D$11,Dataset!AH:AH,"bono corporativo",Dataset!T:T,"US$",Dataset!J:J,"&lt;"&amp;$D76,Dataset!J:J,"&gt;="&amp;$C76)</f>
        <v>1.5089084484267535E-2</v>
      </c>
      <c r="N76" s="159">
        <f>SUMIFS(Dataset!AJ:AJ,Dataset!F:F,credito!$D$11,Dataset!J:J,"&lt;"&amp;$D76,Dataset!J:J,"&gt;="&amp;$C76,Dataset!AH:AH,"&lt;&gt;bono corporativo",Dataset!AH:AH,"&lt;&gt;bono de gobierno",Dataset!AH:AH,"&lt;&gt;deposito")</f>
        <v>0</v>
      </c>
      <c r="O76" s="160">
        <f t="shared" si="8"/>
        <v>1.8161108704552557E-2</v>
      </c>
      <c r="P76" s="158">
        <f>SUMIFS(Dataset!AA:AA,Dataset!F:F,credito!$D$11,Dataset!AH:AH,"deposito",Dataset!T:T,"$",Dataset!J:J,"&lt;"&amp;$D76,Dataset!J:J,"&gt;="&amp;$C76)</f>
        <v>0</v>
      </c>
      <c r="Q76" s="159">
        <f>SUMIFS(Dataset!AA:AA,Dataset!F:F,credito!$D$11,Dataset!AH:AH,"deposito",Dataset!T:T,"UF",Dataset!J:J,"&lt;"&amp;$D76,Dataset!J:J,"&gt;="&amp;$C76)</f>
        <v>0</v>
      </c>
      <c r="R76" s="159">
        <f>SUMIFS(Dataset!AA:AA,Dataset!F:F,credito!$D$11,Dataset!AH:AH,"bono de gobierno",Dataset!T:T,"$",Dataset!J:J,"&lt;"&amp;$D76,Dataset!J:J,"&gt;="&amp;$C76)</f>
        <v>0</v>
      </c>
      <c r="S76" s="159">
        <f>SUMIFS(Dataset!AA:AA,Dataset!F:F,credito!$D$11,Dataset!AH:AH,"bono de gobierno",Dataset!T:T,"UF",Dataset!J:J,"&lt;"&amp;$D76,Dataset!J:J,"&gt;="&amp;$C76)</f>
        <v>0</v>
      </c>
      <c r="T76" s="159">
        <f>SUMIFS(Dataset!AA:AA,Dataset!F:F,credito!$D$11,Dataset!AH:AH,"bono de gobierno",Dataset!T:T,"EU",Dataset!J:J,"&lt;"&amp;$D76,Dataset!J:J,"&gt;="&amp;$C76)</f>
        <v>0</v>
      </c>
      <c r="U76" s="159">
        <f>SUMIFS(Dataset!AA:AA,Dataset!F:F,credito!$D$11,Dataset!AH:AH,"bono de gobierno",Dataset!T:T,"MX",Dataset!J:J,"&lt;"&amp;$D76,Dataset!J:J,"&gt;="&amp;$C76)</f>
        <v>0</v>
      </c>
      <c r="V76" s="159">
        <f>SUMIFS(Dataset!AA:AA,Dataset!F:F,credito!$D$11,Dataset!AH:AH,"bono corporativo",Dataset!T:T,"$",Dataset!J:J,"&lt;"&amp;$D76,Dataset!J:J,"&gt;="&amp;$C76)</f>
        <v>9.4482162767635164E-4</v>
      </c>
      <c r="W76" s="159">
        <f>SUMIFS(Dataset!AA:AA,Dataset!F:F,credito!$D$11,Dataset!AH:AH,"bono corporativo",Dataset!T:T,"UF",Dataset!J:J,"&lt;"&amp;$D76,Dataset!J:J,"&gt;="&amp;$C76)</f>
        <v>-1.3812063661400135E-4</v>
      </c>
      <c r="X76" s="159">
        <f>SUMIFS(Dataset!AA:AA,Dataset!F:F,credito!$D$11,Dataset!AH:AH,"bono corporativo",Dataset!T:T,"US$",Dataset!J:J,"&lt;"&amp;$D76,Dataset!J:J,"&gt;="&amp;$C76)</f>
        <v>7.8325666689440201E-2</v>
      </c>
      <c r="Y76" s="159">
        <f>SUMIFS(Dataset!AA:AA,Dataset!F:F,credito!$D$11,Dataset!J:J,"&lt;"&amp;$D76,Dataset!J:J,"&gt;="&amp;$C76,Dataset!AH:AH,"&lt;&gt;bono corporativo",Dataset!AH:AH,"&lt;&gt;bono de gobierno",Dataset!AH:AH,"&lt;&gt;deposito")</f>
        <v>0</v>
      </c>
      <c r="Z76" s="160">
        <f t="shared" si="9"/>
        <v>7.9132367680502552E-2</v>
      </c>
      <c r="AB76" s="57">
        <v>75</v>
      </c>
      <c r="AC76" s="64">
        <v>90</v>
      </c>
      <c r="AD76" s="172">
        <f>SUMIFS(Dataset!AJ:AJ,Dataset!F:F,credito!$D$11,Dataset!AH:AH,"deposito",Dataset!T:T,"$",Dataset!J:J,"&lt;"&amp;$AC76/365,Dataset!J:J,"&gt;="&amp;$AB76/365)</f>
        <v>0</v>
      </c>
      <c r="AE76" s="172">
        <f>SUMIFS(Dataset!AJ:AJ,Dataset!F:F,credito!$D$11,Dataset!AH:AH,"deposito",Dataset!T:T,"uf",Dataset!J:J,"&lt;"&amp;$AC76/365,Dataset!J:J,"&gt;="&amp;$AB76/365)</f>
        <v>0</v>
      </c>
      <c r="AF76" s="172">
        <f>SUMIFS(Dataset!AJ:AJ,Dataset!F:F,credito!$D$11,Dataset!AH:AH,"deposito",Dataset!T:T,"us$",Dataset!J:J,"&lt;"&amp;$AC76/365,Dataset!J:J,"&gt;="&amp;$AB76/365)</f>
        <v>0</v>
      </c>
      <c r="AG76" s="172">
        <f>SUMIFS(Dataset!AJ:AJ,Dataset!F:F,credito!$D$11,Dataset!AH:AH,"factura",Dataset!J:J,"&lt;"&amp;$AC76/365,Dataset!J:J,"&gt;="&amp;$AB76/365)</f>
        <v>0</v>
      </c>
      <c r="AH76" s="173">
        <f>SUMIFS(Dataset!AJ:AJ,Dataset!F:F,credito!$D$11,Dataset!AH:AH,"letra hipotecaria",Dataset!J:J,"&lt;"&amp;$AC76/365,Dataset!J:J,"&gt;="&amp;$AB76/365)</f>
        <v>0</v>
      </c>
      <c r="AI76" s="160">
        <f t="shared" si="10"/>
        <v>0</v>
      </c>
    </row>
    <row r="77" spans="3:35" ht="33" customHeight="1" x14ac:dyDescent="0.2">
      <c r="C77" s="57">
        <v>4.5</v>
      </c>
      <c r="D77" s="61">
        <v>5.5</v>
      </c>
      <c r="E77" s="158">
        <f>SUMIFS(Dataset!AJ:AJ,Dataset!F:F,credito!$D$11,Dataset!AH:AH,"deposito",Dataset!T:T,"$",Dataset!J:J,"&lt;"&amp;$D77,Dataset!J:J,"&gt;="&amp;$C77)</f>
        <v>0</v>
      </c>
      <c r="F77" s="159">
        <f>SUMIFS(Dataset!AJ:AJ,Dataset!F:F,credito!$D$11,Dataset!AH:AH,"deposito",Dataset!T:T,"UF",Dataset!J:J,"&lt;"&amp;$D77,Dataset!J:J,"&gt;="&amp;$C77)</f>
        <v>0</v>
      </c>
      <c r="G77" s="159">
        <f>SUMIFS(Dataset!AJ:AJ,Dataset!F:F,credito!$D$11,Dataset!AH:AH,"bono de gobierno",Dataset!T:T,"$",Dataset!J:J,"&lt;"&amp;$D77,Dataset!J:J,"&gt;="&amp;$C77)</f>
        <v>0</v>
      </c>
      <c r="H77" s="159">
        <f>SUMIFS(Dataset!AJ:AJ,Dataset!F:F,credito!$D$11,Dataset!AH:AH,"bono de gobierno",Dataset!T:T,"UF",Dataset!J:J,"&lt;"&amp;$D77,Dataset!J:J,"&gt;="&amp;$C77)</f>
        <v>0</v>
      </c>
      <c r="I77" s="159">
        <f>SUMIFS(Dataset!AJ:AJ,Dataset!F:F,credito!$D$11,Dataset!AH:AH,"bono de gobierno",Dataset!T:T,"eu",Dataset!J:J,"&lt;"&amp;$D77,Dataset!J:J,"&gt;="&amp;$C77)</f>
        <v>0</v>
      </c>
      <c r="J77" s="159">
        <f>SUMIFS(Dataset!AJ:AJ,Dataset!F:F,credito!$D$11,Dataset!AH:AH,"bono de gobierno",Dataset!T:T,"mx",Dataset!J:J,"&lt;"&amp;$D77,Dataset!J:J,"&gt;="&amp;$C77)</f>
        <v>0</v>
      </c>
      <c r="K77" s="159">
        <f>SUMIFS(Dataset!AJ:AJ,Dataset!F:F,credito!$D$11,Dataset!AH:AH,"bono corporativo",Dataset!T:T,"$",Dataset!J:J,"&lt;"&amp;$D77,Dataset!J:J,"&gt;="&amp;$C77)</f>
        <v>0</v>
      </c>
      <c r="L77" s="159">
        <f>SUMIFS(Dataset!AJ:AJ,Dataset!F:F,credito!$D$11,Dataset!AH:AH,"bono corporativo",Dataset!T:T,"UF",Dataset!J:J,"&lt;"&amp;$D77,Dataset!J:J,"&gt;="&amp;$C77)</f>
        <v>-0.12287748740410111</v>
      </c>
      <c r="M77" s="159">
        <f>SUMIFS(Dataset!AJ:AJ,Dataset!F:F,credito!$D$11,Dataset!AH:AH,"bono corporativo",Dataset!T:T,"US$",Dataset!J:J,"&lt;"&amp;$D77,Dataset!J:J,"&gt;="&amp;$C77)</f>
        <v>4.7609589711708825E-3</v>
      </c>
      <c r="N77" s="159">
        <f>SUMIFS(Dataset!AJ:AJ,Dataset!F:F,credito!$D$11,Dataset!J:J,"&lt;"&amp;$D77,Dataset!J:J,"&gt;="&amp;$C77,Dataset!AH:AH,"&lt;&gt;bono corporativo",Dataset!AH:AH,"&lt;&gt;bono de gobierno",Dataset!AH:AH,"&lt;&gt;deposito")</f>
        <v>0</v>
      </c>
      <c r="O77" s="160">
        <f t="shared" si="8"/>
        <v>-0.11811652843293022</v>
      </c>
      <c r="P77" s="158">
        <f>SUMIFS(Dataset!AA:AA,Dataset!F:F,credito!$D$11,Dataset!AH:AH,"deposito",Dataset!T:T,"$",Dataset!J:J,"&lt;"&amp;$D77,Dataset!J:J,"&gt;="&amp;$C77)</f>
        <v>0</v>
      </c>
      <c r="Q77" s="159">
        <f>SUMIFS(Dataset!AA:AA,Dataset!F:F,credito!$D$11,Dataset!AH:AH,"deposito",Dataset!T:T,"UF",Dataset!J:J,"&lt;"&amp;$D77,Dataset!J:J,"&gt;="&amp;$C77)</f>
        <v>0</v>
      </c>
      <c r="R77" s="159">
        <f>SUMIFS(Dataset!AA:AA,Dataset!F:F,credito!$D$11,Dataset!AH:AH,"bono de gobierno",Dataset!T:T,"$",Dataset!J:J,"&lt;"&amp;$D77,Dataset!J:J,"&gt;="&amp;$C77)</f>
        <v>0</v>
      </c>
      <c r="S77" s="159">
        <f>SUMIFS(Dataset!AA:AA,Dataset!F:F,credito!$D$11,Dataset!AH:AH,"bono de gobierno",Dataset!T:T,"UF",Dataset!J:J,"&lt;"&amp;$D77,Dataset!J:J,"&gt;="&amp;$C77)</f>
        <v>0</v>
      </c>
      <c r="T77" s="159">
        <f>SUMIFS(Dataset!AA:AA,Dataset!F:F,credito!$D$11,Dataset!AH:AH,"bono de gobierno",Dataset!T:T,"EU",Dataset!J:J,"&lt;"&amp;$D77,Dataset!J:J,"&gt;="&amp;$C77)</f>
        <v>0</v>
      </c>
      <c r="U77" s="159">
        <f>SUMIFS(Dataset!AA:AA,Dataset!F:F,credito!$D$11,Dataset!AH:AH,"bono de gobierno",Dataset!T:T,"MX",Dataset!J:J,"&lt;"&amp;$D77,Dataset!J:J,"&gt;="&amp;$C77)</f>
        <v>0</v>
      </c>
      <c r="V77" s="159">
        <f>SUMIFS(Dataset!AA:AA,Dataset!F:F,credito!$D$11,Dataset!AH:AH,"bono corporativo",Dataset!T:T,"$",Dataset!J:J,"&lt;"&amp;$D77,Dataset!J:J,"&gt;="&amp;$C77)</f>
        <v>0</v>
      </c>
      <c r="W77" s="159">
        <f>SUMIFS(Dataset!AA:AA,Dataset!F:F,credito!$D$11,Dataset!AH:AH,"bono corporativo",Dataset!T:T,"UF",Dataset!J:J,"&lt;"&amp;$D77,Dataset!J:J,"&gt;="&amp;$C77)</f>
        <v>0.11402220666539241</v>
      </c>
      <c r="X77" s="159">
        <f>SUMIFS(Dataset!AA:AA,Dataset!F:F,credito!$D$11,Dataset!AH:AH,"bono corporativo",Dataset!T:T,"US$",Dataset!J:J,"&lt;"&amp;$D77,Dataset!J:J,"&gt;="&amp;$C77)</f>
        <v>2.4713579268963351E-2</v>
      </c>
      <c r="Y77" s="159">
        <f>SUMIFS(Dataset!AA:AA,Dataset!F:F,credito!$D$11,Dataset!J:J,"&lt;"&amp;$D77,Dataset!J:J,"&gt;="&amp;$C77,Dataset!AH:AH,"&lt;&gt;bono corporativo",Dataset!AH:AH,"&lt;&gt;bono de gobierno",Dataset!AH:AH,"&lt;&gt;deposito")</f>
        <v>0</v>
      </c>
      <c r="Z77" s="160">
        <f t="shared" si="9"/>
        <v>0.13873578593435576</v>
      </c>
      <c r="AB77" s="57">
        <v>90</v>
      </c>
      <c r="AC77" s="64">
        <v>105</v>
      </c>
      <c r="AD77" s="172">
        <f>SUMIFS(Dataset!AJ:AJ,Dataset!F:F,credito!$D$11,Dataset!AH:AH,"deposito",Dataset!T:T,"$",Dataset!J:J,"&lt;"&amp;$AC77/365,Dataset!J:J,"&gt;="&amp;$AB77/365)</f>
        <v>0</v>
      </c>
      <c r="AE77" s="172">
        <f>SUMIFS(Dataset!AJ:AJ,Dataset!F:F,credito!$D$11,Dataset!AH:AH,"deposito",Dataset!T:T,"uf",Dataset!J:J,"&lt;"&amp;$AC77/365,Dataset!J:J,"&gt;="&amp;$AB77/365)</f>
        <v>0</v>
      </c>
      <c r="AF77" s="172">
        <f>SUMIFS(Dataset!AJ:AJ,Dataset!F:F,credito!$D$11,Dataset!AH:AH,"deposito",Dataset!T:T,"us$",Dataset!J:J,"&lt;"&amp;$AC77/365,Dataset!J:J,"&gt;="&amp;$AB77/365)</f>
        <v>0</v>
      </c>
      <c r="AG77" s="172">
        <f>SUMIFS(Dataset!AJ:AJ,Dataset!F:F,credito!$D$11,Dataset!AH:AH,"factura",Dataset!J:J,"&lt;"&amp;$AC77/365,Dataset!J:J,"&gt;="&amp;$AB77/365)</f>
        <v>0</v>
      </c>
      <c r="AH77" s="173">
        <f>SUMIFS(Dataset!AJ:AJ,Dataset!F:F,credito!$D$11,Dataset!AH:AH,"letra hipotecaria",Dataset!J:J,"&lt;"&amp;$AC77/365,Dataset!J:J,"&gt;="&amp;$AB77/365)</f>
        <v>0</v>
      </c>
      <c r="AI77" s="160">
        <f t="shared" si="10"/>
        <v>0</v>
      </c>
    </row>
    <row r="78" spans="3:35" ht="33" customHeight="1" x14ac:dyDescent="0.2">
      <c r="C78" s="57">
        <v>5.5</v>
      </c>
      <c r="D78" s="61">
        <v>6.5</v>
      </c>
      <c r="E78" s="158">
        <f>SUMIFS(Dataset!AJ:AJ,Dataset!F:F,credito!$D$11,Dataset!AH:AH,"deposito",Dataset!T:T,"$",Dataset!J:J,"&lt;"&amp;$D78,Dataset!J:J,"&gt;="&amp;$C78)</f>
        <v>0</v>
      </c>
      <c r="F78" s="159">
        <f>SUMIFS(Dataset!AJ:AJ,Dataset!F:F,credito!$D$11,Dataset!AH:AH,"deposito",Dataset!T:T,"UF",Dataset!J:J,"&lt;"&amp;$D78,Dataset!J:J,"&gt;="&amp;$C78)</f>
        <v>0</v>
      </c>
      <c r="G78" s="159">
        <f>SUMIFS(Dataset!AJ:AJ,Dataset!F:F,credito!$D$11,Dataset!AH:AH,"bono de gobierno",Dataset!T:T,"$",Dataset!J:J,"&lt;"&amp;$D78,Dataset!J:J,"&gt;="&amp;$C78)</f>
        <v>0</v>
      </c>
      <c r="H78" s="159">
        <f>SUMIFS(Dataset!AJ:AJ,Dataset!F:F,credito!$D$11,Dataset!AH:AH,"bono de gobierno",Dataset!T:T,"UF",Dataset!J:J,"&lt;"&amp;$D78,Dataset!J:J,"&gt;="&amp;$C78)</f>
        <v>0</v>
      </c>
      <c r="I78" s="159">
        <f>SUMIFS(Dataset!AJ:AJ,Dataset!F:F,credito!$D$11,Dataset!AH:AH,"bono de gobierno",Dataset!T:T,"eu",Dataset!J:J,"&lt;"&amp;$D78,Dataset!J:J,"&gt;="&amp;$C78)</f>
        <v>0</v>
      </c>
      <c r="J78" s="159">
        <f>SUMIFS(Dataset!AJ:AJ,Dataset!F:F,credito!$D$11,Dataset!AH:AH,"bono de gobierno",Dataset!T:T,"mx",Dataset!J:J,"&lt;"&amp;$D78,Dataset!J:J,"&gt;="&amp;$C78)</f>
        <v>0</v>
      </c>
      <c r="K78" s="159">
        <f>SUMIFS(Dataset!AJ:AJ,Dataset!F:F,credito!$D$11,Dataset!AH:AH,"bono corporativo",Dataset!T:T,"$",Dataset!J:J,"&lt;"&amp;$D78,Dataset!J:J,"&gt;="&amp;$C78)</f>
        <v>0</v>
      </c>
      <c r="L78" s="159">
        <f>SUMIFS(Dataset!AJ:AJ,Dataset!F:F,credito!$D$11,Dataset!AH:AH,"bono corporativo",Dataset!T:T,"UF",Dataset!J:J,"&lt;"&amp;$D78,Dataset!J:J,"&gt;="&amp;$C78)</f>
        <v>-4.0764921252853539E-2</v>
      </c>
      <c r="M78" s="159">
        <f>SUMIFS(Dataset!AJ:AJ,Dataset!F:F,credito!$D$11,Dataset!AH:AH,"bono corporativo",Dataset!T:T,"US$",Dataset!J:J,"&lt;"&amp;$D78,Dataset!J:J,"&gt;="&amp;$C78)</f>
        <v>1.5916324031827786E-2</v>
      </c>
      <c r="N78" s="159">
        <f>SUMIFS(Dataset!AJ:AJ,Dataset!F:F,credito!$D$11,Dataset!J:J,"&lt;"&amp;$D78,Dataset!J:J,"&gt;="&amp;$C78,Dataset!AH:AH,"&lt;&gt;bono corporativo",Dataset!AH:AH,"&lt;&gt;bono de gobierno",Dataset!AH:AH,"&lt;&gt;deposito")</f>
        <v>0</v>
      </c>
      <c r="O78" s="160">
        <f t="shared" si="8"/>
        <v>-2.4848597221025753E-2</v>
      </c>
      <c r="P78" s="158">
        <f>SUMIFS(Dataset!AA:AA,Dataset!F:F,credito!$D$11,Dataset!AH:AH,"deposito",Dataset!T:T,"$",Dataset!J:J,"&lt;"&amp;$D78,Dataset!J:J,"&gt;="&amp;$C78)</f>
        <v>0</v>
      </c>
      <c r="Q78" s="159">
        <f>SUMIFS(Dataset!AA:AA,Dataset!F:F,credito!$D$11,Dataset!AH:AH,"deposito",Dataset!T:T,"UF",Dataset!J:J,"&lt;"&amp;$D78,Dataset!J:J,"&gt;="&amp;$C78)</f>
        <v>0</v>
      </c>
      <c r="R78" s="159">
        <f>SUMIFS(Dataset!AA:AA,Dataset!F:F,credito!$D$11,Dataset!AH:AH,"bono de gobierno",Dataset!T:T,"$",Dataset!J:J,"&lt;"&amp;$D78,Dataset!J:J,"&gt;="&amp;$C78)</f>
        <v>0</v>
      </c>
      <c r="S78" s="159">
        <f>SUMIFS(Dataset!AA:AA,Dataset!F:F,credito!$D$11,Dataset!AH:AH,"bono de gobierno",Dataset!T:T,"UF",Dataset!J:J,"&lt;"&amp;$D78,Dataset!J:J,"&gt;="&amp;$C78)</f>
        <v>0</v>
      </c>
      <c r="T78" s="159">
        <f>SUMIFS(Dataset!AA:AA,Dataset!F:F,credito!$D$11,Dataset!AH:AH,"bono de gobierno",Dataset!T:T,"EU",Dataset!J:J,"&lt;"&amp;$D78,Dataset!J:J,"&gt;="&amp;$C78)</f>
        <v>0</v>
      </c>
      <c r="U78" s="159">
        <f>SUMIFS(Dataset!AA:AA,Dataset!F:F,credito!$D$11,Dataset!AH:AH,"bono de gobierno",Dataset!T:T,"MX",Dataset!J:J,"&lt;"&amp;$D78,Dataset!J:J,"&gt;="&amp;$C78)</f>
        <v>0</v>
      </c>
      <c r="V78" s="159">
        <f>SUMIFS(Dataset!AA:AA,Dataset!F:F,credito!$D$11,Dataset!AH:AH,"bono corporativo",Dataset!T:T,"$",Dataset!J:J,"&lt;"&amp;$D78,Dataset!J:J,"&gt;="&amp;$C78)</f>
        <v>0</v>
      </c>
      <c r="W78" s="159">
        <f>SUMIFS(Dataset!AA:AA,Dataset!F:F,credito!$D$11,Dataset!AH:AH,"bono corporativo",Dataset!T:T,"UF",Dataset!J:J,"&lt;"&amp;$D78,Dataset!J:J,"&gt;="&amp;$C78)</f>
        <v>0.54680763600814652</v>
      </c>
      <c r="X78" s="159">
        <f>SUMIFS(Dataset!AA:AA,Dataset!F:F,credito!$D$11,Dataset!AH:AH,"bono corporativo",Dataset!T:T,"US$",Dataset!J:J,"&lt;"&amp;$D78,Dataset!J:J,"&gt;="&amp;$C78)</f>
        <v>8.2619770095255465E-2</v>
      </c>
      <c r="Y78" s="159">
        <f>SUMIFS(Dataset!AA:AA,Dataset!F:F,credito!$D$11,Dataset!J:J,"&lt;"&amp;$D78,Dataset!J:J,"&gt;="&amp;$C78,Dataset!AH:AH,"&lt;&gt;bono corporativo",Dataset!AH:AH,"&lt;&gt;bono de gobierno",Dataset!AH:AH,"&lt;&gt;deposito")</f>
        <v>0</v>
      </c>
      <c r="Z78" s="160">
        <f t="shared" si="9"/>
        <v>0.62942740610340198</v>
      </c>
      <c r="AB78" s="57">
        <v>105</v>
      </c>
      <c r="AC78" s="64">
        <v>120</v>
      </c>
      <c r="AD78" s="172">
        <f>SUMIFS(Dataset!AJ:AJ,Dataset!F:F,credito!$D$11,Dataset!AH:AH,"deposito",Dataset!T:T,"$",Dataset!J:J,"&lt;"&amp;$AC78/365,Dataset!J:J,"&gt;="&amp;$AB78/365)</f>
        <v>0</v>
      </c>
      <c r="AE78" s="172">
        <f>SUMIFS(Dataset!AJ:AJ,Dataset!F:F,credito!$D$11,Dataset!AH:AH,"deposito",Dataset!T:T,"uf",Dataset!J:J,"&lt;"&amp;$AC78/365,Dataset!J:J,"&gt;="&amp;$AB78/365)</f>
        <v>0</v>
      </c>
      <c r="AF78" s="172">
        <f>SUMIFS(Dataset!AJ:AJ,Dataset!F:F,credito!$D$11,Dataset!AH:AH,"deposito",Dataset!T:T,"us$",Dataset!J:J,"&lt;"&amp;$AC78/365,Dataset!J:J,"&gt;="&amp;$AB78/365)</f>
        <v>0</v>
      </c>
      <c r="AG78" s="172">
        <f>SUMIFS(Dataset!AJ:AJ,Dataset!F:F,credito!$D$11,Dataset!AH:AH,"factura",Dataset!J:J,"&lt;"&amp;$AC78/365,Dataset!J:J,"&gt;="&amp;$AB78/365)</f>
        <v>0</v>
      </c>
      <c r="AH78" s="173">
        <f>SUMIFS(Dataset!AJ:AJ,Dataset!F:F,credito!$D$11,Dataset!AH:AH,"letra hipotecaria",Dataset!J:J,"&lt;"&amp;$AC78/365,Dataset!J:J,"&gt;="&amp;$AB78/365)</f>
        <v>0</v>
      </c>
      <c r="AI78" s="160">
        <f t="shared" si="10"/>
        <v>0</v>
      </c>
    </row>
    <row r="79" spans="3:35" ht="33" customHeight="1" x14ac:dyDescent="0.2">
      <c r="C79" s="57">
        <v>6.5</v>
      </c>
      <c r="D79" s="61">
        <v>7.5</v>
      </c>
      <c r="E79" s="158">
        <f>SUMIFS(Dataset!AJ:AJ,Dataset!F:F,credito!$D$11,Dataset!AH:AH,"deposito",Dataset!T:T,"$",Dataset!J:J,"&lt;"&amp;$D79,Dataset!J:J,"&gt;="&amp;$C79)</f>
        <v>0</v>
      </c>
      <c r="F79" s="159">
        <f>SUMIFS(Dataset!AJ:AJ,Dataset!F:F,credito!$D$11,Dataset!AH:AH,"deposito",Dataset!T:T,"UF",Dataset!J:J,"&lt;"&amp;$D79,Dataset!J:J,"&gt;="&amp;$C79)</f>
        <v>0</v>
      </c>
      <c r="G79" s="159">
        <f>SUMIFS(Dataset!AJ:AJ,Dataset!F:F,credito!$D$11,Dataset!AH:AH,"bono de gobierno",Dataset!T:T,"$",Dataset!J:J,"&lt;"&amp;$D79,Dataset!J:J,"&gt;="&amp;$C79)</f>
        <v>0</v>
      </c>
      <c r="H79" s="159">
        <f>SUMIFS(Dataset!AJ:AJ,Dataset!F:F,credito!$D$11,Dataset!AH:AH,"bono de gobierno",Dataset!T:T,"UF",Dataset!J:J,"&lt;"&amp;$D79,Dataset!J:J,"&gt;="&amp;$C79)</f>
        <v>0</v>
      </c>
      <c r="I79" s="159">
        <f>SUMIFS(Dataset!AJ:AJ,Dataset!F:F,credito!$D$11,Dataset!AH:AH,"bono de gobierno",Dataset!T:T,"eu",Dataset!J:J,"&lt;"&amp;$D79,Dataset!J:J,"&gt;="&amp;$C79)</f>
        <v>0</v>
      </c>
      <c r="J79" s="159">
        <f>SUMIFS(Dataset!AJ:AJ,Dataset!F:F,credito!$D$11,Dataset!AH:AH,"bono de gobierno",Dataset!T:T,"mx",Dataset!J:J,"&lt;"&amp;$D79,Dataset!J:J,"&gt;="&amp;$C79)</f>
        <v>0</v>
      </c>
      <c r="K79" s="159">
        <f>SUMIFS(Dataset!AJ:AJ,Dataset!F:F,credito!$D$11,Dataset!AH:AH,"bono corporativo",Dataset!T:T,"$",Dataset!J:J,"&lt;"&amp;$D79,Dataset!J:J,"&gt;="&amp;$C79)</f>
        <v>0</v>
      </c>
      <c r="L79" s="159">
        <f>SUMIFS(Dataset!AJ:AJ,Dataset!F:F,credito!$D$11,Dataset!AH:AH,"bono corporativo",Dataset!T:T,"UF",Dataset!J:J,"&lt;"&amp;$D79,Dataset!J:J,"&gt;="&amp;$C79)</f>
        <v>4.5892710560514638E-2</v>
      </c>
      <c r="M79" s="159">
        <f>SUMIFS(Dataset!AJ:AJ,Dataset!F:F,credito!$D$11,Dataset!AH:AH,"bono corporativo",Dataset!T:T,"US$",Dataset!J:J,"&lt;"&amp;$D79,Dataset!J:J,"&gt;="&amp;$C79)</f>
        <v>0</v>
      </c>
      <c r="N79" s="159">
        <f>SUMIFS(Dataset!AJ:AJ,Dataset!F:F,credito!$D$11,Dataset!J:J,"&lt;"&amp;$D79,Dataset!J:J,"&gt;="&amp;$C79,Dataset!AH:AH,"&lt;&gt;bono corporativo",Dataset!AH:AH,"&lt;&gt;bono de gobierno",Dataset!AH:AH,"&lt;&gt;deposito")</f>
        <v>0</v>
      </c>
      <c r="O79" s="160">
        <f t="shared" si="8"/>
        <v>4.5892710560514638E-2</v>
      </c>
      <c r="P79" s="158">
        <f>SUMIFS(Dataset!AA:AA,Dataset!F:F,credito!$D$11,Dataset!AH:AH,"deposito",Dataset!T:T,"$",Dataset!J:J,"&lt;"&amp;$D79,Dataset!J:J,"&gt;="&amp;$C79)</f>
        <v>0</v>
      </c>
      <c r="Q79" s="159">
        <f>SUMIFS(Dataset!AA:AA,Dataset!F:F,credito!$D$11,Dataset!AH:AH,"deposito",Dataset!T:T,"UF",Dataset!J:J,"&lt;"&amp;$D79,Dataset!J:J,"&gt;="&amp;$C79)</f>
        <v>0</v>
      </c>
      <c r="R79" s="159">
        <f>SUMIFS(Dataset!AA:AA,Dataset!F:F,credito!$D$11,Dataset!AH:AH,"bono de gobierno",Dataset!T:T,"$",Dataset!J:J,"&lt;"&amp;$D79,Dataset!J:J,"&gt;="&amp;$C79)</f>
        <v>0</v>
      </c>
      <c r="S79" s="159">
        <f>SUMIFS(Dataset!AA:AA,Dataset!F:F,credito!$D$11,Dataset!AH:AH,"bono de gobierno",Dataset!T:T,"UF",Dataset!J:J,"&lt;"&amp;$D79,Dataset!J:J,"&gt;="&amp;$C79)</f>
        <v>0</v>
      </c>
      <c r="T79" s="159">
        <f>SUMIFS(Dataset!AA:AA,Dataset!F:F,credito!$D$11,Dataset!AH:AH,"bono de gobierno",Dataset!T:T,"EU",Dataset!J:J,"&lt;"&amp;$D79,Dataset!J:J,"&gt;="&amp;$C79)</f>
        <v>0</v>
      </c>
      <c r="U79" s="159">
        <f>SUMIFS(Dataset!AA:AA,Dataset!F:F,credito!$D$11,Dataset!AH:AH,"bono de gobierno",Dataset!T:T,"MX",Dataset!J:J,"&lt;"&amp;$D79,Dataset!J:J,"&gt;="&amp;$C79)</f>
        <v>0</v>
      </c>
      <c r="V79" s="159">
        <f>SUMIFS(Dataset!AA:AA,Dataset!F:F,credito!$D$11,Dataset!AH:AH,"bono corporativo",Dataset!T:T,"$",Dataset!J:J,"&lt;"&amp;$D79,Dataset!J:J,"&gt;="&amp;$C79)</f>
        <v>0</v>
      </c>
      <c r="W79" s="159">
        <f>SUMIFS(Dataset!AA:AA,Dataset!F:F,credito!$D$11,Dataset!AH:AH,"bono corporativo",Dataset!T:T,"UF",Dataset!J:J,"&lt;"&amp;$D79,Dataset!J:J,"&gt;="&amp;$C79)</f>
        <v>6.1908224246308659E-2</v>
      </c>
      <c r="X79" s="159">
        <f>SUMIFS(Dataset!AA:AA,Dataset!F:F,credito!$D$11,Dataset!AH:AH,"bono corporativo",Dataset!T:T,"US$",Dataset!J:J,"&lt;"&amp;$D79,Dataset!J:J,"&gt;="&amp;$C79)</f>
        <v>0</v>
      </c>
      <c r="Y79" s="159">
        <f>SUMIFS(Dataset!AA:AA,Dataset!F:F,credito!$D$11,Dataset!J:J,"&lt;"&amp;$D79,Dataset!J:J,"&gt;="&amp;$C79,Dataset!AH:AH,"&lt;&gt;bono corporativo",Dataset!AH:AH,"&lt;&gt;bono de gobierno",Dataset!AH:AH,"&lt;&gt;deposito")</f>
        <v>0</v>
      </c>
      <c r="Z79" s="160">
        <f t="shared" si="9"/>
        <v>6.1908224246308659E-2</v>
      </c>
      <c r="AB79" s="57">
        <v>120</v>
      </c>
      <c r="AC79" s="64">
        <v>135</v>
      </c>
      <c r="AD79" s="172">
        <f>SUMIFS(Dataset!AJ:AJ,Dataset!F:F,credito!$D$11,Dataset!AH:AH,"deposito",Dataset!T:T,"$",Dataset!J:J,"&lt;"&amp;$AC79/365,Dataset!J:J,"&gt;="&amp;$AB79/365)</f>
        <v>0</v>
      </c>
      <c r="AE79" s="172">
        <f>SUMIFS(Dataset!AJ:AJ,Dataset!F:F,credito!$D$11,Dataset!AH:AH,"deposito",Dataset!T:T,"uf",Dataset!J:J,"&lt;"&amp;$AC79/365,Dataset!J:J,"&gt;="&amp;$AB79/365)</f>
        <v>0</v>
      </c>
      <c r="AF79" s="172">
        <f>SUMIFS(Dataset!AJ:AJ,Dataset!F:F,credito!$D$11,Dataset!AH:AH,"deposito",Dataset!T:T,"us$",Dataset!J:J,"&lt;"&amp;$AC79/365,Dataset!J:J,"&gt;="&amp;$AB79/365)</f>
        <v>0</v>
      </c>
      <c r="AG79" s="172">
        <f>SUMIFS(Dataset!AJ:AJ,Dataset!F:F,credito!$D$11,Dataset!AH:AH,"factura",Dataset!J:J,"&lt;"&amp;$AC79/365,Dataset!J:J,"&gt;="&amp;$AB79/365)</f>
        <v>0</v>
      </c>
      <c r="AH79" s="173">
        <f>SUMIFS(Dataset!AJ:AJ,Dataset!F:F,credito!$D$11,Dataset!AH:AH,"letra hipotecaria",Dataset!J:J,"&lt;"&amp;$AC79/365,Dataset!J:J,"&gt;="&amp;$AB79/365)</f>
        <v>0</v>
      </c>
      <c r="AI79" s="160">
        <f t="shared" si="10"/>
        <v>0</v>
      </c>
    </row>
    <row r="80" spans="3:35" ht="33" customHeight="1" x14ac:dyDescent="0.2">
      <c r="C80" s="57">
        <v>7.5</v>
      </c>
      <c r="D80" s="61">
        <v>8.5</v>
      </c>
      <c r="E80" s="158">
        <f>SUMIFS(Dataset!AJ:AJ,Dataset!F:F,credito!$D$11,Dataset!AH:AH,"deposito",Dataset!T:T,"$",Dataset!J:J,"&lt;"&amp;$D80,Dataset!J:J,"&gt;="&amp;$C80)</f>
        <v>0</v>
      </c>
      <c r="F80" s="159">
        <f>SUMIFS(Dataset!AJ:AJ,Dataset!F:F,credito!$D$11,Dataset!AH:AH,"deposito",Dataset!T:T,"UF",Dataset!J:J,"&lt;"&amp;$D80,Dataset!J:J,"&gt;="&amp;$C80)</f>
        <v>0</v>
      </c>
      <c r="G80" s="159">
        <f>SUMIFS(Dataset!AJ:AJ,Dataset!F:F,credito!$D$11,Dataset!AH:AH,"bono de gobierno",Dataset!T:T,"$",Dataset!J:J,"&lt;"&amp;$D80,Dataset!J:J,"&gt;="&amp;$C80)</f>
        <v>0</v>
      </c>
      <c r="H80" s="159">
        <f>SUMIFS(Dataset!AJ:AJ,Dataset!F:F,credito!$D$11,Dataset!AH:AH,"bono de gobierno",Dataset!T:T,"UF",Dataset!J:J,"&lt;"&amp;$D80,Dataset!J:J,"&gt;="&amp;$C80)</f>
        <v>1.8481690972586014E-2</v>
      </c>
      <c r="I80" s="159">
        <f>SUMIFS(Dataset!AJ:AJ,Dataset!F:F,credito!$D$11,Dataset!AH:AH,"bono de gobierno",Dataset!T:T,"eu",Dataset!J:J,"&lt;"&amp;$D80,Dataset!J:J,"&gt;="&amp;$C80)</f>
        <v>0</v>
      </c>
      <c r="J80" s="159">
        <f>SUMIFS(Dataset!AJ:AJ,Dataset!F:F,credito!$D$11,Dataset!AH:AH,"bono de gobierno",Dataset!T:T,"mx",Dataset!J:J,"&lt;"&amp;$D80,Dataset!J:J,"&gt;="&amp;$C80)</f>
        <v>0</v>
      </c>
      <c r="K80" s="159">
        <f>SUMIFS(Dataset!AJ:AJ,Dataset!F:F,credito!$D$11,Dataset!AH:AH,"bono corporativo",Dataset!T:T,"$",Dataset!J:J,"&lt;"&amp;$D80,Dataset!J:J,"&gt;="&amp;$C80)</f>
        <v>0</v>
      </c>
      <c r="L80" s="159">
        <f>SUMIFS(Dataset!AJ:AJ,Dataset!F:F,credito!$D$11,Dataset!AH:AH,"bono corporativo",Dataset!T:T,"UF",Dataset!J:J,"&lt;"&amp;$D80,Dataset!J:J,"&gt;="&amp;$C80)</f>
        <v>2.076013464746047E-2</v>
      </c>
      <c r="M80" s="159">
        <f>SUMIFS(Dataset!AJ:AJ,Dataset!F:F,credito!$D$11,Dataset!AH:AH,"bono corporativo",Dataset!T:T,"US$",Dataset!J:J,"&lt;"&amp;$D80,Dataset!J:J,"&gt;="&amp;$C80)</f>
        <v>0</v>
      </c>
      <c r="N80" s="159">
        <f>SUMIFS(Dataset!AJ:AJ,Dataset!F:F,credito!$D$11,Dataset!J:J,"&lt;"&amp;$D80,Dataset!J:J,"&gt;="&amp;$C80,Dataset!AH:AH,"&lt;&gt;bono corporativo",Dataset!AH:AH,"&lt;&gt;bono de gobierno",Dataset!AH:AH,"&lt;&gt;deposito")</f>
        <v>0</v>
      </c>
      <c r="O80" s="160">
        <f t="shared" si="8"/>
        <v>3.924182562004648E-2</v>
      </c>
      <c r="P80" s="158">
        <f>SUMIFS(Dataset!AA:AA,Dataset!F:F,credito!$D$11,Dataset!AH:AH,"deposito",Dataset!T:T,"$",Dataset!J:J,"&lt;"&amp;$D80,Dataset!J:J,"&gt;="&amp;$C80)</f>
        <v>0</v>
      </c>
      <c r="Q80" s="159">
        <f>SUMIFS(Dataset!AA:AA,Dataset!F:F,credito!$D$11,Dataset!AH:AH,"deposito",Dataset!T:T,"UF",Dataset!J:J,"&lt;"&amp;$D80,Dataset!J:J,"&gt;="&amp;$C80)</f>
        <v>0</v>
      </c>
      <c r="R80" s="159">
        <f>SUMIFS(Dataset!AA:AA,Dataset!F:F,credito!$D$11,Dataset!AH:AH,"bono de gobierno",Dataset!T:T,"$",Dataset!J:J,"&lt;"&amp;$D80,Dataset!J:J,"&gt;="&amp;$C80)</f>
        <v>0</v>
      </c>
      <c r="S80" s="159">
        <f>SUMIFS(Dataset!AA:AA,Dataset!F:F,credito!$D$11,Dataset!AH:AH,"bono de gobierno",Dataset!T:T,"UF",Dataset!J:J,"&lt;"&amp;$D80,Dataset!J:J,"&gt;="&amp;$C80)</f>
        <v>3.8694420927762718E-3</v>
      </c>
      <c r="T80" s="159">
        <f>SUMIFS(Dataset!AA:AA,Dataset!F:F,credito!$D$11,Dataset!AH:AH,"bono de gobierno",Dataset!T:T,"EU",Dataset!J:J,"&lt;"&amp;$D80,Dataset!J:J,"&gt;="&amp;$C80)</f>
        <v>0</v>
      </c>
      <c r="U80" s="159">
        <f>SUMIFS(Dataset!AA:AA,Dataset!F:F,credito!$D$11,Dataset!AH:AH,"bono de gobierno",Dataset!T:T,"MX",Dataset!J:J,"&lt;"&amp;$D80,Dataset!J:J,"&gt;="&amp;$C80)</f>
        <v>0</v>
      </c>
      <c r="V80" s="159">
        <f>SUMIFS(Dataset!AA:AA,Dataset!F:F,credito!$D$11,Dataset!AH:AH,"bono corporativo",Dataset!T:T,"$",Dataset!J:J,"&lt;"&amp;$D80,Dataset!J:J,"&gt;="&amp;$C80)</f>
        <v>0</v>
      </c>
      <c r="W80" s="159">
        <f>SUMIFS(Dataset!AA:AA,Dataset!F:F,credito!$D$11,Dataset!AH:AH,"bono corporativo",Dataset!T:T,"UF",Dataset!J:J,"&lt;"&amp;$D80,Dataset!J:J,"&gt;="&amp;$C80)</f>
        <v>0.10074250556075699</v>
      </c>
      <c r="X80" s="159">
        <f>SUMIFS(Dataset!AA:AA,Dataset!F:F,credito!$D$11,Dataset!AH:AH,"bono corporativo",Dataset!T:T,"US$",Dataset!J:J,"&lt;"&amp;$D80,Dataset!J:J,"&gt;="&amp;$C80)</f>
        <v>0</v>
      </c>
      <c r="Y80" s="159">
        <f>SUMIFS(Dataset!AA:AA,Dataset!F:F,credito!$D$11,Dataset!J:J,"&lt;"&amp;$D80,Dataset!J:J,"&gt;="&amp;$C80,Dataset!AH:AH,"&lt;&gt;bono corporativo",Dataset!AH:AH,"&lt;&gt;bono de gobierno",Dataset!AH:AH,"&lt;&gt;deposito")</f>
        <v>0</v>
      </c>
      <c r="Z80" s="160">
        <f t="shared" si="9"/>
        <v>0.10461194765353327</v>
      </c>
      <c r="AB80" s="57">
        <v>135</v>
      </c>
      <c r="AC80" s="64">
        <v>150</v>
      </c>
      <c r="AD80" s="172">
        <f>SUMIFS(Dataset!AJ:AJ,Dataset!F:F,credito!$D$11,Dataset!AH:AH,"deposito",Dataset!T:T,"$",Dataset!J:J,"&lt;"&amp;$AC80/365,Dataset!J:J,"&gt;="&amp;$AB80/365)</f>
        <v>1.3726531802368423E-3</v>
      </c>
      <c r="AE80" s="172">
        <f>SUMIFS(Dataset!AJ:AJ,Dataset!F:F,credito!$D$11,Dataset!AH:AH,"deposito",Dataset!T:T,"uf",Dataset!J:J,"&lt;"&amp;$AC80/365,Dataset!J:J,"&gt;="&amp;$AB80/365)</f>
        <v>0</v>
      </c>
      <c r="AF80" s="172">
        <f>SUMIFS(Dataset!AJ:AJ,Dataset!F:F,credito!$D$11,Dataset!AH:AH,"deposito",Dataset!T:T,"us$",Dataset!J:J,"&lt;"&amp;$AC80/365,Dataset!J:J,"&gt;="&amp;$AB80/365)</f>
        <v>0</v>
      </c>
      <c r="AG80" s="172">
        <f>SUMIFS(Dataset!AJ:AJ,Dataset!F:F,credito!$D$11,Dataset!AH:AH,"factura",Dataset!J:J,"&lt;"&amp;$AC80/365,Dataset!J:J,"&gt;="&amp;$AB80/365)</f>
        <v>0</v>
      </c>
      <c r="AH80" s="173">
        <f>SUMIFS(Dataset!AJ:AJ,Dataset!F:F,credito!$D$11,Dataset!AH:AH,"letra hipotecaria",Dataset!J:J,"&lt;"&amp;$AC80/365,Dataset!J:J,"&gt;="&amp;$AB80/365)</f>
        <v>0</v>
      </c>
      <c r="AI80" s="160">
        <f t="shared" si="10"/>
        <v>1.3726531802368423E-3</v>
      </c>
    </row>
    <row r="81" spans="2:35" ht="33" customHeight="1" x14ac:dyDescent="0.2">
      <c r="C81" s="57">
        <v>8.5</v>
      </c>
      <c r="D81" s="61">
        <v>9.5</v>
      </c>
      <c r="E81" s="158">
        <f>SUMIFS(Dataset!AJ:AJ,Dataset!F:F,credito!$D$11,Dataset!AH:AH,"deposito",Dataset!T:T,"$",Dataset!J:J,"&lt;"&amp;$D81,Dataset!J:J,"&gt;="&amp;$C81)</f>
        <v>0</v>
      </c>
      <c r="F81" s="159">
        <f>SUMIFS(Dataset!AJ:AJ,Dataset!F:F,credito!$D$11,Dataset!AH:AH,"deposito",Dataset!T:T,"UF",Dataset!J:J,"&lt;"&amp;$D81,Dataset!J:J,"&gt;="&amp;$C81)</f>
        <v>0</v>
      </c>
      <c r="G81" s="159">
        <f>SUMIFS(Dataset!AJ:AJ,Dataset!F:F,credito!$D$11,Dataset!AH:AH,"bono de gobierno",Dataset!T:T,"$",Dataset!J:J,"&lt;"&amp;$D81,Dataset!J:J,"&gt;="&amp;$C81)</f>
        <v>0</v>
      </c>
      <c r="H81" s="159">
        <f>SUMIFS(Dataset!AJ:AJ,Dataset!F:F,credito!$D$11,Dataset!AH:AH,"bono de gobierno",Dataset!T:T,"UF",Dataset!J:J,"&lt;"&amp;$D81,Dataset!J:J,"&gt;="&amp;$C81)</f>
        <v>0</v>
      </c>
      <c r="I81" s="159">
        <f>SUMIFS(Dataset!AJ:AJ,Dataset!F:F,credito!$D$11,Dataset!AH:AH,"bono de gobierno",Dataset!T:T,"eu",Dataset!J:J,"&lt;"&amp;$D81,Dataset!J:J,"&gt;="&amp;$C81)</f>
        <v>0</v>
      </c>
      <c r="J81" s="159">
        <f>SUMIFS(Dataset!AJ:AJ,Dataset!F:F,credito!$D$11,Dataset!AH:AH,"bono de gobierno",Dataset!T:T,"mx",Dataset!J:J,"&lt;"&amp;$D81,Dataset!J:J,"&gt;="&amp;$C81)</f>
        <v>0</v>
      </c>
      <c r="K81" s="159">
        <f>SUMIFS(Dataset!AJ:AJ,Dataset!F:F,credito!$D$11,Dataset!AH:AH,"bono corporativo",Dataset!T:T,"$",Dataset!J:J,"&lt;"&amp;$D81,Dataset!J:J,"&gt;="&amp;$C81)</f>
        <v>1.5172971123108661E-2</v>
      </c>
      <c r="L81" s="159">
        <f>SUMIFS(Dataset!AJ:AJ,Dataset!F:F,credito!$D$11,Dataset!AH:AH,"bono corporativo",Dataset!T:T,"UF",Dataset!J:J,"&lt;"&amp;$D81,Dataset!J:J,"&gt;="&amp;$C81)</f>
        <v>4.7214676696150107E-2</v>
      </c>
      <c r="M81" s="159">
        <f>SUMIFS(Dataset!AJ:AJ,Dataset!F:F,credito!$D$11,Dataset!AH:AH,"bono corporativo",Dataset!T:T,"US$",Dataset!J:J,"&lt;"&amp;$D81,Dataset!J:J,"&gt;="&amp;$C81)</f>
        <v>0</v>
      </c>
      <c r="N81" s="159">
        <f>SUMIFS(Dataset!AJ:AJ,Dataset!F:F,credito!$D$11,Dataset!J:J,"&lt;"&amp;$D81,Dataset!J:J,"&gt;="&amp;$C81,Dataset!AH:AH,"&lt;&gt;bono corporativo",Dataset!AH:AH,"&lt;&gt;bono de gobierno",Dataset!AH:AH,"&lt;&gt;deposito")</f>
        <v>0</v>
      </c>
      <c r="O81" s="160">
        <f t="shared" si="8"/>
        <v>6.2387647819258769E-2</v>
      </c>
      <c r="P81" s="158">
        <f>SUMIFS(Dataset!AA:AA,Dataset!F:F,credito!$D$11,Dataset!AH:AH,"deposito",Dataset!T:T,"$",Dataset!J:J,"&lt;"&amp;$D81,Dataset!J:J,"&gt;="&amp;$C81)</f>
        <v>0</v>
      </c>
      <c r="Q81" s="159">
        <f>SUMIFS(Dataset!AA:AA,Dataset!F:F,credito!$D$11,Dataset!AH:AH,"deposito",Dataset!T:T,"UF",Dataset!J:J,"&lt;"&amp;$D81,Dataset!J:J,"&gt;="&amp;$C81)</f>
        <v>0</v>
      </c>
      <c r="R81" s="159">
        <f>SUMIFS(Dataset!AA:AA,Dataset!F:F,credito!$D$11,Dataset!AH:AH,"bono de gobierno",Dataset!T:T,"$",Dataset!J:J,"&lt;"&amp;$D81,Dataset!J:J,"&gt;="&amp;$C81)</f>
        <v>0</v>
      </c>
      <c r="S81" s="159">
        <f>SUMIFS(Dataset!AA:AA,Dataset!F:F,credito!$D$11,Dataset!AH:AH,"bono de gobierno",Dataset!T:T,"UF",Dataset!J:J,"&lt;"&amp;$D81,Dataset!J:J,"&gt;="&amp;$C81)</f>
        <v>0</v>
      </c>
      <c r="T81" s="159">
        <f>SUMIFS(Dataset!AA:AA,Dataset!F:F,credito!$D$11,Dataset!AH:AH,"bono de gobierno",Dataset!T:T,"EU",Dataset!J:J,"&lt;"&amp;$D81,Dataset!J:J,"&gt;="&amp;$C81)</f>
        <v>0</v>
      </c>
      <c r="U81" s="159">
        <f>SUMIFS(Dataset!AA:AA,Dataset!F:F,credito!$D$11,Dataset!AH:AH,"bono de gobierno",Dataset!T:T,"MX",Dataset!J:J,"&lt;"&amp;$D81,Dataset!J:J,"&gt;="&amp;$C81)</f>
        <v>0</v>
      </c>
      <c r="V81" s="159">
        <f>SUMIFS(Dataset!AA:AA,Dataset!F:F,credito!$D$11,Dataset!AH:AH,"bono corporativo",Dataset!T:T,"$",Dataset!J:J,"&lt;"&amp;$D81,Dataset!J:J,"&gt;="&amp;$C81)</f>
        <v>2.0171458913037362E-3</v>
      </c>
      <c r="W81" s="159">
        <f>SUMIFS(Dataset!AA:AA,Dataset!F:F,credito!$D$11,Dataset!AH:AH,"bono corporativo",Dataset!T:T,"UF",Dataset!J:J,"&lt;"&amp;$D81,Dataset!J:J,"&gt;="&amp;$C81)</f>
        <v>4.6612982197290861E-2</v>
      </c>
      <c r="X81" s="159">
        <f>SUMIFS(Dataset!AA:AA,Dataset!F:F,credito!$D$11,Dataset!AH:AH,"bono corporativo",Dataset!T:T,"US$",Dataset!J:J,"&lt;"&amp;$D81,Dataset!J:J,"&gt;="&amp;$C81)</f>
        <v>0</v>
      </c>
      <c r="Y81" s="159">
        <f>SUMIFS(Dataset!AA:AA,Dataset!F:F,credito!$D$11,Dataset!J:J,"&lt;"&amp;$D81,Dataset!J:J,"&gt;="&amp;$C81,Dataset!AH:AH,"&lt;&gt;bono corporativo",Dataset!AH:AH,"&lt;&gt;bono de gobierno",Dataset!AH:AH,"&lt;&gt;deposito")</f>
        <v>0</v>
      </c>
      <c r="Z81" s="160">
        <f t="shared" si="9"/>
        <v>4.8630128088594599E-2</v>
      </c>
      <c r="AB81" s="57">
        <v>150</v>
      </c>
      <c r="AC81" s="64">
        <v>165</v>
      </c>
      <c r="AD81" s="172">
        <f>SUMIFS(Dataset!AJ:AJ,Dataset!F:F,credito!$D$11,Dataset!AH:AH,"deposito",Dataset!T:T,"$",Dataset!J:J,"&lt;"&amp;$AC81/365,Dataset!J:J,"&gt;="&amp;$AB81/365)</f>
        <v>0</v>
      </c>
      <c r="AE81" s="172">
        <f>SUMIFS(Dataset!AJ:AJ,Dataset!F:F,credito!$D$11,Dataset!AH:AH,"deposito",Dataset!T:T,"uf",Dataset!J:J,"&lt;"&amp;$AC81/365,Dataset!J:J,"&gt;="&amp;$AB81/365)</f>
        <v>0</v>
      </c>
      <c r="AF81" s="172">
        <f>SUMIFS(Dataset!AJ:AJ,Dataset!F:F,credito!$D$11,Dataset!AH:AH,"deposito",Dataset!T:T,"us$",Dataset!J:J,"&lt;"&amp;$AC81/365,Dataset!J:J,"&gt;="&amp;$AB81/365)</f>
        <v>0</v>
      </c>
      <c r="AG81" s="172">
        <f>SUMIFS(Dataset!AJ:AJ,Dataset!F:F,credito!$D$11,Dataset!AH:AH,"factura",Dataset!J:J,"&lt;"&amp;$AC81/365,Dataset!J:J,"&gt;="&amp;$AB81/365)</f>
        <v>0</v>
      </c>
      <c r="AH81" s="173">
        <f>SUMIFS(Dataset!AJ:AJ,Dataset!F:F,credito!$D$11,Dataset!AH:AH,"letra hipotecaria",Dataset!J:J,"&lt;"&amp;$AC81/365,Dataset!J:J,"&gt;="&amp;$AB81/365)</f>
        <v>0</v>
      </c>
      <c r="AI81" s="160">
        <f t="shared" si="10"/>
        <v>0</v>
      </c>
    </row>
    <row r="82" spans="2:35" ht="33" customHeight="1" x14ac:dyDescent="0.2">
      <c r="C82" s="57">
        <v>9.5</v>
      </c>
      <c r="D82" s="61">
        <v>10.5</v>
      </c>
      <c r="E82" s="158">
        <f>SUMIFS(Dataset!AJ:AJ,Dataset!F:F,credito!$D$11,Dataset!AH:AH,"deposito",Dataset!T:T,"$",Dataset!J:J,"&lt;"&amp;$D82,Dataset!J:J,"&gt;="&amp;$C82)</f>
        <v>0</v>
      </c>
      <c r="F82" s="159">
        <f>SUMIFS(Dataset!AJ:AJ,Dataset!F:F,credito!$D$11,Dataset!AH:AH,"deposito",Dataset!T:T,"UF",Dataset!J:J,"&lt;"&amp;$D82,Dataset!J:J,"&gt;="&amp;$C82)</f>
        <v>0</v>
      </c>
      <c r="G82" s="159">
        <f>SUMIFS(Dataset!AJ:AJ,Dataset!F:F,credito!$D$11,Dataset!AH:AH,"bono de gobierno",Dataset!T:T,"$",Dataset!J:J,"&lt;"&amp;$D82,Dataset!J:J,"&gt;="&amp;$C82)</f>
        <v>0</v>
      </c>
      <c r="H82" s="159">
        <f>SUMIFS(Dataset!AJ:AJ,Dataset!F:F,credito!$D$11,Dataset!AH:AH,"bono de gobierno",Dataset!T:T,"UF",Dataset!J:J,"&lt;"&amp;$D82,Dataset!J:J,"&gt;="&amp;$C82)</f>
        <v>0</v>
      </c>
      <c r="I82" s="159">
        <f>SUMIFS(Dataset!AJ:AJ,Dataset!F:F,credito!$D$11,Dataset!AH:AH,"bono de gobierno",Dataset!T:T,"eu",Dataset!J:J,"&lt;"&amp;$D82,Dataset!J:J,"&gt;="&amp;$C82)</f>
        <v>0</v>
      </c>
      <c r="J82" s="159">
        <f>SUMIFS(Dataset!AJ:AJ,Dataset!F:F,credito!$D$11,Dataset!AH:AH,"bono de gobierno",Dataset!T:T,"mx",Dataset!J:J,"&lt;"&amp;$D82,Dataset!J:J,"&gt;="&amp;$C82)</f>
        <v>0</v>
      </c>
      <c r="K82" s="159">
        <f>SUMIFS(Dataset!AJ:AJ,Dataset!F:F,credito!$D$11,Dataset!AH:AH,"bono corporativo",Dataset!T:T,"$",Dataset!J:J,"&lt;"&amp;$D82,Dataset!J:J,"&gt;="&amp;$C82)</f>
        <v>0</v>
      </c>
      <c r="L82" s="159">
        <f>SUMIFS(Dataset!AJ:AJ,Dataset!F:F,credito!$D$11,Dataset!AH:AH,"bono corporativo",Dataset!T:T,"UF",Dataset!J:J,"&lt;"&amp;$D82,Dataset!J:J,"&gt;="&amp;$C82)</f>
        <v>-4.2348965700732127E-2</v>
      </c>
      <c r="M82" s="159">
        <f>SUMIFS(Dataset!AJ:AJ,Dataset!F:F,credito!$D$11,Dataset!AH:AH,"bono corporativo",Dataset!T:T,"US$",Dataset!J:J,"&lt;"&amp;$D82,Dataset!J:J,"&gt;="&amp;$C82)</f>
        <v>0</v>
      </c>
      <c r="N82" s="159">
        <f>SUMIFS(Dataset!AJ:AJ,Dataset!F:F,credito!$D$11,Dataset!J:J,"&lt;"&amp;$D82,Dataset!J:J,"&gt;="&amp;$C82,Dataset!AH:AH,"&lt;&gt;bono corporativo",Dataset!AH:AH,"&lt;&gt;bono de gobierno",Dataset!AH:AH,"&lt;&gt;deposito")</f>
        <v>0</v>
      </c>
      <c r="O82" s="160">
        <f t="shared" si="8"/>
        <v>-4.2348965700732127E-2</v>
      </c>
      <c r="P82" s="158">
        <f>SUMIFS(Dataset!AA:AA,Dataset!F:F,credito!$D$11,Dataset!AH:AH,"deposito",Dataset!T:T,"$",Dataset!J:J,"&lt;"&amp;$D82,Dataset!J:J,"&gt;="&amp;$C82)</f>
        <v>0</v>
      </c>
      <c r="Q82" s="159">
        <f>SUMIFS(Dataset!AA:AA,Dataset!F:F,credito!$D$11,Dataset!AH:AH,"deposito",Dataset!T:T,"UF",Dataset!J:J,"&lt;"&amp;$D82,Dataset!J:J,"&gt;="&amp;$C82)</f>
        <v>0</v>
      </c>
      <c r="R82" s="159">
        <f>SUMIFS(Dataset!AA:AA,Dataset!F:F,credito!$D$11,Dataset!AH:AH,"bono de gobierno",Dataset!T:T,"$",Dataset!J:J,"&lt;"&amp;$D82,Dataset!J:J,"&gt;="&amp;$C82)</f>
        <v>0</v>
      </c>
      <c r="S82" s="159">
        <f>SUMIFS(Dataset!AA:AA,Dataset!F:F,credito!$D$11,Dataset!AH:AH,"bono de gobierno",Dataset!T:T,"UF",Dataset!J:J,"&lt;"&amp;$D82,Dataset!J:J,"&gt;="&amp;$C82)</f>
        <v>0</v>
      </c>
      <c r="T82" s="159">
        <f>SUMIFS(Dataset!AA:AA,Dataset!F:F,credito!$D$11,Dataset!AH:AH,"bono de gobierno",Dataset!T:T,"EU",Dataset!J:J,"&lt;"&amp;$D82,Dataset!J:J,"&gt;="&amp;$C82)</f>
        <v>0</v>
      </c>
      <c r="U82" s="159">
        <f>SUMIFS(Dataset!AA:AA,Dataset!F:F,credito!$D$11,Dataset!AH:AH,"bono de gobierno",Dataset!T:T,"MX",Dataset!J:J,"&lt;"&amp;$D82,Dataset!J:J,"&gt;="&amp;$C82)</f>
        <v>0</v>
      </c>
      <c r="V82" s="159">
        <f>SUMIFS(Dataset!AA:AA,Dataset!F:F,credito!$D$11,Dataset!AH:AH,"bono corporativo",Dataset!T:T,"$",Dataset!J:J,"&lt;"&amp;$D82,Dataset!J:J,"&gt;="&amp;$C82)</f>
        <v>0</v>
      </c>
      <c r="W82" s="159">
        <f>SUMIFS(Dataset!AA:AA,Dataset!F:F,credito!$D$11,Dataset!AH:AH,"bono corporativo",Dataset!T:T,"UF",Dataset!J:J,"&lt;"&amp;$D82,Dataset!J:J,"&gt;="&amp;$C82)</f>
        <v>-3.4498599436838799E-2</v>
      </c>
      <c r="X82" s="159">
        <f>SUMIFS(Dataset!AA:AA,Dataset!F:F,credito!$D$11,Dataset!AH:AH,"bono corporativo",Dataset!T:T,"US$",Dataset!J:J,"&lt;"&amp;$D82,Dataset!J:J,"&gt;="&amp;$C82)</f>
        <v>0</v>
      </c>
      <c r="Y82" s="159">
        <f>SUMIFS(Dataset!AA:AA,Dataset!F:F,credito!$D$11,Dataset!J:J,"&lt;"&amp;$D82,Dataset!J:J,"&gt;="&amp;$C82,Dataset!AH:AH,"&lt;&gt;bono corporativo",Dataset!AH:AH,"&lt;&gt;bono de gobierno",Dataset!AH:AH,"&lt;&gt;deposito")</f>
        <v>0</v>
      </c>
      <c r="Z82" s="160">
        <f t="shared" si="9"/>
        <v>-3.4498599436838799E-2</v>
      </c>
      <c r="AB82" s="57">
        <v>165</v>
      </c>
      <c r="AC82" s="64">
        <v>180</v>
      </c>
      <c r="AD82" s="172">
        <f>SUMIFS(Dataset!AJ:AJ,Dataset!F:F,credito!$D$11,Dataset!AH:AH,"deposito",Dataset!T:T,"$",Dataset!J:J,"&lt;"&amp;$AC82/365,Dataset!J:J,"&gt;="&amp;$AB82/365)</f>
        <v>0</v>
      </c>
      <c r="AE82" s="172">
        <f>SUMIFS(Dataset!AJ:AJ,Dataset!F:F,credito!$D$11,Dataset!AH:AH,"deposito",Dataset!T:T,"uf",Dataset!J:J,"&lt;"&amp;$AC82/365,Dataset!J:J,"&gt;="&amp;$AB82/365)</f>
        <v>0</v>
      </c>
      <c r="AF82" s="172">
        <f>SUMIFS(Dataset!AJ:AJ,Dataset!F:F,credito!$D$11,Dataset!AH:AH,"deposito",Dataset!T:T,"us$",Dataset!J:J,"&lt;"&amp;$AC82/365,Dataset!J:J,"&gt;="&amp;$AB82/365)</f>
        <v>0</v>
      </c>
      <c r="AG82" s="172">
        <f>SUMIFS(Dataset!AJ:AJ,Dataset!F:F,credito!$D$11,Dataset!AH:AH,"factura",Dataset!J:J,"&lt;"&amp;$AC82/365,Dataset!J:J,"&gt;="&amp;$AB82/365)</f>
        <v>0</v>
      </c>
      <c r="AH82" s="173">
        <f>SUMIFS(Dataset!AJ:AJ,Dataset!F:F,credito!$D$11,Dataset!AH:AH,"letra hipotecaria",Dataset!J:J,"&lt;"&amp;$AC82/365,Dataset!J:J,"&gt;="&amp;$AB82/365)</f>
        <v>0</v>
      </c>
      <c r="AI82" s="160">
        <f t="shared" si="10"/>
        <v>0</v>
      </c>
    </row>
    <row r="83" spans="2:35" ht="33" customHeight="1" x14ac:dyDescent="0.2">
      <c r="C83" s="57">
        <v>10.5</v>
      </c>
      <c r="D83" s="61">
        <v>11.5</v>
      </c>
      <c r="E83" s="158">
        <f>SUMIFS(Dataset!AJ:AJ,Dataset!F:F,credito!$D$11,Dataset!AH:AH,"deposito",Dataset!T:T,"$",Dataset!J:J,"&lt;"&amp;$D83,Dataset!J:J,"&gt;="&amp;$C83)</f>
        <v>0</v>
      </c>
      <c r="F83" s="159">
        <f>SUMIFS(Dataset!AJ:AJ,Dataset!F:F,credito!$D$11,Dataset!AH:AH,"deposito",Dataset!T:T,"UF",Dataset!J:J,"&lt;"&amp;$D83,Dataset!J:J,"&gt;="&amp;$C83)</f>
        <v>0</v>
      </c>
      <c r="G83" s="159">
        <f>SUMIFS(Dataset!AJ:AJ,Dataset!F:F,credito!$D$11,Dataset!AH:AH,"bono de gobierno",Dataset!T:T,"$",Dataset!J:J,"&lt;"&amp;$D83,Dataset!J:J,"&gt;="&amp;$C83)</f>
        <v>0</v>
      </c>
      <c r="H83" s="159">
        <f>SUMIFS(Dataset!AJ:AJ,Dataset!F:F,credito!$D$11,Dataset!AH:AH,"bono de gobierno",Dataset!T:T,"UF",Dataset!J:J,"&lt;"&amp;$D83,Dataset!J:J,"&gt;="&amp;$C83)</f>
        <v>0</v>
      </c>
      <c r="I83" s="159">
        <f>SUMIFS(Dataset!AJ:AJ,Dataset!F:F,credito!$D$11,Dataset!AH:AH,"bono de gobierno",Dataset!T:T,"eu",Dataset!J:J,"&lt;"&amp;$D83,Dataset!J:J,"&gt;="&amp;$C83)</f>
        <v>0</v>
      </c>
      <c r="J83" s="159">
        <f>SUMIFS(Dataset!AJ:AJ,Dataset!F:F,credito!$D$11,Dataset!AH:AH,"bono de gobierno",Dataset!T:T,"mx",Dataset!J:J,"&lt;"&amp;$D83,Dataset!J:J,"&gt;="&amp;$C83)</f>
        <v>0</v>
      </c>
      <c r="K83" s="159">
        <f>SUMIFS(Dataset!AJ:AJ,Dataset!F:F,credito!$D$11,Dataset!AH:AH,"bono corporativo",Dataset!T:T,"$",Dataset!J:J,"&lt;"&amp;$D83,Dataset!J:J,"&gt;="&amp;$C83)</f>
        <v>0</v>
      </c>
      <c r="L83" s="159">
        <f>SUMIFS(Dataset!AJ:AJ,Dataset!F:F,credito!$D$11,Dataset!AH:AH,"bono corporativo",Dataset!T:T,"UF",Dataset!J:J,"&lt;"&amp;$D83,Dataset!J:J,"&gt;="&amp;$C83)</f>
        <v>3.6456999819815442E-2</v>
      </c>
      <c r="M83" s="159">
        <f>SUMIFS(Dataset!AJ:AJ,Dataset!F:F,credito!$D$11,Dataset!AH:AH,"bono corporativo",Dataset!T:T,"US$",Dataset!J:J,"&lt;"&amp;$D83,Dataset!J:J,"&gt;="&amp;$C83)</f>
        <v>0</v>
      </c>
      <c r="N83" s="159">
        <f>SUMIFS(Dataset!AJ:AJ,Dataset!F:F,credito!$D$11,Dataset!J:J,"&lt;"&amp;$D83,Dataset!J:J,"&gt;="&amp;$C83,Dataset!AH:AH,"&lt;&gt;bono corporativo",Dataset!AH:AH,"&lt;&gt;bono de gobierno",Dataset!AH:AH,"&lt;&gt;deposito")</f>
        <v>0</v>
      </c>
      <c r="O83" s="160">
        <f t="shared" si="8"/>
        <v>3.6456999819815442E-2</v>
      </c>
      <c r="P83" s="158">
        <f>SUMIFS(Dataset!AA:AA,Dataset!F:F,credito!$D$11,Dataset!AH:AH,"deposito",Dataset!T:T,"$",Dataset!J:J,"&lt;"&amp;$D83,Dataset!J:J,"&gt;="&amp;$C83)</f>
        <v>0</v>
      </c>
      <c r="Q83" s="159">
        <f>SUMIFS(Dataset!AA:AA,Dataset!F:F,credito!$D$11,Dataset!AH:AH,"deposito",Dataset!T:T,"UF",Dataset!J:J,"&lt;"&amp;$D83,Dataset!J:J,"&gt;="&amp;$C83)</f>
        <v>0</v>
      </c>
      <c r="R83" s="159">
        <f>SUMIFS(Dataset!AA:AA,Dataset!F:F,credito!$D$11,Dataset!AH:AH,"bono de gobierno",Dataset!T:T,"$",Dataset!J:J,"&lt;"&amp;$D83,Dataset!J:J,"&gt;="&amp;$C83)</f>
        <v>0</v>
      </c>
      <c r="S83" s="159">
        <f>SUMIFS(Dataset!AA:AA,Dataset!F:F,credito!$D$11,Dataset!AH:AH,"bono de gobierno",Dataset!T:T,"UF",Dataset!J:J,"&lt;"&amp;$D83,Dataset!J:J,"&gt;="&amp;$C83)</f>
        <v>0</v>
      </c>
      <c r="T83" s="159">
        <f>SUMIFS(Dataset!AA:AA,Dataset!F:F,credito!$D$11,Dataset!AH:AH,"bono de gobierno",Dataset!T:T,"EU",Dataset!J:J,"&lt;"&amp;$D83,Dataset!J:J,"&gt;="&amp;$C83)</f>
        <v>0</v>
      </c>
      <c r="U83" s="159">
        <f>SUMIFS(Dataset!AA:AA,Dataset!F:F,credito!$D$11,Dataset!AH:AH,"bono de gobierno",Dataset!T:T,"MX",Dataset!J:J,"&lt;"&amp;$D83,Dataset!J:J,"&gt;="&amp;$C83)</f>
        <v>0</v>
      </c>
      <c r="V83" s="159">
        <f>SUMIFS(Dataset!AA:AA,Dataset!F:F,credito!$D$11,Dataset!AH:AH,"bono corporativo",Dataset!T:T,"$",Dataset!J:J,"&lt;"&amp;$D83,Dataset!J:J,"&gt;="&amp;$C83)</f>
        <v>0</v>
      </c>
      <c r="W83" s="159">
        <f>SUMIFS(Dataset!AA:AA,Dataset!F:F,credito!$D$11,Dataset!AH:AH,"bono corporativo",Dataset!T:T,"UF",Dataset!J:J,"&lt;"&amp;$D83,Dataset!J:J,"&gt;="&amp;$C83)</f>
        <v>3.4650491137355653E-2</v>
      </c>
      <c r="X83" s="159">
        <f>SUMIFS(Dataset!AA:AA,Dataset!F:F,credito!$D$11,Dataset!AH:AH,"bono corporativo",Dataset!T:T,"US$",Dataset!J:J,"&lt;"&amp;$D83,Dataset!J:J,"&gt;="&amp;$C83)</f>
        <v>0</v>
      </c>
      <c r="Y83" s="159">
        <f>SUMIFS(Dataset!AA:AA,Dataset!F:F,credito!$D$11,Dataset!J:J,"&lt;"&amp;$D83,Dataset!J:J,"&gt;="&amp;$C83,Dataset!AH:AH,"&lt;&gt;bono corporativo",Dataset!AH:AH,"&lt;&gt;bono de gobierno",Dataset!AH:AH,"&lt;&gt;deposito")</f>
        <v>0</v>
      </c>
      <c r="Z83" s="160">
        <f t="shared" si="9"/>
        <v>3.4650491137355653E-2</v>
      </c>
      <c r="AB83" s="57">
        <v>180</v>
      </c>
      <c r="AC83" s="64">
        <v>195</v>
      </c>
      <c r="AD83" s="172">
        <f>SUMIFS(Dataset!AJ:AJ,Dataset!F:F,credito!$D$11,Dataset!AH:AH,"deposito",Dataset!T:T,"$",Dataset!J:J,"&lt;"&amp;$AC83/365,Dataset!J:J,"&gt;="&amp;$AB83/365)</f>
        <v>0</v>
      </c>
      <c r="AE83" s="172">
        <f>SUMIFS(Dataset!AJ:AJ,Dataset!F:F,credito!$D$11,Dataset!AH:AH,"deposito",Dataset!T:T,"uf",Dataset!J:J,"&lt;"&amp;$AC83/365,Dataset!J:J,"&gt;="&amp;$AB83/365)</f>
        <v>0</v>
      </c>
      <c r="AF83" s="172">
        <f>SUMIFS(Dataset!AJ:AJ,Dataset!F:F,credito!$D$11,Dataset!AH:AH,"deposito",Dataset!T:T,"us$",Dataset!J:J,"&lt;"&amp;$AC83/365,Dataset!J:J,"&gt;="&amp;$AB83/365)</f>
        <v>0</v>
      </c>
      <c r="AG83" s="172">
        <f>SUMIFS(Dataset!AJ:AJ,Dataset!F:F,credito!$D$11,Dataset!AH:AH,"factura",Dataset!J:J,"&lt;"&amp;$AC83/365,Dataset!J:J,"&gt;="&amp;$AB83/365)</f>
        <v>0</v>
      </c>
      <c r="AH83" s="173">
        <f>SUMIFS(Dataset!AJ:AJ,Dataset!F:F,credito!$D$11,Dataset!AH:AH,"letra hipotecaria",Dataset!J:J,"&lt;"&amp;$AC83/365,Dataset!J:J,"&gt;="&amp;$AB83/365)</f>
        <v>0</v>
      </c>
      <c r="AI83" s="160">
        <f t="shared" si="10"/>
        <v>0</v>
      </c>
    </row>
    <row r="84" spans="2:35" ht="33" customHeight="1" x14ac:dyDescent="0.2">
      <c r="C84" s="57">
        <v>11.5</v>
      </c>
      <c r="D84" s="61">
        <v>12.5</v>
      </c>
      <c r="E84" s="158">
        <f>SUMIFS(Dataset!AJ:AJ,Dataset!F:F,credito!$D$11,Dataset!AH:AH,"deposito",Dataset!T:T,"$",Dataset!J:J,"&lt;"&amp;$D84,Dataset!J:J,"&gt;="&amp;$C84)</f>
        <v>0</v>
      </c>
      <c r="F84" s="159">
        <f>SUMIFS(Dataset!AJ:AJ,Dataset!F:F,credito!$D$11,Dataset!AH:AH,"deposito",Dataset!T:T,"UF",Dataset!J:J,"&lt;"&amp;$D84,Dataset!J:J,"&gt;="&amp;$C84)</f>
        <v>0</v>
      </c>
      <c r="G84" s="159">
        <f>SUMIFS(Dataset!AJ:AJ,Dataset!F:F,credito!$D$11,Dataset!AH:AH,"bono de gobierno",Dataset!T:T,"$",Dataset!J:J,"&lt;"&amp;$D84,Dataset!J:J,"&gt;="&amp;$C84)</f>
        <v>0</v>
      </c>
      <c r="H84" s="159">
        <f>SUMIFS(Dataset!AJ:AJ,Dataset!F:F,credito!$D$11,Dataset!AH:AH,"bono de gobierno",Dataset!T:T,"UF",Dataset!J:J,"&lt;"&amp;$D84,Dataset!J:J,"&gt;="&amp;$C84)</f>
        <v>0</v>
      </c>
      <c r="I84" s="159">
        <f>SUMIFS(Dataset!AJ:AJ,Dataset!F:F,credito!$D$11,Dataset!AH:AH,"bono de gobierno",Dataset!T:T,"eu",Dataset!J:J,"&lt;"&amp;$D84,Dataset!J:J,"&gt;="&amp;$C84)</f>
        <v>0</v>
      </c>
      <c r="J84" s="159">
        <f>SUMIFS(Dataset!AJ:AJ,Dataset!F:F,credito!$D$11,Dataset!AH:AH,"bono de gobierno",Dataset!T:T,"mx",Dataset!J:J,"&lt;"&amp;$D84,Dataset!J:J,"&gt;="&amp;$C84)</f>
        <v>0</v>
      </c>
      <c r="K84" s="159">
        <f>SUMIFS(Dataset!AJ:AJ,Dataset!F:F,credito!$D$11,Dataset!AH:AH,"bono corporativo",Dataset!T:T,"$",Dataset!J:J,"&lt;"&amp;$D84,Dataset!J:J,"&gt;="&amp;$C84)</f>
        <v>0</v>
      </c>
      <c r="L84" s="159">
        <f>SUMIFS(Dataset!AJ:AJ,Dataset!F:F,credito!$D$11,Dataset!AH:AH,"bono corporativo",Dataset!T:T,"UF",Dataset!J:J,"&lt;"&amp;$D84,Dataset!J:J,"&gt;="&amp;$C84)</f>
        <v>1.1987062377570527E-2</v>
      </c>
      <c r="M84" s="159">
        <f>SUMIFS(Dataset!AJ:AJ,Dataset!F:F,credito!$D$11,Dataset!AH:AH,"bono corporativo",Dataset!T:T,"US$",Dataset!J:J,"&lt;"&amp;$D84,Dataset!J:J,"&gt;="&amp;$C84)</f>
        <v>0</v>
      </c>
      <c r="N84" s="159">
        <f>SUMIFS(Dataset!AJ:AJ,Dataset!F:F,credito!$D$11,Dataset!J:J,"&lt;"&amp;$D84,Dataset!J:J,"&gt;="&amp;$C84,Dataset!AH:AH,"&lt;&gt;bono corporativo",Dataset!AH:AH,"&lt;&gt;bono de gobierno",Dataset!AH:AH,"&lt;&gt;deposito")</f>
        <v>0</v>
      </c>
      <c r="O84" s="160">
        <f t="shared" si="8"/>
        <v>1.1987062377570527E-2</v>
      </c>
      <c r="P84" s="158">
        <f>SUMIFS(Dataset!AA:AA,Dataset!F:F,credito!$D$11,Dataset!AH:AH,"deposito",Dataset!T:T,"$",Dataset!J:J,"&lt;"&amp;$D84,Dataset!J:J,"&gt;="&amp;$C84)</f>
        <v>0</v>
      </c>
      <c r="Q84" s="159">
        <f>SUMIFS(Dataset!AA:AA,Dataset!F:F,credito!$D$11,Dataset!AH:AH,"deposito",Dataset!T:T,"UF",Dataset!J:J,"&lt;"&amp;$D84,Dataset!J:J,"&gt;="&amp;$C84)</f>
        <v>0</v>
      </c>
      <c r="R84" s="159">
        <f>SUMIFS(Dataset!AA:AA,Dataset!F:F,credito!$D$11,Dataset!AH:AH,"bono de gobierno",Dataset!T:T,"$",Dataset!J:J,"&lt;"&amp;$D84,Dataset!J:J,"&gt;="&amp;$C84)</f>
        <v>0</v>
      </c>
      <c r="S84" s="159">
        <f>SUMIFS(Dataset!AA:AA,Dataset!F:F,credito!$D$11,Dataset!AH:AH,"bono de gobierno",Dataset!T:T,"UF",Dataset!J:J,"&lt;"&amp;$D84,Dataset!J:J,"&gt;="&amp;$C84)</f>
        <v>0</v>
      </c>
      <c r="T84" s="159">
        <f>SUMIFS(Dataset!AA:AA,Dataset!F:F,credito!$D$11,Dataset!AH:AH,"bono de gobierno",Dataset!T:T,"EU",Dataset!J:J,"&lt;"&amp;$D84,Dataset!J:J,"&gt;="&amp;$C84)</f>
        <v>0</v>
      </c>
      <c r="U84" s="159">
        <f>SUMIFS(Dataset!AA:AA,Dataset!F:F,credito!$D$11,Dataset!AH:AH,"bono de gobierno",Dataset!T:T,"MX",Dataset!J:J,"&lt;"&amp;$D84,Dataset!J:J,"&gt;="&amp;$C84)</f>
        <v>0</v>
      </c>
      <c r="V84" s="159">
        <f>SUMIFS(Dataset!AA:AA,Dataset!F:F,credito!$D$11,Dataset!AH:AH,"bono corporativo",Dataset!T:T,"$",Dataset!J:J,"&lt;"&amp;$D84,Dataset!J:J,"&gt;="&amp;$C84)</f>
        <v>0</v>
      </c>
      <c r="W84" s="159">
        <f>SUMIFS(Dataset!AA:AA,Dataset!F:F,credito!$D$11,Dataset!AH:AH,"bono corporativo",Dataset!T:T,"UF",Dataset!J:J,"&lt;"&amp;$D84,Dataset!J:J,"&gt;="&amp;$C84)</f>
        <v>1.486581939412198E-2</v>
      </c>
      <c r="X84" s="159">
        <f>SUMIFS(Dataset!AA:AA,Dataset!F:F,credito!$D$11,Dataset!AH:AH,"bono corporativo",Dataset!T:T,"US$",Dataset!J:J,"&lt;"&amp;$D84,Dataset!J:J,"&gt;="&amp;$C84)</f>
        <v>0</v>
      </c>
      <c r="Y84" s="159">
        <f>SUMIFS(Dataset!AA:AA,Dataset!F:F,credito!$D$11,Dataset!J:J,"&lt;"&amp;$D84,Dataset!J:J,"&gt;="&amp;$C84,Dataset!AH:AH,"&lt;&gt;bono corporativo",Dataset!AH:AH,"&lt;&gt;bono de gobierno",Dataset!AH:AH,"&lt;&gt;deposito")</f>
        <v>0</v>
      </c>
      <c r="Z84" s="160">
        <f t="shared" si="9"/>
        <v>1.486581939412198E-2</v>
      </c>
      <c r="AB84" s="57">
        <v>195</v>
      </c>
      <c r="AC84" s="64">
        <v>210</v>
      </c>
      <c r="AD84" s="172">
        <f>SUMIFS(Dataset!AJ:AJ,Dataset!F:F,credito!$D$11,Dataset!AH:AH,"deposito",Dataset!T:T,"$",Dataset!J:J,"&lt;"&amp;$AC84/365,Dataset!J:J,"&gt;="&amp;$AB84/365)</f>
        <v>0</v>
      </c>
      <c r="AE84" s="172">
        <f>SUMIFS(Dataset!AJ:AJ,Dataset!F:F,credito!$D$11,Dataset!AH:AH,"deposito",Dataset!T:T,"uf",Dataset!J:J,"&lt;"&amp;$AC84/365,Dataset!J:J,"&gt;="&amp;$AB84/365)</f>
        <v>0</v>
      </c>
      <c r="AF84" s="172">
        <f>SUMIFS(Dataset!AJ:AJ,Dataset!F:F,credito!$D$11,Dataset!AH:AH,"deposito",Dataset!T:T,"us$",Dataset!J:J,"&lt;"&amp;$AC84/365,Dataset!J:J,"&gt;="&amp;$AB84/365)</f>
        <v>0</v>
      </c>
      <c r="AG84" s="172">
        <f>SUMIFS(Dataset!AJ:AJ,Dataset!F:F,credito!$D$11,Dataset!AH:AH,"factura",Dataset!J:J,"&lt;"&amp;$AC84/365,Dataset!J:J,"&gt;="&amp;$AB84/365)</f>
        <v>0</v>
      </c>
      <c r="AH84" s="173">
        <f>SUMIFS(Dataset!AJ:AJ,Dataset!F:F,credito!$D$11,Dataset!AH:AH,"letra hipotecaria",Dataset!J:J,"&lt;"&amp;$AC84/365,Dataset!J:J,"&gt;="&amp;$AB84/365)</f>
        <v>0</v>
      </c>
      <c r="AI84" s="160">
        <f t="shared" si="10"/>
        <v>0</v>
      </c>
    </row>
    <row r="85" spans="2:35" ht="33" customHeight="1" x14ac:dyDescent="0.2">
      <c r="C85" s="57">
        <v>12.5</v>
      </c>
      <c r="D85" s="61">
        <v>13.5</v>
      </c>
      <c r="E85" s="158">
        <f>SUMIFS(Dataset!AJ:AJ,Dataset!F:F,credito!$D$11,Dataset!AH:AH,"deposito",Dataset!T:T,"$",Dataset!J:J,"&lt;"&amp;$D85,Dataset!J:J,"&gt;="&amp;$C85)</f>
        <v>0</v>
      </c>
      <c r="F85" s="159">
        <f>SUMIFS(Dataset!AJ:AJ,Dataset!F:F,credito!$D$11,Dataset!AH:AH,"deposito",Dataset!T:T,"UF",Dataset!J:J,"&lt;"&amp;$D85,Dataset!J:J,"&gt;="&amp;$C85)</f>
        <v>0</v>
      </c>
      <c r="G85" s="159">
        <f>SUMIFS(Dataset!AJ:AJ,Dataset!F:F,credito!$D$11,Dataset!AH:AH,"bono de gobierno",Dataset!T:T,"$",Dataset!J:J,"&lt;"&amp;$D85,Dataset!J:J,"&gt;="&amp;$C85)</f>
        <v>0</v>
      </c>
      <c r="H85" s="159">
        <f>SUMIFS(Dataset!AJ:AJ,Dataset!F:F,credito!$D$11,Dataset!AH:AH,"bono de gobierno",Dataset!T:T,"UF",Dataset!J:J,"&lt;"&amp;$D85,Dataset!J:J,"&gt;="&amp;$C85)</f>
        <v>0</v>
      </c>
      <c r="I85" s="159">
        <f>SUMIFS(Dataset!AJ:AJ,Dataset!F:F,credito!$D$11,Dataset!AH:AH,"bono de gobierno",Dataset!T:T,"eu",Dataset!J:J,"&lt;"&amp;$D85,Dataset!J:J,"&gt;="&amp;$C85)</f>
        <v>0</v>
      </c>
      <c r="J85" s="159">
        <f>SUMIFS(Dataset!AJ:AJ,Dataset!F:F,credito!$D$11,Dataset!AH:AH,"bono de gobierno",Dataset!T:T,"mx",Dataset!J:J,"&lt;"&amp;$D85,Dataset!J:J,"&gt;="&amp;$C85)</f>
        <v>0</v>
      </c>
      <c r="K85" s="159">
        <f>SUMIFS(Dataset!AJ:AJ,Dataset!F:F,credito!$D$11,Dataset!AH:AH,"bono corporativo",Dataset!T:T,"$",Dataset!J:J,"&lt;"&amp;$D85,Dataset!J:J,"&gt;="&amp;$C85)</f>
        <v>0</v>
      </c>
      <c r="L85" s="159">
        <f>SUMIFS(Dataset!AJ:AJ,Dataset!F:F,credito!$D$11,Dataset!AH:AH,"bono corporativo",Dataset!T:T,"UF",Dataset!J:J,"&lt;"&amp;$D85,Dataset!J:J,"&gt;="&amp;$C85)</f>
        <v>-1.3217402823096018E-2</v>
      </c>
      <c r="M85" s="159">
        <f>SUMIFS(Dataset!AJ:AJ,Dataset!F:F,credito!$D$11,Dataset!AH:AH,"bono corporativo",Dataset!T:T,"US$",Dataset!J:J,"&lt;"&amp;$D85,Dataset!J:J,"&gt;="&amp;$C85)</f>
        <v>0</v>
      </c>
      <c r="N85" s="159">
        <f>SUMIFS(Dataset!AJ:AJ,Dataset!F:F,credito!$D$11,Dataset!J:J,"&lt;"&amp;$D85,Dataset!J:J,"&gt;="&amp;$C85,Dataset!AH:AH,"&lt;&gt;bono corporativo",Dataset!AH:AH,"&lt;&gt;bono de gobierno",Dataset!AH:AH,"&lt;&gt;deposito")</f>
        <v>0</v>
      </c>
      <c r="O85" s="160">
        <f t="shared" si="8"/>
        <v>-1.3217402823096018E-2</v>
      </c>
      <c r="P85" s="158">
        <f>SUMIFS(Dataset!AA:AA,Dataset!F:F,credito!$D$11,Dataset!AH:AH,"deposito",Dataset!T:T,"$",Dataset!J:J,"&lt;"&amp;$D85,Dataset!J:J,"&gt;="&amp;$C85)</f>
        <v>0</v>
      </c>
      <c r="Q85" s="159">
        <f>SUMIFS(Dataset!AA:AA,Dataset!F:F,credito!$D$11,Dataset!AH:AH,"deposito",Dataset!T:T,"UF",Dataset!J:J,"&lt;"&amp;$D85,Dataset!J:J,"&gt;="&amp;$C85)</f>
        <v>0</v>
      </c>
      <c r="R85" s="159">
        <f>SUMIFS(Dataset!AA:AA,Dataset!F:F,credito!$D$11,Dataset!AH:AH,"bono de gobierno",Dataset!T:T,"$",Dataset!J:J,"&lt;"&amp;$D85,Dataset!J:J,"&gt;="&amp;$C85)</f>
        <v>0</v>
      </c>
      <c r="S85" s="159">
        <f>SUMIFS(Dataset!AA:AA,Dataset!F:F,credito!$D$11,Dataset!AH:AH,"bono de gobierno",Dataset!T:T,"UF",Dataset!J:J,"&lt;"&amp;$D85,Dataset!J:J,"&gt;="&amp;$C85)</f>
        <v>0</v>
      </c>
      <c r="T85" s="159">
        <f>SUMIFS(Dataset!AA:AA,Dataset!F:F,credito!$D$11,Dataset!AH:AH,"bono de gobierno",Dataset!T:T,"EU",Dataset!J:J,"&lt;"&amp;$D85,Dataset!J:J,"&gt;="&amp;$C85)</f>
        <v>0</v>
      </c>
      <c r="U85" s="159">
        <f>SUMIFS(Dataset!AA:AA,Dataset!F:F,credito!$D$11,Dataset!AH:AH,"bono de gobierno",Dataset!T:T,"MX",Dataset!J:J,"&lt;"&amp;$D85,Dataset!J:J,"&gt;="&amp;$C85)</f>
        <v>0</v>
      </c>
      <c r="V85" s="159">
        <f>SUMIFS(Dataset!AA:AA,Dataset!F:F,credito!$D$11,Dataset!AH:AH,"bono corporativo",Dataset!T:T,"$",Dataset!J:J,"&lt;"&amp;$D85,Dataset!J:J,"&gt;="&amp;$C85)</f>
        <v>0</v>
      </c>
      <c r="W85" s="159">
        <f>SUMIFS(Dataset!AA:AA,Dataset!F:F,credito!$D$11,Dataset!AH:AH,"bono corporativo",Dataset!T:T,"UF",Dataset!J:J,"&lt;"&amp;$D85,Dataset!J:J,"&gt;="&amp;$C85)</f>
        <v>-8.3806731562007034E-3</v>
      </c>
      <c r="X85" s="159">
        <f>SUMIFS(Dataset!AA:AA,Dataset!F:F,credito!$D$11,Dataset!AH:AH,"bono corporativo",Dataset!T:T,"US$",Dataset!J:J,"&lt;"&amp;$D85,Dataset!J:J,"&gt;="&amp;$C85)</f>
        <v>0</v>
      </c>
      <c r="Y85" s="159">
        <f>SUMIFS(Dataset!AA:AA,Dataset!F:F,credito!$D$11,Dataset!J:J,"&lt;"&amp;$D85,Dataset!J:J,"&gt;="&amp;$C85,Dataset!AH:AH,"&lt;&gt;bono corporativo",Dataset!AH:AH,"&lt;&gt;bono de gobierno",Dataset!AH:AH,"&lt;&gt;deposito")</f>
        <v>0</v>
      </c>
      <c r="Z85" s="160">
        <f t="shared" si="9"/>
        <v>-8.3806731562007034E-3</v>
      </c>
      <c r="AB85" s="57">
        <v>210</v>
      </c>
      <c r="AC85" s="64">
        <v>225</v>
      </c>
      <c r="AD85" s="172">
        <f>SUMIFS(Dataset!AJ:AJ,Dataset!F:F,credito!$D$11,Dataset!AH:AH,"deposito",Dataset!T:T,"$",Dataset!J:J,"&lt;"&amp;$AC85/365,Dataset!J:J,"&gt;="&amp;$AB85/365)</f>
        <v>0</v>
      </c>
      <c r="AE85" s="172">
        <f>SUMIFS(Dataset!AJ:AJ,Dataset!F:F,credito!$D$11,Dataset!AH:AH,"deposito",Dataset!T:T,"uf",Dataset!J:J,"&lt;"&amp;$AC85/365,Dataset!J:J,"&gt;="&amp;$AB85/365)</f>
        <v>0</v>
      </c>
      <c r="AF85" s="172">
        <f>SUMIFS(Dataset!AJ:AJ,Dataset!F:F,credito!$D$11,Dataset!AH:AH,"deposito",Dataset!T:T,"us$",Dataset!J:J,"&lt;"&amp;$AC85/365,Dataset!J:J,"&gt;="&amp;$AB85/365)</f>
        <v>0</v>
      </c>
      <c r="AG85" s="172">
        <f>SUMIFS(Dataset!AJ:AJ,Dataset!F:F,credito!$D$11,Dataset!AH:AH,"factura",Dataset!J:J,"&lt;"&amp;$AC85/365,Dataset!J:J,"&gt;="&amp;$AB85/365)</f>
        <v>0</v>
      </c>
      <c r="AH85" s="173">
        <f>SUMIFS(Dataset!AJ:AJ,Dataset!F:F,credito!$D$11,Dataset!AH:AH,"letra hipotecaria",Dataset!J:J,"&lt;"&amp;$AC85/365,Dataset!J:J,"&gt;="&amp;$AB85/365)</f>
        <v>0</v>
      </c>
      <c r="AI85" s="160">
        <f t="shared" si="10"/>
        <v>0</v>
      </c>
    </row>
    <row r="86" spans="2:35" ht="33" customHeight="1" x14ac:dyDescent="0.2">
      <c r="C86" s="57">
        <v>13.5</v>
      </c>
      <c r="D86" s="61">
        <v>14.5</v>
      </c>
      <c r="E86" s="158">
        <f>SUMIFS(Dataset!AJ:AJ,Dataset!F:F,credito!$D$11,Dataset!AH:AH,"deposito",Dataset!T:T,"$",Dataset!J:J,"&lt;"&amp;$D86,Dataset!J:J,"&gt;="&amp;$C86)</f>
        <v>0</v>
      </c>
      <c r="F86" s="159">
        <f>SUMIFS(Dataset!AJ:AJ,Dataset!F:F,credito!$D$11,Dataset!AH:AH,"deposito",Dataset!T:T,"UF",Dataset!J:J,"&lt;"&amp;$D86,Dataset!J:J,"&gt;="&amp;$C86)</f>
        <v>0</v>
      </c>
      <c r="G86" s="159">
        <f>SUMIFS(Dataset!AJ:AJ,Dataset!F:F,credito!$D$11,Dataset!AH:AH,"bono de gobierno",Dataset!T:T,"$",Dataset!J:J,"&lt;"&amp;$D86,Dataset!J:J,"&gt;="&amp;$C86)</f>
        <v>0</v>
      </c>
      <c r="H86" s="159">
        <f>SUMIFS(Dataset!AJ:AJ,Dataset!F:F,credito!$D$11,Dataset!AH:AH,"bono de gobierno",Dataset!T:T,"UF",Dataset!J:J,"&lt;"&amp;$D86,Dataset!J:J,"&gt;="&amp;$C86)</f>
        <v>0</v>
      </c>
      <c r="I86" s="159">
        <f>SUMIFS(Dataset!AJ:AJ,Dataset!F:F,credito!$D$11,Dataset!AH:AH,"bono de gobierno",Dataset!T:T,"eu",Dataset!J:J,"&lt;"&amp;$D86,Dataset!J:J,"&gt;="&amp;$C86)</f>
        <v>0</v>
      </c>
      <c r="J86" s="159">
        <f>SUMIFS(Dataset!AJ:AJ,Dataset!F:F,credito!$D$11,Dataset!AH:AH,"bono de gobierno",Dataset!T:T,"mx",Dataset!J:J,"&lt;"&amp;$D86,Dataset!J:J,"&gt;="&amp;$C86)</f>
        <v>0</v>
      </c>
      <c r="K86" s="159">
        <f>SUMIFS(Dataset!AJ:AJ,Dataset!F:F,credito!$D$11,Dataset!AH:AH,"bono corporativo",Dataset!T:T,"$",Dataset!J:J,"&lt;"&amp;$D86,Dataset!J:J,"&gt;="&amp;$C86)</f>
        <v>0</v>
      </c>
      <c r="L86" s="159">
        <f>SUMIFS(Dataset!AJ:AJ,Dataset!F:F,credito!$D$11,Dataset!AH:AH,"bono corporativo",Dataset!T:T,"UF",Dataset!J:J,"&lt;"&amp;$D86,Dataset!J:J,"&gt;="&amp;$C86)</f>
        <v>-3.4669614814431565E-2</v>
      </c>
      <c r="M86" s="159">
        <f>SUMIFS(Dataset!AJ:AJ,Dataset!F:F,credito!$D$11,Dataset!AH:AH,"bono corporativo",Dataset!T:T,"US$",Dataset!J:J,"&lt;"&amp;$D86,Dataset!J:J,"&gt;="&amp;$C86)</f>
        <v>0</v>
      </c>
      <c r="N86" s="159">
        <f>SUMIFS(Dataset!AJ:AJ,Dataset!F:F,credito!$D$11,Dataset!J:J,"&lt;"&amp;$D86,Dataset!J:J,"&gt;="&amp;$C86,Dataset!AH:AH,"&lt;&gt;bono corporativo",Dataset!AH:AH,"&lt;&gt;bono de gobierno",Dataset!AH:AH,"&lt;&gt;deposito")</f>
        <v>0</v>
      </c>
      <c r="O86" s="160">
        <f t="shared" si="8"/>
        <v>-3.4669614814431565E-2</v>
      </c>
      <c r="P86" s="158">
        <f>SUMIFS(Dataset!AA:AA,Dataset!F:F,credito!$D$11,Dataset!AH:AH,"deposito",Dataset!T:T,"$",Dataset!J:J,"&lt;"&amp;$D86,Dataset!J:J,"&gt;="&amp;$C86)</f>
        <v>0</v>
      </c>
      <c r="Q86" s="159">
        <f>SUMIFS(Dataset!AA:AA,Dataset!F:F,credito!$D$11,Dataset!AH:AH,"deposito",Dataset!T:T,"UF",Dataset!J:J,"&lt;"&amp;$D86,Dataset!J:J,"&gt;="&amp;$C86)</f>
        <v>0</v>
      </c>
      <c r="R86" s="159">
        <f>SUMIFS(Dataset!AA:AA,Dataset!F:F,credito!$D$11,Dataset!AH:AH,"bono de gobierno",Dataset!T:T,"$",Dataset!J:J,"&lt;"&amp;$D86,Dataset!J:J,"&gt;="&amp;$C86)</f>
        <v>0</v>
      </c>
      <c r="S86" s="159">
        <f>SUMIFS(Dataset!AA:AA,Dataset!F:F,credito!$D$11,Dataset!AH:AH,"bono de gobierno",Dataset!T:T,"UF",Dataset!J:J,"&lt;"&amp;$D86,Dataset!J:J,"&gt;="&amp;$C86)</f>
        <v>0</v>
      </c>
      <c r="T86" s="159">
        <f>SUMIFS(Dataset!AA:AA,Dataset!F:F,credito!$D$11,Dataset!AH:AH,"bono de gobierno",Dataset!T:T,"EU",Dataset!J:J,"&lt;"&amp;$D86,Dataset!J:J,"&gt;="&amp;$C86)</f>
        <v>0</v>
      </c>
      <c r="U86" s="159">
        <f>SUMIFS(Dataset!AA:AA,Dataset!F:F,credito!$D$11,Dataset!AH:AH,"bono de gobierno",Dataset!T:T,"MX",Dataset!J:J,"&lt;"&amp;$D86,Dataset!J:J,"&gt;="&amp;$C86)</f>
        <v>0</v>
      </c>
      <c r="V86" s="159">
        <f>SUMIFS(Dataset!AA:AA,Dataset!F:F,credito!$D$11,Dataset!AH:AH,"bono corporativo",Dataset!T:T,"$",Dataset!J:J,"&lt;"&amp;$D86,Dataset!J:J,"&gt;="&amp;$C86)</f>
        <v>0</v>
      </c>
      <c r="W86" s="159">
        <f>SUMIFS(Dataset!AA:AA,Dataset!F:F,credito!$D$11,Dataset!AH:AH,"bono corporativo",Dataset!T:T,"UF",Dataset!J:J,"&lt;"&amp;$D86,Dataset!J:J,"&gt;="&amp;$C86)</f>
        <v>-2.8671301554247224E-2</v>
      </c>
      <c r="X86" s="159">
        <f>SUMIFS(Dataset!AA:AA,Dataset!F:F,credito!$D$11,Dataset!AH:AH,"bono corporativo",Dataset!T:T,"US$",Dataset!J:J,"&lt;"&amp;$D86,Dataset!J:J,"&gt;="&amp;$C86)</f>
        <v>0</v>
      </c>
      <c r="Y86" s="159">
        <f>SUMIFS(Dataset!AA:AA,Dataset!F:F,credito!$D$11,Dataset!J:J,"&lt;"&amp;$D86,Dataset!J:J,"&gt;="&amp;$C86,Dataset!AH:AH,"&lt;&gt;bono corporativo",Dataset!AH:AH,"&lt;&gt;bono de gobierno",Dataset!AH:AH,"&lt;&gt;deposito")</f>
        <v>0</v>
      </c>
      <c r="Z86" s="160">
        <f t="shared" si="9"/>
        <v>-2.8671301554247224E-2</v>
      </c>
      <c r="AB86" s="57">
        <v>225</v>
      </c>
      <c r="AC86" s="64">
        <v>240</v>
      </c>
      <c r="AD86" s="172">
        <f>SUMIFS(Dataset!AJ:AJ,Dataset!F:F,credito!$D$11,Dataset!AH:AH,"deposito",Dataset!T:T,"$",Dataset!J:J,"&lt;"&amp;$AC86/365,Dataset!J:J,"&gt;="&amp;$AB86/365)</f>
        <v>0</v>
      </c>
      <c r="AE86" s="172">
        <f>SUMIFS(Dataset!AJ:AJ,Dataset!F:F,credito!$D$11,Dataset!AH:AH,"deposito",Dataset!T:T,"uf",Dataset!J:J,"&lt;"&amp;$AC86/365,Dataset!J:J,"&gt;="&amp;$AB86/365)</f>
        <v>0</v>
      </c>
      <c r="AF86" s="172">
        <f>SUMIFS(Dataset!AJ:AJ,Dataset!F:F,credito!$D$11,Dataset!AH:AH,"deposito",Dataset!T:T,"us$",Dataset!J:J,"&lt;"&amp;$AC86/365,Dataset!J:J,"&gt;="&amp;$AB86/365)</f>
        <v>0</v>
      </c>
      <c r="AG86" s="172">
        <f>SUMIFS(Dataset!AJ:AJ,Dataset!F:F,credito!$D$11,Dataset!AH:AH,"factura",Dataset!J:J,"&lt;"&amp;$AC86/365,Dataset!J:J,"&gt;="&amp;$AB86/365)</f>
        <v>0</v>
      </c>
      <c r="AH86" s="173">
        <f>SUMIFS(Dataset!AJ:AJ,Dataset!F:F,credito!$D$11,Dataset!AH:AH,"letra hipotecaria",Dataset!J:J,"&lt;"&amp;$AC86/365,Dataset!J:J,"&gt;="&amp;$AB86/365)</f>
        <v>0</v>
      </c>
      <c r="AI86" s="160">
        <f t="shared" si="10"/>
        <v>0</v>
      </c>
    </row>
    <row r="87" spans="2:35" ht="27" customHeight="1" x14ac:dyDescent="0.2">
      <c r="C87" s="57">
        <v>14.5</v>
      </c>
      <c r="D87" s="61">
        <v>100</v>
      </c>
      <c r="E87" s="164">
        <f>SUMIFS(Dataset!AJ:AJ,Dataset!F:F,credito!$D$11,Dataset!AH:AH,"deposito",Dataset!T:T,"$",Dataset!J:J,"&lt;"&amp;$D87,Dataset!J:J,"&gt;="&amp;$C87)</f>
        <v>0</v>
      </c>
      <c r="F87" s="165">
        <f>SUMIFS(Dataset!AJ:AJ,Dataset!F:F,credito!$D$11,Dataset!AH:AH,"deposito",Dataset!T:T,"UF",Dataset!J:J,"&lt;"&amp;$D87,Dataset!J:J,"&gt;="&amp;$C87)</f>
        <v>0</v>
      </c>
      <c r="G87" s="165">
        <f>SUMIFS(Dataset!AJ:AJ,Dataset!F:F,credito!$D$11,Dataset!AH:AH,"bono de gobierno",Dataset!T:T,"$",Dataset!J:J,"&lt;"&amp;$D87,Dataset!J:J,"&gt;="&amp;$C87)</f>
        <v>0</v>
      </c>
      <c r="H87" s="165">
        <f>SUMIFS(Dataset!AJ:AJ,Dataset!F:F,credito!$D$11,Dataset!AH:AH,"bono de gobierno",Dataset!T:T,"UF",Dataset!J:J,"&lt;"&amp;$D87,Dataset!J:J,"&gt;="&amp;$C87)</f>
        <v>0</v>
      </c>
      <c r="I87" s="165">
        <f>SUMIFS(Dataset!AJ:AJ,Dataset!F:F,credito!$D$11,Dataset!AH:AH,"bono de gobierno",Dataset!T:T,"eu",Dataset!J:J,"&lt;"&amp;$D87,Dataset!J:J,"&gt;="&amp;$C87)</f>
        <v>0</v>
      </c>
      <c r="J87" s="165">
        <f>SUMIFS(Dataset!AJ:AJ,Dataset!F:F,credito!$D$11,Dataset!AH:AH,"bono de gobierno",Dataset!T:T,"mx",Dataset!J:J,"&lt;"&amp;$D87,Dataset!J:J,"&gt;="&amp;$C87)</f>
        <v>0</v>
      </c>
      <c r="K87" s="165">
        <f>SUMIFS(Dataset!AJ:AJ,Dataset!F:F,credito!$D$11,Dataset!AH:AH,"bono corporativo",Dataset!T:T,"$",Dataset!J:J,"&lt;"&amp;$D87,Dataset!J:J,"&gt;="&amp;$C87)</f>
        <v>0</v>
      </c>
      <c r="L87" s="165">
        <f>SUMIFS(Dataset!AJ:AJ,Dataset!F:F,credito!$D$11,Dataset!AH:AH,"bono corporativo",Dataset!T:T,"UF",Dataset!J:J,"&lt;"&amp;$D87,Dataset!J:J,"&gt;="&amp;$C87)</f>
        <v>-1.1556178652738971E-3</v>
      </c>
      <c r="M87" s="165">
        <f>SUMIFS(Dataset!AJ:AJ,Dataset!F:F,credito!$D$11,Dataset!AH:AH,"bono corporativo",Dataset!T:T,"US$",Dataset!J:J,"&lt;"&amp;$D87,Dataset!J:J,"&gt;="&amp;$C87)</f>
        <v>0</v>
      </c>
      <c r="N87" s="165">
        <f>SUMIFS(Dataset!AJ:AJ,Dataset!F:F,credito!$D$11,Dataset!J:J,"&lt;"&amp;$D87,Dataset!J:J,"&gt;="&amp;$C87,Dataset!AH:AH,"&lt;&gt;bono corporativo",Dataset!AH:AH,"&lt;&gt;bono de gobierno",Dataset!AH:AH,"&lt;&gt;deposito")</f>
        <v>0</v>
      </c>
      <c r="O87" s="166">
        <f t="shared" si="8"/>
        <v>-1.1556178652738971E-3</v>
      </c>
      <c r="P87" s="164">
        <f>SUMIFS(Dataset!AA:AA,Dataset!F:F,credito!$D$11,Dataset!AH:AH,"deposito",Dataset!T:T,"$",Dataset!J:J,"&lt;"&amp;$D87,Dataset!J:J,"&gt;="&amp;$C87)</f>
        <v>0</v>
      </c>
      <c r="Q87" s="165">
        <f>SUMIFS(Dataset!AA:AA,Dataset!F:F,credito!$D$11,Dataset!AH:AH,"deposito",Dataset!T:T,"UF",Dataset!J:J,"&lt;"&amp;$D87,Dataset!J:J,"&gt;="&amp;$C87)</f>
        <v>0</v>
      </c>
      <c r="R87" s="165">
        <f>SUMIFS(Dataset!AA:AA,Dataset!F:F,credito!$D$11,Dataset!AH:AH,"bono de gobierno",Dataset!T:T,"$",Dataset!J:J,"&lt;"&amp;$D87,Dataset!J:J,"&gt;="&amp;$C87)</f>
        <v>0</v>
      </c>
      <c r="S87" s="165">
        <f>SUMIFS(Dataset!AA:AA,Dataset!F:F,credito!$D$11,Dataset!AH:AH,"bono de gobierno",Dataset!T:T,"UF",Dataset!J:J,"&lt;"&amp;$D87,Dataset!J:J,"&gt;="&amp;$C87)</f>
        <v>0</v>
      </c>
      <c r="T87" s="165">
        <f>SUMIFS(Dataset!AA:AA,Dataset!F:F,credito!$D$11,Dataset!AH:AH,"bono de gobierno",Dataset!T:T,"EU",Dataset!J:J,"&lt;"&amp;$D87,Dataset!J:J,"&gt;="&amp;$C87)</f>
        <v>0</v>
      </c>
      <c r="U87" s="165">
        <f>SUMIFS(Dataset!AA:AA,Dataset!F:F,credito!$D$11,Dataset!AH:AH,"bono de gobierno",Dataset!T:T,"MX",Dataset!J:J,"&lt;"&amp;$D87,Dataset!J:J,"&gt;="&amp;$C87)</f>
        <v>0</v>
      </c>
      <c r="V87" s="165">
        <f>SUMIFS(Dataset!AA:AA,Dataset!F:F,credito!$D$11,Dataset!AH:AH,"bono corporativo",Dataset!T:T,"$",Dataset!J:J,"&lt;"&amp;$D87,Dataset!J:J,"&gt;="&amp;$C87)</f>
        <v>0</v>
      </c>
      <c r="W87" s="165">
        <f>SUMIFS(Dataset!AA:AA,Dataset!F:F,credito!$D$11,Dataset!AH:AH,"bono corporativo",Dataset!T:T,"UF",Dataset!J:J,"&lt;"&amp;$D87,Dataset!J:J,"&gt;="&amp;$C87)</f>
        <v>-9.9249004363603094E-4</v>
      </c>
      <c r="X87" s="165">
        <f>SUMIFS(Dataset!AA:AA,Dataset!F:F,credito!$D$11,Dataset!AH:AH,"bono corporativo",Dataset!T:T,"US$",Dataset!J:J,"&lt;"&amp;$D87,Dataset!J:J,"&gt;="&amp;$C87)</f>
        <v>0</v>
      </c>
      <c r="Y87" s="165">
        <f>SUMIFS(Dataset!AA:AA,Dataset!F:F,credito!$D$11,Dataset!J:J,"&lt;"&amp;$D87,Dataset!J:J,"&gt;="&amp;$C87,Dataset!AH:AH,"&lt;&gt;bono corporativo",Dataset!AH:AH,"&lt;&gt;bono de gobierno",Dataset!AH:AH,"&lt;&gt;deposito")</f>
        <v>0</v>
      </c>
      <c r="Z87" s="166">
        <f t="shared" si="9"/>
        <v>-9.9249004363603094E-4</v>
      </c>
      <c r="AB87" s="57">
        <v>240</v>
      </c>
      <c r="AC87" s="64">
        <v>255</v>
      </c>
      <c r="AD87" s="172">
        <f>SUMIFS(Dataset!AJ:AJ,Dataset!F:F,credito!$D$11,Dataset!AH:AH,"deposito",Dataset!T:T,"$",Dataset!J:J,"&lt;"&amp;$AC87/365,Dataset!J:J,"&gt;="&amp;$AB87/365)</f>
        <v>0</v>
      </c>
      <c r="AE87" s="172">
        <f>SUMIFS(Dataset!AJ:AJ,Dataset!F:F,credito!$D$11,Dataset!AH:AH,"deposito",Dataset!T:T,"uf",Dataset!J:J,"&lt;"&amp;$AC87/365,Dataset!J:J,"&gt;="&amp;$AB87/365)</f>
        <v>0</v>
      </c>
      <c r="AF87" s="172">
        <f>SUMIFS(Dataset!AJ:AJ,Dataset!F:F,credito!$D$11,Dataset!AH:AH,"deposito",Dataset!T:T,"us$",Dataset!J:J,"&lt;"&amp;$AC87/365,Dataset!J:J,"&gt;="&amp;$AB87/365)</f>
        <v>0</v>
      </c>
      <c r="AG87" s="172">
        <f>SUMIFS(Dataset!AJ:AJ,Dataset!F:F,credito!$D$11,Dataset!AH:AH,"factura",Dataset!J:J,"&lt;"&amp;$AC87/365,Dataset!J:J,"&gt;="&amp;$AB87/365)</f>
        <v>0</v>
      </c>
      <c r="AH87" s="173">
        <f>SUMIFS(Dataset!AJ:AJ,Dataset!F:F,credito!$D$11,Dataset!AH:AH,"letra hipotecaria",Dataset!J:J,"&lt;"&amp;$AC87/365,Dataset!J:J,"&gt;="&amp;$AB87/365)</f>
        <v>0</v>
      </c>
      <c r="AI87" s="160">
        <f t="shared" si="10"/>
        <v>0</v>
      </c>
    </row>
    <row r="88" spans="2:35" ht="48" customHeight="1" x14ac:dyDescent="0.2">
      <c r="C88" s="236"/>
      <c r="D88" s="237"/>
      <c r="E88" s="159">
        <f t="shared" ref="E88:N88" si="11">SUM(E72:E87)</f>
        <v>4.0119126529403618E-3</v>
      </c>
      <c r="F88" s="159">
        <f t="shared" si="11"/>
        <v>0</v>
      </c>
      <c r="G88" s="159">
        <f t="shared" si="11"/>
        <v>0</v>
      </c>
      <c r="H88" s="159">
        <f t="shared" si="11"/>
        <v>1.8481690972586014E-2</v>
      </c>
      <c r="I88" s="159">
        <f t="shared" si="11"/>
        <v>0</v>
      </c>
      <c r="J88" s="159">
        <f t="shared" si="11"/>
        <v>0</v>
      </c>
      <c r="K88" s="159">
        <f t="shared" si="11"/>
        <v>5.6960322774251483E-2</v>
      </c>
      <c r="L88" s="159">
        <f t="shared" si="11"/>
        <v>-0.17718283920835573</v>
      </c>
      <c r="M88" s="159">
        <f t="shared" si="11"/>
        <v>4.9672477900183878E-2</v>
      </c>
      <c r="N88" s="159">
        <f t="shared" si="11"/>
        <v>2.4240114323859016E-2</v>
      </c>
      <c r="O88" s="160">
        <f t="shared" si="8"/>
        <v>-2.3816320584534978E-2</v>
      </c>
      <c r="P88" s="159">
        <f t="shared" ref="P88:Y88" si="12">SUM(P72:P87)</f>
        <v>4.2446705332998682E-6</v>
      </c>
      <c r="Q88" s="159">
        <f t="shared" si="12"/>
        <v>0</v>
      </c>
      <c r="R88" s="159">
        <f t="shared" si="12"/>
        <v>0</v>
      </c>
      <c r="S88" s="159">
        <f t="shared" si="12"/>
        <v>3.8694420927762718E-3</v>
      </c>
      <c r="T88" s="159">
        <f t="shared" si="12"/>
        <v>0</v>
      </c>
      <c r="U88" s="159">
        <f t="shared" si="12"/>
        <v>0</v>
      </c>
      <c r="V88" s="159">
        <f t="shared" si="12"/>
        <v>2.6044894610906141E-2</v>
      </c>
      <c r="W88" s="159">
        <f t="shared" si="12"/>
        <v>0.87258627060718352</v>
      </c>
      <c r="X88" s="159">
        <f t="shared" si="12"/>
        <v>0.25784400317361261</v>
      </c>
      <c r="Y88" s="159">
        <f t="shared" si="12"/>
        <v>-0.16034885515501179</v>
      </c>
      <c r="Z88" s="160">
        <f t="shared" si="9"/>
        <v>1</v>
      </c>
      <c r="AB88" s="57">
        <v>255</v>
      </c>
      <c r="AC88" s="64">
        <v>270</v>
      </c>
      <c r="AD88" s="172">
        <f>SUMIFS(Dataset!AJ:AJ,Dataset!F:F,credito!$D$11,Dataset!AH:AH,"deposito",Dataset!T:T,"$",Dataset!J:J,"&lt;"&amp;$AC88/365,Dataset!J:J,"&gt;="&amp;$AB88/365)</f>
        <v>0</v>
      </c>
      <c r="AE88" s="172">
        <f>SUMIFS(Dataset!AJ:AJ,Dataset!F:F,credito!$D$11,Dataset!AH:AH,"deposito",Dataset!T:T,"uf",Dataset!J:J,"&lt;"&amp;$AC88/365,Dataset!J:J,"&gt;="&amp;$AB88/365)</f>
        <v>0</v>
      </c>
      <c r="AF88" s="172">
        <f>SUMIFS(Dataset!AJ:AJ,Dataset!F:F,credito!$D$11,Dataset!AH:AH,"deposito",Dataset!T:T,"us$",Dataset!J:J,"&lt;"&amp;$AC88/365,Dataset!J:J,"&gt;="&amp;$AB88/365)</f>
        <v>0</v>
      </c>
      <c r="AG88" s="172">
        <f>SUMIFS(Dataset!AJ:AJ,Dataset!F:F,credito!$D$11,Dataset!AH:AH,"factura",Dataset!J:J,"&lt;"&amp;$AC88/365,Dataset!J:J,"&gt;="&amp;$AB88/365)</f>
        <v>0</v>
      </c>
      <c r="AH88" s="173">
        <f>SUMIFS(Dataset!AJ:AJ,Dataset!F:F,credito!$D$11,Dataset!AH:AH,"letra hipotecaria",Dataset!J:J,"&lt;"&amp;$AC88/365,Dataset!J:J,"&gt;="&amp;$AB88/365)</f>
        <v>0</v>
      </c>
      <c r="AI88" s="160">
        <f t="shared" si="10"/>
        <v>0</v>
      </c>
    </row>
    <row r="89" spans="2:35" ht="27" customHeight="1" x14ac:dyDescent="0.2">
      <c r="F89" s="25"/>
      <c r="G89" s="25"/>
      <c r="H89" s="25"/>
      <c r="I89" s="25"/>
      <c r="J89" s="25"/>
      <c r="K89" s="25"/>
      <c r="L89" s="26"/>
      <c r="O89" s="25"/>
      <c r="P89" s="25"/>
      <c r="Q89" s="25"/>
      <c r="R89" s="25"/>
      <c r="S89" s="25"/>
      <c r="T89" s="25"/>
      <c r="U89" s="25"/>
      <c r="V89" s="26"/>
      <c r="AB89" s="57">
        <v>270</v>
      </c>
      <c r="AC89" s="64">
        <v>285</v>
      </c>
      <c r="AD89" s="172">
        <f>SUMIFS(Dataset!AJ:AJ,Dataset!F:F,credito!$D$11,Dataset!AH:AH,"deposito",Dataset!T:T,"$",Dataset!J:J,"&lt;"&amp;$AC89/365,Dataset!J:J,"&gt;="&amp;$AB89/365)</f>
        <v>0</v>
      </c>
      <c r="AE89" s="172">
        <f>SUMIFS(Dataset!AJ:AJ,Dataset!F:F,credito!$D$11,Dataset!AH:AH,"deposito",Dataset!T:T,"uf",Dataset!J:J,"&lt;"&amp;$AC89/365,Dataset!J:J,"&gt;="&amp;$AB89/365)</f>
        <v>0</v>
      </c>
      <c r="AF89" s="172">
        <f>SUMIFS(Dataset!AJ:AJ,Dataset!F:F,credito!$D$11,Dataset!AH:AH,"deposito",Dataset!T:T,"us$",Dataset!J:J,"&lt;"&amp;$AC89/365,Dataset!J:J,"&gt;="&amp;$AB89/365)</f>
        <v>0</v>
      </c>
      <c r="AG89" s="172">
        <f>SUMIFS(Dataset!AJ:AJ,Dataset!F:F,credito!$D$11,Dataset!AH:AH,"factura",Dataset!J:J,"&lt;"&amp;$AC89/365,Dataset!J:J,"&gt;="&amp;$AB89/365)</f>
        <v>0</v>
      </c>
      <c r="AH89" s="173">
        <f>SUMIFS(Dataset!AJ:AJ,Dataset!F:F,credito!$D$11,Dataset!AH:AH,"letra hipotecaria",Dataset!J:J,"&lt;"&amp;$AC89/365,Dataset!J:J,"&gt;="&amp;$AB89/365)</f>
        <v>0</v>
      </c>
      <c r="AI89" s="160">
        <f t="shared" si="10"/>
        <v>0</v>
      </c>
    </row>
    <row r="90" spans="2:35" ht="33" customHeight="1" x14ac:dyDescent="0.2">
      <c r="C90" s="234" t="s">
        <v>72</v>
      </c>
      <c r="D90" s="234"/>
      <c r="E90" s="60" t="s">
        <v>52</v>
      </c>
      <c r="F90" s="60" t="s">
        <v>42</v>
      </c>
      <c r="G90" s="60" t="s">
        <v>36</v>
      </c>
      <c r="H90" s="60" t="s">
        <v>33</v>
      </c>
      <c r="I90" s="60" t="s">
        <v>34</v>
      </c>
      <c r="J90" s="60" t="s">
        <v>55</v>
      </c>
      <c r="K90" s="60" t="s">
        <v>54</v>
      </c>
      <c r="L90" s="60" t="s">
        <v>83</v>
      </c>
      <c r="M90" s="60"/>
      <c r="N90" s="60" t="s">
        <v>52</v>
      </c>
      <c r="O90" s="60" t="s">
        <v>42</v>
      </c>
      <c r="P90" s="60" t="s">
        <v>36</v>
      </c>
      <c r="Q90" s="60" t="s">
        <v>33</v>
      </c>
      <c r="R90" s="60" t="s">
        <v>34</v>
      </c>
      <c r="S90" s="60" t="s">
        <v>55</v>
      </c>
      <c r="T90" s="60" t="s">
        <v>54</v>
      </c>
      <c r="U90" s="60" t="s">
        <v>83</v>
      </c>
      <c r="V90" s="60"/>
      <c r="AB90" s="57">
        <v>285</v>
      </c>
      <c r="AC90" s="64">
        <v>300</v>
      </c>
      <c r="AD90" s="172">
        <f>SUMIFS(Dataset!AJ:AJ,Dataset!F:F,credito!$D$11,Dataset!AH:AH,"deposito",Dataset!T:T,"$",Dataset!J:J,"&lt;"&amp;$AC90/365,Dataset!J:J,"&gt;="&amp;$AB90/365)</f>
        <v>1.3884119495627414E-4</v>
      </c>
      <c r="AE90" s="172">
        <f>SUMIFS(Dataset!AJ:AJ,Dataset!F:F,credito!$D$11,Dataset!AH:AH,"deposito",Dataset!T:T,"uf",Dataset!J:J,"&lt;"&amp;$AC90/365,Dataset!J:J,"&gt;="&amp;$AB90/365)</f>
        <v>0</v>
      </c>
      <c r="AF90" s="172">
        <f>SUMIFS(Dataset!AJ:AJ,Dataset!F:F,credito!$D$11,Dataset!AH:AH,"deposito",Dataset!T:T,"us$",Dataset!J:J,"&lt;"&amp;$AC90/365,Dataset!J:J,"&gt;="&amp;$AB90/365)</f>
        <v>0</v>
      </c>
      <c r="AG90" s="172">
        <f>SUMIFS(Dataset!AJ:AJ,Dataset!F:F,credito!$D$11,Dataset!AH:AH,"factura",Dataset!J:J,"&lt;"&amp;$AC90/365,Dataset!J:J,"&gt;="&amp;$AB90/365)</f>
        <v>0</v>
      </c>
      <c r="AH90" s="173">
        <f>SUMIFS(Dataset!AJ:AJ,Dataset!F:F,credito!$D$11,Dataset!AH:AH,"letra hipotecaria",Dataset!J:J,"&lt;"&amp;$AC90/365,Dataset!J:J,"&gt;="&amp;$AB90/365)</f>
        <v>0</v>
      </c>
      <c r="AI90" s="160">
        <f t="shared" si="10"/>
        <v>1.3884119495627414E-4</v>
      </c>
    </row>
    <row r="91" spans="2:35" ht="33" customHeight="1" x14ac:dyDescent="0.2">
      <c r="C91" s="59">
        <v>0</v>
      </c>
      <c r="D91" s="58">
        <v>0.5</v>
      </c>
      <c r="E91" s="152">
        <f>SUMIFS(Dataset!$AJ:$AJ,Dataset!$F:$F,credito!$D$11,Dataset!$AC:$AC,E$90,Dataset!$J:$J,"&lt;"&amp;$D91,Dataset!$J:$J,"&gt;="&amp;$C91)</f>
        <v>3.8730714579840878E-3</v>
      </c>
      <c r="F91" s="159">
        <f>SUMIFS(Dataset!$AJ:$AJ,Dataset!$F:$F,credito!$D$11,Dataset!$AC:$AC,F$90,Dataset!$J:$J,"&lt;"&amp;$D91,Dataset!$J:$J,"&gt;="&amp;$C91)</f>
        <v>0</v>
      </c>
      <c r="G91" s="159">
        <f>SUMIFS(Dataset!$AJ:$AJ,Dataset!$F:$F,credito!$D$11,Dataset!$AC:$AC,G$90,Dataset!$J:$J,"&lt;"&amp;$D91,Dataset!$J:$J,"&gt;="&amp;$C91)</f>
        <v>0</v>
      </c>
      <c r="H91" s="159">
        <f>SUMIFS(Dataset!$AJ:$AJ,Dataset!$F:$F,credito!$D$11,Dataset!$AC:$AC,H$90,Dataset!$J:$J,"&lt;"&amp;$D91,Dataset!$J:$J,"&gt;="&amp;$C91)</f>
        <v>0</v>
      </c>
      <c r="I91" s="159">
        <f>SUMIFS(Dataset!$AJ:$AJ,Dataset!$F:$F,credito!$D$11,Dataset!$AC:$AC,I$90,Dataset!$J:$J,"&lt;"&amp;$D91,Dataset!$J:$J,"&gt;="&amp;$C91)</f>
        <v>0</v>
      </c>
      <c r="J91" s="159">
        <f>SUMIFS(Dataset!$AJ:$AJ,Dataset!$F:$F,credito!$D$11,Dataset!$AC:$AC,"A",Dataset!$J:$J,"&lt;"&amp;$D91,Dataset!$J:$J,"&gt;="&amp;$C91)+SUMIFS(Dataset!$AJ:$AJ,Dataset!$F:$F,credito!$D$11,Dataset!$AC:$AC,"A-",Dataset!$J:$J,"&lt;"&amp;$D91,Dataset!$J:$J,"&gt;="&amp;$C91)+SUMIFS(Dataset!$AJ:$AJ,Dataset!$F:$F,credito!$D$11,Dataset!$AC:$AC,"A+",Dataset!$J:$J,"&lt;"&amp;$D91,Dataset!$J:$J,"&gt;="&amp;$C91)</f>
        <v>-1.007669036611651E-2</v>
      </c>
      <c r="K91" s="159">
        <f>SUMIFS(Dataset!$AJ:$AJ,Dataset!$F:$F,credito!$D$11,Dataset!$AC:$AC,"BBB-",Dataset!$J:$J,"&lt;"&amp;$D91,Dataset!$J:$J,"&gt;="&amp;$C91)+SUMIFS(Dataset!$AJ:$AJ,Dataset!$F:$F,credito!$D$11,Dataset!$AC:$AC,"BBB",Dataset!$J:$J,"&lt;"&amp;$D91,Dataset!$J:$J,"&gt;="&amp;$C91)+SUMIFS(Dataset!$AJ:$AJ,Dataset!$F:$F,credito!$D$11,Dataset!$AC:$AC,"BBB+",Dataset!$J:$J,"&lt;"&amp;$D91,Dataset!$J:$J,"&gt;="&amp;$C91)</f>
        <v>-8.2636481840511582E-5</v>
      </c>
      <c r="L91" s="153">
        <f>SUMIFS(Dataset!$AJ:$AJ,Dataset!$F:$F,credito!$D$11,Dataset!$J:$J,"&lt;"&amp;$D91,Dataset!$J:$J,"&gt;="&amp;$C91,Dataset!$AC:$AC,"&lt;&gt;N-1+",Dataset!$AC:$AC,"&lt;&gt;*AA*",Dataset!$AC:$AC,"&lt;&gt;*AAA*",Dataset!$AC:$AC,"&lt;&gt;A",Dataset!$AC:$AC,"&lt;&gt;A-",Dataset!$AC:$AC,"&lt;&gt;A+",Dataset!$AC:$AC,"&lt;&gt;*BBB*")</f>
        <v>1.7496126933991225E-2</v>
      </c>
      <c r="M91" s="160">
        <f t="shared" ref="M91:M107" si="13">SUM(E91:L91)</f>
        <v>1.1209871544018292E-2</v>
      </c>
      <c r="N91" s="152">
        <f>SUMIFS(Dataset!$AA:$AA,Dataset!$F:$F,credito!$D$11,Dataset!$AC:$AC,N$90,Dataset!$J:$J,"&lt;"&amp;$D91,Dataset!$J:$J,"&gt;="&amp;$C91)</f>
        <v>-1.9970299293362561E-6</v>
      </c>
      <c r="O91" s="153">
        <f>SUMIFS(Dataset!$AA:$AA,Dataset!$F:$F,credito!$D$11,Dataset!$AC:$AC,O$90,Dataset!$J:$J,"&lt;"&amp;$D91,Dataset!$J:$J,"&gt;="&amp;$C91)</f>
        <v>0</v>
      </c>
      <c r="P91" s="153">
        <f>SUMIFS(Dataset!$AA:$AA,Dataset!$F:$F,credito!$D$11,Dataset!$AC:$AC,P$90,Dataset!$J:$J,"&lt;"&amp;$D91,Dataset!$J:$J,"&gt;="&amp;$C91)</f>
        <v>0</v>
      </c>
      <c r="Q91" s="153">
        <f>SUMIFS(Dataset!$AA:$AA,Dataset!$F:$F,credito!$D$11,Dataset!$AC:$AC,Q$90,Dataset!$J:$J,"&lt;"&amp;$D91,Dataset!$J:$J,"&gt;="&amp;$C91)</f>
        <v>0</v>
      </c>
      <c r="R91" s="153">
        <f>SUMIFS(Dataset!$AA:$AA,Dataset!$F:$F,credito!$D$11,Dataset!$AC:$AC,R$90,Dataset!$J:$J,"&lt;"&amp;$D91,Dataset!$J:$J,"&gt;="&amp;$C91)</f>
        <v>0</v>
      </c>
      <c r="S91" s="153">
        <f>SUMIFS(Dataset!$AA:$AA,Dataset!$F:$F,credito!$D$11,Dataset!$AC:$AC,"A",Dataset!$J:$J,"&lt;"&amp;$D91,Dataset!$J:$J,"&gt;="&amp;$C91)+SUMIFS(Dataset!$AA:$AA,Dataset!$F:$F,credito!$D$11,Dataset!$AC:$AC,"A-",Dataset!$J:$J,"&lt;"&amp;$D91,Dataset!$J:$J,"&gt;="&amp;$C91)+SUMIFS(Dataset!$AA:$AA,Dataset!$F:$F,credito!$D$11,Dataset!$AC:$AC,"A+",Dataset!$J:$J,"&lt;"&amp;$D91,Dataset!$J:$J,"&gt;="&amp;$C91)</f>
        <v>1.3423473025770383E-3</v>
      </c>
      <c r="T91" s="153">
        <f>SUMIFS(Dataset!$AA:$AA,Dataset!$F:$F,credito!$D$11,Dataset!$AC:$AC,"BBB-",Dataset!$J:$J,"&lt;"&amp;$D91,Dataset!$J:$J,"&gt;="&amp;$C91)+SUMIFS(Dataset!$AA:$AA,Dataset!$F:$F,credito!$D$11,Dataset!$AC:$AC,"BBB",Dataset!$J:$J,"&lt;"&amp;$D91,Dataset!$J:$J,"&gt;="&amp;$C91)+SUMIFS(Dataset!$AA:$AA,Dataset!$F:$F,credito!$D$11,Dataset!$AC:$AC,"BBB+",Dataset!$J:$J,"&lt;"&amp;$D91,Dataset!$J:$J,"&gt;="&amp;$C91)</f>
        <v>-4.6459422468173495E-4</v>
      </c>
      <c r="U91" s="153">
        <f>SUMIFS(Dataset!$AA:$AA,Dataset!$F:$F,credito!$D$11,Dataset!$J:$J,"&lt;"&amp;$D91,Dataset!$J:$J,"&gt;="&amp;$C91,Dataset!$AC:$AC,"&lt;&gt;N-1+",Dataset!$AC:$AC,"&lt;&gt;*AA*",Dataset!$AC:$AC,"&lt;&gt;*AAA*",Dataset!$AC:$AC,"&lt;&gt;A",Dataset!$AC:$AC,"&lt;&gt;A-",Dataset!$AC:$AC,"&lt;&gt;A+",Dataset!$AC:$AC,"&lt;&gt;*BBB*")</f>
        <v>-0.16035510513327159</v>
      </c>
      <c r="V91" s="160">
        <f t="shared" ref="V91:V106" si="14">SUM(N91:U91)</f>
        <v>-0.15947934908530562</v>
      </c>
      <c r="AB91" s="57">
        <v>300</v>
      </c>
      <c r="AC91" s="64">
        <v>315</v>
      </c>
      <c r="AD91" s="172">
        <f>SUMIFS(Dataset!AJ:AJ,Dataset!F:F,credito!$D$11,Dataset!AH:AH,"deposito",Dataset!T:T,"$",Dataset!J:J,"&lt;"&amp;$AC91/365,Dataset!J:J,"&gt;="&amp;$AB91/365)</f>
        <v>0</v>
      </c>
      <c r="AE91" s="172">
        <f>SUMIFS(Dataset!AJ:AJ,Dataset!F:F,credito!$D$11,Dataset!AH:AH,"deposito",Dataset!T:T,"uf",Dataset!J:J,"&lt;"&amp;$AC91/365,Dataset!J:J,"&gt;="&amp;$AB91/365)</f>
        <v>0</v>
      </c>
      <c r="AF91" s="172">
        <f>SUMIFS(Dataset!AJ:AJ,Dataset!F:F,credito!$D$11,Dataset!AH:AH,"deposito",Dataset!T:T,"us$",Dataset!J:J,"&lt;"&amp;$AC91/365,Dataset!J:J,"&gt;="&amp;$AB91/365)</f>
        <v>0</v>
      </c>
      <c r="AG91" s="172">
        <f>SUMIFS(Dataset!AJ:AJ,Dataset!F:F,credito!$D$11,Dataset!AH:AH,"factura",Dataset!J:J,"&lt;"&amp;$AC91/365,Dataset!J:J,"&gt;="&amp;$AB91/365)</f>
        <v>0</v>
      </c>
      <c r="AH91" s="173">
        <f>SUMIFS(Dataset!AJ:AJ,Dataset!F:F,credito!$D$11,Dataset!AH:AH,"letra hipotecaria",Dataset!J:J,"&lt;"&amp;$AC91/365,Dataset!J:J,"&gt;="&amp;$AB91/365)</f>
        <v>0</v>
      </c>
      <c r="AI91" s="160">
        <f t="shared" ref="AI91:AI98" si="15">SUM(AD91:AH91)</f>
        <v>0</v>
      </c>
    </row>
    <row r="92" spans="2:35" ht="33" customHeight="1" x14ac:dyDescent="0.2">
      <c r="C92" s="57">
        <v>0.5</v>
      </c>
      <c r="D92" s="61">
        <v>1.5</v>
      </c>
      <c r="E92" s="158">
        <f>SUMIFS(Dataset!$AJ:$AJ,Dataset!$F:$F,credito!$D$11,Dataset!$AC:$AC,E$90,Dataset!$J:$J,"&lt;"&amp;$D92,Dataset!$J:$J,"&gt;="&amp;$C92)</f>
        <v>1.3884119495627414E-4</v>
      </c>
      <c r="F92" s="159">
        <f>SUMIFS(Dataset!$AJ:$AJ,Dataset!$F:$F,credito!$D$11,Dataset!$AC:$AC,F$90,Dataset!$J:$J,"&lt;"&amp;$D92,Dataset!$J:$J,"&gt;="&amp;$C92)</f>
        <v>1.4410606335827087E-3</v>
      </c>
      <c r="G92" s="159">
        <f>SUMIFS(Dataset!$AJ:$AJ,Dataset!$F:$F,credito!$D$11,Dataset!$AC:$AC,G$90,Dataset!$J:$J,"&lt;"&amp;$D92,Dataset!$J:$J,"&gt;="&amp;$C92)</f>
        <v>0</v>
      </c>
      <c r="H92" s="159">
        <f>SUMIFS(Dataset!$AJ:$AJ,Dataset!$F:$F,credito!$D$11,Dataset!$AC:$AC,H$90,Dataset!$J:$J,"&lt;"&amp;$D92,Dataset!$J:$J,"&gt;="&amp;$C92)</f>
        <v>1.8209776293813838E-2</v>
      </c>
      <c r="I92" s="159">
        <f>SUMIFS(Dataset!$AJ:$AJ,Dataset!$F:$F,credito!$D$11,Dataset!$AC:$AC,I$90,Dataset!$J:$J,"&lt;"&amp;$D92,Dataset!$J:$J,"&gt;="&amp;$C92)</f>
        <v>1.4235058861110605E-2</v>
      </c>
      <c r="J92" s="159">
        <f>SUMIFS(Dataset!$AJ:$AJ,Dataset!$F:$F,credito!$D$11,Dataset!$AC:$AC,"A",Dataset!$J:$J,"&lt;"&amp;$D92,Dataset!$J:$J,"&gt;="&amp;$C92)+SUMIFS(Dataset!$AJ:$AJ,Dataset!$F:$F,credito!$D$11,Dataset!$AC:$AC,"A-",Dataset!$J:$J,"&lt;"&amp;$D92,Dataset!$J:$J,"&gt;="&amp;$C92)+SUMIFS(Dataset!$AJ:$AJ,Dataset!$F:$F,credito!$D$11,Dataset!$AC:$AC,"A+",Dataset!$J:$J,"&lt;"&amp;$D92,Dataset!$J:$J,"&gt;="&amp;$C92)</f>
        <v>-1.7904367909322441E-2</v>
      </c>
      <c r="K92" s="159">
        <f>SUMIFS(Dataset!$AJ:$AJ,Dataset!$F:$F,credito!$D$11,Dataset!$AC:$AC,"BBB-",Dataset!$J:$J,"&lt;"&amp;$D92,Dataset!$J:$J,"&gt;="&amp;$C92)+SUMIFS(Dataset!$AJ:$AJ,Dataset!$F:$F,credito!$D$11,Dataset!$AC:$AC,"BBB",Dataset!$J:$J,"&lt;"&amp;$D92,Dataset!$J:$J,"&gt;="&amp;$C92)+SUMIFS(Dataset!$AJ:$AJ,Dataset!$F:$F,credito!$D$11,Dataset!$AC:$AC,"BBB+",Dataset!$J:$J,"&lt;"&amp;$D92,Dataset!$J:$J,"&gt;="&amp;$C92)</f>
        <v>6.8220990007721626E-3</v>
      </c>
      <c r="L92" s="159">
        <f>SUMIFS(Dataset!$AJ:$AJ,Dataset!$F:$F,credito!$D$11,Dataset!$J:$J,"&lt;"&amp;$D92,Dataset!$J:$J,"&gt;="&amp;$C92,Dataset!$AC:$AC,"&lt;&gt;N-1+",Dataset!$AC:$AC,"&lt;&gt;*AA*",Dataset!$AC:$AC,"&lt;&gt;*AAA*",Dataset!$AC:$AC,"&lt;&gt;A",Dataset!$AC:$AC,"&lt;&gt;A-",Dataset!$AC:$AC,"&lt;&gt;A+",Dataset!$AC:$AC,"&lt;&gt;*BBB*")</f>
        <v>0</v>
      </c>
      <c r="M92" s="160">
        <f t="shared" si="13"/>
        <v>2.2942468074913142E-2</v>
      </c>
      <c r="N92" s="158">
        <f>SUMIFS(Dataset!$AA:$AA,Dataset!$F:$F,credito!$D$11,Dataset!$AC:$AC,N$90,Dataset!$J:$J,"&lt;"&amp;$D92,Dataset!$J:$J,"&gt;="&amp;$C92)</f>
        <v>6.2417004626361244E-6</v>
      </c>
      <c r="O92" s="159">
        <f>SUMIFS(Dataset!$AA:$AA,Dataset!$F:$F,credito!$D$11,Dataset!$AC:$AC,O$90,Dataset!$J:$J,"&lt;"&amp;$D92,Dataset!$J:$J,"&gt;="&amp;$C92)</f>
        <v>6.478386206739744E-5</v>
      </c>
      <c r="P92" s="159">
        <f>SUMIFS(Dataset!$AA:$AA,Dataset!$F:$F,credito!$D$11,Dataset!$AC:$AC,P$90,Dataset!$J:$J,"&lt;"&amp;$D92,Dataset!$J:$J,"&gt;="&amp;$C92)</f>
        <v>0</v>
      </c>
      <c r="Q92" s="159">
        <f>SUMIFS(Dataset!$AA:$AA,Dataset!$F:$F,credito!$D$11,Dataset!$AC:$AC,Q$90,Dataset!$J:$J,"&lt;"&amp;$D92,Dataset!$J:$J,"&gt;="&amp;$C92)</f>
        <v>5.9330137454201241E-3</v>
      </c>
      <c r="R92" s="159">
        <f>SUMIFS(Dataset!$AA:$AA,Dataset!$F:$F,credito!$D$11,Dataset!$AC:$AC,R$90,Dataset!$J:$J,"&lt;"&amp;$D92,Dataset!$J:$J,"&gt;="&amp;$C92)</f>
        <v>4.106922614597051E-3</v>
      </c>
      <c r="S92" s="159">
        <f>SUMIFS(Dataset!$AA:$AA,Dataset!$F:$F,credito!$D$11,Dataset!$AC:$AC,"A",Dataset!$J:$J,"&lt;"&amp;$D92,Dataset!$J:$J,"&gt;="&amp;$C92)+SUMIFS(Dataset!$AA:$AA,Dataset!$F:$F,credito!$D$11,Dataset!$AC:$AC,"A-",Dataset!$J:$J,"&lt;"&amp;$D92,Dataset!$J:$J,"&gt;="&amp;$C92)+SUMIFS(Dataset!$AA:$AA,Dataset!$F:$F,credito!$D$11,Dataset!$AC:$AC,"A+",Dataset!$J:$J,"&lt;"&amp;$D92,Dataset!$J:$J,"&gt;="&amp;$C92)</f>
        <v>2.3850966035675034E-3</v>
      </c>
      <c r="T92" s="159">
        <f>SUMIFS(Dataset!$AA:$AA,Dataset!$F:$F,credito!$D$11,Dataset!$AC:$AC,"BBB-",Dataset!$J:$J,"&lt;"&amp;$D92,Dataset!$J:$J,"&gt;="&amp;$C92)+SUMIFS(Dataset!$AA:$AA,Dataset!$F:$F,credito!$D$11,Dataset!$AC:$AC,"BBB",Dataset!$J:$J,"&lt;"&amp;$D92,Dataset!$J:$J,"&gt;="&amp;$C92)+SUMIFS(Dataset!$AA:$AA,Dataset!$F:$F,credito!$D$11,Dataset!$AC:$AC,"BBB+",Dataset!$J:$J,"&lt;"&amp;$D92,Dataset!$J:$J,"&gt;="&amp;$C92)</f>
        <v>5.9341843039891561E-2</v>
      </c>
      <c r="U92" s="159">
        <f>SUMIFS(Dataset!$AA:$AA,Dataset!$F:$F,credito!$D$11,Dataset!$J:$J,"&lt;"&amp;$D92,Dataset!$J:$J,"&gt;="&amp;$C92,Dataset!$AC:$AC,"&lt;&gt;N-1+",Dataset!$AC:$AC,"&lt;&gt;*AA*",Dataset!$AC:$AC,"&lt;&gt;*AAA*",Dataset!$AC:$AC,"&lt;&gt;A",Dataset!$AC:$AC,"&lt;&gt;A-",Dataset!$AC:$AC,"&lt;&gt;A+",Dataset!$AC:$AC,"&lt;&gt;*BBB*")</f>
        <v>0</v>
      </c>
      <c r="V92" s="160">
        <f t="shared" si="14"/>
        <v>7.1837901566006279E-2</v>
      </c>
      <c r="AB92" s="57">
        <v>315</v>
      </c>
      <c r="AC92" s="64">
        <v>330</v>
      </c>
      <c r="AD92" s="172">
        <f>SUMIFS(Dataset!AJ:AJ,Dataset!F:F,credito!$D$11,Dataset!AH:AH,"deposito",Dataset!T:T,"$",Dataset!J:J,"&lt;"&amp;$AC92/365,Dataset!J:J,"&gt;="&amp;$AB92/365)</f>
        <v>0</v>
      </c>
      <c r="AE92" s="172">
        <f>SUMIFS(Dataset!AJ:AJ,Dataset!F:F,credito!$D$11,Dataset!AH:AH,"deposito",Dataset!T:T,"uf",Dataset!J:J,"&lt;"&amp;$AC92/365,Dataset!J:J,"&gt;="&amp;$AB92/365)</f>
        <v>0</v>
      </c>
      <c r="AF92" s="172">
        <f>SUMIFS(Dataset!AJ:AJ,Dataset!F:F,credito!$D$11,Dataset!AH:AH,"deposito",Dataset!T:T,"us$",Dataset!J:J,"&lt;"&amp;$AC92/365,Dataset!J:J,"&gt;="&amp;$AB92/365)</f>
        <v>0</v>
      </c>
      <c r="AG92" s="172">
        <f>SUMIFS(Dataset!AJ:AJ,Dataset!F:F,credito!$D$11,Dataset!AH:AH,"factura",Dataset!J:J,"&lt;"&amp;$AC92/365,Dataset!J:J,"&gt;="&amp;$AB92/365)</f>
        <v>0</v>
      </c>
      <c r="AH92" s="173">
        <f>SUMIFS(Dataset!AJ:AJ,Dataset!F:F,credito!$D$11,Dataset!AH:AH,"letra hipotecaria",Dataset!J:J,"&lt;"&amp;$AC92/365,Dataset!J:J,"&gt;="&amp;$AB92/365)</f>
        <v>0</v>
      </c>
      <c r="AI92" s="160">
        <f t="shared" si="15"/>
        <v>0</v>
      </c>
    </row>
    <row r="93" spans="2:35" ht="33" customHeight="1" x14ac:dyDescent="0.2">
      <c r="C93" s="57">
        <v>1.5</v>
      </c>
      <c r="D93" s="61">
        <v>2.5</v>
      </c>
      <c r="E93" s="158">
        <f>SUMIFS(Dataset!$AJ:$AJ,Dataset!$F:$F,credito!$D$11,Dataset!$AC:$AC,E$90,Dataset!$J:$J,"&lt;"&amp;$D93,Dataset!$J:$J,"&gt;="&amp;$C93)</f>
        <v>0</v>
      </c>
      <c r="F93" s="159">
        <f>SUMIFS(Dataset!$AJ:$AJ,Dataset!$F:$F,credito!$D$11,Dataset!$AC:$AC,F$90,Dataset!$J:$J,"&lt;"&amp;$D93,Dataset!$J:$J,"&gt;="&amp;$C93)</f>
        <v>5.2290281197960196E-3</v>
      </c>
      <c r="G93" s="159">
        <f>SUMIFS(Dataset!$AJ:$AJ,Dataset!$F:$F,credito!$D$11,Dataset!$AC:$AC,G$90,Dataset!$J:$J,"&lt;"&amp;$D93,Dataset!$J:$J,"&gt;="&amp;$C93)</f>
        <v>0</v>
      </c>
      <c r="H93" s="159">
        <f>SUMIFS(Dataset!$AJ:$AJ,Dataset!$F:$F,credito!$D$11,Dataset!$AC:$AC,H$90,Dataset!$J:$J,"&lt;"&amp;$D93,Dataset!$J:$J,"&gt;="&amp;$C93)</f>
        <v>7.3412142530931536E-3</v>
      </c>
      <c r="I93" s="159">
        <f>SUMIFS(Dataset!$AJ:$AJ,Dataset!$F:$F,credito!$D$11,Dataset!$AC:$AC,I$90,Dataset!$J:$J,"&lt;"&amp;$D93,Dataset!$J:$J,"&gt;="&amp;$C93)</f>
        <v>5.455937729906454E-3</v>
      </c>
      <c r="J93" s="159">
        <f>SUMIFS(Dataset!$AJ:$AJ,Dataset!$F:$F,credito!$D$11,Dataset!$AC:$AC,"A",Dataset!$J:$J,"&lt;"&amp;$D93,Dataset!$J:$J,"&gt;="&amp;$C93)+SUMIFS(Dataset!$AJ:$AJ,Dataset!$F:$F,credito!$D$11,Dataset!$AC:$AC,"A-",Dataset!$J:$J,"&lt;"&amp;$D93,Dataset!$J:$J,"&gt;="&amp;$C93)+SUMIFS(Dataset!$AJ:$AJ,Dataset!$F:$F,credito!$D$11,Dataset!$AC:$AC,"A+",Dataset!$J:$J,"&lt;"&amp;$D93,Dataset!$J:$J,"&gt;="&amp;$C93)</f>
        <v>-1.9820276725030186E-2</v>
      </c>
      <c r="K93" s="159">
        <f>SUMIFS(Dataset!$AJ:$AJ,Dataset!$F:$F,credito!$D$11,Dataset!$AC:$AC,"BBB-",Dataset!$J:$J,"&lt;"&amp;$D93,Dataset!$J:$J,"&gt;="&amp;$C93)+SUMIFS(Dataset!$AJ:$AJ,Dataset!$F:$F,credito!$D$11,Dataset!$AC:$AC,"BBB",Dataset!$J:$J,"&lt;"&amp;$D93,Dataset!$J:$J,"&gt;="&amp;$C93)+SUMIFS(Dataset!$AJ:$AJ,Dataset!$F:$F,credito!$D$11,Dataset!$AC:$AC,"BBB+",Dataset!$J:$J,"&lt;"&amp;$D93,Dataset!$J:$J,"&gt;="&amp;$C93)</f>
        <v>-2.9412893979803199E-2</v>
      </c>
      <c r="L93" s="159">
        <f>SUMIFS(Dataset!$AJ:$AJ,Dataset!$F:$F,credito!$D$11,Dataset!$J:$J,"&lt;"&amp;$D93,Dataset!$J:$J,"&gt;="&amp;$C93,Dataset!$AC:$AC,"&lt;&gt;N-1+",Dataset!$AC:$AC,"&lt;&gt;*AA*",Dataset!$AC:$AC,"&lt;&gt;*AAA*",Dataset!$AC:$AC,"&lt;&gt;A",Dataset!$AC:$AC,"&lt;&gt;A-",Dataset!$AC:$AC,"&lt;&gt;A+",Dataset!$AC:$AC,"&lt;&gt;*BBB*")</f>
        <v>1.0014514157704626E-2</v>
      </c>
      <c r="M93" s="160">
        <f t="shared" si="13"/>
        <v>-2.1192476444333131E-2</v>
      </c>
      <c r="N93" s="158">
        <f>SUMIFS(Dataset!$AA:$AA,Dataset!$F:$F,credito!$D$11,Dataset!$AC:$AC,N$90,Dataset!$J:$J,"&lt;"&amp;$D93,Dataset!$J:$J,"&gt;="&amp;$C93)</f>
        <v>0</v>
      </c>
      <c r="O93" s="159">
        <f>SUMIFS(Dataset!$AA:$AA,Dataset!$F:$F,credito!$D$11,Dataset!$AC:$AC,O$90,Dataset!$J:$J,"&lt;"&amp;$D93,Dataset!$J:$J,"&gt;="&amp;$C93)</f>
        <v>1.3997337086831217E-3</v>
      </c>
      <c r="P93" s="159">
        <f>SUMIFS(Dataset!$AA:$AA,Dataset!$F:$F,credito!$D$11,Dataset!$AC:$AC,P$90,Dataset!$J:$J,"&lt;"&amp;$D93,Dataset!$J:$J,"&gt;="&amp;$C93)</f>
        <v>0</v>
      </c>
      <c r="Q93" s="159">
        <f>SUMIFS(Dataset!$AA:$AA,Dataset!$F:$F,credito!$D$11,Dataset!$AC:$AC,Q$90,Dataset!$J:$J,"&lt;"&amp;$D93,Dataset!$J:$J,"&gt;="&amp;$C93)</f>
        <v>2.3918759005552609E-3</v>
      </c>
      <c r="R93" s="159">
        <f>SUMIFS(Dataset!$AA:$AA,Dataset!$F:$F,credito!$D$11,Dataset!$AC:$AC,R$90,Dataset!$J:$J,"&lt;"&amp;$D93,Dataset!$J:$J,"&gt;="&amp;$C93)</f>
        <v>1.7776249978802836E-3</v>
      </c>
      <c r="S93" s="159">
        <f>SUMIFS(Dataset!$AA:$AA,Dataset!$F:$F,credito!$D$11,Dataset!$AC:$AC,"A",Dataset!$J:$J,"&lt;"&amp;$D93,Dataset!$J:$J,"&gt;="&amp;$C93)+SUMIFS(Dataset!$AA:$AA,Dataset!$F:$F,credito!$D$11,Dataset!$AC:$AC,"A-",Dataset!$J:$J,"&lt;"&amp;$D93,Dataset!$J:$J,"&gt;="&amp;$C93)+SUMIFS(Dataset!$AA:$AA,Dataset!$F:$F,credito!$D$11,Dataset!$AC:$AC,"A+",Dataset!$J:$J,"&lt;"&amp;$D93,Dataset!$J:$J,"&gt;="&amp;$C93)</f>
        <v>2.2339520695138005E-3</v>
      </c>
      <c r="T93" s="159">
        <f>SUMIFS(Dataset!$AA:$AA,Dataset!$F:$F,credito!$D$11,Dataset!$AC:$AC,"BBB-",Dataset!$J:$J,"&lt;"&amp;$D93,Dataset!$J:$J,"&gt;="&amp;$C93)+SUMIFS(Dataset!$AA:$AA,Dataset!$F:$F,credito!$D$11,Dataset!$AC:$AC,"BBB",Dataset!$J:$J,"&lt;"&amp;$D93,Dataset!$J:$J,"&gt;="&amp;$C93)+SUMIFS(Dataset!$AA:$AA,Dataset!$F:$F,credito!$D$11,Dataset!$AC:$AC,"BBB+",Dataset!$J:$J,"&lt;"&amp;$D93,Dataset!$J:$J,"&gt;="&amp;$C93)</f>
        <v>-3.4538805565875649E-4</v>
      </c>
      <c r="U93" s="159">
        <f>SUMIFS(Dataset!$AA:$AA,Dataset!$F:$F,credito!$D$11,Dataset!$J:$J,"&lt;"&amp;$D93,Dataset!$J:$J,"&gt;="&amp;$C93,Dataset!$AC:$AC,"&lt;&gt;N-1+",Dataset!$AC:$AC,"&lt;&gt;*AA*",Dataset!$AC:$AC,"&lt;&gt;*AAA*",Dataset!$AC:$AC,"&lt;&gt;A",Dataset!$AC:$AC,"&lt;&gt;A-",Dataset!$AC:$AC,"&lt;&gt;A+",Dataset!$AC:$AC,"&lt;&gt;*BBB*")</f>
        <v>1.3045265986202068E-2</v>
      </c>
      <c r="V93" s="160">
        <f t="shared" si="14"/>
        <v>2.050306460717578E-2</v>
      </c>
      <c r="AB93" s="57">
        <v>330</v>
      </c>
      <c r="AC93" s="64">
        <v>345</v>
      </c>
      <c r="AD93" s="172">
        <f>SUMIFS(Dataset!AJ:AJ,Dataset!F:F,credito!$D$11,Dataset!AH:AH,"deposito",Dataset!T:T,"$",Dataset!J:J,"&lt;"&amp;$AC93/365,Dataset!J:J,"&gt;="&amp;$AB93/365)</f>
        <v>0</v>
      </c>
      <c r="AE93" s="172">
        <f>SUMIFS(Dataset!AJ:AJ,Dataset!F:F,credito!$D$11,Dataset!AH:AH,"deposito",Dataset!T:T,"uf",Dataset!J:J,"&lt;"&amp;$AC93/365,Dataset!J:J,"&gt;="&amp;$AB93/365)</f>
        <v>0</v>
      </c>
      <c r="AF93" s="172">
        <f>SUMIFS(Dataset!AJ:AJ,Dataset!F:F,credito!$D$11,Dataset!AH:AH,"deposito",Dataset!T:T,"us$",Dataset!J:J,"&lt;"&amp;$AC93/365,Dataset!J:J,"&gt;="&amp;$AB93/365)</f>
        <v>0</v>
      </c>
      <c r="AG93" s="172">
        <f>SUMIFS(Dataset!AJ:AJ,Dataset!F:F,credito!$D$11,Dataset!AH:AH,"factura",Dataset!J:J,"&lt;"&amp;$AC93/365,Dataset!J:J,"&gt;="&amp;$AB93/365)</f>
        <v>0</v>
      </c>
      <c r="AH93" s="173">
        <f>SUMIFS(Dataset!AJ:AJ,Dataset!F:F,credito!$D$11,Dataset!AH:AH,"letra hipotecaria",Dataset!J:J,"&lt;"&amp;$AC93/365,Dataset!J:J,"&gt;="&amp;$AB93/365)</f>
        <v>0</v>
      </c>
      <c r="AI93" s="160">
        <f t="shared" si="15"/>
        <v>0</v>
      </c>
    </row>
    <row r="94" spans="2:35" ht="27" customHeight="1" x14ac:dyDescent="0.2">
      <c r="C94" s="57">
        <v>2.5</v>
      </c>
      <c r="D94" s="61">
        <v>3.5</v>
      </c>
      <c r="E94" s="158">
        <f>SUMIFS(Dataset!$AJ:$AJ,Dataset!$F:$F,credito!$D$11,Dataset!$AC:$AC,E$90,Dataset!$J:$J,"&lt;"&amp;$D94,Dataset!$J:$J,"&gt;="&amp;$C94)</f>
        <v>0</v>
      </c>
      <c r="F94" s="159">
        <f>SUMIFS(Dataset!$AJ:$AJ,Dataset!$F:$F,credito!$D$11,Dataset!$AC:$AC,F$90,Dataset!$J:$J,"&lt;"&amp;$D94,Dataset!$J:$J,"&gt;="&amp;$C94)</f>
        <v>1.4442956407456563E-2</v>
      </c>
      <c r="G94" s="159">
        <f>SUMIFS(Dataset!$AJ:$AJ,Dataset!$F:$F,credito!$D$11,Dataset!$AC:$AC,G$90,Dataset!$J:$J,"&lt;"&amp;$D94,Dataset!$J:$J,"&gt;="&amp;$C94)</f>
        <v>0</v>
      </c>
      <c r="H94" s="159">
        <f>SUMIFS(Dataset!$AJ:$AJ,Dataset!$F:$F,credito!$D$11,Dataset!$AC:$AC,H$90,Dataset!$J:$J,"&lt;"&amp;$D94,Dataset!$J:$J,"&gt;="&amp;$C94)</f>
        <v>1.8823403245372086E-2</v>
      </c>
      <c r="I94" s="159">
        <f>SUMIFS(Dataset!$AJ:$AJ,Dataset!$F:$F,credito!$D$11,Dataset!$AC:$AC,I$90,Dataset!$J:$J,"&lt;"&amp;$D94,Dataset!$J:$J,"&gt;="&amp;$C94)</f>
        <v>6.0325735681086732E-3</v>
      </c>
      <c r="J94" s="159">
        <f>SUMIFS(Dataset!$AJ:$AJ,Dataset!$F:$F,credito!$D$11,Dataset!$AC:$AC,"A",Dataset!$J:$J,"&lt;"&amp;$D94,Dataset!$J:$J,"&gt;="&amp;$C94)+SUMIFS(Dataset!$AJ:$AJ,Dataset!$F:$F,credito!$D$11,Dataset!$AC:$AC,"A-",Dataset!$J:$J,"&lt;"&amp;$D94,Dataset!$J:$J,"&gt;="&amp;$C94)+SUMIFS(Dataset!$AJ:$AJ,Dataset!$F:$F,credito!$D$11,Dataset!$AC:$AC,"A+",Dataset!$J:$J,"&lt;"&amp;$D94,Dataset!$J:$J,"&gt;="&amp;$C94)</f>
        <v>-3.2037856311852186E-2</v>
      </c>
      <c r="K94" s="159">
        <f>SUMIFS(Dataset!$AJ:$AJ,Dataset!$F:$F,credito!$D$11,Dataset!$AC:$AC,"BBB-",Dataset!$J:$J,"&lt;"&amp;$D94,Dataset!$J:$J,"&gt;="&amp;$C94)+SUMIFS(Dataset!$AJ:$AJ,Dataset!$F:$F,credito!$D$11,Dataset!$AC:$AC,"BBB",Dataset!$J:$J,"&lt;"&amp;$D94,Dataset!$J:$J,"&gt;="&amp;$C94)+SUMIFS(Dataset!$AJ:$AJ,Dataset!$F:$F,credito!$D$11,Dataset!$AC:$AC,"BBB+",Dataset!$J:$J,"&lt;"&amp;$D94,Dataset!$J:$J,"&gt;="&amp;$C94)</f>
        <v>-5.1373020728390728E-2</v>
      </c>
      <c r="L94" s="159">
        <f>SUMIFS(Dataset!$AJ:$AJ,Dataset!$F:$F,credito!$D$11,Dataset!$J:$J,"&lt;"&amp;$D94,Dataset!$J:$J,"&gt;="&amp;$C94,Dataset!$AC:$AC,"&lt;&gt;N-1+",Dataset!$AC:$AC,"&lt;&gt;*AA*",Dataset!$AC:$AC,"&lt;&gt;*AAA*",Dataset!$AC:$AC,"&lt;&gt;A",Dataset!$AC:$AC,"&lt;&gt;A-",Dataset!$AC:$AC,"&lt;&gt;A+",Dataset!$AC:$AC,"&lt;&gt;*BBB*")</f>
        <v>2.7565132015903521E-2</v>
      </c>
      <c r="M94" s="160">
        <f t="shared" si="13"/>
        <v>-1.6546811803402076E-2</v>
      </c>
      <c r="N94" s="158">
        <f>SUMIFS(Dataset!$AA:$AA,Dataset!$F:$F,credito!$D$11,Dataset!$AC:$AC,N$90,Dataset!$J:$J,"&lt;"&amp;$D94,Dataset!$J:$J,"&gt;="&amp;$C94)</f>
        <v>0</v>
      </c>
      <c r="O94" s="159">
        <f>SUMIFS(Dataset!$AA:$AA,Dataset!$F:$F,credito!$D$11,Dataset!$AC:$AC,O$90,Dataset!$J:$J,"&lt;"&amp;$D94,Dataset!$J:$J,"&gt;="&amp;$C94)</f>
        <v>2.6219398300137481E-3</v>
      </c>
      <c r="P94" s="159">
        <f>SUMIFS(Dataset!$AA:$AA,Dataset!$F:$F,credito!$D$11,Dataset!$AC:$AC,P$90,Dataset!$J:$J,"&lt;"&amp;$D94,Dataset!$J:$J,"&gt;="&amp;$C94)</f>
        <v>0</v>
      </c>
      <c r="Q94" s="159">
        <f>SUMIFS(Dataset!$AA:$AA,Dataset!$F:$F,credito!$D$11,Dataset!$AC:$AC,Q$90,Dataset!$J:$J,"&lt;"&amp;$D94,Dataset!$J:$J,"&gt;="&amp;$C94)</f>
        <v>6.7968898612087263E-3</v>
      </c>
      <c r="R94" s="159">
        <f>SUMIFS(Dataset!$AA:$AA,Dataset!$F:$F,credito!$D$11,Dataset!$AC:$AC,R$90,Dataset!$J:$J,"&lt;"&amp;$D94,Dataset!$J:$J,"&gt;="&amp;$C94)</f>
        <v>1.5035966315241954E-3</v>
      </c>
      <c r="S94" s="159">
        <f>SUMIFS(Dataset!$AA:$AA,Dataset!$F:$F,credito!$D$11,Dataset!$AC:$AC,"A",Dataset!$J:$J,"&lt;"&amp;$D94,Dataset!$J:$J,"&gt;="&amp;$C94)+SUMIFS(Dataset!$AA:$AA,Dataset!$F:$F,credito!$D$11,Dataset!$AC:$AC,"A-",Dataset!$J:$J,"&lt;"&amp;$D94,Dataset!$J:$J,"&gt;="&amp;$C94)+SUMIFS(Dataset!$AA:$AA,Dataset!$F:$F,credito!$D$11,Dataset!$AC:$AC,"A+",Dataset!$J:$J,"&lt;"&amp;$D94,Dataset!$J:$J,"&gt;="&amp;$C94)</f>
        <v>-6.6680916368803923E-4</v>
      </c>
      <c r="T94" s="159">
        <f>SUMIFS(Dataset!$AA:$AA,Dataset!$F:$F,credito!$D$11,Dataset!$AC:$AC,"BBB-",Dataset!$J:$J,"&lt;"&amp;$D94,Dataset!$J:$J,"&gt;="&amp;$C94)+SUMIFS(Dataset!$AA:$AA,Dataset!$F:$F,credito!$D$11,Dataset!$AC:$AC,"BBB",Dataset!$J:$J,"&lt;"&amp;$D94,Dataset!$J:$J,"&gt;="&amp;$C94)+SUMIFS(Dataset!$AA:$AA,Dataset!$F:$F,credito!$D$11,Dataset!$AC:$AC,"BBB+",Dataset!$J:$J,"&lt;"&amp;$D94,Dataset!$J:$J,"&gt;="&amp;$C94)</f>
        <v>3.7703321104208945E-2</v>
      </c>
      <c r="U94" s="159">
        <f>SUMIFS(Dataset!$AA:$AA,Dataset!$F:$F,credito!$D$11,Dataset!$J:$J,"&lt;"&amp;$D94,Dataset!$J:$J,"&gt;="&amp;$C94,Dataset!$AC:$AC,"&lt;&gt;N-1+",Dataset!$AC:$AC,"&lt;&gt;*AA*",Dataset!$AC:$AC,"&lt;&gt;*AAA*",Dataset!$AC:$AC,"&lt;&gt;A",Dataset!$AC:$AC,"&lt;&gt;A-",Dataset!$AC:$AC,"&lt;&gt;A+",Dataset!$AC:$AC,"&lt;&gt;*BBB*")</f>
        <v>-2.0239661398395732E-2</v>
      </c>
      <c r="V94" s="160">
        <f t="shared" si="14"/>
        <v>2.7719276864871842E-2</v>
      </c>
      <c r="AB94" s="57">
        <v>345</v>
      </c>
      <c r="AC94" s="64">
        <v>360</v>
      </c>
      <c r="AD94" s="172">
        <f>SUMIFS(Dataset!AJ:AJ,Dataset!F:F,credito!$D$11,Dataset!AH:AH,"deposito",Dataset!T:T,"$",Dataset!J:J,"&lt;"&amp;$AC94/365,Dataset!J:J,"&gt;="&amp;$AB94/365)</f>
        <v>0</v>
      </c>
      <c r="AE94" s="172">
        <f>SUMIFS(Dataset!AJ:AJ,Dataset!F:F,credito!$D$11,Dataset!AH:AH,"deposito",Dataset!T:T,"uf",Dataset!J:J,"&lt;"&amp;$AC94/365,Dataset!J:J,"&gt;="&amp;$AB94/365)</f>
        <v>0</v>
      </c>
      <c r="AF94" s="172">
        <f>SUMIFS(Dataset!AJ:AJ,Dataset!F:F,credito!$D$11,Dataset!AH:AH,"deposito",Dataset!T:T,"us$",Dataset!J:J,"&lt;"&amp;$AC94/365,Dataset!J:J,"&gt;="&amp;$AB94/365)</f>
        <v>0</v>
      </c>
      <c r="AG94" s="172">
        <f>SUMIFS(Dataset!AJ:AJ,Dataset!F:F,credito!$D$11,Dataset!AH:AH,"factura",Dataset!J:J,"&lt;"&amp;$AC94/365,Dataset!J:J,"&gt;="&amp;$AB94/365)</f>
        <v>0</v>
      </c>
      <c r="AH94" s="173">
        <f>SUMIFS(Dataset!AJ:AJ,Dataset!F:F,credito!$D$11,Dataset!AH:AH,"letra hipotecaria",Dataset!J:J,"&lt;"&amp;$AC94/365,Dataset!J:J,"&gt;="&amp;$AB94/365)</f>
        <v>0</v>
      </c>
      <c r="AI94" s="160">
        <f t="shared" si="15"/>
        <v>0</v>
      </c>
    </row>
    <row r="95" spans="2:35" ht="27" customHeight="1" x14ac:dyDescent="0.2">
      <c r="C95" s="57">
        <v>3.5</v>
      </c>
      <c r="D95" s="61">
        <v>4.5</v>
      </c>
      <c r="E95" s="158">
        <f>SUMIFS(Dataset!$AJ:$AJ,Dataset!$F:$F,credito!$D$11,Dataset!$AC:$AC,E$90,Dataset!$J:$J,"&lt;"&amp;$D95,Dataset!$J:$J,"&gt;="&amp;$C95)</f>
        <v>0</v>
      </c>
      <c r="F95" s="159">
        <f>SUMIFS(Dataset!$AJ:$AJ,Dataset!$F:$F,credito!$D$11,Dataset!$AC:$AC,F$90,Dataset!$J:$J,"&lt;"&amp;$D95,Dataset!$J:$J,"&gt;="&amp;$C95)</f>
        <v>6.2406325393914476E-3</v>
      </c>
      <c r="G95" s="159">
        <f>SUMIFS(Dataset!$AJ:$AJ,Dataset!$F:$F,credito!$D$11,Dataset!$AC:$AC,G$90,Dataset!$J:$J,"&lt;"&amp;$D95,Dataset!$J:$J,"&gt;="&amp;$C95)</f>
        <v>0</v>
      </c>
      <c r="H95" s="159">
        <f>SUMIFS(Dataset!$AJ:$AJ,Dataset!$F:$F,credito!$D$11,Dataset!$AC:$AC,H$90,Dataset!$J:$J,"&lt;"&amp;$D95,Dataset!$J:$J,"&gt;="&amp;$C95)</f>
        <v>1.0089477349696598E-2</v>
      </c>
      <c r="I95" s="159">
        <f>SUMIFS(Dataset!$AJ:$AJ,Dataset!$F:$F,credito!$D$11,Dataset!$AC:$AC,I$90,Dataset!$J:$J,"&lt;"&amp;$D95,Dataset!$J:$J,"&gt;="&amp;$C95)</f>
        <v>1.720677895326491E-2</v>
      </c>
      <c r="J95" s="159">
        <f>SUMIFS(Dataset!$AJ:$AJ,Dataset!$F:$F,credito!$D$11,Dataset!$AC:$AC,"A",Dataset!$J:$J,"&lt;"&amp;$D95,Dataset!$J:$J,"&gt;="&amp;$C95)+SUMIFS(Dataset!$AJ:$AJ,Dataset!$F:$F,credito!$D$11,Dataset!$AC:$AC,"A-",Dataset!$J:$J,"&lt;"&amp;$D95,Dataset!$J:$J,"&gt;="&amp;$C95)+SUMIFS(Dataset!$AJ:$AJ,Dataset!$F:$F,credito!$D$11,Dataset!$AC:$AC,"A+",Dataset!$J:$J,"&lt;"&amp;$D95,Dataset!$J:$J,"&gt;="&amp;$C95)</f>
        <v>-3.1071579585576062E-2</v>
      </c>
      <c r="K95" s="159">
        <f>SUMIFS(Dataset!$AJ:$AJ,Dataset!$F:$F,credito!$D$11,Dataset!$AC:$AC,"BBB-",Dataset!$J:$J,"&lt;"&amp;$D95,Dataset!$J:$J,"&gt;="&amp;$C95)+SUMIFS(Dataset!$AJ:$AJ,Dataset!$F:$F,credito!$D$11,Dataset!$AC:$AC,"BBB",Dataset!$J:$J,"&lt;"&amp;$D95,Dataset!$J:$J,"&gt;="&amp;$C95)+SUMIFS(Dataset!$AJ:$AJ,Dataset!$F:$F,credito!$D$11,Dataset!$AC:$AC,"BBB+",Dataset!$J:$J,"&lt;"&amp;$D95,Dataset!$J:$J,"&gt;="&amp;$C95)</f>
        <v>1.5695799447775664E-2</v>
      </c>
      <c r="L95" s="159">
        <f>SUMIFS(Dataset!$AJ:$AJ,Dataset!$F:$F,credito!$D$11,Dataset!$J:$J,"&lt;"&amp;$D95,Dataset!$J:$J,"&gt;="&amp;$C95,Dataset!$AC:$AC,"&lt;&gt;N-1+",Dataset!$AC:$AC,"&lt;&gt;*AA*",Dataset!$AC:$AC,"&lt;&gt;*AAA*",Dataset!$AC:$AC,"&lt;&gt;A",Dataset!$AC:$AC,"&lt;&gt;A-",Dataset!$AC:$AC,"&lt;&gt;A+",Dataset!$AC:$AC,"&lt;&gt;*BBB*")</f>
        <v>0</v>
      </c>
      <c r="M95" s="160">
        <f t="shared" si="13"/>
        <v>1.8161108704552554E-2</v>
      </c>
      <c r="N95" s="158">
        <f>SUMIFS(Dataset!$AA:$AA,Dataset!$F:$F,credito!$D$11,Dataset!$AC:$AC,N$90,Dataset!$J:$J,"&lt;"&amp;$D95,Dataset!$J:$J,"&gt;="&amp;$C95)</f>
        <v>0</v>
      </c>
      <c r="O95" s="159">
        <f>SUMIFS(Dataset!$AA:$AA,Dataset!$F:$F,credito!$D$11,Dataset!$AC:$AC,O$90,Dataset!$J:$J,"&lt;"&amp;$D95,Dataset!$J:$J,"&gt;="&amp;$C95)</f>
        <v>2.457362322252197E-3</v>
      </c>
      <c r="P95" s="159">
        <f>SUMIFS(Dataset!$AA:$AA,Dataset!$F:$F,credito!$D$11,Dataset!$AC:$AC,P$90,Dataset!$J:$J,"&lt;"&amp;$D95,Dataset!$J:$J,"&gt;="&amp;$C95)</f>
        <v>0</v>
      </c>
      <c r="Q95" s="159">
        <f>SUMIFS(Dataset!$AA:$AA,Dataset!$F:$F,credito!$D$11,Dataset!$AC:$AC,Q$90,Dataset!$J:$J,"&lt;"&amp;$D95,Dataset!$J:$J,"&gt;="&amp;$C95)</f>
        <v>4.1592958297444636E-3</v>
      </c>
      <c r="R95" s="159">
        <f>SUMIFS(Dataset!$AA:$AA,Dataset!$F:$F,credito!$D$11,Dataset!$AC:$AC,R$90,Dataset!$J:$J,"&lt;"&amp;$D95,Dataset!$J:$J,"&gt;="&amp;$C95)</f>
        <v>6.3696220252761589E-3</v>
      </c>
      <c r="S95" s="159">
        <f>SUMIFS(Dataset!$AA:$AA,Dataset!$F:$F,credito!$D$11,Dataset!$AC:$AC,"A",Dataset!$J:$J,"&lt;"&amp;$D95,Dataset!$J:$J,"&gt;="&amp;$C95)+SUMIFS(Dataset!$AA:$AA,Dataset!$F:$F,credito!$D$11,Dataset!$AC:$AC,"A-",Dataset!$J:$J,"&lt;"&amp;$D95,Dataset!$J:$J,"&gt;="&amp;$C95)+SUMIFS(Dataset!$AA:$AA,Dataset!$F:$F,credito!$D$11,Dataset!$AC:$AC,"A+",Dataset!$J:$J,"&lt;"&amp;$D95,Dataset!$J:$J,"&gt;="&amp;$C95)</f>
        <v>1.8943610804959529E-2</v>
      </c>
      <c r="T95" s="159">
        <f>SUMIFS(Dataset!$AA:$AA,Dataset!$F:$F,credito!$D$11,Dataset!$AC:$AC,"BBB-",Dataset!$J:$J,"&lt;"&amp;$D95,Dataset!$J:$J,"&gt;="&amp;$C95)+SUMIFS(Dataset!$AA:$AA,Dataset!$F:$F,credito!$D$11,Dataset!$AC:$AC,"BBB",Dataset!$J:$J,"&lt;"&amp;$D95,Dataset!$J:$J,"&gt;="&amp;$C95)+SUMIFS(Dataset!$AA:$AA,Dataset!$F:$F,credito!$D$11,Dataset!$AC:$AC,"BBB+",Dataset!$J:$J,"&lt;"&amp;$D95,Dataset!$J:$J,"&gt;="&amp;$C95)</f>
        <v>4.7202476698270199E-2</v>
      </c>
      <c r="U95" s="159">
        <f>SUMIFS(Dataset!$AA:$AA,Dataset!$F:$F,credito!$D$11,Dataset!$J:$J,"&lt;"&amp;$D95,Dataset!$J:$J,"&gt;="&amp;$C95,Dataset!$AC:$AC,"&lt;&gt;N-1+",Dataset!$AC:$AC,"&lt;&gt;*AA*",Dataset!$AC:$AC,"&lt;&gt;*AAA*",Dataset!$AC:$AC,"&lt;&gt;A",Dataset!$AC:$AC,"&lt;&gt;A-",Dataset!$AC:$AC,"&lt;&gt;A+",Dataset!$AC:$AC,"&lt;&gt;*BBB*")</f>
        <v>0</v>
      </c>
      <c r="V95" s="160">
        <f t="shared" si="14"/>
        <v>7.9132367680502552E-2</v>
      </c>
      <c r="AB95" s="57">
        <v>360</v>
      </c>
      <c r="AC95" s="64">
        <v>720</v>
      </c>
      <c r="AD95" s="172">
        <f>SUMIFS(Dataset!AJ:AJ,Dataset!F:F,credito!$D$11,Dataset!AH:AH,"deposito",Dataset!T:T,"$",Dataset!J:J,"&lt;"&amp;$AC95/365,Dataset!J:J,"&gt;="&amp;$AB95/365)</f>
        <v>0</v>
      </c>
      <c r="AE95" s="172">
        <f>SUMIFS(Dataset!AJ:AJ,Dataset!F:F,credito!$D$11,Dataset!AH:AH,"deposito",Dataset!T:T,"uf",Dataset!J:J,"&lt;"&amp;$AC95/365,Dataset!J:J,"&gt;="&amp;$AB95/365)</f>
        <v>0</v>
      </c>
      <c r="AF95" s="172">
        <f>SUMIFS(Dataset!AJ:AJ,Dataset!F:F,credito!$D$11,Dataset!AH:AH,"deposito",Dataset!T:T,"us$",Dataset!J:J,"&lt;"&amp;$AC95/365,Dataset!J:J,"&gt;="&amp;$AB95/365)</f>
        <v>0</v>
      </c>
      <c r="AG95" s="172">
        <f>SUMIFS(Dataset!AJ:AJ,Dataset!F:F,credito!$D$11,Dataset!AH:AH,"factura",Dataset!J:J,"&lt;"&amp;$AC95/365,Dataset!J:J,"&gt;="&amp;$AB95/365)</f>
        <v>0</v>
      </c>
      <c r="AH95" s="173">
        <f>SUMIFS(Dataset!AJ:AJ,Dataset!F:F,credito!$D$11,Dataset!AH:AH,"letra hipotecaria",Dataset!J:J,"&lt;"&amp;$AC95/365,Dataset!J:J,"&gt;="&amp;$AB95/365)</f>
        <v>0</v>
      </c>
      <c r="AI95" s="160">
        <f t="shared" si="15"/>
        <v>0</v>
      </c>
    </row>
    <row r="96" spans="2:35" ht="36" customHeight="1" x14ac:dyDescent="0.4">
      <c r="B96" s="27"/>
      <c r="C96" s="57">
        <v>4.5</v>
      </c>
      <c r="D96" s="61">
        <v>5.5</v>
      </c>
      <c r="E96" s="158">
        <f>SUMIFS(Dataset!$AJ:$AJ,Dataset!$F:$F,credito!$D$11,Dataset!$AC:$AC,E$90,Dataset!$J:$J,"&lt;"&amp;$D96,Dataset!$J:$J,"&gt;="&amp;$C96)</f>
        <v>0</v>
      </c>
      <c r="F96" s="159">
        <f>SUMIFS(Dataset!$AJ:$AJ,Dataset!$F:$F,credito!$D$11,Dataset!$AC:$AC,F$90,Dataset!$J:$J,"&lt;"&amp;$D96,Dataset!$J:$J,"&gt;="&amp;$C96)</f>
        <v>0</v>
      </c>
      <c r="G96" s="159">
        <f>SUMIFS(Dataset!$AJ:$AJ,Dataset!$F:$F,credito!$D$11,Dataset!$AC:$AC,G$90,Dataset!$J:$J,"&lt;"&amp;$D96,Dataset!$J:$J,"&gt;="&amp;$C96)</f>
        <v>7.6525538064399863E-3</v>
      </c>
      <c r="H96" s="159">
        <f>SUMIFS(Dataset!$AJ:$AJ,Dataset!$F:$F,credito!$D$11,Dataset!$AC:$AC,H$90,Dataset!$J:$J,"&lt;"&amp;$D96,Dataset!$J:$J,"&gt;="&amp;$C96)</f>
        <v>0</v>
      </c>
      <c r="I96" s="159">
        <f>SUMIFS(Dataset!$AJ:$AJ,Dataset!$F:$F,credito!$D$11,Dataset!$AC:$AC,I$90,Dataset!$J:$J,"&lt;"&amp;$D96,Dataset!$J:$J,"&gt;="&amp;$C96)</f>
        <v>-1.9519012463617508E-2</v>
      </c>
      <c r="J96" s="159">
        <f>SUMIFS(Dataset!$AJ:$AJ,Dataset!$F:$F,credito!$D$11,Dataset!$AC:$AC,"A",Dataset!$J:$J,"&lt;"&amp;$D96,Dataset!$J:$J,"&gt;="&amp;$C96)+SUMIFS(Dataset!$AJ:$AJ,Dataset!$F:$F,credito!$D$11,Dataset!$AC:$AC,"A-",Dataset!$J:$J,"&lt;"&amp;$D96,Dataset!$J:$J,"&gt;="&amp;$C96)+SUMIFS(Dataset!$AJ:$AJ,Dataset!$F:$F,credito!$D$11,Dataset!$AC:$AC,"A+",Dataset!$J:$J,"&lt;"&amp;$D96,Dataset!$J:$J,"&gt;="&amp;$C96)</f>
        <v>-8.5438835892093667E-2</v>
      </c>
      <c r="K96" s="159">
        <f>SUMIFS(Dataset!$AJ:$AJ,Dataset!$F:$F,credito!$D$11,Dataset!$AC:$AC,"BBB-",Dataset!$J:$J,"&lt;"&amp;$D96,Dataset!$J:$J,"&gt;="&amp;$C96)+SUMIFS(Dataset!$AJ:$AJ,Dataset!$F:$F,credito!$D$11,Dataset!$AC:$AC,"BBB",Dataset!$J:$J,"&lt;"&amp;$D96,Dataset!$J:$J,"&gt;="&amp;$C96)+SUMIFS(Dataset!$AJ:$AJ,Dataset!$F:$F,credito!$D$11,Dataset!$AC:$AC,"BBB+",Dataset!$J:$J,"&lt;"&amp;$D96,Dataset!$J:$J,"&gt;="&amp;$C96)</f>
        <v>-2.5572192854829902E-2</v>
      </c>
      <c r="L96" s="159">
        <f>SUMIFS(Dataset!$AJ:$AJ,Dataset!$F:$F,credito!$D$11,Dataset!$J:$J,"&lt;"&amp;$D96,Dataset!$J:$J,"&gt;="&amp;$C96,Dataset!$AC:$AC,"&lt;&gt;N-1+",Dataset!$AC:$AC,"&lt;&gt;*AA*",Dataset!$AC:$AC,"&lt;&gt;*AAA*",Dataset!$AC:$AC,"&lt;&gt;A",Dataset!$AC:$AC,"&lt;&gt;A-",Dataset!$AC:$AC,"&lt;&gt;A+",Dataset!$AC:$AC,"&lt;&gt;*BBB*")</f>
        <v>4.7609589711708825E-3</v>
      </c>
      <c r="M96" s="160">
        <f t="shared" si="13"/>
        <v>-0.11811652843293022</v>
      </c>
      <c r="N96" s="158">
        <f>SUMIFS(Dataset!$AA:$AA,Dataset!$F:$F,credito!$D$11,Dataset!$AC:$AC,N$90,Dataset!$J:$J,"&lt;"&amp;$D96,Dataset!$J:$J,"&gt;="&amp;$C96)</f>
        <v>0</v>
      </c>
      <c r="O96" s="159">
        <f>SUMIFS(Dataset!$AA:$AA,Dataset!$F:$F,credito!$D$11,Dataset!$AC:$AC,O$90,Dataset!$J:$J,"&lt;"&amp;$D96,Dataset!$J:$J,"&gt;="&amp;$C96)</f>
        <v>0</v>
      </c>
      <c r="P96" s="159">
        <f>SUMIFS(Dataset!$AA:$AA,Dataset!$F:$F,credito!$D$11,Dataset!$AC:$AC,P$90,Dataset!$J:$J,"&lt;"&amp;$D96,Dataset!$J:$J,"&gt;="&amp;$C96)</f>
        <v>2.8328297473631525E-3</v>
      </c>
      <c r="Q96" s="159">
        <f>SUMIFS(Dataset!$AA:$AA,Dataset!$F:$F,credito!$D$11,Dataset!$AC:$AC,Q$90,Dataset!$J:$J,"&lt;"&amp;$D96,Dataset!$J:$J,"&gt;="&amp;$C96)</f>
        <v>0</v>
      </c>
      <c r="R96" s="159">
        <f>SUMIFS(Dataset!$AA:$AA,Dataset!$F:$F,credito!$D$11,Dataset!$AC:$AC,R$90,Dataset!$J:$J,"&lt;"&amp;$D96,Dataset!$J:$J,"&gt;="&amp;$C96)</f>
        <v>-4.9171730137059777E-3</v>
      </c>
      <c r="S96" s="159">
        <f>SUMIFS(Dataset!$AA:$AA,Dataset!$F:$F,credito!$D$11,Dataset!$AC:$AC,"A",Dataset!$J:$J,"&lt;"&amp;$D96,Dataset!$J:$J,"&gt;="&amp;$C96)+SUMIFS(Dataset!$AA:$AA,Dataset!$F:$F,credito!$D$11,Dataset!$AC:$AC,"A-",Dataset!$J:$J,"&lt;"&amp;$D96,Dataset!$J:$J,"&gt;="&amp;$C96)+SUMIFS(Dataset!$AA:$AA,Dataset!$F:$F,credito!$D$11,Dataset!$AC:$AC,"A+",Dataset!$J:$J,"&lt;"&amp;$D96,Dataset!$J:$J,"&gt;="&amp;$C96)</f>
        <v>-1.5832925239964071E-2</v>
      </c>
      <c r="T96" s="159">
        <f>SUMIFS(Dataset!$AA:$AA,Dataset!$F:$F,credito!$D$11,Dataset!$AC:$AC,"BBB-",Dataset!$J:$J,"&lt;"&amp;$D96,Dataset!$J:$J,"&gt;="&amp;$C96)+SUMIFS(Dataset!$AA:$AA,Dataset!$F:$F,credito!$D$11,Dataset!$AC:$AC,"BBB",Dataset!$J:$J,"&lt;"&amp;$D96,Dataset!$J:$J,"&gt;="&amp;$C96)+SUMIFS(Dataset!$AA:$AA,Dataset!$F:$F,credito!$D$11,Dataset!$AC:$AC,"BBB+",Dataset!$J:$J,"&lt;"&amp;$D96,Dataset!$J:$J,"&gt;="&amp;$C96)</f>
        <v>0.13193947517169929</v>
      </c>
      <c r="U96" s="159">
        <f>SUMIFS(Dataset!$AA:$AA,Dataset!$F:$F,credito!$D$11,Dataset!$J:$J,"&lt;"&amp;$D96,Dataset!$J:$J,"&gt;="&amp;$C96,Dataset!$AC:$AC,"&lt;&gt;N-1+",Dataset!$AC:$AC,"&lt;&gt;*AA*",Dataset!$AC:$AC,"&lt;&gt;*AAA*",Dataset!$AC:$AC,"&lt;&gt;A",Dataset!$AC:$AC,"&lt;&gt;A-",Dataset!$AC:$AC,"&lt;&gt;A+",Dataset!$AC:$AC,"&lt;&gt;*BBB*")</f>
        <v>2.4713579268963351E-2</v>
      </c>
      <c r="V96" s="160">
        <f t="shared" si="14"/>
        <v>0.13873578593435576</v>
      </c>
      <c r="AB96" s="57">
        <v>720</v>
      </c>
      <c r="AC96" s="64">
        <v>1080</v>
      </c>
      <c r="AD96" s="172">
        <f>SUMIFS(Dataset!AJ:AJ,Dataset!F:F,credito!$D$11,Dataset!AH:AH,"deposito",Dataset!T:T,"$",Dataset!J:J,"&lt;"&amp;$AC96/365,Dataset!J:J,"&gt;="&amp;$AB96/365)</f>
        <v>0</v>
      </c>
      <c r="AE96" s="172">
        <f>SUMIFS(Dataset!AJ:AJ,Dataset!F:F,credito!$D$11,Dataset!AH:AH,"deposito",Dataset!T:T,"uf",Dataset!J:J,"&lt;"&amp;$AC96/365,Dataset!J:J,"&gt;="&amp;$AB96/365)</f>
        <v>0</v>
      </c>
      <c r="AF96" s="172">
        <f>SUMIFS(Dataset!AJ:AJ,Dataset!F:F,credito!$D$11,Dataset!AH:AH,"deposito",Dataset!T:T,"us$",Dataset!J:J,"&lt;"&amp;$AC96/365,Dataset!J:J,"&gt;="&amp;$AB96/365)</f>
        <v>0</v>
      </c>
      <c r="AG96" s="172">
        <f>SUMIFS(Dataset!AJ:AJ,Dataset!F:F,credito!$D$11,Dataset!AH:AH,"factura",Dataset!J:J,"&lt;"&amp;$AC96/365,Dataset!J:J,"&gt;="&amp;$AB96/365)</f>
        <v>0</v>
      </c>
      <c r="AH96" s="173">
        <f>SUMIFS(Dataset!AJ:AJ,Dataset!F:F,credito!$D$11,Dataset!AH:AH,"letra hipotecaria",Dataset!J:J,"&lt;"&amp;$AC96/365,Dataset!J:J,"&gt;="&amp;$AB96/365)</f>
        <v>0</v>
      </c>
      <c r="AI96" s="160">
        <f t="shared" si="15"/>
        <v>0</v>
      </c>
    </row>
    <row r="97" spans="2:35" ht="36" customHeight="1" x14ac:dyDescent="0.25">
      <c r="B97" s="28"/>
      <c r="C97" s="57">
        <v>5.5</v>
      </c>
      <c r="D97" s="61">
        <v>6.5</v>
      </c>
      <c r="E97" s="158">
        <f>SUMIFS(Dataset!$AJ:$AJ,Dataset!$F:$F,credito!$D$11,Dataset!$AC:$AC,E$90,Dataset!$J:$J,"&lt;"&amp;$D97,Dataset!$J:$J,"&gt;="&amp;$C97)</f>
        <v>0</v>
      </c>
      <c r="F97" s="159">
        <f>SUMIFS(Dataset!$AJ:$AJ,Dataset!$F:$F,credito!$D$11,Dataset!$AC:$AC,F$90,Dataset!$J:$J,"&lt;"&amp;$D97,Dataset!$J:$J,"&gt;="&amp;$C97)</f>
        <v>0</v>
      </c>
      <c r="G97" s="159">
        <f>SUMIFS(Dataset!$AJ:$AJ,Dataset!$F:$F,credito!$D$11,Dataset!$AC:$AC,G$90,Dataset!$J:$J,"&lt;"&amp;$D97,Dataset!$J:$J,"&gt;="&amp;$C97)</f>
        <v>0</v>
      </c>
      <c r="H97" s="159">
        <f>SUMIFS(Dataset!$AJ:$AJ,Dataset!$F:$F,credito!$D$11,Dataset!$AC:$AC,H$90,Dataset!$J:$J,"&lt;"&amp;$D97,Dataset!$J:$J,"&gt;="&amp;$C97)</f>
        <v>0</v>
      </c>
      <c r="I97" s="159">
        <f>SUMIFS(Dataset!$AJ:$AJ,Dataset!$F:$F,credito!$D$11,Dataset!$AC:$AC,I$90,Dataset!$J:$J,"&lt;"&amp;$D97,Dataset!$J:$J,"&gt;="&amp;$C97)</f>
        <v>1.1907239428100383E-2</v>
      </c>
      <c r="J97" s="159">
        <f>SUMIFS(Dataset!$AJ:$AJ,Dataset!$F:$F,credito!$D$11,Dataset!$AC:$AC,"A",Dataset!$J:$J,"&lt;"&amp;$D97,Dataset!$J:$J,"&gt;="&amp;$C97)+SUMIFS(Dataset!$AJ:$AJ,Dataset!$F:$F,credito!$D$11,Dataset!$AC:$AC,"A-",Dataset!$J:$J,"&lt;"&amp;$D97,Dataset!$J:$J,"&gt;="&amp;$C97)+SUMIFS(Dataset!$AJ:$AJ,Dataset!$F:$F,credito!$D$11,Dataset!$AC:$AC,"A+",Dataset!$J:$J,"&lt;"&amp;$D97,Dataset!$J:$J,"&gt;="&amp;$C97)</f>
        <v>-1.9294325385541329E-2</v>
      </c>
      <c r="K97" s="159">
        <f>SUMIFS(Dataset!$AJ:$AJ,Dataset!$F:$F,credito!$D$11,Dataset!$AC:$AC,"BBB-",Dataset!$J:$J,"&lt;"&amp;$D97,Dataset!$J:$J,"&gt;="&amp;$C97)+SUMIFS(Dataset!$AJ:$AJ,Dataset!$F:$F,credito!$D$11,Dataset!$AC:$AC,"BBB",Dataset!$J:$J,"&lt;"&amp;$D97,Dataset!$J:$J,"&gt;="&amp;$C97)+SUMIFS(Dataset!$AJ:$AJ,Dataset!$F:$F,credito!$D$11,Dataset!$AC:$AC,"BBB+",Dataset!$J:$J,"&lt;"&amp;$D97,Dataset!$J:$J,"&gt;="&amp;$C97)</f>
        <v>-2.9589285712102301E-2</v>
      </c>
      <c r="L97" s="159">
        <f>SUMIFS(Dataset!$AJ:$AJ,Dataset!$F:$F,credito!$D$11,Dataset!$J:$J,"&lt;"&amp;$D97,Dataset!$J:$J,"&gt;="&amp;$C97,Dataset!$AC:$AC,"&lt;&gt;N-1+",Dataset!$AC:$AC,"&lt;&gt;*AA*",Dataset!$AC:$AC,"&lt;&gt;*AAA*",Dataset!$AC:$AC,"&lt;&gt;A",Dataset!$AC:$AC,"&lt;&gt;A-",Dataset!$AC:$AC,"&lt;&gt;A+",Dataset!$AC:$AC,"&lt;&gt;*BBB*")</f>
        <v>1.2127774448517504E-2</v>
      </c>
      <c r="M97" s="160">
        <f t="shared" si="13"/>
        <v>-2.4848597221025746E-2</v>
      </c>
      <c r="N97" s="158">
        <f>SUMIFS(Dataset!$AA:$AA,Dataset!$F:$F,credito!$D$11,Dataset!$AC:$AC,N$90,Dataset!$J:$J,"&lt;"&amp;$D97,Dataset!$J:$J,"&gt;="&amp;$C97)</f>
        <v>0</v>
      </c>
      <c r="O97" s="159">
        <f>SUMIFS(Dataset!$AA:$AA,Dataset!$F:$F,credito!$D$11,Dataset!$AC:$AC,O$90,Dataset!$J:$J,"&lt;"&amp;$D97,Dataset!$J:$J,"&gt;="&amp;$C97)</f>
        <v>0</v>
      </c>
      <c r="P97" s="159">
        <f>SUMIFS(Dataset!$AA:$AA,Dataset!$F:$F,credito!$D$11,Dataset!$AC:$AC,P$90,Dataset!$J:$J,"&lt;"&amp;$D97,Dataset!$J:$J,"&gt;="&amp;$C97)</f>
        <v>0</v>
      </c>
      <c r="Q97" s="159">
        <f>SUMIFS(Dataset!$AA:$AA,Dataset!$F:$F,credito!$D$11,Dataset!$AC:$AC,Q$90,Dataset!$J:$J,"&lt;"&amp;$D97,Dataset!$J:$J,"&gt;="&amp;$C97)</f>
        <v>0</v>
      </c>
      <c r="R97" s="159">
        <f>SUMIFS(Dataset!$AA:$AA,Dataset!$F:$F,credito!$D$11,Dataset!$AC:$AC,R$90,Dataset!$J:$J,"&lt;"&amp;$D97,Dataset!$J:$J,"&gt;="&amp;$C97)</f>
        <v>1.3318316397312218E-2</v>
      </c>
      <c r="S97" s="159">
        <f>SUMIFS(Dataset!$AA:$AA,Dataset!$F:$F,credito!$D$11,Dataset!$AC:$AC,"A",Dataset!$J:$J,"&lt;"&amp;$D97,Dataset!$J:$J,"&gt;="&amp;$C97)+SUMIFS(Dataset!$AA:$AA,Dataset!$F:$F,credito!$D$11,Dataset!$AC:$AC,"A-",Dataset!$J:$J,"&lt;"&amp;$D97,Dataset!$J:$J,"&gt;="&amp;$C97)+SUMIFS(Dataset!$AA:$AA,Dataset!$F:$F,credito!$D$11,Dataset!$AC:$AC,"A+",Dataset!$J:$J,"&lt;"&amp;$D97,Dataset!$J:$J,"&gt;="&amp;$C97)</f>
        <v>1.587326421579744E-2</v>
      </c>
      <c r="T97" s="159">
        <f>SUMIFS(Dataset!$AA:$AA,Dataset!$F:$F,credito!$D$11,Dataset!$AC:$AC,"BBB-",Dataset!$J:$J,"&lt;"&amp;$D97,Dataset!$J:$J,"&gt;="&amp;$C97)+SUMIFS(Dataset!$AA:$AA,Dataset!$F:$F,credito!$D$11,Dataset!$AC:$AC,"BBB",Dataset!$J:$J,"&lt;"&amp;$D97,Dataset!$J:$J,"&gt;="&amp;$C97)+SUMIFS(Dataset!$AA:$AA,Dataset!$F:$F,credito!$D$11,Dataset!$AC:$AC,"BBB+",Dataset!$J:$J,"&lt;"&amp;$D97,Dataset!$J:$J,"&gt;="&amp;$C97)</f>
        <v>0.53728197165444769</v>
      </c>
      <c r="U97" s="159">
        <f>SUMIFS(Dataset!$AA:$AA,Dataset!$F:$F,credito!$D$11,Dataset!$J:$J,"&lt;"&amp;$D97,Dataset!$J:$J,"&gt;="&amp;$C97,Dataset!$AC:$AC,"&lt;&gt;N-1+",Dataset!$AC:$AC,"&lt;&gt;*AA*",Dataset!$AC:$AC,"&lt;&gt;*AAA*",Dataset!$AC:$AC,"&lt;&gt;A",Dataset!$AC:$AC,"&lt;&gt;A-",Dataset!$AC:$AC,"&lt;&gt;A+",Dataset!$AC:$AC,"&lt;&gt;*BBB*")</f>
        <v>6.2953853835844759E-2</v>
      </c>
      <c r="V97" s="160">
        <f t="shared" si="14"/>
        <v>0.62942740610340209</v>
      </c>
      <c r="AB97" s="57">
        <v>1080</v>
      </c>
      <c r="AC97" s="64">
        <v>3600</v>
      </c>
      <c r="AD97" s="172">
        <f>SUMIFS(Dataset!AJ:AJ,Dataset!F:F,credito!$D$11,Dataset!AH:AH,"deposito",Dataset!T:T,"$",Dataset!J:J,"&lt;"&amp;$AC97/365,Dataset!J:J,"&gt;="&amp;$AB97/365)</f>
        <v>0</v>
      </c>
      <c r="AE97" s="172">
        <f>SUMIFS(Dataset!AJ:AJ,Dataset!F:F,credito!$D$11,Dataset!AH:AH,"deposito",Dataset!T:T,"uf",Dataset!J:J,"&lt;"&amp;$AC97/365,Dataset!J:J,"&gt;="&amp;$AB97/365)</f>
        <v>0</v>
      </c>
      <c r="AF97" s="172">
        <f>SUMIFS(Dataset!AJ:AJ,Dataset!F:F,credito!$D$11,Dataset!AH:AH,"deposito",Dataset!T:T,"us$",Dataset!J:J,"&lt;"&amp;$AC97/365,Dataset!J:J,"&gt;="&amp;$AB97/365)</f>
        <v>0</v>
      </c>
      <c r="AG97" s="172">
        <f>SUMIFS(Dataset!AJ:AJ,Dataset!F:F,credito!$D$11,Dataset!AH:AH,"factura",Dataset!J:J,"&lt;"&amp;$AC97/365,Dataset!J:J,"&gt;="&amp;$AB97/365)</f>
        <v>0</v>
      </c>
      <c r="AH97" s="173">
        <f>SUMIFS(Dataset!AJ:AJ,Dataset!F:F,credito!$D$11,Dataset!AH:AH,"letra hipotecaria",Dataset!J:J,"&lt;"&amp;$AC97/365,Dataset!J:J,"&gt;="&amp;$AB97/365)</f>
        <v>0</v>
      </c>
      <c r="AI97" s="160">
        <f t="shared" si="15"/>
        <v>0</v>
      </c>
    </row>
    <row r="98" spans="2:35" ht="27" customHeight="1" x14ac:dyDescent="0.2">
      <c r="C98" s="57">
        <v>6.5</v>
      </c>
      <c r="D98" s="61">
        <v>7.5</v>
      </c>
      <c r="E98" s="158">
        <f>SUMIFS(Dataset!$AJ:$AJ,Dataset!$F:$F,credito!$D$11,Dataset!$AC:$AC,E$90,Dataset!$J:$J,"&lt;"&amp;$D98,Dataset!$J:$J,"&gt;="&amp;$C98)</f>
        <v>0</v>
      </c>
      <c r="F98" s="159">
        <f>SUMIFS(Dataset!$AJ:$AJ,Dataset!$F:$F,credito!$D$11,Dataset!$AC:$AC,F$90,Dataset!$J:$J,"&lt;"&amp;$D98,Dataset!$J:$J,"&gt;="&amp;$C98)</f>
        <v>0</v>
      </c>
      <c r="G98" s="159">
        <f>SUMIFS(Dataset!$AJ:$AJ,Dataset!$F:$F,credito!$D$11,Dataset!$AC:$AC,G$90,Dataset!$J:$J,"&lt;"&amp;$D98,Dataset!$J:$J,"&gt;="&amp;$C98)</f>
        <v>0</v>
      </c>
      <c r="H98" s="159">
        <f>SUMIFS(Dataset!$AJ:$AJ,Dataset!$F:$F,credito!$D$11,Dataset!$AC:$AC,H$90,Dataset!$J:$J,"&lt;"&amp;$D98,Dataset!$J:$J,"&gt;="&amp;$C98)</f>
        <v>6.7312074242055929E-3</v>
      </c>
      <c r="I98" s="159">
        <f>SUMIFS(Dataset!$AJ:$AJ,Dataset!$F:$F,credito!$D$11,Dataset!$AC:$AC,I$90,Dataset!$J:$J,"&lt;"&amp;$D98,Dataset!$J:$J,"&gt;="&amp;$C98)</f>
        <v>5.5246596691174425E-2</v>
      </c>
      <c r="J98" s="159">
        <f>SUMIFS(Dataset!$AJ:$AJ,Dataset!$F:$F,credito!$D$11,Dataset!$AC:$AC,"A",Dataset!$J:$J,"&lt;"&amp;$D98,Dataset!$J:$J,"&gt;="&amp;$C98)+SUMIFS(Dataset!$AJ:$AJ,Dataset!$F:$F,credito!$D$11,Dataset!$AC:$AC,"A-",Dataset!$J:$J,"&lt;"&amp;$D98,Dataset!$J:$J,"&gt;="&amp;$C98)+SUMIFS(Dataset!$AJ:$AJ,Dataset!$F:$F,credito!$D$11,Dataset!$AC:$AC,"A+",Dataset!$J:$J,"&lt;"&amp;$D98,Dataset!$J:$J,"&gt;="&amp;$C98)</f>
        <v>-1.6085093554865371E-2</v>
      </c>
      <c r="K98" s="159">
        <f>SUMIFS(Dataset!$AJ:$AJ,Dataset!$F:$F,credito!$D$11,Dataset!$AC:$AC,"BBB-",Dataset!$J:$J,"&lt;"&amp;$D98,Dataset!$J:$J,"&gt;="&amp;$C98)+SUMIFS(Dataset!$AJ:$AJ,Dataset!$F:$F,credito!$D$11,Dataset!$AC:$AC,"BBB",Dataset!$J:$J,"&lt;"&amp;$D98,Dataset!$J:$J,"&gt;="&amp;$C98)+SUMIFS(Dataset!$AJ:$AJ,Dataset!$F:$F,credito!$D$11,Dataset!$AC:$AC,"BBB+",Dataset!$J:$J,"&lt;"&amp;$D98,Dataset!$J:$J,"&gt;="&amp;$C98)</f>
        <v>0</v>
      </c>
      <c r="L98" s="159">
        <f>SUMIFS(Dataset!$AJ:$AJ,Dataset!$F:$F,credito!$D$11,Dataset!$J:$J,"&lt;"&amp;$D98,Dataset!$J:$J,"&gt;="&amp;$C98,Dataset!$AC:$AC,"&lt;&gt;N-1+",Dataset!$AC:$AC,"&lt;&gt;*AA*",Dataset!$AC:$AC,"&lt;&gt;*AAA*",Dataset!$AC:$AC,"&lt;&gt;A",Dataset!$AC:$AC,"&lt;&gt;A-",Dataset!$AC:$AC,"&lt;&gt;A+",Dataset!$AC:$AC,"&lt;&gt;*BBB*")</f>
        <v>0</v>
      </c>
      <c r="M98" s="160">
        <f t="shared" si="13"/>
        <v>4.5892710560514645E-2</v>
      </c>
      <c r="N98" s="158">
        <f>SUMIFS(Dataset!$AA:$AA,Dataset!$F:$F,credito!$D$11,Dataset!$AC:$AC,N$90,Dataset!$J:$J,"&lt;"&amp;$D98,Dataset!$J:$J,"&gt;="&amp;$C98)</f>
        <v>0</v>
      </c>
      <c r="O98" s="159">
        <f>SUMIFS(Dataset!$AA:$AA,Dataset!$F:$F,credito!$D$11,Dataset!$AC:$AC,O$90,Dataset!$J:$J,"&lt;"&amp;$D98,Dataset!$J:$J,"&gt;="&amp;$C98)</f>
        <v>0</v>
      </c>
      <c r="P98" s="159">
        <f>SUMIFS(Dataset!$AA:$AA,Dataset!$F:$F,credito!$D$11,Dataset!$AC:$AC,P$90,Dataset!$J:$J,"&lt;"&amp;$D98,Dataset!$J:$J,"&gt;="&amp;$C98)</f>
        <v>0</v>
      </c>
      <c r="Q98" s="159">
        <f>SUMIFS(Dataset!$AA:$AA,Dataset!$F:$F,credito!$D$11,Dataset!$AC:$AC,Q$90,Dataset!$J:$J,"&lt;"&amp;$D98,Dataset!$J:$J,"&gt;="&amp;$C98)</f>
        <v>7.5288945647588356E-3</v>
      </c>
      <c r="R98" s="159">
        <f>SUMIFS(Dataset!$AA:$AA,Dataset!$F:$F,credito!$D$11,Dataset!$AC:$AC,R$90,Dataset!$J:$J,"&lt;"&amp;$D98,Dataset!$J:$J,"&gt;="&amp;$C98)</f>
        <v>6.1793638991699304E-2</v>
      </c>
      <c r="S98" s="159">
        <f>SUMIFS(Dataset!$AA:$AA,Dataset!$F:$F,credito!$D$11,Dataset!$AC:$AC,"A",Dataset!$J:$J,"&lt;"&amp;$D98,Dataset!$J:$J,"&gt;="&amp;$C98)+SUMIFS(Dataset!$AA:$AA,Dataset!$F:$F,credito!$D$11,Dataset!$AC:$AC,"A-",Dataset!$J:$J,"&lt;"&amp;$D98,Dataset!$J:$J,"&gt;="&amp;$C98)+SUMIFS(Dataset!$AA:$AA,Dataset!$F:$F,credito!$D$11,Dataset!$AC:$AC,"A+",Dataset!$J:$J,"&lt;"&amp;$D98,Dataset!$J:$J,"&gt;="&amp;$C98)</f>
        <v>-7.4143093101494782E-3</v>
      </c>
      <c r="T98" s="159">
        <f>SUMIFS(Dataset!$AA:$AA,Dataset!$F:$F,credito!$D$11,Dataset!$AC:$AC,"BBB-",Dataset!$J:$J,"&lt;"&amp;$D98,Dataset!$J:$J,"&gt;="&amp;$C98)+SUMIFS(Dataset!$AA:$AA,Dataset!$F:$F,credito!$D$11,Dataset!$AC:$AC,"BBB",Dataset!$J:$J,"&lt;"&amp;$D98,Dataset!$J:$J,"&gt;="&amp;$C98)+SUMIFS(Dataset!$AA:$AA,Dataset!$F:$F,credito!$D$11,Dataset!$AC:$AC,"BBB+",Dataset!$J:$J,"&lt;"&amp;$D98,Dataset!$J:$J,"&gt;="&amp;$C98)</f>
        <v>0</v>
      </c>
      <c r="U98" s="159">
        <f>SUMIFS(Dataset!$AA:$AA,Dataset!$F:$F,credito!$D$11,Dataset!$J:$J,"&lt;"&amp;$D98,Dataset!$J:$J,"&gt;="&amp;$C98,Dataset!$AC:$AC,"&lt;&gt;N-1+",Dataset!$AC:$AC,"&lt;&gt;*AA*",Dataset!$AC:$AC,"&lt;&gt;*AAA*",Dataset!$AC:$AC,"&lt;&gt;A",Dataset!$AC:$AC,"&lt;&gt;A-",Dataset!$AC:$AC,"&lt;&gt;A+",Dataset!$AC:$AC,"&lt;&gt;*BBB*")</f>
        <v>0</v>
      </c>
      <c r="V98" s="160">
        <f t="shared" si="14"/>
        <v>6.1908224246308659E-2</v>
      </c>
      <c r="AB98" s="57">
        <v>3600</v>
      </c>
      <c r="AC98" s="65">
        <v>10000</v>
      </c>
      <c r="AD98" s="174">
        <f>SUMIFS(Dataset!AJ:AJ,Dataset!F:F,credito!$D$11,Dataset!AH:AH,"deposito",Dataset!T:T,"$",Dataset!J:J,"&lt;"&amp;$AC98/365,Dataset!J:J,"&gt;="&amp;$AB98/365)</f>
        <v>0</v>
      </c>
      <c r="AE98" s="174">
        <f>SUMIFS(Dataset!AJ:AJ,Dataset!F:F,credito!$D$11,Dataset!AH:AH,"deposito",Dataset!T:T,"uf",Dataset!J:J,"&lt;"&amp;$AC98/365,Dataset!J:J,"&gt;="&amp;$AB98/365)</f>
        <v>0</v>
      </c>
      <c r="AF98" s="174">
        <f>SUMIFS(Dataset!AJ:AJ,Dataset!F:F,credito!$D$11,Dataset!AH:AH,"deposito",Dataset!T:T,"us$",Dataset!J:J,"&lt;"&amp;$AC98/365,Dataset!J:J,"&gt;="&amp;$AB98/365)</f>
        <v>0</v>
      </c>
      <c r="AG98" s="174">
        <f>SUMIFS(Dataset!AJ:AJ,Dataset!F:F,credito!$D$11,Dataset!AH:AH,"factura",Dataset!J:J,"&lt;"&amp;$AC98/365,Dataset!J:J,"&gt;="&amp;$AB98/365)</f>
        <v>0</v>
      </c>
      <c r="AH98" s="175">
        <f>SUMIFS(Dataset!AJ:AJ,Dataset!F:F,credito!$D$11,Dataset!AH:AH,"letra hipotecaria",Dataset!J:J,"&lt;"&amp;$AC98/365,Dataset!J:J,"&gt;="&amp;$AB98/365)</f>
        <v>0</v>
      </c>
      <c r="AI98" s="166">
        <f t="shared" si="15"/>
        <v>0</v>
      </c>
    </row>
    <row r="99" spans="2:35" ht="27" customHeight="1" x14ac:dyDescent="0.2">
      <c r="C99" s="57">
        <v>7.5</v>
      </c>
      <c r="D99" s="61">
        <v>8.5</v>
      </c>
      <c r="E99" s="158">
        <f>SUMIFS(Dataset!$AJ:$AJ,Dataset!$F:$F,credito!$D$11,Dataset!$AC:$AC,E$90,Dataset!$J:$J,"&lt;"&amp;$D99,Dataset!$J:$J,"&gt;="&amp;$C99)</f>
        <v>0</v>
      </c>
      <c r="F99" s="159">
        <f>SUMIFS(Dataset!$AJ:$AJ,Dataset!$F:$F,credito!$D$11,Dataset!$AC:$AC,F$90,Dataset!$J:$J,"&lt;"&amp;$D99,Dataset!$J:$J,"&gt;="&amp;$C99)</f>
        <v>1.8481690972586014E-2</v>
      </c>
      <c r="G99" s="159">
        <f>SUMIFS(Dataset!$AJ:$AJ,Dataset!$F:$F,credito!$D$11,Dataset!$AC:$AC,G$90,Dataset!$J:$J,"&lt;"&amp;$D99,Dataset!$J:$J,"&gt;="&amp;$C99)</f>
        <v>0</v>
      </c>
      <c r="H99" s="159">
        <f>SUMIFS(Dataset!$AJ:$AJ,Dataset!$F:$F,credito!$D$11,Dataset!$AC:$AC,H$90,Dataset!$J:$J,"&lt;"&amp;$D99,Dataset!$J:$J,"&gt;="&amp;$C99)</f>
        <v>0</v>
      </c>
      <c r="I99" s="159">
        <f>SUMIFS(Dataset!$AJ:$AJ,Dataset!$F:$F,credito!$D$11,Dataset!$AC:$AC,I$90,Dataset!$J:$J,"&lt;"&amp;$D99,Dataset!$J:$J,"&gt;="&amp;$C99)</f>
        <v>5.7337145507714724E-2</v>
      </c>
      <c r="J99" s="159">
        <f>SUMIFS(Dataset!$AJ:$AJ,Dataset!$F:$F,credito!$D$11,Dataset!$AC:$AC,"A",Dataset!$J:$J,"&lt;"&amp;$D99,Dataset!$J:$J,"&gt;="&amp;$C99)+SUMIFS(Dataset!$AJ:$AJ,Dataset!$F:$F,credito!$D$11,Dataset!$AC:$AC,"A-",Dataset!$J:$J,"&lt;"&amp;$D99,Dataset!$J:$J,"&gt;="&amp;$C99)+SUMIFS(Dataset!$AJ:$AJ,Dataset!$F:$F,credito!$D$11,Dataset!$AC:$AC,"A+",Dataset!$J:$J,"&lt;"&amp;$D99,Dataset!$J:$J,"&gt;="&amp;$C99)</f>
        <v>-1.9846796568358898E-2</v>
      </c>
      <c r="K99" s="159">
        <f>SUMIFS(Dataset!$AJ:$AJ,Dataset!$F:$F,credito!$D$11,Dataset!$AC:$AC,"BBB-",Dataset!$J:$J,"&lt;"&amp;$D99,Dataset!$J:$J,"&gt;="&amp;$C99)+SUMIFS(Dataset!$AJ:$AJ,Dataset!$F:$F,credito!$D$11,Dataset!$AC:$AC,"BBB",Dataset!$J:$J,"&lt;"&amp;$D99,Dataset!$J:$J,"&gt;="&amp;$C99)+SUMIFS(Dataset!$AJ:$AJ,Dataset!$F:$F,credito!$D$11,Dataset!$AC:$AC,"BBB+",Dataset!$J:$J,"&lt;"&amp;$D99,Dataset!$J:$J,"&gt;="&amp;$C99)</f>
        <v>-1.6730214291895341E-2</v>
      </c>
      <c r="L99" s="159">
        <f>SUMIFS(Dataset!$AJ:$AJ,Dataset!$F:$F,credito!$D$11,Dataset!$J:$J,"&lt;"&amp;$D99,Dataset!$J:$J,"&gt;="&amp;$C99,Dataset!$AC:$AC,"&lt;&gt;N-1+",Dataset!$AC:$AC,"&lt;&gt;*AA*",Dataset!$AC:$AC,"&lt;&gt;*AAA*",Dataset!$AC:$AC,"&lt;&gt;A",Dataset!$AC:$AC,"&lt;&gt;A-",Dataset!$AC:$AC,"&lt;&gt;A+",Dataset!$AC:$AC,"&lt;&gt;*BBB*")</f>
        <v>0</v>
      </c>
      <c r="M99" s="160">
        <f t="shared" si="13"/>
        <v>3.9241825620046501E-2</v>
      </c>
      <c r="N99" s="158">
        <f>SUMIFS(Dataset!$AA:$AA,Dataset!$F:$F,credito!$D$11,Dataset!$AC:$AC,N$90,Dataset!$J:$J,"&lt;"&amp;$D99,Dataset!$J:$J,"&gt;="&amp;$C99)</f>
        <v>0</v>
      </c>
      <c r="O99" s="159">
        <f>SUMIFS(Dataset!$AA:$AA,Dataset!$F:$F,credito!$D$11,Dataset!$AC:$AC,O$90,Dataset!$J:$J,"&lt;"&amp;$D99,Dataset!$J:$J,"&gt;="&amp;$C99)</f>
        <v>3.8694420927762718E-3</v>
      </c>
      <c r="P99" s="159">
        <f>SUMIFS(Dataset!$AA:$AA,Dataset!$F:$F,credito!$D$11,Dataset!$AC:$AC,P$90,Dataset!$J:$J,"&lt;"&amp;$D99,Dataset!$J:$J,"&gt;="&amp;$C99)</f>
        <v>0</v>
      </c>
      <c r="Q99" s="159">
        <f>SUMIFS(Dataset!$AA:$AA,Dataset!$F:$F,credito!$D$11,Dataset!$AC:$AC,Q$90,Dataset!$J:$J,"&lt;"&amp;$D99,Dataset!$J:$J,"&gt;="&amp;$C99)</f>
        <v>0</v>
      </c>
      <c r="R99" s="159">
        <f>SUMIFS(Dataset!$AA:$AA,Dataset!$F:$F,credito!$D$11,Dataset!$AC:$AC,R$90,Dataset!$J:$J,"&lt;"&amp;$D99,Dataset!$J:$J,"&gt;="&amp;$C99)</f>
        <v>6.4131929974326513E-2</v>
      </c>
      <c r="S99" s="159">
        <f>SUMIFS(Dataset!$AA:$AA,Dataset!$F:$F,credito!$D$11,Dataset!$AC:$AC,"A",Dataset!$J:$J,"&lt;"&amp;$D99,Dataset!$J:$J,"&gt;="&amp;$C99)+SUMIFS(Dataset!$AA:$AA,Dataset!$F:$F,credito!$D$11,Dataset!$AC:$AC,"A-",Dataset!$J:$J,"&lt;"&amp;$D99,Dataset!$J:$J,"&gt;="&amp;$C99)+SUMIFS(Dataset!$AA:$AA,Dataset!$F:$F,credito!$D$11,Dataset!$AC:$AC,"A+",Dataset!$J:$J,"&lt;"&amp;$D99,Dataset!$J:$J,"&gt;="&amp;$C99)</f>
        <v>-1.7045208960573904E-2</v>
      </c>
      <c r="T99" s="159">
        <f>SUMIFS(Dataset!$AA:$AA,Dataset!$F:$F,credito!$D$11,Dataset!$AC:$AC,"BBB-",Dataset!$J:$J,"&lt;"&amp;$D99,Dataset!$J:$J,"&gt;="&amp;$C99)+SUMIFS(Dataset!$AA:$AA,Dataset!$F:$F,credito!$D$11,Dataset!$AC:$AC,"BBB",Dataset!$J:$J,"&lt;"&amp;$D99,Dataset!$J:$J,"&gt;="&amp;$C99)+SUMIFS(Dataset!$AA:$AA,Dataset!$F:$F,credito!$D$11,Dataset!$AC:$AC,"BBB+",Dataset!$J:$J,"&lt;"&amp;$D99,Dataset!$J:$J,"&gt;="&amp;$C99)</f>
        <v>5.3655784547004363E-2</v>
      </c>
      <c r="U99" s="159">
        <f>SUMIFS(Dataset!$AA:$AA,Dataset!$F:$F,credito!$D$11,Dataset!$J:$J,"&lt;"&amp;$D99,Dataset!$J:$J,"&gt;="&amp;$C99,Dataset!$AC:$AC,"&lt;&gt;N-1+",Dataset!$AC:$AC,"&lt;&gt;*AA*",Dataset!$AC:$AC,"&lt;&gt;*AAA*",Dataset!$AC:$AC,"&lt;&gt;A",Dataset!$AC:$AC,"&lt;&gt;A-",Dataset!$AC:$AC,"&lt;&gt;A+",Dataset!$AC:$AC,"&lt;&gt;*BBB*")</f>
        <v>0</v>
      </c>
      <c r="V99" s="160">
        <f t="shared" si="14"/>
        <v>0.10461194765353324</v>
      </c>
      <c r="AB99" s="236" t="s">
        <v>84</v>
      </c>
      <c r="AC99" s="239"/>
      <c r="AD99" s="159">
        <f t="shared" ref="AD99:AI99" si="16">SUM(AD71:AD98)</f>
        <v>4.0119126529403618E-3</v>
      </c>
      <c r="AE99" s="159">
        <f t="shared" si="16"/>
        <v>0</v>
      </c>
      <c r="AF99" s="159">
        <f t="shared" si="16"/>
        <v>0</v>
      </c>
      <c r="AG99" s="159">
        <f t="shared" si="16"/>
        <v>9.1280191785659166E-3</v>
      </c>
      <c r="AH99" s="159">
        <f t="shared" si="16"/>
        <v>0</v>
      </c>
      <c r="AI99" s="160">
        <f t="shared" si="16"/>
        <v>1.3139931831506279E-2</v>
      </c>
    </row>
    <row r="100" spans="2:35" ht="27" customHeight="1" x14ac:dyDescent="0.2">
      <c r="C100" s="57">
        <v>8.5</v>
      </c>
      <c r="D100" s="61">
        <v>9.5</v>
      </c>
      <c r="E100" s="158">
        <f>SUMIFS(Dataset!$AJ:$AJ,Dataset!$F:$F,credito!$D$11,Dataset!$AC:$AC,E$90,Dataset!$J:$J,"&lt;"&amp;$D100,Dataset!$J:$J,"&gt;="&amp;$C100)</f>
        <v>0</v>
      </c>
      <c r="F100" s="159">
        <f>SUMIFS(Dataset!$AJ:$AJ,Dataset!$F:$F,credito!$D$11,Dataset!$AC:$AC,F$90,Dataset!$J:$J,"&lt;"&amp;$D100,Dataset!$J:$J,"&gt;="&amp;$C100)</f>
        <v>0</v>
      </c>
      <c r="G100" s="159">
        <f>SUMIFS(Dataset!$AJ:$AJ,Dataset!$F:$F,credito!$D$11,Dataset!$AC:$AC,G$90,Dataset!$J:$J,"&lt;"&amp;$D100,Dataset!$J:$J,"&gt;="&amp;$C100)</f>
        <v>0</v>
      </c>
      <c r="H100" s="159">
        <f>SUMIFS(Dataset!$AJ:$AJ,Dataset!$F:$F,credito!$D$11,Dataset!$AC:$AC,H$90,Dataset!$J:$J,"&lt;"&amp;$D100,Dataset!$J:$J,"&gt;="&amp;$C100)</f>
        <v>0</v>
      </c>
      <c r="I100" s="159">
        <f>SUMIFS(Dataset!$AJ:$AJ,Dataset!$F:$F,credito!$D$11,Dataset!$AC:$AC,I$90,Dataset!$J:$J,"&lt;"&amp;$D100,Dataset!$J:$J,"&gt;="&amp;$C100)</f>
        <v>3.8522776118093058E-2</v>
      </c>
      <c r="J100" s="159">
        <f>SUMIFS(Dataset!$AJ:$AJ,Dataset!$F:$F,credito!$D$11,Dataset!$AC:$AC,"A",Dataset!$J:$J,"&lt;"&amp;$D100,Dataset!$J:$J,"&gt;="&amp;$C100)+SUMIFS(Dataset!$AJ:$AJ,Dataset!$F:$F,credito!$D$11,Dataset!$AC:$AC,"A-",Dataset!$J:$J,"&lt;"&amp;$D100,Dataset!$J:$J,"&gt;="&amp;$C100)+SUMIFS(Dataset!$AJ:$AJ,Dataset!$F:$F,credito!$D$11,Dataset!$AC:$AC,"A+",Dataset!$J:$J,"&lt;"&amp;$D100,Dataset!$J:$J,"&gt;="&amp;$C100)</f>
        <v>2.3864871701165715E-2</v>
      </c>
      <c r="K100" s="159">
        <f>SUMIFS(Dataset!$AJ:$AJ,Dataset!$F:$F,credito!$D$11,Dataset!$AC:$AC,"BBB-",Dataset!$J:$J,"&lt;"&amp;$D100,Dataset!$J:$J,"&gt;="&amp;$C100)+SUMIFS(Dataset!$AJ:$AJ,Dataset!$F:$F,credito!$D$11,Dataset!$AC:$AC,"BBB",Dataset!$J:$J,"&lt;"&amp;$D100,Dataset!$J:$J,"&gt;="&amp;$C100)+SUMIFS(Dataset!$AJ:$AJ,Dataset!$F:$F,credito!$D$11,Dataset!$AC:$AC,"BBB+",Dataset!$J:$J,"&lt;"&amp;$D100,Dataset!$J:$J,"&gt;="&amp;$C100)</f>
        <v>0</v>
      </c>
      <c r="L100" s="159">
        <f>SUMIFS(Dataset!$AJ:$AJ,Dataset!$F:$F,credito!$D$11,Dataset!$J:$J,"&lt;"&amp;$D100,Dataset!$J:$J,"&gt;="&amp;$C100,Dataset!$AC:$AC,"&lt;&gt;N-1+",Dataset!$AC:$AC,"&lt;&gt;*AA*",Dataset!$AC:$AC,"&lt;&gt;*AAA*",Dataset!$AC:$AC,"&lt;&gt;A",Dataset!$AC:$AC,"&lt;&gt;A-",Dataset!$AC:$AC,"&lt;&gt;A+",Dataset!$AC:$AC,"&lt;&gt;*BBB*")</f>
        <v>0</v>
      </c>
      <c r="M100" s="160">
        <f t="shared" si="13"/>
        <v>6.2387647819258776E-2</v>
      </c>
      <c r="N100" s="158">
        <f>SUMIFS(Dataset!$AA:$AA,Dataset!$F:$F,credito!$D$11,Dataset!$AC:$AC,N$90,Dataset!$J:$J,"&lt;"&amp;$D100,Dataset!$J:$J,"&gt;="&amp;$C100)</f>
        <v>0</v>
      </c>
      <c r="O100" s="159">
        <f>SUMIFS(Dataset!$AA:$AA,Dataset!$F:$F,credito!$D$11,Dataset!$AC:$AC,O$90,Dataset!$J:$J,"&lt;"&amp;$D100,Dataset!$J:$J,"&gt;="&amp;$C100)</f>
        <v>0</v>
      </c>
      <c r="P100" s="159">
        <f>SUMIFS(Dataset!$AA:$AA,Dataset!$F:$F,credito!$D$11,Dataset!$AC:$AC,P$90,Dataset!$J:$J,"&lt;"&amp;$D100,Dataset!$J:$J,"&gt;="&amp;$C100)</f>
        <v>0</v>
      </c>
      <c r="Q100" s="159">
        <f>SUMIFS(Dataset!$AA:$AA,Dataset!$F:$F,credito!$D$11,Dataset!$AC:$AC,Q$90,Dataset!$J:$J,"&lt;"&amp;$D100,Dataset!$J:$J,"&gt;="&amp;$C100)</f>
        <v>0</v>
      </c>
      <c r="R100" s="159">
        <f>SUMIFS(Dataset!$AA:$AA,Dataset!$F:$F,credito!$D$11,Dataset!$AC:$AC,R$90,Dataset!$J:$J,"&lt;"&amp;$D100,Dataset!$J:$J,"&gt;="&amp;$C100)</f>
        <v>2.813403827568367E-2</v>
      </c>
      <c r="S100" s="159">
        <f>SUMIFS(Dataset!$AA:$AA,Dataset!$F:$F,credito!$D$11,Dataset!$AC:$AC,"A",Dataset!$J:$J,"&lt;"&amp;$D100,Dataset!$J:$J,"&gt;="&amp;$C100)+SUMIFS(Dataset!$AA:$AA,Dataset!$F:$F,credito!$D$11,Dataset!$AC:$AC,"A-",Dataset!$J:$J,"&lt;"&amp;$D100,Dataset!$J:$J,"&gt;="&amp;$C100)+SUMIFS(Dataset!$AA:$AA,Dataset!$F:$F,credito!$D$11,Dataset!$AC:$AC,"A+",Dataset!$J:$J,"&lt;"&amp;$D100,Dataset!$J:$J,"&gt;="&amp;$C100)</f>
        <v>2.0496089812910932E-2</v>
      </c>
      <c r="T100" s="159">
        <f>SUMIFS(Dataset!$AA:$AA,Dataset!$F:$F,credito!$D$11,Dataset!$AC:$AC,"BBB-",Dataset!$J:$J,"&lt;"&amp;$D100,Dataset!$J:$J,"&gt;="&amp;$C100)+SUMIFS(Dataset!$AA:$AA,Dataset!$F:$F,credito!$D$11,Dataset!$AC:$AC,"BBB",Dataset!$J:$J,"&lt;"&amp;$D100,Dataset!$J:$J,"&gt;="&amp;$C100)+SUMIFS(Dataset!$AA:$AA,Dataset!$F:$F,credito!$D$11,Dataset!$AC:$AC,"BBB+",Dataset!$J:$J,"&lt;"&amp;$D100,Dataset!$J:$J,"&gt;="&amp;$C100)</f>
        <v>0</v>
      </c>
      <c r="U100" s="159">
        <f>SUMIFS(Dataset!$AA:$AA,Dataset!$F:$F,credito!$D$11,Dataset!$J:$J,"&lt;"&amp;$D100,Dataset!$J:$J,"&gt;="&amp;$C100,Dataset!$AC:$AC,"&lt;&gt;N-1+",Dataset!$AC:$AC,"&lt;&gt;*AA*",Dataset!$AC:$AC,"&lt;&gt;*AAA*",Dataset!$AC:$AC,"&lt;&gt;A",Dataset!$AC:$AC,"&lt;&gt;A-",Dataset!$AC:$AC,"&lt;&gt;A+",Dataset!$AC:$AC,"&lt;&gt;*BBB*")</f>
        <v>0</v>
      </c>
      <c r="V100" s="160">
        <f t="shared" si="14"/>
        <v>4.8630128088594599E-2</v>
      </c>
    </row>
    <row r="101" spans="2:35" ht="27" customHeight="1" x14ac:dyDescent="0.2">
      <c r="C101" s="57">
        <v>9.5</v>
      </c>
      <c r="D101" s="61">
        <v>10.5</v>
      </c>
      <c r="E101" s="158">
        <f>SUMIFS(Dataset!$AJ:$AJ,Dataset!$F:$F,credito!$D$11,Dataset!$AC:$AC,E$90,Dataset!$J:$J,"&lt;"&amp;$D101,Dataset!$J:$J,"&gt;="&amp;$C101)</f>
        <v>0</v>
      </c>
      <c r="F101" s="159">
        <f>SUMIFS(Dataset!$AJ:$AJ,Dataset!$F:$F,credito!$D$11,Dataset!$AC:$AC,F$90,Dataset!$J:$J,"&lt;"&amp;$D101,Dataset!$J:$J,"&gt;="&amp;$C101)</f>
        <v>0</v>
      </c>
      <c r="G101" s="159">
        <f>SUMIFS(Dataset!$AJ:$AJ,Dataset!$F:$F,credito!$D$11,Dataset!$AC:$AC,G$90,Dataset!$J:$J,"&lt;"&amp;$D101,Dataset!$J:$J,"&gt;="&amp;$C101)</f>
        <v>0</v>
      </c>
      <c r="H101" s="159">
        <f>SUMIFS(Dataset!$AJ:$AJ,Dataset!$F:$F,credito!$D$11,Dataset!$AC:$AC,H$90,Dataset!$J:$J,"&lt;"&amp;$D101,Dataset!$J:$J,"&gt;="&amp;$C101)</f>
        <v>5.5180163527062173E-3</v>
      </c>
      <c r="I101" s="159">
        <f>SUMIFS(Dataset!$AJ:$AJ,Dataset!$F:$F,credito!$D$11,Dataset!$AC:$AC,I$90,Dataset!$J:$J,"&lt;"&amp;$D101,Dataset!$J:$J,"&gt;="&amp;$C101)</f>
        <v>0</v>
      </c>
      <c r="J101" s="159">
        <f>SUMIFS(Dataset!$AJ:$AJ,Dataset!$F:$F,credito!$D$11,Dataset!$AC:$AC,"A",Dataset!$J:$J,"&lt;"&amp;$D101,Dataset!$J:$J,"&gt;="&amp;$C101)+SUMIFS(Dataset!$AJ:$AJ,Dataset!$F:$F,credito!$D$11,Dataset!$AC:$AC,"A-",Dataset!$J:$J,"&lt;"&amp;$D101,Dataset!$J:$J,"&gt;="&amp;$C101)+SUMIFS(Dataset!$AJ:$AJ,Dataset!$F:$F,credito!$D$11,Dataset!$AC:$AC,"A+",Dataset!$J:$J,"&lt;"&amp;$D101,Dataset!$J:$J,"&gt;="&amp;$C101)</f>
        <v>-4.7758886294537645E-2</v>
      </c>
      <c r="K101" s="159">
        <f>SUMIFS(Dataset!$AJ:$AJ,Dataset!$F:$F,credito!$D$11,Dataset!$AC:$AC,"BBB-",Dataset!$J:$J,"&lt;"&amp;$D101,Dataset!$J:$J,"&gt;="&amp;$C101)+SUMIFS(Dataset!$AJ:$AJ,Dataset!$F:$F,credito!$D$11,Dataset!$AC:$AC,"BBB",Dataset!$J:$J,"&lt;"&amp;$D101,Dataset!$J:$J,"&gt;="&amp;$C101)+SUMIFS(Dataset!$AJ:$AJ,Dataset!$F:$F,credito!$D$11,Dataset!$AC:$AC,"BBB+",Dataset!$J:$J,"&lt;"&amp;$D101,Dataset!$J:$J,"&gt;="&amp;$C101)</f>
        <v>-1.080957589007E-4</v>
      </c>
      <c r="L101" s="159">
        <f>SUMIFS(Dataset!$AJ:$AJ,Dataset!$F:$F,credito!$D$11,Dataset!$J:$J,"&lt;"&amp;$D101,Dataset!$J:$J,"&gt;="&amp;$C101,Dataset!$AC:$AC,"&lt;&gt;N-1+",Dataset!$AC:$AC,"&lt;&gt;*AA*",Dataset!$AC:$AC,"&lt;&gt;*AAA*",Dataset!$AC:$AC,"&lt;&gt;A",Dataset!$AC:$AC,"&lt;&gt;A-",Dataset!$AC:$AC,"&lt;&gt;A+",Dataset!$AC:$AC,"&lt;&gt;*BBB*")</f>
        <v>0</v>
      </c>
      <c r="M101" s="160">
        <f t="shared" si="13"/>
        <v>-4.2348965700732127E-2</v>
      </c>
      <c r="N101" s="158">
        <f>SUMIFS(Dataset!$AA:$AA,Dataset!$F:$F,credito!$D$11,Dataset!$AC:$AC,N$90,Dataset!$J:$J,"&lt;"&amp;$D101,Dataset!$J:$J,"&gt;="&amp;$C101)</f>
        <v>0</v>
      </c>
      <c r="O101" s="159">
        <f>SUMIFS(Dataset!$AA:$AA,Dataset!$F:$F,credito!$D$11,Dataset!$AC:$AC,O$90,Dataset!$J:$J,"&lt;"&amp;$D101,Dataset!$J:$J,"&gt;="&amp;$C101)</f>
        <v>0</v>
      </c>
      <c r="P101" s="159">
        <f>SUMIFS(Dataset!$AA:$AA,Dataset!$F:$F,credito!$D$11,Dataset!$AC:$AC,P$90,Dataset!$J:$J,"&lt;"&amp;$D101,Dataset!$J:$J,"&gt;="&amp;$C101)</f>
        <v>0</v>
      </c>
      <c r="Q101" s="159">
        <f>SUMIFS(Dataset!$AA:$AA,Dataset!$F:$F,credito!$D$11,Dataset!$AC:$AC,Q$90,Dataset!$J:$J,"&lt;"&amp;$D101,Dataset!$J:$J,"&gt;="&amp;$C101)</f>
        <v>6.1719333112132176E-3</v>
      </c>
      <c r="R101" s="159">
        <f>SUMIFS(Dataset!$AA:$AA,Dataset!$F:$F,credito!$D$11,Dataset!$AC:$AC,R$90,Dataset!$J:$J,"&lt;"&amp;$D101,Dataset!$J:$J,"&gt;="&amp;$C101)</f>
        <v>0</v>
      </c>
      <c r="S101" s="159">
        <f>SUMIFS(Dataset!$AA:$AA,Dataset!$F:$F,credito!$D$11,Dataset!$AC:$AC,"A",Dataset!$J:$J,"&lt;"&amp;$D101,Dataset!$J:$J,"&gt;="&amp;$C101)+SUMIFS(Dataset!$AA:$AA,Dataset!$F:$F,credito!$D$11,Dataset!$AC:$AC,"A-",Dataset!$J:$J,"&lt;"&amp;$D101,Dataset!$J:$J,"&gt;="&amp;$C101)+SUMIFS(Dataset!$AA:$AA,Dataset!$F:$F,credito!$D$11,Dataset!$AC:$AC,"A+",Dataset!$J:$J,"&lt;"&amp;$D101,Dataset!$J:$J,"&gt;="&amp;$C101)</f>
        <v>-4.101720868709427E-2</v>
      </c>
      <c r="T101" s="159">
        <f>SUMIFS(Dataset!$AA:$AA,Dataset!$F:$F,credito!$D$11,Dataset!$AC:$AC,"BBB-",Dataset!$J:$J,"&lt;"&amp;$D101,Dataset!$J:$J,"&gt;="&amp;$C101)+SUMIFS(Dataset!$AA:$AA,Dataset!$F:$F,credito!$D$11,Dataset!$AC:$AC,"BBB",Dataset!$J:$J,"&lt;"&amp;$D101,Dataset!$J:$J,"&gt;="&amp;$C101)+SUMIFS(Dataset!$AA:$AA,Dataset!$F:$F,credito!$D$11,Dataset!$AC:$AC,"BBB+",Dataset!$J:$J,"&lt;"&amp;$D101,Dataset!$J:$J,"&gt;="&amp;$C101)</f>
        <v>3.4667593904225E-4</v>
      </c>
      <c r="U101" s="159">
        <f>SUMIFS(Dataset!$AA:$AA,Dataset!$F:$F,credito!$D$11,Dataset!$J:$J,"&lt;"&amp;$D101,Dataset!$J:$J,"&gt;="&amp;$C101,Dataset!$AC:$AC,"&lt;&gt;N-1+",Dataset!$AC:$AC,"&lt;&gt;*AA*",Dataset!$AC:$AC,"&lt;&gt;*AAA*",Dataset!$AC:$AC,"&lt;&gt;A",Dataset!$AC:$AC,"&lt;&gt;A-",Dataset!$AC:$AC,"&lt;&gt;A+",Dataset!$AC:$AC,"&lt;&gt;*BBB*")</f>
        <v>0</v>
      </c>
      <c r="V101" s="160">
        <f t="shared" si="14"/>
        <v>-3.4498599436838799E-2</v>
      </c>
    </row>
    <row r="102" spans="2:35" ht="27" customHeight="1" x14ac:dyDescent="0.2">
      <c r="C102" s="57">
        <v>10.5</v>
      </c>
      <c r="D102" s="61">
        <v>11.5</v>
      </c>
      <c r="E102" s="158">
        <f>SUMIFS(Dataset!$AJ:$AJ,Dataset!$F:$F,credito!$D$11,Dataset!$AC:$AC,E$90,Dataset!$J:$J,"&lt;"&amp;$D102,Dataset!$J:$J,"&gt;="&amp;$C102)</f>
        <v>0</v>
      </c>
      <c r="F102" s="159">
        <f>SUMIFS(Dataset!$AJ:$AJ,Dataset!$F:$F,credito!$D$11,Dataset!$AC:$AC,F$90,Dataset!$J:$J,"&lt;"&amp;$D102,Dataset!$J:$J,"&gt;="&amp;$C102)</f>
        <v>0</v>
      </c>
      <c r="G102" s="159">
        <f>SUMIFS(Dataset!$AJ:$AJ,Dataset!$F:$F,credito!$D$11,Dataset!$AC:$AC,G$90,Dataset!$J:$J,"&lt;"&amp;$D102,Dataset!$J:$J,"&gt;="&amp;$C102)</f>
        <v>0</v>
      </c>
      <c r="H102" s="159">
        <f>SUMIFS(Dataset!$AJ:$AJ,Dataset!$F:$F,credito!$D$11,Dataset!$AC:$AC,H$90,Dataset!$J:$J,"&lt;"&amp;$D102,Dataset!$J:$J,"&gt;="&amp;$C102)</f>
        <v>0</v>
      </c>
      <c r="I102" s="159">
        <f>SUMIFS(Dataset!$AJ:$AJ,Dataset!$F:$F,credito!$D$11,Dataset!$AC:$AC,I$90,Dataset!$J:$J,"&lt;"&amp;$D102,Dataset!$J:$J,"&gt;="&amp;$C102)</f>
        <v>1.2861831575956611E-2</v>
      </c>
      <c r="J102" s="159">
        <f>SUMIFS(Dataset!$AJ:$AJ,Dataset!$F:$F,credito!$D$11,Dataset!$AC:$AC,"A",Dataset!$J:$J,"&lt;"&amp;$D102,Dataset!$J:$J,"&gt;="&amp;$C102)+SUMIFS(Dataset!$AJ:$AJ,Dataset!$F:$F,credito!$D$11,Dataset!$AC:$AC,"A-",Dataset!$J:$J,"&lt;"&amp;$D102,Dataset!$J:$J,"&gt;="&amp;$C102)+SUMIFS(Dataset!$AJ:$AJ,Dataset!$F:$F,credito!$D$11,Dataset!$AC:$AC,"A+",Dataset!$J:$J,"&lt;"&amp;$D102,Dataset!$J:$J,"&gt;="&amp;$C102)</f>
        <v>2.3595168243858829E-2</v>
      </c>
      <c r="K102" s="159">
        <f>SUMIFS(Dataset!$AJ:$AJ,Dataset!$F:$F,credito!$D$11,Dataset!$AC:$AC,"BBB-",Dataset!$J:$J,"&lt;"&amp;$D102,Dataset!$J:$J,"&gt;="&amp;$C102)+SUMIFS(Dataset!$AJ:$AJ,Dataset!$F:$F,credito!$D$11,Dataset!$AC:$AC,"BBB",Dataset!$J:$J,"&lt;"&amp;$D102,Dataset!$J:$J,"&gt;="&amp;$C102)+SUMIFS(Dataset!$AJ:$AJ,Dataset!$F:$F,credito!$D$11,Dataset!$AC:$AC,"BBB+",Dataset!$J:$J,"&lt;"&amp;$D102,Dataset!$J:$J,"&gt;="&amp;$C102)</f>
        <v>0</v>
      </c>
      <c r="L102" s="159">
        <f>SUMIFS(Dataset!$AJ:$AJ,Dataset!$F:$F,credito!$D$11,Dataset!$J:$J,"&lt;"&amp;$D102,Dataset!$J:$J,"&gt;="&amp;$C102,Dataset!$AC:$AC,"&lt;&gt;N-1+",Dataset!$AC:$AC,"&lt;&gt;*AA*",Dataset!$AC:$AC,"&lt;&gt;*AAA*",Dataset!$AC:$AC,"&lt;&gt;A",Dataset!$AC:$AC,"&lt;&gt;A-",Dataset!$AC:$AC,"&lt;&gt;A+",Dataset!$AC:$AC,"&lt;&gt;*BBB*")</f>
        <v>0</v>
      </c>
      <c r="M102" s="160">
        <f t="shared" si="13"/>
        <v>3.6456999819815442E-2</v>
      </c>
      <c r="N102" s="158">
        <f>SUMIFS(Dataset!$AA:$AA,Dataset!$F:$F,credito!$D$11,Dataset!$AC:$AC,N$90,Dataset!$J:$J,"&lt;"&amp;$D102,Dataset!$J:$J,"&gt;="&amp;$C102)</f>
        <v>0</v>
      </c>
      <c r="O102" s="159">
        <f>SUMIFS(Dataset!$AA:$AA,Dataset!$F:$F,credito!$D$11,Dataset!$AC:$AC,O$90,Dataset!$J:$J,"&lt;"&amp;$D102,Dataset!$J:$J,"&gt;="&amp;$C102)</f>
        <v>0</v>
      </c>
      <c r="P102" s="159">
        <f>SUMIFS(Dataset!$AA:$AA,Dataset!$F:$F,credito!$D$11,Dataset!$AC:$AC,P$90,Dataset!$J:$J,"&lt;"&amp;$D102,Dataset!$J:$J,"&gt;="&amp;$C102)</f>
        <v>0</v>
      </c>
      <c r="Q102" s="159">
        <f>SUMIFS(Dataset!$AA:$AA,Dataset!$F:$F,credito!$D$11,Dataset!$AC:$AC,Q$90,Dataset!$J:$J,"&lt;"&amp;$D102,Dataset!$J:$J,"&gt;="&amp;$C102)</f>
        <v>0</v>
      </c>
      <c r="R102" s="159">
        <f>SUMIFS(Dataset!$AA:$AA,Dataset!$F:$F,credito!$D$11,Dataset!$AC:$AC,R$90,Dataset!$J:$J,"&lt;"&amp;$D102,Dataset!$J:$J,"&gt;="&amp;$C102)</f>
        <v>1.4386033254129241E-2</v>
      </c>
      <c r="S102" s="159">
        <f>SUMIFS(Dataset!$AA:$AA,Dataset!$F:$F,credito!$D$11,Dataset!$AC:$AC,"A",Dataset!$J:$J,"&lt;"&amp;$D102,Dataset!$J:$J,"&gt;="&amp;$C102)+SUMIFS(Dataset!$AA:$AA,Dataset!$F:$F,credito!$D$11,Dataset!$AC:$AC,"A-",Dataset!$J:$J,"&lt;"&amp;$D102,Dataset!$J:$J,"&gt;="&amp;$C102)+SUMIFS(Dataset!$AA:$AA,Dataset!$F:$F,credito!$D$11,Dataset!$AC:$AC,"A+",Dataset!$J:$J,"&lt;"&amp;$D102,Dataset!$J:$J,"&gt;="&amp;$C102)</f>
        <v>2.0264457883226412E-2</v>
      </c>
      <c r="T102" s="159">
        <f>SUMIFS(Dataset!$AA:$AA,Dataset!$F:$F,credito!$D$11,Dataset!$AC:$AC,"BBB-",Dataset!$J:$J,"&lt;"&amp;$D102,Dataset!$J:$J,"&gt;="&amp;$C102)+SUMIFS(Dataset!$AA:$AA,Dataset!$F:$F,credito!$D$11,Dataset!$AC:$AC,"BBB",Dataset!$J:$J,"&lt;"&amp;$D102,Dataset!$J:$J,"&gt;="&amp;$C102)+SUMIFS(Dataset!$AA:$AA,Dataset!$F:$F,credito!$D$11,Dataset!$AC:$AC,"BBB+",Dataset!$J:$J,"&lt;"&amp;$D102,Dataset!$J:$J,"&gt;="&amp;$C102)</f>
        <v>0</v>
      </c>
      <c r="U102" s="159">
        <f>SUMIFS(Dataset!$AA:$AA,Dataset!$F:$F,credito!$D$11,Dataset!$J:$J,"&lt;"&amp;$D102,Dataset!$J:$J,"&gt;="&amp;$C102,Dataset!$AC:$AC,"&lt;&gt;N-1+",Dataset!$AC:$AC,"&lt;&gt;*AA*",Dataset!$AC:$AC,"&lt;&gt;*AAA*",Dataset!$AC:$AC,"&lt;&gt;A",Dataset!$AC:$AC,"&lt;&gt;A-",Dataset!$AC:$AC,"&lt;&gt;A+",Dataset!$AC:$AC,"&lt;&gt;*BBB*")</f>
        <v>0</v>
      </c>
      <c r="V102" s="160">
        <f t="shared" si="14"/>
        <v>3.4650491137355653E-2</v>
      </c>
    </row>
    <row r="103" spans="2:35" ht="27" customHeight="1" x14ac:dyDescent="0.2">
      <c r="C103" s="57">
        <v>11.5</v>
      </c>
      <c r="D103" s="61">
        <v>12.5</v>
      </c>
      <c r="E103" s="158">
        <f>SUMIFS(Dataset!$AJ:$AJ,Dataset!$F:$F,credito!$D$11,Dataset!$AC:$AC,E$90,Dataset!$J:$J,"&lt;"&amp;$D103,Dataset!$J:$J,"&gt;="&amp;$C103)</f>
        <v>0</v>
      </c>
      <c r="F103" s="159">
        <f>SUMIFS(Dataset!$AJ:$AJ,Dataset!$F:$F,credito!$D$11,Dataset!$AC:$AC,F$90,Dataset!$J:$J,"&lt;"&amp;$D103,Dataset!$J:$J,"&gt;="&amp;$C103)</f>
        <v>0</v>
      </c>
      <c r="G103" s="159">
        <f>SUMIFS(Dataset!$AJ:$AJ,Dataset!$F:$F,credito!$D$11,Dataset!$AC:$AC,G$90,Dataset!$J:$J,"&lt;"&amp;$D103,Dataset!$J:$J,"&gt;="&amp;$C103)</f>
        <v>0</v>
      </c>
      <c r="H103" s="159">
        <f>SUMIFS(Dataset!$AJ:$AJ,Dataset!$F:$F,credito!$D$11,Dataset!$AC:$AC,H$90,Dataset!$J:$J,"&lt;"&amp;$D103,Dataset!$J:$J,"&gt;="&amp;$C103)</f>
        <v>0</v>
      </c>
      <c r="I103" s="159">
        <f>SUMIFS(Dataset!$AJ:$AJ,Dataset!$F:$F,credito!$D$11,Dataset!$AC:$AC,I$90,Dataset!$J:$J,"&lt;"&amp;$D103,Dataset!$J:$J,"&gt;="&amp;$C103)</f>
        <v>1.760280631517943E-2</v>
      </c>
      <c r="J103" s="159">
        <f>SUMIFS(Dataset!$AJ:$AJ,Dataset!$F:$F,credito!$D$11,Dataset!$AC:$AC,"A",Dataset!$J:$J,"&lt;"&amp;$D103,Dataset!$J:$J,"&gt;="&amp;$C103)+SUMIFS(Dataset!$AJ:$AJ,Dataset!$F:$F,credito!$D$11,Dataset!$AC:$AC,"A-",Dataset!$J:$J,"&lt;"&amp;$D103,Dataset!$J:$J,"&gt;="&amp;$C103)+SUMIFS(Dataset!$AJ:$AJ,Dataset!$F:$F,credito!$D$11,Dataset!$AC:$AC,"A+",Dataset!$J:$J,"&lt;"&amp;$D103,Dataset!$J:$J,"&gt;="&amp;$C103)</f>
        <v>-5.6157439376089057E-3</v>
      </c>
      <c r="K103" s="159">
        <f>SUMIFS(Dataset!$AJ:$AJ,Dataset!$F:$F,credito!$D$11,Dataset!$AC:$AC,"BBB-",Dataset!$J:$J,"&lt;"&amp;$D103,Dataset!$J:$J,"&gt;="&amp;$C103)+SUMIFS(Dataset!$AJ:$AJ,Dataset!$F:$F,credito!$D$11,Dataset!$AC:$AC,"BBB",Dataset!$J:$J,"&lt;"&amp;$D103,Dataset!$J:$J,"&gt;="&amp;$C103)+SUMIFS(Dataset!$AJ:$AJ,Dataset!$F:$F,credito!$D$11,Dataset!$AC:$AC,"BBB+",Dataset!$J:$J,"&lt;"&amp;$D103,Dataset!$J:$J,"&gt;="&amp;$C103)</f>
        <v>0</v>
      </c>
      <c r="L103" s="159">
        <f>SUMIFS(Dataset!$AJ:$AJ,Dataset!$F:$F,credito!$D$11,Dataset!$J:$J,"&lt;"&amp;$D103,Dataset!$J:$J,"&gt;="&amp;$C103,Dataset!$AC:$AC,"&lt;&gt;N-1+",Dataset!$AC:$AC,"&lt;&gt;*AA*",Dataset!$AC:$AC,"&lt;&gt;*AAA*",Dataset!$AC:$AC,"&lt;&gt;A",Dataset!$AC:$AC,"&lt;&gt;A-",Dataset!$AC:$AC,"&lt;&gt;A+",Dataset!$AC:$AC,"&lt;&gt;*BBB*")</f>
        <v>0</v>
      </c>
      <c r="M103" s="160">
        <f t="shared" si="13"/>
        <v>1.1987062377570523E-2</v>
      </c>
      <c r="N103" s="158">
        <f>SUMIFS(Dataset!$AA:$AA,Dataset!$F:$F,credito!$D$11,Dataset!$AC:$AC,N$90,Dataset!$J:$J,"&lt;"&amp;$D103,Dataset!$J:$J,"&gt;="&amp;$C103)</f>
        <v>0</v>
      </c>
      <c r="O103" s="159">
        <f>SUMIFS(Dataset!$AA:$AA,Dataset!$F:$F,credito!$D$11,Dataset!$AC:$AC,O$90,Dataset!$J:$J,"&lt;"&amp;$D103,Dataset!$J:$J,"&gt;="&amp;$C103)</f>
        <v>0</v>
      </c>
      <c r="P103" s="159">
        <f>SUMIFS(Dataset!$AA:$AA,Dataset!$F:$F,credito!$D$11,Dataset!$AC:$AC,P$90,Dataset!$J:$J,"&lt;"&amp;$D103,Dataset!$J:$J,"&gt;="&amp;$C103)</f>
        <v>0</v>
      </c>
      <c r="Q103" s="159">
        <f>SUMIFS(Dataset!$AA:$AA,Dataset!$F:$F,credito!$D$11,Dataset!$AC:$AC,Q$90,Dataset!$J:$J,"&lt;"&amp;$D103,Dataset!$J:$J,"&gt;="&amp;$C103)</f>
        <v>0</v>
      </c>
      <c r="R103" s="159">
        <f>SUMIFS(Dataset!$AA:$AA,Dataset!$F:$F,credito!$D$11,Dataset!$AC:$AC,R$90,Dataset!$J:$J,"&lt;"&amp;$D103,Dataset!$J:$J,"&gt;="&amp;$C103)</f>
        <v>1.968884101153633E-2</v>
      </c>
      <c r="S103" s="159">
        <f>SUMIFS(Dataset!$AA:$AA,Dataset!$F:$F,credito!$D$11,Dataset!$AC:$AC,"A",Dataset!$J:$J,"&lt;"&amp;$D103,Dataset!$J:$J,"&gt;="&amp;$C103)+SUMIFS(Dataset!$AA:$AA,Dataset!$F:$F,credito!$D$11,Dataset!$AC:$AC,"A-",Dataset!$J:$J,"&lt;"&amp;$D103,Dataset!$J:$J,"&gt;="&amp;$C103)+SUMIFS(Dataset!$AA:$AA,Dataset!$F:$F,credito!$D$11,Dataset!$AC:$AC,"A+",Dataset!$J:$J,"&lt;"&amp;$D103,Dataset!$J:$J,"&gt;="&amp;$C103)</f>
        <v>-4.8230216174143482E-3</v>
      </c>
      <c r="T103" s="159">
        <f>SUMIFS(Dataset!$AA:$AA,Dataset!$F:$F,credito!$D$11,Dataset!$AC:$AC,"BBB-",Dataset!$J:$J,"&lt;"&amp;$D103,Dataset!$J:$J,"&gt;="&amp;$C103)+SUMIFS(Dataset!$AA:$AA,Dataset!$F:$F,credito!$D$11,Dataset!$AC:$AC,"BBB",Dataset!$J:$J,"&lt;"&amp;$D103,Dataset!$J:$J,"&gt;="&amp;$C103)+SUMIFS(Dataset!$AA:$AA,Dataset!$F:$F,credito!$D$11,Dataset!$AC:$AC,"BBB+",Dataset!$J:$J,"&lt;"&amp;$D103,Dataset!$J:$J,"&gt;="&amp;$C103)</f>
        <v>0</v>
      </c>
      <c r="U103" s="159">
        <f>SUMIFS(Dataset!$AA:$AA,Dataset!$F:$F,credito!$D$11,Dataset!$J:$J,"&lt;"&amp;$D103,Dataset!$J:$J,"&gt;="&amp;$C103,Dataset!$AC:$AC,"&lt;&gt;N-1+",Dataset!$AC:$AC,"&lt;&gt;*AA*",Dataset!$AC:$AC,"&lt;&gt;*AAA*",Dataset!$AC:$AC,"&lt;&gt;A",Dataset!$AC:$AC,"&lt;&gt;A-",Dataset!$AC:$AC,"&lt;&gt;A+",Dataset!$AC:$AC,"&lt;&gt;*BBB*")</f>
        <v>0</v>
      </c>
      <c r="V103" s="160">
        <f t="shared" si="14"/>
        <v>1.486581939412198E-2</v>
      </c>
    </row>
    <row r="104" spans="2:35" ht="27" customHeight="1" x14ac:dyDescent="0.2">
      <c r="C104" s="57">
        <v>12.5</v>
      </c>
      <c r="D104" s="61">
        <v>13.5</v>
      </c>
      <c r="E104" s="158">
        <f>SUMIFS(Dataset!$AJ:$AJ,Dataset!$F:$F,credito!$D$11,Dataset!$AC:$AC,E$90,Dataset!$J:$J,"&lt;"&amp;$D104,Dataset!$J:$J,"&gt;="&amp;$C104)</f>
        <v>0</v>
      </c>
      <c r="F104" s="159">
        <f>SUMIFS(Dataset!$AJ:$AJ,Dataset!$F:$F,credito!$D$11,Dataset!$AC:$AC,F$90,Dataset!$J:$J,"&lt;"&amp;$D104,Dataset!$J:$J,"&gt;="&amp;$C104)</f>
        <v>0</v>
      </c>
      <c r="G104" s="159">
        <f>SUMIFS(Dataset!$AJ:$AJ,Dataset!$F:$F,credito!$D$11,Dataset!$AC:$AC,G$90,Dataset!$J:$J,"&lt;"&amp;$D104,Dataset!$J:$J,"&gt;="&amp;$C104)</f>
        <v>0</v>
      </c>
      <c r="H104" s="159">
        <f>SUMIFS(Dataset!$AJ:$AJ,Dataset!$F:$F,credito!$D$11,Dataset!$AC:$AC,H$90,Dataset!$J:$J,"&lt;"&amp;$D104,Dataset!$J:$J,"&gt;="&amp;$C104)</f>
        <v>0</v>
      </c>
      <c r="I104" s="159">
        <f>SUMIFS(Dataset!$AJ:$AJ,Dataset!$F:$F,credito!$D$11,Dataset!$AC:$AC,I$90,Dataset!$J:$J,"&lt;"&amp;$D104,Dataset!$J:$J,"&gt;="&amp;$C104)</f>
        <v>1.1441413923689039E-2</v>
      </c>
      <c r="J104" s="159">
        <f>SUMIFS(Dataset!$AJ:$AJ,Dataset!$F:$F,credito!$D$11,Dataset!$AC:$AC,"A",Dataset!$J:$J,"&lt;"&amp;$D104,Dataset!$J:$J,"&gt;="&amp;$C104)+SUMIFS(Dataset!$AJ:$AJ,Dataset!$F:$F,credito!$D$11,Dataset!$AC:$AC,"A-",Dataset!$J:$J,"&lt;"&amp;$D104,Dataset!$J:$J,"&gt;="&amp;$C104)+SUMIFS(Dataset!$AJ:$AJ,Dataset!$F:$F,credito!$D$11,Dataset!$AC:$AC,"A+",Dataset!$J:$J,"&lt;"&amp;$D104,Dataset!$J:$J,"&gt;="&amp;$C104)</f>
        <v>-2.4658816746785057E-2</v>
      </c>
      <c r="K104" s="159">
        <f>SUMIFS(Dataset!$AJ:$AJ,Dataset!$F:$F,credito!$D$11,Dataset!$AC:$AC,"BBB-",Dataset!$J:$J,"&lt;"&amp;$D104,Dataset!$J:$J,"&gt;="&amp;$C104)+SUMIFS(Dataset!$AJ:$AJ,Dataset!$F:$F,credito!$D$11,Dataset!$AC:$AC,"BBB",Dataset!$J:$J,"&lt;"&amp;$D104,Dataset!$J:$J,"&gt;="&amp;$C104)+SUMIFS(Dataset!$AJ:$AJ,Dataset!$F:$F,credito!$D$11,Dataset!$AC:$AC,"BBB+",Dataset!$J:$J,"&lt;"&amp;$D104,Dataset!$J:$J,"&gt;="&amp;$C104)</f>
        <v>0</v>
      </c>
      <c r="L104" s="159">
        <f>SUMIFS(Dataset!$AJ:$AJ,Dataset!$F:$F,credito!$D$11,Dataset!$J:$J,"&lt;"&amp;$D104,Dataset!$J:$J,"&gt;="&amp;$C104,Dataset!$AC:$AC,"&lt;&gt;N-1+",Dataset!$AC:$AC,"&lt;&gt;*AA*",Dataset!$AC:$AC,"&lt;&gt;*AAA*",Dataset!$AC:$AC,"&lt;&gt;A",Dataset!$AC:$AC,"&lt;&gt;A-",Dataset!$AC:$AC,"&lt;&gt;A+",Dataset!$AC:$AC,"&lt;&gt;*BBB*")</f>
        <v>0</v>
      </c>
      <c r="M104" s="160">
        <f t="shared" si="13"/>
        <v>-1.3217402823096018E-2</v>
      </c>
      <c r="N104" s="158">
        <f>SUMIFS(Dataset!$AA:$AA,Dataset!$F:$F,credito!$D$11,Dataset!$AC:$AC,N$90,Dataset!$J:$J,"&lt;"&amp;$D104,Dataset!$J:$J,"&gt;="&amp;$C104)</f>
        <v>0</v>
      </c>
      <c r="O104" s="159">
        <f>SUMIFS(Dataset!$AA:$AA,Dataset!$F:$F,credito!$D$11,Dataset!$AC:$AC,O$90,Dataset!$J:$J,"&lt;"&amp;$D104,Dataset!$J:$J,"&gt;="&amp;$C104)</f>
        <v>0</v>
      </c>
      <c r="P104" s="159">
        <f>SUMIFS(Dataset!$AA:$AA,Dataset!$F:$F,credito!$D$11,Dataset!$AC:$AC,P$90,Dataset!$J:$J,"&lt;"&amp;$D104,Dataset!$J:$J,"&gt;="&amp;$C104)</f>
        <v>0</v>
      </c>
      <c r="Q104" s="159">
        <f>SUMIFS(Dataset!$AA:$AA,Dataset!$F:$F,credito!$D$11,Dataset!$AC:$AC,Q$90,Dataset!$J:$J,"&lt;"&amp;$D104,Dataset!$J:$J,"&gt;="&amp;$C104)</f>
        <v>0</v>
      </c>
      <c r="R104" s="159">
        <f>SUMIFS(Dataset!$AA:$AA,Dataset!$F:$F,credito!$D$11,Dataset!$AC:$AC,R$90,Dataset!$J:$J,"&lt;"&amp;$D104,Dataset!$J:$J,"&gt;="&amp;$C104)</f>
        <v>1.2797287867471226E-2</v>
      </c>
      <c r="S104" s="159">
        <f>SUMIFS(Dataset!$AA:$AA,Dataset!$F:$F,credito!$D$11,Dataset!$AC:$AC,"A",Dataset!$J:$J,"&lt;"&amp;$D104,Dataset!$J:$J,"&gt;="&amp;$C104)+SUMIFS(Dataset!$AA:$AA,Dataset!$F:$F,credito!$D$11,Dataset!$AC:$AC,"A-",Dataset!$J:$J,"&lt;"&amp;$D104,Dataset!$J:$J,"&gt;="&amp;$C104)+SUMIFS(Dataset!$AA:$AA,Dataset!$F:$F,credito!$D$11,Dataset!$AC:$AC,"A+",Dataset!$J:$J,"&lt;"&amp;$D104,Dataset!$J:$J,"&gt;="&amp;$C104)</f>
        <v>-2.1177961023671928E-2</v>
      </c>
      <c r="T104" s="159">
        <f>SUMIFS(Dataset!$AA:$AA,Dataset!$F:$F,credito!$D$11,Dataset!$AC:$AC,"BBB-",Dataset!$J:$J,"&lt;"&amp;$D104,Dataset!$J:$J,"&gt;="&amp;$C104)+SUMIFS(Dataset!$AA:$AA,Dataset!$F:$F,credito!$D$11,Dataset!$AC:$AC,"BBB",Dataset!$J:$J,"&lt;"&amp;$D104,Dataset!$J:$J,"&gt;="&amp;$C104)+SUMIFS(Dataset!$AA:$AA,Dataset!$F:$F,credito!$D$11,Dataset!$AC:$AC,"BBB+",Dataset!$J:$J,"&lt;"&amp;$D104,Dataset!$J:$J,"&gt;="&amp;$C104)</f>
        <v>0</v>
      </c>
      <c r="U104" s="159">
        <f>SUMIFS(Dataset!$AA:$AA,Dataset!$F:$F,credito!$D$11,Dataset!$J:$J,"&lt;"&amp;$D104,Dataset!$J:$J,"&gt;="&amp;$C104,Dataset!$AC:$AC,"&lt;&gt;N-1+",Dataset!$AC:$AC,"&lt;&gt;*AA*",Dataset!$AC:$AC,"&lt;&gt;*AAA*",Dataset!$AC:$AC,"&lt;&gt;A",Dataset!$AC:$AC,"&lt;&gt;A-",Dataset!$AC:$AC,"&lt;&gt;A+",Dataset!$AC:$AC,"&lt;&gt;*BBB*")</f>
        <v>0</v>
      </c>
      <c r="V104" s="160">
        <f t="shared" si="14"/>
        <v>-8.3806731562007016E-3</v>
      </c>
    </row>
    <row r="105" spans="2:35" ht="27" customHeight="1" x14ac:dyDescent="0.2">
      <c r="C105" s="57">
        <v>13.5</v>
      </c>
      <c r="D105" s="61">
        <v>14.5</v>
      </c>
      <c r="E105" s="158">
        <f>SUMIFS(Dataset!$AJ:$AJ,Dataset!$F:$F,credito!$D$11,Dataset!$AC:$AC,E$90,Dataset!$J:$J,"&lt;"&amp;$D105,Dataset!$J:$J,"&gt;="&amp;$C105)</f>
        <v>0</v>
      </c>
      <c r="F105" s="159">
        <f>SUMIFS(Dataset!$AJ:$AJ,Dataset!$F:$F,credito!$D$11,Dataset!$AC:$AC,F$90,Dataset!$J:$J,"&lt;"&amp;$D105,Dataset!$J:$J,"&gt;="&amp;$C105)</f>
        <v>0</v>
      </c>
      <c r="G105" s="159">
        <f>SUMIFS(Dataset!$AJ:$AJ,Dataset!$F:$F,credito!$D$11,Dataset!$AC:$AC,G$90,Dataset!$J:$J,"&lt;"&amp;$D105,Dataset!$J:$J,"&gt;="&amp;$C105)</f>
        <v>0</v>
      </c>
      <c r="H105" s="159">
        <f>SUMIFS(Dataset!$AJ:$AJ,Dataset!$F:$F,credito!$D$11,Dataset!$AC:$AC,H$90,Dataset!$J:$J,"&lt;"&amp;$D105,Dataset!$J:$J,"&gt;="&amp;$C105)</f>
        <v>0</v>
      </c>
      <c r="I105" s="159">
        <f>SUMIFS(Dataset!$AJ:$AJ,Dataset!$F:$F,credito!$D$11,Dataset!$AC:$AC,I$90,Dataset!$J:$J,"&lt;"&amp;$D105,Dataset!$J:$J,"&gt;="&amp;$C105)</f>
        <v>4.2528640599914349E-3</v>
      </c>
      <c r="J105" s="159">
        <f>SUMIFS(Dataset!$AJ:$AJ,Dataset!$F:$F,credito!$D$11,Dataset!$AC:$AC,"A",Dataset!$J:$J,"&lt;"&amp;$D105,Dataset!$J:$J,"&gt;="&amp;$C105)+SUMIFS(Dataset!$AJ:$AJ,Dataset!$F:$F,credito!$D$11,Dataset!$AC:$AC,"A-",Dataset!$J:$J,"&lt;"&amp;$D105,Dataset!$J:$J,"&gt;="&amp;$C105)+SUMIFS(Dataset!$AJ:$AJ,Dataset!$F:$F,credito!$D$11,Dataset!$AC:$AC,"A+",Dataset!$J:$J,"&lt;"&amp;$D105,Dataset!$J:$J,"&gt;="&amp;$C105)</f>
        <v>-3.8922478874423003E-2</v>
      </c>
      <c r="K105" s="159">
        <f>SUMIFS(Dataset!$AJ:$AJ,Dataset!$F:$F,credito!$D$11,Dataset!$AC:$AC,"BBB-",Dataset!$J:$J,"&lt;"&amp;$D105,Dataset!$J:$J,"&gt;="&amp;$C105)+SUMIFS(Dataset!$AJ:$AJ,Dataset!$F:$F,credito!$D$11,Dataset!$AC:$AC,"BBB",Dataset!$J:$J,"&lt;"&amp;$D105,Dataset!$J:$J,"&gt;="&amp;$C105)+SUMIFS(Dataset!$AJ:$AJ,Dataset!$F:$F,credito!$D$11,Dataset!$AC:$AC,"BBB+",Dataset!$J:$J,"&lt;"&amp;$D105,Dataset!$J:$J,"&gt;="&amp;$C105)</f>
        <v>0</v>
      </c>
      <c r="L105" s="159">
        <f>SUMIFS(Dataset!$AJ:$AJ,Dataset!$F:$F,credito!$D$11,Dataset!$J:$J,"&lt;"&amp;$D105,Dataset!$J:$J,"&gt;="&amp;$C105,Dataset!$AC:$AC,"&lt;&gt;N-1+",Dataset!$AC:$AC,"&lt;&gt;*AA*",Dataset!$AC:$AC,"&lt;&gt;*AAA*",Dataset!$AC:$AC,"&lt;&gt;A",Dataset!$AC:$AC,"&lt;&gt;A-",Dataset!$AC:$AC,"&lt;&gt;A+",Dataset!$AC:$AC,"&lt;&gt;*BBB*")</f>
        <v>0</v>
      </c>
      <c r="M105" s="160">
        <f t="shared" si="13"/>
        <v>-3.4669614814431565E-2</v>
      </c>
      <c r="N105" s="158">
        <f>SUMIFS(Dataset!$AA:$AA,Dataset!$F:$F,credito!$D$11,Dataset!$AC:$AC,N$90,Dataset!$J:$J,"&lt;"&amp;$D105,Dataset!$J:$J,"&gt;="&amp;$C105)</f>
        <v>0</v>
      </c>
      <c r="O105" s="159">
        <f>SUMIFS(Dataset!$AA:$AA,Dataset!$F:$F,credito!$D$11,Dataset!$AC:$AC,O$90,Dataset!$J:$J,"&lt;"&amp;$D105,Dataset!$J:$J,"&gt;="&amp;$C105)</f>
        <v>0</v>
      </c>
      <c r="P105" s="159">
        <f>SUMIFS(Dataset!$AA:$AA,Dataset!$F:$F,credito!$D$11,Dataset!$AC:$AC,P$90,Dataset!$J:$J,"&lt;"&amp;$D105,Dataset!$J:$J,"&gt;="&amp;$C105)</f>
        <v>0</v>
      </c>
      <c r="Q105" s="159">
        <f>SUMIFS(Dataset!$AA:$AA,Dataset!$F:$F,credito!$D$11,Dataset!$AC:$AC,Q$90,Dataset!$J:$J,"&lt;"&amp;$D105,Dataset!$J:$J,"&gt;="&amp;$C105)</f>
        <v>0</v>
      </c>
      <c r="R105" s="159">
        <f>SUMIFS(Dataset!$AA:$AA,Dataset!$F:$F,credito!$D$11,Dataset!$AC:$AC,R$90,Dataset!$J:$J,"&lt;"&amp;$D105,Dataset!$J:$J,"&gt;="&amp;$C105)</f>
        <v>4.7568531302103782E-3</v>
      </c>
      <c r="S105" s="159">
        <f>SUMIFS(Dataset!$AA:$AA,Dataset!$F:$F,credito!$D$11,Dataset!$AC:$AC,"A",Dataset!$J:$J,"&lt;"&amp;$D105,Dataset!$J:$J,"&gt;="&amp;$C105)+SUMIFS(Dataset!$AA:$AA,Dataset!$F:$F,credito!$D$11,Dataset!$AC:$AC,"A-",Dataset!$J:$J,"&lt;"&amp;$D105,Dataset!$J:$J,"&gt;="&amp;$C105)+SUMIFS(Dataset!$AA:$AA,Dataset!$F:$F,credito!$D$11,Dataset!$AC:$AC,"A+",Dataset!$J:$J,"&lt;"&amp;$D105,Dataset!$J:$J,"&gt;="&amp;$C105)</f>
        <v>-3.3428154684457603E-2</v>
      </c>
      <c r="T105" s="159">
        <f>SUMIFS(Dataset!$AA:$AA,Dataset!$F:$F,credito!$D$11,Dataset!$AC:$AC,"BBB-",Dataset!$J:$J,"&lt;"&amp;$D105,Dataset!$J:$J,"&gt;="&amp;$C105)+SUMIFS(Dataset!$AA:$AA,Dataset!$F:$F,credito!$D$11,Dataset!$AC:$AC,"BBB",Dataset!$J:$J,"&lt;"&amp;$D105,Dataset!$J:$J,"&gt;="&amp;$C105)+SUMIFS(Dataset!$AA:$AA,Dataset!$F:$F,credito!$D$11,Dataset!$AC:$AC,"BBB+",Dataset!$J:$J,"&lt;"&amp;$D105,Dataset!$J:$J,"&gt;="&amp;$C105)</f>
        <v>0</v>
      </c>
      <c r="U105" s="159">
        <f>SUMIFS(Dataset!$AA:$AA,Dataset!$F:$F,credito!$D$11,Dataset!$J:$J,"&lt;"&amp;$D105,Dataset!$J:$J,"&gt;="&amp;$C105,Dataset!$AC:$AC,"&lt;&gt;N-1+",Dataset!$AC:$AC,"&lt;&gt;*AA*",Dataset!$AC:$AC,"&lt;&gt;*AAA*",Dataset!$AC:$AC,"&lt;&gt;A",Dataset!$AC:$AC,"&lt;&gt;A-",Dataset!$AC:$AC,"&lt;&gt;A+",Dataset!$AC:$AC,"&lt;&gt;*BBB*")</f>
        <v>0</v>
      </c>
      <c r="V105" s="160">
        <f t="shared" si="14"/>
        <v>-2.8671301554247224E-2</v>
      </c>
    </row>
    <row r="106" spans="2:35" ht="27" customHeight="1" x14ac:dyDescent="0.2">
      <c r="C106" s="57">
        <v>14.5</v>
      </c>
      <c r="D106" s="61">
        <v>100</v>
      </c>
      <c r="E106" s="164">
        <f>SUMIFS(Dataset!$AJ:$AJ,Dataset!$F:$F,credito!$D$11,Dataset!$AC:$AC,E$90,Dataset!$J:$J,"&lt;"&amp;$D106,Dataset!$J:$J,"&gt;="&amp;$C106)</f>
        <v>0</v>
      </c>
      <c r="F106" s="165">
        <f>SUMIFS(Dataset!$AJ:$AJ,Dataset!$F:$F,credito!$D$11,Dataset!$AC:$AC,F$90,Dataset!$J:$J,"&lt;"&amp;$D106,Dataset!$J:$J,"&gt;="&amp;$C106)</f>
        <v>0</v>
      </c>
      <c r="G106" s="165">
        <f>SUMIFS(Dataset!$AJ:$AJ,Dataset!$F:$F,credito!$D$11,Dataset!$AC:$AC,G$90,Dataset!$J:$J,"&lt;"&amp;$D106,Dataset!$J:$J,"&gt;="&amp;$C106)</f>
        <v>0</v>
      </c>
      <c r="H106" s="165">
        <f>SUMIFS(Dataset!$AJ:$AJ,Dataset!$F:$F,credito!$D$11,Dataset!$AC:$AC,H$90,Dataset!$J:$J,"&lt;"&amp;$D106,Dataset!$J:$J,"&gt;="&amp;$C106)</f>
        <v>0</v>
      </c>
      <c r="I106" s="165">
        <f>SUMIFS(Dataset!$AJ:$AJ,Dataset!$F:$F,credito!$D$11,Dataset!$AC:$AC,I$90,Dataset!$J:$J,"&lt;"&amp;$D106,Dataset!$J:$J,"&gt;="&amp;$C106)</f>
        <v>0</v>
      </c>
      <c r="J106" s="165">
        <f>SUMIFS(Dataset!$AJ:$AJ,Dataset!$F:$F,credito!$D$11,Dataset!$AC:$AC,"A",Dataset!$J:$J,"&lt;"&amp;$D106,Dataset!$J:$J,"&gt;="&amp;$C106)+SUMIFS(Dataset!$AJ:$AJ,Dataset!$F:$F,credito!$D$11,Dataset!$AC:$AC,"A-",Dataset!$J:$J,"&lt;"&amp;$D106,Dataset!$J:$J,"&gt;="&amp;$C106)+SUMIFS(Dataset!$AJ:$AJ,Dataset!$F:$F,credito!$D$11,Dataset!$AC:$AC,"A+",Dataset!$J:$J,"&lt;"&amp;$D106,Dataset!$J:$J,"&gt;="&amp;$C106)</f>
        <v>-1.1556178652738971E-3</v>
      </c>
      <c r="K106" s="165">
        <f>SUMIFS(Dataset!$AJ:$AJ,Dataset!$F:$F,credito!$D$11,Dataset!$AC:$AC,"BBB-",Dataset!$J:$J,"&lt;"&amp;$D106,Dataset!$J:$J,"&gt;="&amp;$C106)+SUMIFS(Dataset!$AJ:$AJ,Dataset!$F:$F,credito!$D$11,Dataset!$AC:$AC,"BBB",Dataset!$J:$J,"&lt;"&amp;$D106,Dataset!$J:$J,"&gt;="&amp;$C106)+SUMIFS(Dataset!$AJ:$AJ,Dataset!$F:$F,credito!$D$11,Dataset!$AC:$AC,"BBB+",Dataset!$J:$J,"&lt;"&amp;$D106,Dataset!$J:$J,"&gt;="&amp;$C106)</f>
        <v>0</v>
      </c>
      <c r="L106" s="165">
        <f>SUMIFS(Dataset!$AJ:$AJ,Dataset!$F:$F,credito!$D$11,Dataset!$J:$J,"&lt;"&amp;$D106,Dataset!$J:$J,"&gt;="&amp;$C106,Dataset!$AC:$AC,"&lt;&gt;N-1+",Dataset!$AC:$AC,"&lt;&gt;*AA*",Dataset!$AC:$AC,"&lt;&gt;*AAA*",Dataset!$AC:$AC,"&lt;&gt;A",Dataset!$AC:$AC,"&lt;&gt;A-",Dataset!$AC:$AC,"&lt;&gt;A+",Dataset!$AC:$AC,"&lt;&gt;*BBB*")</f>
        <v>0</v>
      </c>
      <c r="M106" s="166">
        <f t="shared" si="13"/>
        <v>-1.1556178652738971E-3</v>
      </c>
      <c r="N106" s="164">
        <f>SUMIFS(Dataset!$AA:$AA,Dataset!$F:$F,credito!$D$11,Dataset!$AC:$AC,N$90,Dataset!$J:$J,"&lt;"&amp;$D106,Dataset!$J:$J,"&gt;="&amp;$C106)</f>
        <v>0</v>
      </c>
      <c r="O106" s="165">
        <f>SUMIFS(Dataset!$AA:$AA,Dataset!$F:$F,credito!$D$11,Dataset!$AC:$AC,O$90,Dataset!$J:$J,"&lt;"&amp;$D106,Dataset!$J:$J,"&gt;="&amp;$C106)</f>
        <v>0</v>
      </c>
      <c r="P106" s="165">
        <f>SUMIFS(Dataset!$AA:$AA,Dataset!$F:$F,credito!$D$11,Dataset!$AC:$AC,P$90,Dataset!$J:$J,"&lt;"&amp;$D106,Dataset!$J:$J,"&gt;="&amp;$C106)</f>
        <v>0</v>
      </c>
      <c r="Q106" s="165">
        <f>SUMIFS(Dataset!$AA:$AA,Dataset!$F:$F,credito!$D$11,Dataset!$AC:$AC,Q$90,Dataset!$J:$J,"&lt;"&amp;$D106,Dataset!$J:$J,"&gt;="&amp;$C106)</f>
        <v>0</v>
      </c>
      <c r="R106" s="165">
        <f>SUMIFS(Dataset!$AA:$AA,Dataset!$F:$F,credito!$D$11,Dataset!$AC:$AC,R$90,Dataset!$J:$J,"&lt;"&amp;$D106,Dataset!$J:$J,"&gt;="&amp;$C106)</f>
        <v>0</v>
      </c>
      <c r="S106" s="165">
        <f>SUMIFS(Dataset!$AA:$AA,Dataset!$F:$F,credito!$D$11,Dataset!$AC:$AC,"A",Dataset!$J:$J,"&lt;"&amp;$D106,Dataset!$J:$J,"&gt;="&amp;$C106)+SUMIFS(Dataset!$AA:$AA,Dataset!$F:$F,credito!$D$11,Dataset!$AC:$AC,"A-",Dataset!$J:$J,"&lt;"&amp;$D106,Dataset!$J:$J,"&gt;="&amp;$C106)+SUMIFS(Dataset!$AA:$AA,Dataset!$F:$F,credito!$D$11,Dataset!$AC:$AC,"A+",Dataset!$J:$J,"&lt;"&amp;$D106,Dataset!$J:$J,"&gt;="&amp;$C106)</f>
        <v>-9.9249004363603094E-4</v>
      </c>
      <c r="T106" s="165">
        <f>SUMIFS(Dataset!$AA:$AA,Dataset!$F:$F,credito!$D$11,Dataset!$AC:$AC,"BBB-",Dataset!$J:$J,"&lt;"&amp;$D106,Dataset!$J:$J,"&gt;="&amp;$C106)+SUMIFS(Dataset!$AA:$AA,Dataset!$F:$F,credito!$D$11,Dataset!$AC:$AC,"BBB",Dataset!$J:$J,"&lt;"&amp;$D106,Dataset!$J:$J,"&gt;="&amp;$C106)+SUMIFS(Dataset!$AA:$AA,Dataset!$F:$F,credito!$D$11,Dataset!$AC:$AC,"BBB+",Dataset!$J:$J,"&lt;"&amp;$D106,Dataset!$J:$J,"&gt;="&amp;$C106)</f>
        <v>0</v>
      </c>
      <c r="U106" s="165">
        <f>SUMIFS(Dataset!$AA:$AA,Dataset!$F:$F,credito!$D$11,Dataset!$J:$J,"&lt;"&amp;$D106,Dataset!$J:$J,"&gt;="&amp;$C106,Dataset!$AC:$AC,"&lt;&gt;N-1+",Dataset!$AC:$AC,"&lt;&gt;*AA*",Dataset!$AC:$AC,"&lt;&gt;*AAA*",Dataset!$AC:$AC,"&lt;&gt;A",Dataset!$AC:$AC,"&lt;&gt;A-",Dataset!$AC:$AC,"&lt;&gt;A+",Dataset!$AC:$AC,"&lt;&gt;*BBB*")</f>
        <v>0</v>
      </c>
      <c r="V106" s="166">
        <f t="shared" si="14"/>
        <v>-9.9249004363603094E-4</v>
      </c>
    </row>
    <row r="107" spans="2:35" ht="27" customHeight="1" x14ac:dyDescent="0.2">
      <c r="C107" s="236"/>
      <c r="D107" s="237"/>
      <c r="E107" s="159">
        <f>SUM(E91:E106)</f>
        <v>4.0119126529403618E-3</v>
      </c>
      <c r="F107" s="159">
        <f t="shared" ref="F107:L107" si="17">SUM(F91:F106)</f>
        <v>4.5835368672812751E-2</v>
      </c>
      <c r="G107" s="159">
        <f t="shared" si="17"/>
        <v>7.6525538064399863E-3</v>
      </c>
      <c r="H107" s="159">
        <f t="shared" si="17"/>
        <v>6.6713094918887481E-2</v>
      </c>
      <c r="I107" s="159">
        <f t="shared" si="17"/>
        <v>0.23258401026867226</v>
      </c>
      <c r="J107" s="159">
        <f t="shared" si="17"/>
        <v>-0.3222273260723606</v>
      </c>
      <c r="K107" s="159">
        <f t="shared" si="17"/>
        <v>-0.13035044135921486</v>
      </c>
      <c r="L107" s="159">
        <f t="shared" si="17"/>
        <v>7.1964506527287753E-2</v>
      </c>
      <c r="M107" s="160">
        <f t="shared" si="13"/>
        <v>-2.3816320584534867E-2</v>
      </c>
      <c r="N107" s="159">
        <f>SUM(N91:N106)</f>
        <v>4.2446705332998682E-6</v>
      </c>
      <c r="O107" s="159">
        <f t="shared" ref="O107:U107" si="18">SUM(O91:O106)</f>
        <v>1.0413261815792735E-2</v>
      </c>
      <c r="P107" s="159">
        <f t="shared" si="18"/>
        <v>2.8328297473631525E-3</v>
      </c>
      <c r="Q107" s="159">
        <f t="shared" si="18"/>
        <v>3.2981903212900628E-2</v>
      </c>
      <c r="R107" s="159">
        <f t="shared" si="18"/>
        <v>0.2278475321579406</v>
      </c>
      <c r="S107" s="159">
        <f t="shared" si="18"/>
        <v>-6.0859270038097026E-2</v>
      </c>
      <c r="T107" s="159">
        <f t="shared" si="18"/>
        <v>0.86666156587422383</v>
      </c>
      <c r="U107" s="159">
        <f t="shared" si="18"/>
        <v>-7.9882067440657151E-2</v>
      </c>
      <c r="V107" s="160">
        <f>SUM(N107:U107)</f>
        <v>1.0000000000000002</v>
      </c>
    </row>
    <row r="109" spans="2:35" ht="44.25" customHeight="1" x14ac:dyDescent="0.2"/>
    <row r="117" ht="48" customHeight="1" x14ac:dyDescent="0.2"/>
    <row r="134" spans="3:35" ht="45" customHeight="1" x14ac:dyDescent="0.2"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  <c r="AI134" s="72"/>
    </row>
    <row r="135" spans="3:35" ht="27" customHeight="1" x14ac:dyDescent="0.5">
      <c r="C135" s="73" t="s">
        <v>74</v>
      </c>
      <c r="D135" s="34"/>
      <c r="E135" s="34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</row>
  </sheetData>
  <mergeCells count="20">
    <mergeCell ref="AB70:AC70"/>
    <mergeCell ref="AB99:AC99"/>
    <mergeCell ref="C90:D90"/>
    <mergeCell ref="C107:D107"/>
    <mergeCell ref="C88:D88"/>
    <mergeCell ref="C71:D71"/>
    <mergeCell ref="E46:N46"/>
    <mergeCell ref="E69:N69"/>
    <mergeCell ref="P69:Y69"/>
    <mergeCell ref="Y46:AH46"/>
    <mergeCell ref="C3:AI3"/>
    <mergeCell ref="C4:AI4"/>
    <mergeCell ref="C48:D48"/>
    <mergeCell ref="O46:V46"/>
    <mergeCell ref="AB67:AI67"/>
    <mergeCell ref="C13:I13"/>
    <mergeCell ref="C36:H36"/>
    <mergeCell ref="K15:R15"/>
    <mergeCell ref="K29:R29"/>
    <mergeCell ref="C65:D65"/>
  </mergeCells>
  <conditionalFormatting sqref="E49:N64">
    <cfRule type="colorScale" priority="9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E72:N87">
    <cfRule type="colorScale" priority="8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P72:Y87">
    <cfRule type="colorScale" priority="7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Y49:AH64">
    <cfRule type="colorScale" priority="6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P49:W64">
    <cfRule type="colorScale" priority="5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AD71:AH98">
    <cfRule type="colorScale" priority="3">
      <colorScale>
        <cfvo type="min"/>
        <cfvo type="max"/>
        <color theme="0"/>
        <color theme="5" tint="0.59999389629810485"/>
      </colorScale>
    </cfRule>
  </conditionalFormatting>
  <conditionalFormatting sqref="E91:L106">
    <cfRule type="colorScale" priority="2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N91:U106">
    <cfRule type="colorScale" priority="1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printOptions horizontalCentered="1"/>
  <pageMargins left="0" right="0" top="0" bottom="0" header="0" footer="0"/>
  <pageSetup scale="1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-0.249977111117893"/>
    <pageSetUpPr fitToPage="1"/>
  </sheetPr>
  <dimension ref="A1:AH132"/>
  <sheetViews>
    <sheetView showGridLines="0" showZeros="0" zoomScale="25" zoomScaleNormal="25" workbookViewId="0">
      <selection activeCell="L19" sqref="L19"/>
    </sheetView>
  </sheetViews>
  <sheetFormatPr baseColWidth="10" defaultRowHeight="27" customHeight="1" x14ac:dyDescent="0.2"/>
  <cols>
    <col min="1" max="1" width="11" customWidth="1"/>
    <col min="2" max="2" width="9.75" customWidth="1"/>
    <col min="3" max="3" width="32.5" customWidth="1"/>
    <col min="4" max="4" width="23.125" customWidth="1"/>
    <col min="5" max="5" width="31" customWidth="1"/>
    <col min="6" max="6" width="31.125" customWidth="1"/>
    <col min="7" max="7" width="25.875" customWidth="1"/>
    <col min="8" max="8" width="33.5" customWidth="1"/>
    <col min="9" max="9" width="29.25" customWidth="1"/>
    <col min="10" max="10" width="28.125" customWidth="1"/>
    <col min="11" max="11" width="27.375" customWidth="1"/>
    <col min="12" max="12" width="65.75" customWidth="1"/>
    <col min="13" max="13" width="24.625" customWidth="1"/>
    <col min="14" max="14" width="28.75" customWidth="1"/>
    <col min="15" max="15" width="33.125" customWidth="1"/>
    <col min="16" max="16" width="35.375" customWidth="1"/>
    <col min="17" max="17" width="20.75" customWidth="1"/>
    <col min="18" max="18" width="19.875" customWidth="1"/>
    <col min="19" max="19" width="25.25" customWidth="1"/>
    <col min="20" max="20" width="29" customWidth="1"/>
    <col min="21" max="21" width="32.375" customWidth="1"/>
    <col min="22" max="22" width="28.75" customWidth="1"/>
    <col min="23" max="23" width="18.875" customWidth="1"/>
    <col min="24" max="24" width="21.125" customWidth="1"/>
    <col min="25" max="25" width="20.625" customWidth="1"/>
    <col min="26" max="26" width="26.125" customWidth="1"/>
    <col min="27" max="27" width="31.75" customWidth="1"/>
    <col min="28" max="28" width="38.5" customWidth="1"/>
    <col min="29" max="29" width="25.125" customWidth="1"/>
    <col min="30" max="30" width="20" customWidth="1"/>
    <col min="31" max="31" width="30.25" customWidth="1"/>
    <col min="32" max="32" width="18.625" customWidth="1"/>
    <col min="33" max="33" width="17" customWidth="1"/>
    <col min="34" max="34" width="19.5" customWidth="1"/>
  </cols>
  <sheetData>
    <row r="1" spans="1:34" ht="27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spans="1:34" ht="27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</row>
    <row r="3" spans="1:34" ht="81" customHeight="1" x14ac:dyDescent="0.25">
      <c r="A3" s="31"/>
      <c r="B3" s="31"/>
      <c r="C3" s="232" t="s">
        <v>1740</v>
      </c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  <c r="AA3" s="232"/>
      <c r="AB3" s="232"/>
      <c r="AC3" s="232"/>
      <c r="AD3" s="232"/>
      <c r="AE3" s="232"/>
      <c r="AF3" s="232"/>
      <c r="AG3" s="232"/>
      <c r="AH3" s="232"/>
    </row>
    <row r="4" spans="1:34" ht="66" customHeight="1" x14ac:dyDescent="0.25">
      <c r="A4" s="31"/>
      <c r="B4" s="31"/>
      <c r="C4" s="242" t="str">
        <f>TEXT(Historical!H2," mmmm dd, aaaa")</f>
        <v xml:space="preserve"> October 16, Monday</v>
      </c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</row>
    <row r="5" spans="1:34" ht="18" customHeight="1" x14ac:dyDescent="0.2"/>
    <row r="6" spans="1:34" ht="18" customHeight="1" x14ac:dyDescent="0.2"/>
    <row r="7" spans="1:34" ht="18" customHeight="1" x14ac:dyDescent="0.2"/>
    <row r="8" spans="1:34" ht="18" customHeight="1" x14ac:dyDescent="0.2"/>
    <row r="9" spans="1:34" ht="18" customHeight="1" x14ac:dyDescent="0.2"/>
    <row r="10" spans="1:34" ht="27" customHeight="1" x14ac:dyDescent="0.2">
      <c r="F10" s="2"/>
    </row>
    <row r="11" spans="1:34" ht="52.5" customHeight="1" x14ac:dyDescent="0.9">
      <c r="D11" s="74" t="s">
        <v>151</v>
      </c>
      <c r="E11" s="62"/>
    </row>
    <row r="12" spans="1:34" ht="27" customHeight="1" x14ac:dyDescent="0.2">
      <c r="O12" s="10"/>
      <c r="P12" s="10"/>
      <c r="Q12" s="10"/>
      <c r="R12" s="10"/>
      <c r="S12" s="10"/>
      <c r="T12" s="10"/>
    </row>
    <row r="13" spans="1:34" ht="51" customHeight="1" x14ac:dyDescent="0.2">
      <c r="J13" s="10"/>
    </row>
    <row r="14" spans="1:34" ht="41.25" customHeight="1" x14ac:dyDescent="0.2">
      <c r="C14" s="231" t="s">
        <v>112</v>
      </c>
      <c r="D14" s="231"/>
      <c r="E14" s="231"/>
      <c r="F14" s="231"/>
      <c r="G14" s="231"/>
      <c r="H14" s="231"/>
      <c r="I14" s="231"/>
      <c r="K14" s="231" t="s">
        <v>1743</v>
      </c>
      <c r="L14" s="231"/>
      <c r="M14" s="231"/>
      <c r="N14" s="231"/>
      <c r="O14" s="231"/>
      <c r="P14" s="231"/>
      <c r="Q14" s="231"/>
      <c r="R14" s="231"/>
    </row>
    <row r="15" spans="1:34" ht="35.25" customHeight="1" x14ac:dyDescent="0.2">
      <c r="W15" s="5"/>
    </row>
    <row r="16" spans="1:34" ht="35.25" customHeight="1" x14ac:dyDescent="0.5">
      <c r="C16" s="66"/>
      <c r="D16" s="67" t="s">
        <v>70</v>
      </c>
      <c r="E16" s="67" t="s">
        <v>1741</v>
      </c>
      <c r="F16" s="67" t="s">
        <v>75</v>
      </c>
      <c r="G16" s="67" t="s">
        <v>5</v>
      </c>
      <c r="H16" s="67" t="s">
        <v>6</v>
      </c>
      <c r="I16" s="67" t="s">
        <v>21</v>
      </c>
      <c r="K16" s="56" t="s">
        <v>85</v>
      </c>
      <c r="L16" s="56" t="s">
        <v>86</v>
      </c>
      <c r="M16" s="56" t="s">
        <v>70</v>
      </c>
      <c r="N16" s="56" t="s">
        <v>1741</v>
      </c>
      <c r="O16" s="56" t="s">
        <v>6</v>
      </c>
      <c r="P16" s="56" t="s">
        <v>71</v>
      </c>
      <c r="Q16" s="56" t="s">
        <v>21</v>
      </c>
      <c r="R16" s="56" t="s">
        <v>72</v>
      </c>
      <c r="S16" s="19"/>
      <c r="Z16" s="4"/>
    </row>
    <row r="17" spans="3:25" ht="35.25" customHeight="1" x14ac:dyDescent="0.5">
      <c r="C17" s="68" t="s">
        <v>192</v>
      </c>
      <c r="D17" s="146">
        <f>SUMIFS(Dataset!AK:AK,Dataset!F:F,'credito latam'!D11,Dataset!Z:Z,"CL")</f>
        <v>0.15552438826262557</v>
      </c>
      <c r="E17" s="146">
        <f>SUMIFS(Dataset!AJ:AJ,Dataset!F:F,'credito latam'!D11,Dataset!Z:Z,"CL")</f>
        <v>-8.9003385038783786E-2</v>
      </c>
      <c r="F17" s="147">
        <f>SUMIFS(Dataset!V:V,Dataset!F:F,'credito latam'!D11,Dataset!Z:Z,"CL")/1000</f>
        <v>19015.1204077</v>
      </c>
      <c r="G17" s="148">
        <f>SUMIFS(Dataset!H:H,Dataset!F:F,'credito latam'!D11,Dataset!Z:Z,"CL")</f>
        <v>0.92451994504109214</v>
      </c>
      <c r="H17" s="146">
        <f>SUMIFS(Dataset!I:I,Dataset!F:F,'credito latam'!D11,Dataset!Z:Z,"CL")</f>
        <v>4.8779137267416166E-4</v>
      </c>
      <c r="I17" s="146">
        <f>SUMIFS(Dataset!AA:AA,Dataset!F:F,'credito latam'!D11,Dataset!Z:Z,"CL")</f>
        <v>0.10030820766592032</v>
      </c>
      <c r="K17" s="57">
        <v>1</v>
      </c>
      <c r="L17" s="146" t="str">
        <f>IFERROR(INDEX(Dataset!X:X,MATCH(_xlfn.AGGREGATE(14,6,Dataset!AK:AK/(Dataset!F:F=$D$11),K17),Dataset!AK:AK,0),1),"-")</f>
        <v>Bono Banco BBVA Bancomer</v>
      </c>
      <c r="M17" s="146">
        <f>IFERROR(INDEX(Dataset!AK:AK,MATCH(_xlfn.AGGREGATE(14,6,Dataset!AK:AK/(Dataset!F:F=$D$11),K17),Dataset!AK:AK,0),1),"-")</f>
        <v>2.3723105249174065E-2</v>
      </c>
      <c r="N17" s="146">
        <f>IFERROR(INDEX(Dataset!AJ:AJ,MATCH(_xlfn.AGGREGATE(14,6,Dataset!AK:AK/(Dataset!F:F=$D$11),K17),Dataset!AK:AK,0),1),"-")</f>
        <v>1.3848581888827708E-2</v>
      </c>
      <c r="O17" s="146">
        <f>IFERROR(INDEX(Dataset!I:I,MATCH(_xlfn.AGGREGATE(14,6,Dataset!AK:AK/(Dataset!F:F=$D$11),K17),Dataset!AK:AK,0),1),"-")</f>
        <v>7.9812733434450733E-5</v>
      </c>
      <c r="P17" s="146">
        <f>IFERROR(INDEX(Dataset!R:R,MATCH(_xlfn.AGGREGATE(14,6,Dataset!AK:AK/(Dataset!F:F=$D$11),K17),Dataset!AK:AK,0),1),"-")/100</f>
        <v>5.7632423359419461E-5</v>
      </c>
      <c r="Q17" s="146">
        <f>IFERROR(INDEX(Dataset!AA:AA,MATCH(_xlfn.AGGREGATE(14,6,Dataset!AK:AK/(Dataset!F:F=$D$11),K17),Dataset!AK:AK,0),1),"-")</f>
        <v>1.6412492488003562E-2</v>
      </c>
      <c r="R17" s="148">
        <f>IFERROR(INDEX(Dataset!J:J,MATCH(_xlfn.AGGREGATE(14,6,Dataset!AK:AK/(Dataset!F:F=$D$11),K17),Dataset!AK:AK,0),1),"-")</f>
        <v>4.33</v>
      </c>
      <c r="S17" s="19"/>
    </row>
    <row r="18" spans="3:25" ht="35.25" customHeight="1" x14ac:dyDescent="0.5">
      <c r="C18" s="68" t="s">
        <v>193</v>
      </c>
      <c r="D18" s="146">
        <f>SUMIFS(Dataset!AK:AK,Dataset!F:F,'credito latam'!D11,Dataset!Z:Z,"MX")</f>
        <v>0.23074108144410596</v>
      </c>
      <c r="E18" s="146">
        <f>SUMIFS(Dataset!AJ:AJ,Dataset!F:F,'credito latam'!D11,Dataset!Z:Z,"MX")</f>
        <v>7.5840847626256671E-3</v>
      </c>
      <c r="F18" s="147">
        <f>SUMIFS(Dataset!V:V,Dataset!F:F,'credito latam'!D11,Dataset!Z:Z,"MX")/1000</f>
        <v>28211.456065999999</v>
      </c>
      <c r="G18" s="148">
        <f>SUMIFS(Dataset!H:H,Dataset!F:F,'credito latam'!D11,Dataset!Z:Z,"MX")</f>
        <v>1.6443528525467408</v>
      </c>
      <c r="H18" s="146">
        <f>SUMIFS(Dataset!I:I,Dataset!F:F,'credito latam'!D11,Dataset!Z:Z,"MX")</f>
        <v>2.3827288979161899E-3</v>
      </c>
      <c r="I18" s="146">
        <f>SUMIFS(Dataset!AA:AA,Dataset!F:F,'credito latam'!D11,Dataset!Z:Z,"MX")</f>
        <v>0.48997845901514209</v>
      </c>
      <c r="K18" s="57">
        <v>2</v>
      </c>
      <c r="L18" s="146" t="str">
        <f>IFERROR(INDEX(Dataset!X:X,MATCH(_xlfn.AGGREGATE(14,6,Dataset!AK:AK/(Dataset!F:F=$D$11),K18),Dataset!AK:AK,0),1),"-")</f>
        <v>Bono Banco BBVA Peru</v>
      </c>
      <c r="M18" s="146">
        <f>IFERROR(INDEX(Dataset!AK:AK,MATCH(_xlfn.AGGREGATE(14,6,Dataset!AK:AK/(Dataset!F:F=$D$11),K18),Dataset!AK:AK,0),1),"-")</f>
        <v>2.3628157377929348E-2</v>
      </c>
      <c r="N18" s="146">
        <f>IFERROR(INDEX(Dataset!AJ:AJ,MATCH(_xlfn.AGGREGATE(14,6,Dataset!AK:AK/(Dataset!F:F=$D$11),K18),Dataset!AK:AK,0),1),"-")</f>
        <v>1.8547202934721709E-2</v>
      </c>
      <c r="O18" s="146">
        <f>IFERROR(INDEX(Dataset!I:I,MATCH(_xlfn.AGGREGATE(14,6,Dataset!AK:AK/(Dataset!F:F=$D$11),K18),Dataset!AK:AK,0),1),"-")</f>
        <v>-5.0098760215821819E-5</v>
      </c>
      <c r="P18" s="146">
        <f>IFERROR(INDEX(Dataset!R:R,MATCH(_xlfn.AGGREGATE(14,6,Dataset!AK:AK/(Dataset!F:F=$D$11),K18),Dataset!AK:AK,0),1),"-")/100</f>
        <v>-2.7011490838887251E-5</v>
      </c>
      <c r="Q18" s="146">
        <f>IFERROR(INDEX(Dataset!AA:AA,MATCH(_xlfn.AGGREGATE(14,6,Dataset!AK:AK/(Dataset!F:F=$D$11),K18),Dataset!AK:AK,0),1),"-")</f>
        <v>-1.0302184755716554E-2</v>
      </c>
      <c r="R18" s="148">
        <f>IFERROR(INDEX(Dataset!J:J,MATCH(_xlfn.AGGREGATE(14,6,Dataset!AK:AK/(Dataset!F:F=$D$11),K18),Dataset!AK:AK,0),1),"-")</f>
        <v>9.1199999999999992</v>
      </c>
      <c r="S18" s="19"/>
      <c r="X18" s="16"/>
      <c r="Y18" s="6"/>
    </row>
    <row r="19" spans="3:25" ht="35.25" customHeight="1" x14ac:dyDescent="0.5">
      <c r="C19" s="68" t="s">
        <v>194</v>
      </c>
      <c r="D19" s="146">
        <f>SUMIFS(Dataset!AK:AK,Dataset!F:F,'credito latam'!D11,Dataset!Z:Z,"CO")</f>
        <v>0.17342708476758553</v>
      </c>
      <c r="E19" s="146">
        <f>SUMIFS(Dataset!AJ:AJ,Dataset!F:F,'credito latam'!D11,Dataset!Z:Z,"CO")</f>
        <v>-1.5558116452015198E-2</v>
      </c>
      <c r="F19" s="147">
        <f>SUMIFS(Dataset!V:V,Dataset!F:F,'credito latam'!D11,Dataset!Z:Z,"CO")/1000</f>
        <v>21203.985661999996</v>
      </c>
      <c r="G19" s="148">
        <f>SUMIFS(Dataset!H:H,Dataset!F:F,'credito latam'!D11,Dataset!Z:Z,"CO")</f>
        <v>1.0616399220130108</v>
      </c>
      <c r="H19" s="146">
        <f>SUMIFS(Dataset!I:I,Dataset!F:F,'credito latam'!D11,Dataset!Z:Z,"CO")</f>
        <v>9.2800326500752921E-4</v>
      </c>
      <c r="I19" s="146">
        <f>SUMIFS(Dataset!AA:AA,Dataset!F:F,'credito latam'!D11,Dataset!Z:Z,"CO")</f>
        <v>0.19083228903928931</v>
      </c>
      <c r="K19" s="57">
        <v>3</v>
      </c>
      <c r="L19" s="146" t="str">
        <f>IFERROR(INDEX(Dataset!X:X,MATCH(_xlfn.AGGREGATE(14,6,Dataset!AK:AK/(Dataset!F:F=$D$11),K19),Dataset!AK:AK,0),1),"-")</f>
        <v>Bono Fibria</v>
      </c>
      <c r="M19" s="146">
        <f>IFERROR(INDEX(Dataset!AK:AK,MATCH(_xlfn.AGGREGATE(14,6,Dataset!AK:AK/(Dataset!F:F=$D$11),K19),Dataset!AK:AK,0),1),"-")</f>
        <v>2.339217794654485E-2</v>
      </c>
      <c r="N19" s="146">
        <f>IFERROR(INDEX(Dataset!AJ:AJ,MATCH(_xlfn.AGGREGATE(14,6,Dataset!AK:AK/(Dataset!F:F=$D$11),K19),Dataset!AK:AK,0),1),"-")</f>
        <v>2.0816737591544815E-2</v>
      </c>
      <c r="O19" s="146">
        <f>IFERROR(INDEX(Dataset!I:I,MATCH(_xlfn.AGGREGATE(14,6,Dataset!AK:AK/(Dataset!F:F=$D$11),K19),Dataset!AK:AK,0),1),"-")</f>
        <v>-9.0981980344432032E-5</v>
      </c>
      <c r="P19" s="146">
        <f>IFERROR(INDEX(Dataset!R:R,MATCH(_xlfn.AGGREGATE(14,6,Dataset!AK:AK/(Dataset!F:F=$D$11),K19),Dataset!AK:AK,0),1),"-")/100</f>
        <v>-4.370616670567361E-5</v>
      </c>
      <c r="Q19" s="146">
        <f>IFERROR(INDEX(Dataset!AA:AA,MATCH(_xlfn.AGGREGATE(14,6,Dataset!AK:AK/(Dataset!F:F=$D$11),K19),Dataset!AK:AK,0),1),"-")</f>
        <v>-1.8709308711661404E-2</v>
      </c>
      <c r="R19" s="148">
        <f>IFERROR(INDEX(Dataset!J:J,MATCH(_xlfn.AGGREGATE(14,6,Dataset!AK:AK/(Dataset!F:F=$D$11),K19),Dataset!AK:AK,0),1),"-")</f>
        <v>7.35</v>
      </c>
      <c r="S19" s="19"/>
    </row>
    <row r="20" spans="3:25" ht="35.25" customHeight="1" x14ac:dyDescent="0.5">
      <c r="C20" s="68" t="s">
        <v>195</v>
      </c>
      <c r="D20" s="146">
        <f>SUMIFS(Dataset!AK:AK,Dataset!F:F,'credito latam'!D11,Dataset!Z:Z,"PE")</f>
        <v>0.20417768480228018</v>
      </c>
      <c r="E20" s="146">
        <f>SUMIFS(Dataset!AJ:AJ,Dataset!F:F,'credito latam'!D11,Dataset!Z:Z,"PE")</f>
        <v>1.7303958043890229E-2</v>
      </c>
      <c r="F20" s="147">
        <f>SUMIFS(Dataset!V:V,Dataset!F:F,'credito latam'!D11,Dataset!Z:Z,"PE")/1000</f>
        <v>24963.694147599999</v>
      </c>
      <c r="G20" s="148">
        <f>SUMIFS(Dataset!H:H,Dataset!F:F,'credito latam'!D11,Dataset!Z:Z,"PE")</f>
        <v>1.3554312692605788</v>
      </c>
      <c r="H20" s="146">
        <f>SUMIFS(Dataset!I:I,Dataset!F:F,'credito latam'!D11,Dataset!Z:Z,"PE")</f>
        <v>5.9175118196106943E-4</v>
      </c>
      <c r="I20" s="146">
        <f>SUMIFS(Dataset!AA:AA,Dataset!F:F,'credito latam'!D11,Dataset!Z:Z,"PE")</f>
        <v>0.12168624492330819</v>
      </c>
      <c r="K20" s="57">
        <v>4</v>
      </c>
      <c r="L20" s="146" t="str">
        <f>IFERROR(INDEX(Dataset!X:X,MATCH(_xlfn.AGGREGATE(14,6,Dataset!AK:AK/(Dataset!F:F=$D$11),K20),Dataset!AK:AK,0),1),"-")</f>
        <v>Bono Banco BBVA Colombia</v>
      </c>
      <c r="M20" s="146">
        <f>IFERROR(INDEX(Dataset!AK:AK,MATCH(_xlfn.AGGREGATE(14,6,Dataset!AK:AK/(Dataset!F:F=$D$11),K20),Dataset!AK:AK,0),1),"-")</f>
        <v>2.277338798844479E-2</v>
      </c>
      <c r="N20" s="146">
        <f>IFERROR(INDEX(Dataset!AJ:AJ,MATCH(_xlfn.AGGREGATE(14,6,Dataset!AK:AK/(Dataset!F:F=$D$11),K20),Dataset!AK:AK,0),1),"-")</f>
        <v>1.7568322944383021E-2</v>
      </c>
      <c r="O20" s="146">
        <f>IFERROR(INDEX(Dataset!I:I,MATCH(_xlfn.AGGREGATE(14,6,Dataset!AK:AK/(Dataset!F:F=$D$11),K20),Dataset!AK:AK,0),1),"-")</f>
        <v>3.0582444190190936E-5</v>
      </c>
      <c r="P20" s="146">
        <f>IFERROR(INDEX(Dataset!R:R,MATCH(_xlfn.AGGREGATE(14,6,Dataset!AK:AK/(Dataset!F:F=$D$11),K20),Dataset!AK:AK,0),1),"-")/100</f>
        <v>1.7407719727720975E-5</v>
      </c>
      <c r="Q20" s="146">
        <f>IFERROR(INDEX(Dataset!AA:AA,MATCH(_xlfn.AGGREGATE(14,6,Dataset!AK:AK/(Dataset!F:F=$D$11),K20),Dataset!AK:AK,0),1),"-")</f>
        <v>6.2888979482018312E-3</v>
      </c>
      <c r="R20" s="148">
        <f>IFERROR(INDEX(Dataset!J:J,MATCH(_xlfn.AGGREGATE(14,6,Dataset!AK:AK/(Dataset!F:F=$D$11),K20),Dataset!AK:AK,0),1),"-")</f>
        <v>6.27</v>
      </c>
      <c r="S20" s="19"/>
    </row>
    <row r="21" spans="3:25" ht="35.25" customHeight="1" x14ac:dyDescent="0.5">
      <c r="C21" s="68" t="s">
        <v>196</v>
      </c>
      <c r="D21" s="146">
        <f>SUMIFS(Dataset!AK:AK,Dataset!F:F,'credito latam'!D11,Dataset!Z:Z,"BR")</f>
        <v>0.1410975587432175</v>
      </c>
      <c r="E21" s="146">
        <f>SUMIFS(Dataset!AJ:AJ,Dataset!F:F,'credito latam'!D11,Dataset!Z:Z,"BR")</f>
        <v>3.3684305616067486E-2</v>
      </c>
      <c r="F21" s="147">
        <f>SUMIFS(Dataset!V:V,Dataset!F:F,'credito latam'!D11,Dataset!Z:Z,"BR")/1000</f>
        <v>17251.230489999998</v>
      </c>
      <c r="G21" s="148">
        <f>SUMIFS(Dataset!H:H,Dataset!F:F,'credito latam'!D11,Dataset!Z:Z,"BR")</f>
        <v>0.95919033629097439</v>
      </c>
      <c r="H21" s="146">
        <f>SUMIFS(Dataset!I:I,Dataset!F:F,'credito latam'!D11,Dataset!Z:Z,"BR")</f>
        <v>9.1099136487908137E-4</v>
      </c>
      <c r="I21" s="146">
        <f>SUMIFS(Dataset!AA:AA,Dataset!F:F,'credito latam'!D11,Dataset!Z:Z,"BR")</f>
        <v>0.18733400410341322</v>
      </c>
      <c r="K21" s="57">
        <v>5</v>
      </c>
      <c r="L21" s="146" t="str">
        <f>IFERROR(INDEX(Dataset!X:X,MATCH(_xlfn.AGGREGATE(14,6,Dataset!AK:AK/(Dataset!F:F=$D$11),K21),Dataset!AK:AK,0),1),"-")</f>
        <v>Bono Fermaca S.A.</v>
      </c>
      <c r="M21" s="146">
        <f>IFERROR(INDEX(Dataset!AK:AK,MATCH(_xlfn.AGGREGATE(14,6,Dataset!AK:AK/(Dataset!F:F=$D$11),K21),Dataset!AK:AK,0),1),"-")</f>
        <v>2.2587309613899834E-2</v>
      </c>
      <c r="N21" s="146">
        <f>IFERROR(INDEX(Dataset!AJ:AJ,MATCH(_xlfn.AGGREGATE(14,6,Dataset!AK:AK/(Dataset!F:F=$D$11),K21),Dataset!AK:AK,0),1),"-")</f>
        <v>1.9365928628085061E-2</v>
      </c>
      <c r="O21" s="146">
        <f>IFERROR(INDEX(Dataset!I:I,MATCH(_xlfn.AGGREGATE(14,6,Dataset!AK:AK/(Dataset!F:F=$D$11),K21),Dataset!AK:AK,0),1),"-")</f>
        <v>1.3332537114642571E-4</v>
      </c>
      <c r="P21" s="146">
        <f>IFERROR(INDEX(Dataset!R:R,MATCH(_xlfn.AGGREGATE(14,6,Dataset!AK:AK/(Dataset!F:F=$D$11),K21),Dataset!AK:AK,0),1),"-")/100</f>
        <v>6.8845328156932884E-5</v>
      </c>
      <c r="Q21" s="146">
        <f>IFERROR(INDEX(Dataset!AA:AA,MATCH(_xlfn.AGGREGATE(14,6,Dataset!AK:AK/(Dataset!F:F=$D$11),K21),Dataset!AK:AK,0),1),"-")</f>
        <v>2.7416698542196194E-2</v>
      </c>
      <c r="R21" s="148">
        <f>IFERROR(INDEX(Dataset!J:J,MATCH(_xlfn.AGGREGATE(14,6,Dataset!AK:AK/(Dataset!F:F=$D$11),K21),Dataset!AK:AK,0),1),"-")</f>
        <v>11.76</v>
      </c>
      <c r="S21" s="19"/>
    </row>
    <row r="22" spans="3:25" ht="35.25" customHeight="1" x14ac:dyDescent="0.5">
      <c r="C22" s="68" t="s">
        <v>197</v>
      </c>
      <c r="D22" s="146">
        <f>SUMIFS(Dataset!AK:AK,Dataset!F:F,'credito latam'!D11,Dataset!Z:Z,"PA")</f>
        <v>4.9432244851141574E-2</v>
      </c>
      <c r="E22" s="146">
        <f>SUMIFS(Dataset!AJ:AJ,Dataset!F:F,'credito latam'!D11,Dataset!Z:Z,"PA")</f>
        <v>1.4493456303760591E-2</v>
      </c>
      <c r="F22" s="147">
        <f>SUMIFS(Dataset!V:V,Dataset!F:F,'credito latam'!D11,Dataset!Z:Z,"PA")/1000</f>
        <v>6043.8115099999995</v>
      </c>
      <c r="G22" s="148">
        <f>SUMIFS(Dataset!H:H,Dataset!F:F,'credito latam'!D11,Dataset!Z:Z,"PA")</f>
        <v>0.25805297189943144</v>
      </c>
      <c r="H22" s="146">
        <f>SUMIFS(Dataset!I:I,Dataset!F:F,'credito latam'!D11,Dataset!Z:Z,"PA")</f>
        <v>-1.0847581037892601E-5</v>
      </c>
      <c r="I22" s="146">
        <f>SUMIFS(Dataset!AA:AA,Dataset!F:F,'credito latam'!D11,Dataset!Z:Z,"PA")</f>
        <v>-2.2306696517748132E-3</v>
      </c>
      <c r="K22" s="57">
        <v>6</v>
      </c>
      <c r="L22" s="146" t="str">
        <f>IFERROR(INDEX(Dataset!X:X,MATCH(_xlfn.AGGREGATE(14,6,Dataset!AK:AK/(Dataset!F:F=$D$11),K22),Dataset!AK:AK,0),1),"-")</f>
        <v>Bono Embraer S.A.</v>
      </c>
      <c r="M22" s="146">
        <f>IFERROR(INDEX(Dataset!AK:AK,MATCH(_xlfn.AGGREGATE(14,6,Dataset!AK:AK/(Dataset!F:F=$D$11),K22),Dataset!AK:AK,0),1),"-")</f>
        <v>2.2248866559986685E-2</v>
      </c>
      <c r="N22" s="146">
        <f>IFERROR(INDEX(Dataset!AJ:AJ,MATCH(_xlfn.AGGREGATE(14,6,Dataset!AK:AK/(Dataset!F:F=$D$11),K22),Dataset!AK:AK,0),1),"-")</f>
        <v>1.9453801176621089E-2</v>
      </c>
      <c r="O22" s="146">
        <f>IFERROR(INDEX(Dataset!I:I,MATCH(_xlfn.AGGREGATE(14,6,Dataset!AK:AK/(Dataset!F:F=$D$11),K22),Dataset!AK:AK,0),1),"-")</f>
        <v>-1.3742937285831451E-4</v>
      </c>
      <c r="P22" s="146">
        <f>IFERROR(INDEX(Dataset!R:R,MATCH(_xlfn.AGGREGATE(14,6,Dataset!AK:AK/(Dataset!F:F=$D$11),K22),Dataset!AK:AK,0),1),"-")/100</f>
        <v>-7.0643969068354825E-5</v>
      </c>
      <c r="Q22" s="146">
        <f>IFERROR(INDEX(Dataset!AA:AA,MATCH(_xlfn.AGGREGATE(14,6,Dataset!AK:AK/(Dataset!F:F=$D$11),K22),Dataset!AK:AK,0),1),"-")</f>
        <v>-2.8260635272197406E-2</v>
      </c>
      <c r="R22" s="148">
        <f>IFERROR(INDEX(Dataset!J:J,MATCH(_xlfn.AGGREGATE(14,6,Dataset!AK:AK/(Dataset!F:F=$D$11),K22),Dataset!AK:AK,0),1),"-")</f>
        <v>7.43</v>
      </c>
      <c r="S22" s="19"/>
    </row>
    <row r="23" spans="3:25" ht="35.25" customHeight="1" x14ac:dyDescent="0.5">
      <c r="C23" s="68" t="s">
        <v>198</v>
      </c>
      <c r="D23" s="146">
        <f>SUMIFS(Dataset!AK:AK,Dataset!F:F,'credito latam'!D11,Dataset!Z:Z,"N/A")</f>
        <v>0</v>
      </c>
      <c r="E23" s="146">
        <f>SUMIFS(Dataset!AJ:AJ,Dataset!F:F,'credito latam'!D11,Dataset!Z:Z,"N/A")</f>
        <v>0</v>
      </c>
      <c r="F23" s="147">
        <f>SUMIFS(Dataset!V:V,Dataset!F:F,'credito latam'!D11,Dataset!Z:Z,"N/A")/1000</f>
        <v>0</v>
      </c>
      <c r="G23" s="148">
        <f>SUMIFS(Dataset!H:H,Dataset!F:F,'credito latam'!D11,Dataset!Z:Z,"N/A")</f>
        <v>0</v>
      </c>
      <c r="H23" s="146">
        <f>SUMIFS(Dataset!I:I,Dataset!F:F,'credito latam'!D11,Dataset!Z:Z,"N/A")</f>
        <v>0</v>
      </c>
      <c r="I23" s="146">
        <f>SUMIFS(Dataset!AA:AA,Dataset!F:F,'credito latam'!D11,Dataset!Z:Z,"N/A")</f>
        <v>0</v>
      </c>
      <c r="K23" s="57">
        <v>7</v>
      </c>
      <c r="L23" s="146" t="str">
        <f>IFERROR(INDEX(Dataset!X:X,MATCH(_xlfn.AGGREGATE(14,6,Dataset!AK:AK/(Dataset!F:F=$D$11),K23),Dataset!AK:AK,0),1),"-")</f>
        <v>Bono Fresnillo</v>
      </c>
      <c r="M23" s="146">
        <f>IFERROR(INDEX(Dataset!AK:AK,MATCH(_xlfn.AGGREGATE(14,6,Dataset!AK:AK/(Dataset!F:F=$D$11),K23),Dataset!AK:AK,0),1),"-")</f>
        <v>2.2147860918451192E-2</v>
      </c>
      <c r="N23" s="146">
        <f>IFERROR(INDEX(Dataset!AJ:AJ,MATCH(_xlfn.AGGREGATE(14,6,Dataset!AK:AK/(Dataset!F:F=$D$11),K23),Dataset!AK:AK,0),1),"-")</f>
        <v>1.6945803887013128E-2</v>
      </c>
      <c r="O23" s="146">
        <f>IFERROR(INDEX(Dataset!I:I,MATCH(_xlfn.AGGREGATE(14,6,Dataset!AK:AK/(Dataset!F:F=$D$11),K23),Dataset!AK:AK,0),1),"-")</f>
        <v>-3.2005488032851262E-5</v>
      </c>
      <c r="P23" s="146">
        <f>IFERROR(INDEX(Dataset!R:R,MATCH(_xlfn.AGGREGATE(14,6,Dataset!AK:AK/(Dataset!F:F=$D$11),K23),Dataset!AK:AK,0),1),"-")/100</f>
        <v>-1.8886969450519565E-5</v>
      </c>
      <c r="Q23" s="146">
        <f>IFERROR(INDEX(Dataset!AA:AA,MATCH(_xlfn.AGGREGATE(14,6,Dataset!AK:AK/(Dataset!F:F=$D$11),K23),Dataset!AK:AK,0),1),"-")</f>
        <v>-6.5815291534335645E-3</v>
      </c>
      <c r="R23" s="148">
        <f>IFERROR(INDEX(Dataset!J:J,MATCH(_xlfn.AGGREGATE(14,6,Dataset!AK:AK/(Dataset!F:F=$D$11),K23),Dataset!AK:AK,0),1),"-")</f>
        <v>5.18</v>
      </c>
      <c r="S23" s="19"/>
    </row>
    <row r="24" spans="3:25" ht="35.25" customHeight="1" x14ac:dyDescent="0.5">
      <c r="C24" s="68" t="s">
        <v>199</v>
      </c>
      <c r="D24" s="146">
        <f>SUMIFS(Dataset!AK:AK,Dataset!F:F,'credito latam'!D11,Dataset!Z:Z,"&lt;&gt;CL",Dataset!Z:Z,"&lt;&gt;MX",Dataset!Z:Z,"&lt;&gt;CO",Dataset!Z:Z,"&lt;&gt;PE",Dataset!Z:Z,"&lt;&gt;BR",Dataset!Z:Z,"&lt;&gt;PA",Dataset!Z:Z,"&lt;&gt;N/A")</f>
        <v>4.559995712904364E-2</v>
      </c>
      <c r="E24" s="146">
        <f>SUMIFS(Dataset!AJ:AJ,Dataset!F:F,'credito latam'!D11,Dataset!Z:Z,"&lt;&gt;CL",Dataset!Z:Z,"&lt;&gt;MX",Dataset!Z:Z,"&lt;&gt;CO",Dataset!Z:Z,"&lt;&gt;PE",Dataset!Z:Z,"&lt;&gt;BR",Dataset!Z:Z,"&lt;&gt;PA",Dataset!Z:Z,"&lt;&gt;N/A")</f>
        <v>3.1495696764454857E-2</v>
      </c>
      <c r="F24" s="147">
        <f>SUMIFS(Dataset!V:V,Dataset!F:F,'credito latam'!D11,Dataset!Z:Z,"&lt;&gt;CL",Dataset!Z:Z,"&lt;&gt;MX",Dataset!Z:Z,"&lt;&gt;CO",Dataset!Z:Z,"&lt;&gt;PE",Dataset!Z:Z,"&lt;&gt;BR",Dataset!Z:Z,"&lt;&gt;PA",Dataset!Z:Z,"&lt;&gt;N/A")/1000</f>
        <v>5575.2585499999996</v>
      </c>
      <c r="G24" s="148">
        <f>SUMIFS(Dataset!H:H,Dataset!F:F,'credito latam'!D11,Dataset!Z:Z,"&lt;&gt;CL",Dataset!Z:Z,"&lt;&gt;MX",Dataset!Z:Z,"&lt;&gt;CO",Dataset!Z:Z,"&lt;&gt;PE",Dataset!Z:Z,"&lt;&gt;BR",Dataset!Z:Z,"&lt;&gt;PA",Dataset!Z:Z,"&lt;&gt;N/A")</f>
        <v>0.40964840084185949</v>
      </c>
      <c r="H24" s="146">
        <f>SUMIFS(Dataset!I:I,Dataset!F:F,'credito latam'!D11,Dataset!Z:Z,"&lt;&gt;CL",Dataset!Z:Z,"&lt;&gt;MX",Dataset!Z:Z,"&lt;&gt;CO",Dataset!Z:Z,"&lt;&gt;PE",Dataset!Z:Z,"&lt;&gt;BR",Dataset!Z:Z,"&lt;&gt;PA",Dataset!Z:Z,"&lt;&gt;N/A")</f>
        <v>-4.2749268481326427E-4</v>
      </c>
      <c r="I24" s="146">
        <f>SUMIFS(Dataset!AA:AA,Dataset!F:F,'credito latam'!D11,Dataset!Z:Z,"&lt;&gt;CL",Dataset!Z:Z,"&lt;&gt;MX",Dataset!Z:Z,"&lt;&gt;CO",Dataset!Z:Z,"&lt;&gt;PE",Dataset!Z:Z,"&lt;&gt;BR",Dataset!Z:Z,"&lt;&gt;PA",Dataset!Z:Z,"&lt;&gt;N/A")</f>
        <v>-8.7908535095299223E-2</v>
      </c>
      <c r="K24" s="57">
        <v>8</v>
      </c>
      <c r="L24" s="146" t="str">
        <f>IFERROR(INDEX(Dataset!X:X,MATCH(_xlfn.AGGREGATE(14,6,Dataset!AK:AK/(Dataset!F:F=$D$11),K24),Dataset!AK:AK,0),1),"-")</f>
        <v>Bono Transmantaro S.A.</v>
      </c>
      <c r="M24" s="146">
        <f>IFERROR(INDEX(Dataset!AK:AK,MATCH(_xlfn.AGGREGATE(14,6,Dataset!AK:AK/(Dataset!F:F=$D$11),K24),Dataset!AK:AK,0),1),"-")</f>
        <v>2.1442156974194961E-2</v>
      </c>
      <c r="N24" s="146">
        <f>IFERROR(INDEX(Dataset!AJ:AJ,MATCH(_xlfn.AGGREGATE(14,6,Dataset!AK:AK/(Dataset!F:F=$D$11),K24),Dataset!AK:AK,0),1),"-")</f>
        <v>1.3999591766697839E-2</v>
      </c>
      <c r="O24" s="146">
        <f>IFERROR(INDEX(Dataset!I:I,MATCH(_xlfn.AGGREGATE(14,6,Dataset!AK:AK/(Dataset!F:F=$D$11),K24),Dataset!AK:AK,0),1),"-")</f>
        <v>-3.97473849345736E-5</v>
      </c>
      <c r="P24" s="146">
        <f>IFERROR(INDEX(Dataset!R:R,MATCH(_xlfn.AGGREGATE(14,6,Dataset!AK:AK/(Dataset!F:F=$D$11),K24),Dataset!AK:AK,0),1),"-")/100</f>
        <v>-2.8391817130785548E-5</v>
      </c>
      <c r="Q24" s="146">
        <f>IFERROR(INDEX(Dataset!AA:AA,MATCH(_xlfn.AGGREGATE(14,6,Dataset!AK:AK/(Dataset!F:F=$D$11),K24),Dataset!AK:AK,0),1),"-")</f>
        <v>-8.1735536246512041E-3</v>
      </c>
      <c r="R24" s="148">
        <f>IFERROR(INDEX(Dataset!J:J,MATCH(_xlfn.AGGREGATE(14,6,Dataset!AK:AK/(Dataset!F:F=$D$11),K24),Dataset!AK:AK,0),1),"-")</f>
        <v>4.91</v>
      </c>
      <c r="S24" s="19"/>
    </row>
    <row r="25" spans="3:25" ht="35.25" customHeight="1" x14ac:dyDescent="0.5">
      <c r="C25" s="69" t="s">
        <v>66</v>
      </c>
      <c r="D25" s="149">
        <f t="shared" ref="D25:I25" si="0">SUM(D17:D24)</f>
        <v>1</v>
      </c>
      <c r="E25" s="149">
        <f t="shared" si="0"/>
        <v>-1.5959455978986625E-16</v>
      </c>
      <c r="F25" s="150">
        <f t="shared" si="0"/>
        <v>122264.5568333</v>
      </c>
      <c r="G25" s="151">
        <f t="shared" si="0"/>
        <v>6.6128356978936882</v>
      </c>
      <c r="H25" s="149">
        <f t="shared" si="0"/>
        <v>4.8629258165868751E-3</v>
      </c>
      <c r="I25" s="149">
        <f t="shared" si="0"/>
        <v>0.99999999999999889</v>
      </c>
      <c r="K25" s="57">
        <v>9</v>
      </c>
      <c r="L25" s="146" t="str">
        <f>IFERROR(INDEX(Dataset!X:X,MATCH(_xlfn.AGGREGATE(14,6,Dataset!AK:AK/(Dataset!F:F=$D$11),K25),Dataset!AK:AK,0),1),"-")</f>
        <v>Bono Banco De Bogota</v>
      </c>
      <c r="M25" s="146">
        <f>IFERROR(INDEX(Dataset!AK:AK,MATCH(_xlfn.AGGREGATE(14,6,Dataset!AK:AK/(Dataset!F:F=$D$11),K25),Dataset!AK:AK,0),1),"-")</f>
        <v>2.0850493274807161E-2</v>
      </c>
      <c r="N25" s="146">
        <f>IFERROR(INDEX(Dataset!AJ:AJ,MATCH(_xlfn.AGGREGATE(14,6,Dataset!AK:AK/(Dataset!F:F=$D$11),K25),Dataset!AK:AK,0),1),"-")</f>
        <v>1.3477443239043894E-2</v>
      </c>
      <c r="O25" s="146">
        <f>IFERROR(INDEX(Dataset!I:I,MATCH(_xlfn.AGGREGATE(14,6,Dataset!AK:AK/(Dataset!F:F=$D$11),K25),Dataset!AK:AK,0),1),"-")</f>
        <v>-6.782461419054497E-6</v>
      </c>
      <c r="P25" s="146">
        <f>IFERROR(INDEX(Dataset!R:R,MATCH(_xlfn.AGGREGATE(14,6,Dataset!AK:AK/(Dataset!F:F=$D$11),K25),Dataset!AK:AK,0),1),"-")/100</f>
        <v>-5.0324540780894087E-6</v>
      </c>
      <c r="Q25" s="146">
        <f>IFERROR(INDEX(Dataset!AA:AA,MATCH(_xlfn.AGGREGATE(14,6,Dataset!AK:AK/(Dataset!F:F=$D$11),K25),Dataset!AK:AK,0),1),"-")</f>
        <v>-1.3947285389220424E-3</v>
      </c>
      <c r="R25" s="148">
        <f>IFERROR(INDEX(Dataset!J:J,MATCH(_xlfn.AGGREGATE(14,6,Dataset!AK:AK/(Dataset!F:F=$D$11),K25),Dataset!AK:AK,0),1),"-")</f>
        <v>8.01</v>
      </c>
      <c r="S25" s="19"/>
    </row>
    <row r="26" spans="3:25" ht="35.25" customHeight="1" x14ac:dyDescent="0.5">
      <c r="K26" s="57">
        <v>10</v>
      </c>
      <c r="L26" s="146" t="str">
        <f>IFERROR(INDEX(Dataset!X:X,MATCH(_xlfn.AGGREGATE(14,6,Dataset!AK:AK/(Dataset!F:F=$D$11),K26),Dataset!AK:AK,0),1),"-")</f>
        <v>Bono Ecopetrol S.A.</v>
      </c>
      <c r="M26" s="146">
        <f>IFERROR(INDEX(Dataset!AK:AK,MATCH(_xlfn.AGGREGATE(14,6,Dataset!AK:AK/(Dataset!F:F=$D$11),K26),Dataset!AK:AK,0),1),"-")</f>
        <v>2.0619821273611814E-2</v>
      </c>
      <c r="N26" s="146">
        <f>IFERROR(INDEX(Dataset!AJ:AJ,MATCH(_xlfn.AGGREGATE(14,6,Dataset!AK:AK/(Dataset!F:F=$D$11),K26),Dataset!AK:AK,0),1),"-")</f>
        <v>9.4343811119910331E-4</v>
      </c>
      <c r="O26" s="146">
        <f>IFERROR(INDEX(Dataset!I:I,MATCH(_xlfn.AGGREGATE(14,6,Dataset!AK:AK/(Dataset!F:F=$D$11),K26),Dataset!AK:AK,0),1),"-")</f>
        <v>-1.199208485908529E-5</v>
      </c>
      <c r="P26" s="146">
        <f>IFERROR(INDEX(Dataset!R:R,MATCH(_xlfn.AGGREGATE(14,6,Dataset!AK:AK/(Dataset!F:F=$D$11),K26),Dataset!AK:AK,0),1),"-")/100</f>
        <v>-1.2711045607266631E-4</v>
      </c>
      <c r="Q26" s="146">
        <f>IFERROR(INDEX(Dataset!AA:AA,MATCH(_xlfn.AGGREGATE(14,6,Dataset!AK:AK/(Dataset!F:F=$D$11),K26),Dataset!AK:AK,0),1),"-")</f>
        <v>-2.4660225780499621E-3</v>
      </c>
      <c r="R26" s="148">
        <f>IFERROR(INDEX(Dataset!J:J,MATCH(_xlfn.AGGREGATE(14,6,Dataset!AK:AK/(Dataset!F:F=$D$11),K26),Dataset!AK:AK,0),1),"-")</f>
        <v>7.01</v>
      </c>
      <c r="S26" s="19"/>
    </row>
    <row r="27" spans="3:25" ht="35.25" customHeight="1" x14ac:dyDescent="0.2"/>
    <row r="28" spans="3:25" ht="44.25" customHeight="1" x14ac:dyDescent="0.2"/>
    <row r="29" spans="3:25" ht="46.5" customHeight="1" x14ac:dyDescent="0.2">
      <c r="C29" s="231" t="s">
        <v>1742</v>
      </c>
      <c r="D29" s="231"/>
      <c r="E29" s="231"/>
      <c r="F29" s="231"/>
      <c r="G29" s="231"/>
      <c r="H29" s="231"/>
      <c r="K29" s="231" t="s">
        <v>1744</v>
      </c>
      <c r="L29" s="231"/>
      <c r="M29" s="231"/>
      <c r="N29" s="231"/>
      <c r="O29" s="231"/>
      <c r="P29" s="231"/>
      <c r="Q29" s="231"/>
      <c r="R29" s="231"/>
    </row>
    <row r="30" spans="3:25" ht="23.25" customHeight="1" x14ac:dyDescent="0.2"/>
    <row r="31" spans="3:25" ht="33" customHeight="1" x14ac:dyDescent="0.5">
      <c r="C31" s="66"/>
      <c r="D31" s="67" t="s">
        <v>70</v>
      </c>
      <c r="E31" s="67" t="s">
        <v>1741</v>
      </c>
      <c r="F31" s="67" t="s">
        <v>75</v>
      </c>
      <c r="G31" s="67" t="s">
        <v>6</v>
      </c>
      <c r="H31" s="67" t="s">
        <v>21</v>
      </c>
      <c r="K31" s="56" t="s">
        <v>85</v>
      </c>
      <c r="L31" s="56" t="s">
        <v>86</v>
      </c>
      <c r="M31" s="56" t="s">
        <v>70</v>
      </c>
      <c r="N31" s="56" t="s">
        <v>1741</v>
      </c>
      <c r="O31" s="56" t="s">
        <v>6</v>
      </c>
      <c r="P31" s="56" t="s">
        <v>71</v>
      </c>
      <c r="Q31" s="56" t="s">
        <v>21</v>
      </c>
      <c r="R31" s="56" t="s">
        <v>72</v>
      </c>
    </row>
    <row r="32" spans="3:25" ht="33" customHeight="1" x14ac:dyDescent="0.5">
      <c r="C32" s="68" t="s">
        <v>39</v>
      </c>
      <c r="D32" s="146">
        <f>SUMIFS(Dataset!AK:AK,Dataset!F:F,'credito latam'!$D$11,Dataset!T:T,$C32)</f>
        <v>0</v>
      </c>
      <c r="E32" s="146">
        <f>SUMIFS(Dataset!AJ:AJ,Dataset!F:F,'credito latam'!$D$11,Dataset!T:T,$C32)</f>
        <v>0</v>
      </c>
      <c r="F32" s="147">
        <f>SUMIFS(Dataset!V:V,Dataset!F:F,'credito latam'!$D$11,Dataset!T:T,$C32)/1000000</f>
        <v>0</v>
      </c>
      <c r="G32" s="146">
        <f>SUMIFS(Dataset!I:I,Dataset!F:F,'credito latam'!$D$11,Dataset!T:T,$C32)</f>
        <v>0</v>
      </c>
      <c r="H32" s="146">
        <f>SUMIFS(Dataset!AA:AA,Dataset!F:F,'credito latam'!$D$11,Dataset!T:T,$C32)</f>
        <v>0</v>
      </c>
      <c r="K32" s="57">
        <v>1</v>
      </c>
      <c r="L32" s="146" t="str">
        <f>IFERROR(INDEX(Dataset!W:W,MATCH(_xlfn.AGGREGATE(14,6,Dataset!I:I/(Dataset!F:F=$D$11),K32),Dataset!I:I,0),1),"-")</f>
        <v>Ecopetrol S.A.</v>
      </c>
      <c r="M32" s="146">
        <f>IFERROR(INDEX(Dataset!AK:AK,MATCH(_xlfn.AGGREGATE(14,6,Dataset!I:I/(Dataset!F:F=$D$11),K32),Dataset!I:I,0),1),"-")</f>
        <v>6.6171185742984664E-3</v>
      </c>
      <c r="N32" s="146">
        <f>IFERROR(INDEX(Dataset!AJ:AJ,MATCH(_xlfn.AGGREGATE(14,6,Dataset!I:I/(Dataset!F:F=$D$11),K32),Dataset!I:I,0),1),"-")</f>
        <v>-1.7916844013885436E-2</v>
      </c>
      <c r="O32" s="146">
        <f>IFERROR(INDEX(Dataset!I:I,MATCH(_xlfn.AGGREGATE(14,6,Dataset!I:I/(Dataset!F:F=$D$11),K32),Dataset!I:I,0),1),"-")</f>
        <v>5.1505312384622257E-4</v>
      </c>
      <c r="P32" s="146">
        <f>IFERROR(INDEX(Dataset!R:R,MATCH(_xlfn.AGGREGATE(14,6,Dataset!I:I/(Dataset!F:F=$D$11),K32),Dataset!I:I,0),1),"-")/100</f>
        <v>-2.874686654898931E-4</v>
      </c>
      <c r="Q32" s="146">
        <f>IFERROR(INDEX(Dataset!AA:AA,MATCH(_xlfn.AGGREGATE(14,6,Dataset!I:I/(Dataset!F:F=$D$11),K32),Dataset!I:I,0),1),"-")</f>
        <v>0.10591424654051597</v>
      </c>
      <c r="R32" s="148">
        <f>IFERROR(INDEX(Dataset!J:J,MATCH(_xlfn.AGGREGATE(14,6,Dataset!I:I/(Dataset!F:F=$D$11),K32),Dataset!I:I,0),1),"-")</f>
        <v>13.6</v>
      </c>
    </row>
    <row r="33" spans="3:34" ht="42" customHeight="1" x14ac:dyDescent="0.5">
      <c r="C33" s="68" t="s">
        <v>32</v>
      </c>
      <c r="D33" s="146">
        <f>SUMIFS(Dataset!AK:AK,Dataset!F:F,'credito latam'!$D$11,Dataset!T:T,$C33)</f>
        <v>0</v>
      </c>
      <c r="E33" s="146">
        <f>SUMIFS(Dataset!AJ:AJ,Dataset!F:F,'credito latam'!$D$11,Dataset!T:T,$C33)</f>
        <v>0</v>
      </c>
      <c r="F33" s="147">
        <f>SUMIFS(Dataset!V:V,Dataset!F:F,'credito latam'!$D$11,Dataset!T:T,$C33)/1000000</f>
        <v>0</v>
      </c>
      <c r="G33" s="146">
        <f>SUMIFS(Dataset!I:I,Dataset!F:F,'credito latam'!$D$11,Dataset!T:T,$C33)</f>
        <v>0</v>
      </c>
      <c r="H33" s="146">
        <f>SUMIFS(Dataset!AA:AA,Dataset!F:F,'credito latam'!$D$11,Dataset!T:T,$C33)</f>
        <v>0</v>
      </c>
      <c r="K33" s="57">
        <v>2</v>
      </c>
      <c r="L33" s="146" t="str">
        <f>IFERROR(INDEX(Dataset!W:W,MATCH(_xlfn.AGGREGATE(14,6,Dataset!I:I/(Dataset!F:F=$D$11),K33),Dataset!I:I,0),1),"-")</f>
        <v>AMXLMM 4 3/8 07/16/42</v>
      </c>
      <c r="M33" s="146">
        <f>IFERROR(INDEX(Dataset!AK:AK,MATCH(_xlfn.AGGREGATE(14,6,Dataset!I:I/(Dataset!F:F=$D$11),K33),Dataset!I:I,0),1),"-")</f>
        <v>0</v>
      </c>
      <c r="N33" s="146">
        <f>IFERROR(INDEX(Dataset!AJ:AJ,MATCH(_xlfn.AGGREGATE(14,6,Dataset!I:I/(Dataset!F:F=$D$11),K33),Dataset!I:I,0),1),"-")</f>
        <v>-6.8837165688474334E-3</v>
      </c>
      <c r="O33" s="146">
        <f>IFERROR(INDEX(Dataset!I:I,MATCH(_xlfn.AGGREGATE(14,6,Dataset!I:I/(Dataset!F:F=$D$11),K33),Dataset!I:I,0),1),"-")</f>
        <v>3.9677751299977424E-4</v>
      </c>
      <c r="P33" s="146">
        <f>IFERROR(INDEX(Dataset!R:R,MATCH(_xlfn.AGGREGATE(14,6,Dataset!I:I/(Dataset!F:F=$D$11),K33),Dataset!I:I,0),1),"-")/100</f>
        <v>-5.7640013070179056E-4</v>
      </c>
      <c r="Q33" s="146">
        <f>IFERROR(INDEX(Dataset!AA:AA,MATCH(_xlfn.AGGREGATE(14,6,Dataset!I:I/(Dataset!F:F=$D$11),K33),Dataset!I:I,0),1),"-")</f>
        <v>8.159234336793951E-2</v>
      </c>
      <c r="R33" s="148">
        <f>IFERROR(INDEX(Dataset!J:J,MATCH(_xlfn.AGGREGATE(14,6,Dataset!I:I/(Dataset!F:F=$D$11),K33),Dataset!I:I,0),1),"-")</f>
        <v>15.041094331860034</v>
      </c>
    </row>
    <row r="34" spans="3:34" ht="45.75" customHeight="1" x14ac:dyDescent="0.5">
      <c r="C34" s="68" t="s">
        <v>30</v>
      </c>
      <c r="D34" s="146">
        <f>SUMIFS(Dataset!AK:AK,Dataset!F:F,'credito latam'!$D$11,Dataset!T:T,$C34)</f>
        <v>1</v>
      </c>
      <c r="E34" s="146">
        <f>SUMIFS(Dataset!AJ:AJ,Dataset!F:F,'credito latam'!$D$11,Dataset!T:T,$C34)</f>
        <v>-1.5265566588595902E-16</v>
      </c>
      <c r="F34" s="147">
        <f>SUMIFS(Dataset!V:V,Dataset!F:F,'credito latam'!$D$11,Dataset!T:T,$C34)/1000000</f>
        <v>122.26455683329996</v>
      </c>
      <c r="G34" s="146">
        <f>SUMIFS(Dataset!I:I,Dataset!F:F,'credito latam'!$D$11,Dataset!T:T,$C34)</f>
        <v>4.8629258165868786E-3</v>
      </c>
      <c r="H34" s="146">
        <f>SUMIFS(Dataset!AA:AA,Dataset!F:F,'credito latam'!$D$11,Dataset!T:T,$C34)</f>
        <v>0.99999999999999767</v>
      </c>
      <c r="K34" s="57">
        <v>3</v>
      </c>
      <c r="L34" s="146" t="str">
        <f>IFERROR(INDEX(Dataset!W:W,MATCH(_xlfn.AGGREGATE(14,6,Dataset!I:I/(Dataset!F:F=$D$11),K34),Dataset!I:I,0),1),"-")</f>
        <v>VALEBZ 6 7/8 11/21/36</v>
      </c>
      <c r="M34" s="146">
        <f>IFERROR(INDEX(Dataset!AK:AK,MATCH(_xlfn.AGGREGATE(14,6,Dataset!I:I/(Dataset!F:F=$D$11),K34),Dataset!I:I,0),1),"-")</f>
        <v>0</v>
      </c>
      <c r="N34" s="146">
        <f>IFERROR(INDEX(Dataset!AJ:AJ,MATCH(_xlfn.AGGREGATE(14,6,Dataset!I:I/(Dataset!F:F=$D$11),K34),Dataset!I:I,0),1),"-")</f>
        <v>-1.0173339334385363E-2</v>
      </c>
      <c r="O34" s="146">
        <f>IFERROR(INDEX(Dataset!I:I,MATCH(_xlfn.AGGREGATE(14,6,Dataset!I:I/(Dataset!F:F=$D$11),K34),Dataset!I:I,0),1),"-")</f>
        <v>3.4360375436709917E-4</v>
      </c>
      <c r="P34" s="146">
        <f>IFERROR(INDEX(Dataset!R:R,MATCH(_xlfn.AGGREGATE(14,6,Dataset!I:I/(Dataset!F:F=$D$11),K34),Dataset!I:I,0),1),"-")/100</f>
        <v>-3.377492316664757E-4</v>
      </c>
      <c r="Q34" s="146">
        <f>IFERROR(INDEX(Dataset!AA:AA,MATCH(_xlfn.AGGREGATE(14,6,Dataset!I:I/(Dataset!F:F=$D$11),K34),Dataset!I:I,0),1),"-")</f>
        <v>7.0657823566854835E-2</v>
      </c>
      <c r="R34" s="148">
        <f>IFERROR(INDEX(Dataset!J:J,MATCH(_xlfn.AGGREGATE(14,6,Dataset!I:I/(Dataset!F:F=$D$11),K34),Dataset!I:I,0),1),"-")</f>
        <v>10.972459821167652</v>
      </c>
    </row>
    <row r="35" spans="3:34" ht="33" customHeight="1" x14ac:dyDescent="0.5">
      <c r="C35" s="68" t="s">
        <v>49</v>
      </c>
      <c r="D35" s="146">
        <f>SUMIFS(Dataset!AK:AK,Dataset!F:F,'credito latam'!$D$11,Dataset!T:T,$C35)</f>
        <v>0</v>
      </c>
      <c r="E35" s="146">
        <f>SUMIFS(Dataset!AJ:AJ,Dataset!F:F,'credito latam'!$D$11,Dataset!T:T,$C35)</f>
        <v>0</v>
      </c>
      <c r="F35" s="147">
        <f>SUMIFS(Dataset!V:V,Dataset!F:F,'credito latam'!$D$11,Dataset!T:T,$C35)/1000000</f>
        <v>0</v>
      </c>
      <c r="G35" s="146">
        <f>SUMIFS(Dataset!I:I,Dataset!F:F,'credito latam'!$D$11,Dataset!T:T,$C35)</f>
        <v>0</v>
      </c>
      <c r="H35" s="146">
        <f>SUMIFS(Dataset!AA:AA,Dataset!F:F,'credito latam'!$D$11,Dataset!T:T,$C35)</f>
        <v>0</v>
      </c>
      <c r="K35" s="57">
        <v>4</v>
      </c>
      <c r="L35" s="146" t="str">
        <f>IFERROR(INDEX(Dataset!W:W,MATCH(_xlfn.AGGREGATE(14,6,Dataset!I:I/(Dataset!F:F=$D$11),K35),Dataset!I:I,0),1),"-")</f>
        <v>AMXLMM 6 3/8 03/01/35</v>
      </c>
      <c r="M35" s="146">
        <f>IFERROR(INDEX(Dataset!AK:AK,MATCH(_xlfn.AGGREGATE(14,6,Dataset!I:I/(Dataset!F:F=$D$11),K35),Dataset!I:I,0),1),"-")</f>
        <v>0</v>
      </c>
      <c r="N35" s="146">
        <f>IFERROR(INDEX(Dataset!AJ:AJ,MATCH(_xlfn.AGGREGATE(14,6,Dataset!I:I/(Dataset!F:F=$D$11),K35),Dataset!I:I,0),1),"-")</f>
        <v>-7.233247635722132E-3</v>
      </c>
      <c r="O35" s="146">
        <f>IFERROR(INDEX(Dataset!I:I,MATCH(_xlfn.AGGREGATE(14,6,Dataset!I:I/(Dataset!F:F=$D$11),K35),Dataset!I:I,0),1),"-")</f>
        <v>3.0275042163886311E-4</v>
      </c>
      <c r="P35" s="146">
        <f>IFERROR(INDEX(Dataset!R:R,MATCH(_xlfn.AGGREGATE(14,6,Dataset!I:I/(Dataset!F:F=$D$11),K35),Dataset!I:I,0),1),"-")/100</f>
        <v>-4.18553928865506E-4</v>
      </c>
      <c r="Q35" s="146">
        <f>IFERROR(INDEX(Dataset!AA:AA,MATCH(_xlfn.AGGREGATE(14,6,Dataset!I:I/(Dataset!F:F=$D$11),K35),Dataset!I:I,0),1),"-")</f>
        <v>6.2256845581772267E-2</v>
      </c>
      <c r="R35" s="148">
        <f>IFERROR(INDEX(Dataset!J:J,MATCH(_xlfn.AGGREGATE(14,6,Dataset!I:I/(Dataset!F:F=$D$11),K35),Dataset!I:I,0),1),"-")</f>
        <v>11.183199475773428</v>
      </c>
    </row>
    <row r="36" spans="3:34" ht="33" customHeight="1" x14ac:dyDescent="0.5">
      <c r="C36" s="69" t="s">
        <v>66</v>
      </c>
      <c r="D36" s="149">
        <f>SUM(D32:D35)</f>
        <v>1</v>
      </c>
      <c r="E36" s="149">
        <f>SUM(E32:E35)</f>
        <v>-1.5265566588595902E-16</v>
      </c>
      <c r="F36" s="150">
        <f>SUM(F32:F35)</f>
        <v>122.26455683329996</v>
      </c>
      <c r="G36" s="149">
        <f>SUM(G32:G35)</f>
        <v>4.8629258165868786E-3</v>
      </c>
      <c r="H36" s="149">
        <f>SUM(H32:H35)</f>
        <v>0.99999999999999767</v>
      </c>
      <c r="K36" s="57">
        <v>5</v>
      </c>
      <c r="L36" s="146" t="str">
        <f>IFERROR(INDEX(Dataset!W:W,MATCH(_xlfn.AGGREGATE(14,6,Dataset!I:I/(Dataset!F:F=$D$11),K36),Dataset!I:I,0),1),"-")</f>
        <v>TELVIS 6 1/8 01/31/46</v>
      </c>
      <c r="M36" s="146">
        <f>IFERROR(INDEX(Dataset!AK:AK,MATCH(_xlfn.AGGREGATE(14,6,Dataset!I:I/(Dataset!F:F=$D$11),K36),Dataset!I:I,0),1),"-")</f>
        <v>0</v>
      </c>
      <c r="N36" s="146">
        <f>IFERROR(INDEX(Dataset!AJ:AJ,MATCH(_xlfn.AGGREGATE(14,6,Dataset!I:I/(Dataset!F:F=$D$11),K36),Dataset!I:I,0),1),"-")</f>
        <v>-6.05871897325219E-3</v>
      </c>
      <c r="O36" s="146">
        <f>IFERROR(INDEX(Dataset!I:I,MATCH(_xlfn.AGGREGATE(14,6,Dataset!I:I/(Dataset!F:F=$D$11),K36),Dataset!I:I,0),1),"-")</f>
        <v>3.0203566893285846E-4</v>
      </c>
      <c r="P36" s="146">
        <f>IFERROR(INDEX(Dataset!R:R,MATCH(_xlfn.AGGREGATE(14,6,Dataset!I:I/(Dataset!F:F=$D$11),K36),Dataset!I:I,0),1),"-")/100</f>
        <v>-4.9851407577455637E-4</v>
      </c>
      <c r="Q36" s="146">
        <f>IFERROR(INDEX(Dataset!AA:AA,MATCH(_xlfn.AGGREGATE(14,6,Dataset!I:I/(Dataset!F:F=$D$11),K36),Dataset!I:I,0),1),"-")</f>
        <v>6.2109865608611523E-2</v>
      </c>
      <c r="R36" s="148">
        <f>IFERROR(INDEX(Dataset!J:J,MATCH(_xlfn.AGGREGATE(14,6,Dataset!I:I/(Dataset!F:F=$D$11),K36),Dataset!I:I,0),1),"-")</f>
        <v>14.14760825466079</v>
      </c>
    </row>
    <row r="37" spans="3:34" ht="33" customHeight="1" x14ac:dyDescent="0.5">
      <c r="J37" t="s">
        <v>137</v>
      </c>
      <c r="K37" s="57">
        <v>6</v>
      </c>
      <c r="L37" s="146" t="str">
        <f>IFERROR(INDEX(Dataset!W:W,MATCH(_xlfn.AGGREGATE(14,6,Dataset!I:I/(Dataset!F:F=$D$11),K37),Dataset!I:I,0),1),"-")</f>
        <v>TELVIS 5 05/13/45</v>
      </c>
      <c r="M37" s="146">
        <f>IFERROR(INDEX(Dataset!AK:AK,MATCH(_xlfn.AGGREGATE(14,6,Dataset!I:I/(Dataset!F:F=$D$11),K37),Dataset!I:I,0),1),"-")</f>
        <v>0</v>
      </c>
      <c r="N37" s="146">
        <f>IFERROR(INDEX(Dataset!AJ:AJ,MATCH(_xlfn.AGGREGATE(14,6,Dataset!I:I/(Dataset!F:F=$D$11),K37),Dataset!I:I,0),1),"-")</f>
        <v>-5.8517777314499274E-3</v>
      </c>
      <c r="O37" s="146">
        <f>IFERROR(INDEX(Dataset!I:I,MATCH(_xlfn.AGGREGATE(14,6,Dataset!I:I/(Dataset!F:F=$D$11),K37),Dataset!I:I,0),1),"-")</f>
        <v>2.7807994557932288E-4</v>
      </c>
      <c r="P37" s="146">
        <f>IFERROR(INDEX(Dataset!R:R,MATCH(_xlfn.AGGREGATE(14,6,Dataset!I:I/(Dataset!F:F=$D$11),K37),Dataset!I:I,0),1),"-")/100</f>
        <v>-4.7520592602962974E-4</v>
      </c>
      <c r="Q37" s="146">
        <f>IFERROR(INDEX(Dataset!AA:AA,MATCH(_xlfn.AGGREGATE(14,6,Dataset!I:I/(Dataset!F:F=$D$11),K37),Dataset!I:I,0),1),"-")</f>
        <v>5.7183670092359681E-2</v>
      </c>
      <c r="R37" s="148">
        <f>IFERROR(INDEX(Dataset!J:J,MATCH(_xlfn.AGGREGATE(14,6,Dataset!I:I/(Dataset!F:F=$D$11),K37),Dataset!I:I,0),1),"-")</f>
        <v>14.435332280929336</v>
      </c>
    </row>
    <row r="38" spans="3:34" ht="33" customHeight="1" x14ac:dyDescent="0.5">
      <c r="K38" s="57">
        <v>7</v>
      </c>
      <c r="L38" s="146" t="str">
        <f>IFERROR(INDEX(Dataset!W:W,MATCH(_xlfn.AGGREGATE(14,6,Dataset!I:I/(Dataset!F:F=$D$11),K38),Dataset!I:I,0),1),"-")</f>
        <v>SCCO 5 7/8 04/23/45</v>
      </c>
      <c r="M38" s="146">
        <f>IFERROR(INDEX(Dataset!AK:AK,MATCH(_xlfn.AGGREGATE(14,6,Dataset!I:I/(Dataset!F:F=$D$11),K38),Dataset!I:I,0),1),"-")</f>
        <v>0</v>
      </c>
      <c r="N38" s="146">
        <f>IFERROR(INDEX(Dataset!AJ:AJ,MATCH(_xlfn.AGGREGATE(14,6,Dataset!I:I/(Dataset!F:F=$D$11),K38),Dataset!I:I,0),1),"-")</f>
        <v>-1.0268843735188046E-2</v>
      </c>
      <c r="O38" s="146">
        <f>IFERROR(INDEX(Dataset!I:I,MATCH(_xlfn.AGGREGATE(14,6,Dataset!I:I/(Dataset!F:F=$D$11),K38),Dataset!I:I,0),1),"-")</f>
        <v>2.5381765549194207E-4</v>
      </c>
      <c r="P38" s="146">
        <f>IFERROR(INDEX(Dataset!R:R,MATCH(_xlfn.AGGREGATE(14,6,Dataset!I:I/(Dataset!F:F=$D$11),K38),Dataset!I:I,0),1),"-")/100</f>
        <v>-2.4717257564470485E-4</v>
      </c>
      <c r="Q38" s="146">
        <f>IFERROR(INDEX(Dataset!AA:AA,MATCH(_xlfn.AGGREGATE(14,6,Dataset!I:I/(Dataset!F:F=$D$11),K38),Dataset!I:I,0),1),"-")</f>
        <v>5.2194432953552229E-2</v>
      </c>
      <c r="R38" s="148">
        <f>IFERROR(INDEX(Dataset!J:J,MATCH(_xlfn.AGGREGATE(14,6,Dataset!I:I/(Dataset!F:F=$D$11),K38),Dataset!I:I,0),1),"-")</f>
        <v>14.201366102168866</v>
      </c>
    </row>
    <row r="39" spans="3:34" ht="33" customHeight="1" x14ac:dyDescent="0.5">
      <c r="K39" s="57">
        <v>8</v>
      </c>
      <c r="L39" s="146" t="str">
        <f>IFERROR(INDEX(Dataset!W:W,MATCH(_xlfn.AGGREGATE(14,6,Dataset!I:I/(Dataset!F:F=$D$11),K39),Dataset!I:I,0),1),"-")</f>
        <v>VALEBZ 6 7/8 11/10/39</v>
      </c>
      <c r="M39" s="146">
        <f>IFERROR(INDEX(Dataset!AK:AK,MATCH(_xlfn.AGGREGATE(14,6,Dataset!I:I/(Dataset!F:F=$D$11),K39),Dataset!I:I,0),1),"-")</f>
        <v>0</v>
      </c>
      <c r="N39" s="146">
        <f>IFERROR(INDEX(Dataset!AJ:AJ,MATCH(_xlfn.AGGREGATE(14,6,Dataset!I:I/(Dataset!F:F=$D$11),K39),Dataset!I:I,0),1),"-")</f>
        <v>-7.1118342195205901E-3</v>
      </c>
      <c r="O39" s="146">
        <f>IFERROR(INDEX(Dataset!I:I,MATCH(_xlfn.AGGREGATE(14,6,Dataset!I:I/(Dataset!F:F=$D$11),K39),Dataset!I:I,0),1),"-")</f>
        <v>2.4818287016248444E-4</v>
      </c>
      <c r="P39" s="146">
        <f>IFERROR(INDEX(Dataset!R:R,MATCH(_xlfn.AGGREGATE(14,6,Dataset!I:I/(Dataset!F:F=$D$11),K39),Dataset!I:I,0),1),"-")/100</f>
        <v>-3.4897167524134792E-4</v>
      </c>
      <c r="Q39" s="146">
        <f>IFERROR(INDEX(Dataset!AA:AA,MATCH(_xlfn.AGGREGATE(14,6,Dataset!I:I/(Dataset!F:F=$D$11),K39),Dataset!I:I,0),1),"-")</f>
        <v>5.1035709678309574E-2</v>
      </c>
      <c r="R39" s="148">
        <f>IFERROR(INDEX(Dataset!J:J,MATCH(_xlfn.AGGREGATE(14,6,Dataset!I:I/(Dataset!F:F=$D$11),K39),Dataset!I:I,0),1),"-")</f>
        <v>11.799233393761808</v>
      </c>
    </row>
    <row r="40" spans="3:34" ht="33" customHeight="1" x14ac:dyDescent="0.5">
      <c r="K40" s="57">
        <v>9</v>
      </c>
      <c r="L40" s="146" t="str">
        <f>IFERROR(INDEX(Dataset!W:W,MATCH(_xlfn.AGGREGATE(14,6,Dataset!I:I/(Dataset!F:F=$D$11),K40),Dataset!I:I,0),1),"-")</f>
        <v>SCCO 5 1/4 11/08/42</v>
      </c>
      <c r="M40" s="146">
        <f>IFERROR(INDEX(Dataset!AK:AK,MATCH(_xlfn.AGGREGATE(14,6,Dataset!I:I/(Dataset!F:F=$D$11),K40),Dataset!I:I,0),1),"-")</f>
        <v>0</v>
      </c>
      <c r="N40" s="146">
        <f>IFERROR(INDEX(Dataset!AJ:AJ,MATCH(_xlfn.AGGREGATE(14,6,Dataset!I:I/(Dataset!F:F=$D$11),K40),Dataset!I:I,0),1),"-")</f>
        <v>-7.6425278600123873E-3</v>
      </c>
      <c r="O40" s="146">
        <f>IFERROR(INDEX(Dataset!I:I,MATCH(_xlfn.AGGREGATE(14,6,Dataset!I:I/(Dataset!F:F=$D$11),K40),Dataset!I:I,0),1),"-")</f>
        <v>2.2368612739725034E-4</v>
      </c>
      <c r="P40" s="146">
        <f>IFERROR(INDEX(Dataset!R:R,MATCH(_xlfn.AGGREGATE(14,6,Dataset!I:I/(Dataset!F:F=$D$11),K40),Dataset!I:I,0),1),"-")/100</f>
        <v>-2.9268604772464353E-4</v>
      </c>
      <c r="Q40" s="146">
        <f>IFERROR(INDEX(Dataset!AA:AA,MATCH(_xlfn.AGGREGATE(14,6,Dataset!I:I/(Dataset!F:F=$D$11),K40),Dataset!I:I,0),1),"-")</f>
        <v>4.5998260272505656E-2</v>
      </c>
      <c r="R40" s="148">
        <f>IFERROR(INDEX(Dataset!J:J,MATCH(_xlfn.AGGREGATE(14,6,Dataset!I:I/(Dataset!F:F=$D$11),K40),Dataset!I:I,0),1),"-")</f>
        <v>13.995507913829933</v>
      </c>
    </row>
    <row r="41" spans="3:34" ht="60" customHeight="1" x14ac:dyDescent="0.5">
      <c r="I41" s="16"/>
      <c r="J41" s="16"/>
      <c r="K41" s="57">
        <v>10</v>
      </c>
      <c r="L41" s="146" t="str">
        <f>IFERROR(INDEX(Dataset!W:W,MATCH(_xlfn.AGGREGATE(14,6,Dataset!I:I/(Dataset!F:F=$D$11),K41),Dataset!I:I,0),1),"-")</f>
        <v>FEMSA 4 3/8 05/10/43</v>
      </c>
      <c r="M41" s="146">
        <f>IFERROR(INDEX(Dataset!AK:AK,MATCH(_xlfn.AGGREGATE(14,6,Dataset!I:I/(Dataset!F:F=$D$11),K41),Dataset!I:I,0),1),"-")</f>
        <v>0</v>
      </c>
      <c r="N41" s="146">
        <f>IFERROR(INDEX(Dataset!AJ:AJ,MATCH(_xlfn.AGGREGATE(14,6,Dataset!I:I/(Dataset!F:F=$D$11),K41),Dataset!I:I,0),1),"-")</f>
        <v>-4.1729356991980961E-3</v>
      </c>
      <c r="O41" s="146">
        <f>IFERROR(INDEX(Dataset!I:I,MATCH(_xlfn.AGGREGATE(14,6,Dataset!I:I/(Dataset!F:F=$D$11),K41),Dataset!I:I,0),1),"-")</f>
        <v>2.0013391874390167E-4</v>
      </c>
      <c r="P41" s="146">
        <f>IFERROR(INDEX(Dataset!R:R,MATCH(_xlfn.AGGREGATE(14,6,Dataset!I:I/(Dataset!F:F=$D$11),K41),Dataset!I:I,0),1),"-")/100</f>
        <v>-4.795998145438976E-4</v>
      </c>
      <c r="Q41" s="146">
        <f>IFERROR(INDEX(Dataset!AA:AA,MATCH(_xlfn.AGGREGATE(14,6,Dataset!I:I/(Dataset!F:F=$D$11),K41),Dataset!I:I,0),1),"-")</f>
        <v>4.1155042518079957E-2</v>
      </c>
      <c r="R41" s="148">
        <f>IFERROR(INDEX(Dataset!J:J,MATCH(_xlfn.AGGREGATE(14,6,Dataset!I:I/(Dataset!F:F=$D$11),K41),Dataset!I:I,0),1),"-")</f>
        <v>15.172434919634258</v>
      </c>
      <c r="S41" s="16"/>
      <c r="T41" s="16"/>
      <c r="U41" s="16"/>
      <c r="V41" s="16"/>
      <c r="W41" s="16"/>
      <c r="X41" s="16"/>
      <c r="Y41" s="16"/>
    </row>
    <row r="42" spans="3:34" ht="60" customHeight="1" x14ac:dyDescent="0.2">
      <c r="E42" s="231" t="s">
        <v>1753</v>
      </c>
      <c r="F42" s="231"/>
      <c r="G42" s="231"/>
      <c r="H42" s="231"/>
      <c r="I42" s="231"/>
      <c r="J42" s="231"/>
      <c r="K42" s="231"/>
      <c r="L42" s="10"/>
      <c r="M42" s="231" t="s">
        <v>1745</v>
      </c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10"/>
      <c r="AA42" s="231" t="s">
        <v>1754</v>
      </c>
      <c r="AB42" s="231"/>
      <c r="AC42" s="231"/>
      <c r="AD42" s="231"/>
      <c r="AE42" s="231"/>
      <c r="AF42" s="231"/>
      <c r="AG42" s="231"/>
    </row>
    <row r="43" spans="3:34" ht="15" customHeight="1" x14ac:dyDescent="0.2"/>
    <row r="44" spans="3:34" ht="27" customHeight="1" x14ac:dyDescent="0.2">
      <c r="C44" s="234" t="s">
        <v>72</v>
      </c>
      <c r="D44" s="234"/>
      <c r="E44" s="60" t="s">
        <v>31</v>
      </c>
      <c r="F44" s="60" t="s">
        <v>145</v>
      </c>
      <c r="G44" s="60" t="s">
        <v>143</v>
      </c>
      <c r="H44" s="60" t="s">
        <v>147</v>
      </c>
      <c r="I44" s="60" t="s">
        <v>157</v>
      </c>
      <c r="J44" s="60" t="s">
        <v>158</v>
      </c>
      <c r="K44" s="60" t="s">
        <v>83</v>
      </c>
      <c r="L44" s="60"/>
      <c r="M44" s="60" t="s">
        <v>42</v>
      </c>
      <c r="N44" s="60" t="s">
        <v>33</v>
      </c>
      <c r="O44" s="60" t="s">
        <v>142</v>
      </c>
      <c r="P44" s="60" t="s">
        <v>55</v>
      </c>
      <c r="Q44" s="60" t="s">
        <v>150</v>
      </c>
      <c r="R44" s="60" t="s">
        <v>148</v>
      </c>
      <c r="S44" s="60" t="s">
        <v>54</v>
      </c>
      <c r="T44" s="60" t="s">
        <v>146</v>
      </c>
      <c r="U44" s="60" t="s">
        <v>149</v>
      </c>
      <c r="V44" s="60" t="s">
        <v>144</v>
      </c>
      <c r="W44" s="60" t="s">
        <v>154</v>
      </c>
      <c r="X44" s="60" t="s">
        <v>163</v>
      </c>
      <c r="Y44" s="60" t="s">
        <v>47</v>
      </c>
      <c r="Z44" s="60"/>
      <c r="AA44" s="60" t="s">
        <v>31</v>
      </c>
      <c r="AB44" s="60" t="s">
        <v>145</v>
      </c>
      <c r="AC44" s="60" t="s">
        <v>143</v>
      </c>
      <c r="AD44" s="60" t="s">
        <v>147</v>
      </c>
      <c r="AE44" s="60" t="s">
        <v>157</v>
      </c>
      <c r="AF44" s="60" t="s">
        <v>158</v>
      </c>
      <c r="AG44" s="60" t="s">
        <v>83</v>
      </c>
      <c r="AH44" s="60"/>
    </row>
    <row r="45" spans="3:34" ht="38.25" customHeight="1" x14ac:dyDescent="0.2">
      <c r="C45" s="59">
        <v>0</v>
      </c>
      <c r="D45" s="58">
        <v>0.5</v>
      </c>
      <c r="E45" s="176">
        <f>SUMIFS(Dataset!$AK:$AK,Dataset!$F:$F,'credito latam'!$D$11,Dataset!$Z:$Z,E$44,Dataset!$J:$J,"&lt;"&amp;$D45,Dataset!$J:$J,"&gt;="&amp;$C45)</f>
        <v>2.4065408366152289E-2</v>
      </c>
      <c r="F45" s="177">
        <f>SUMIFS(Dataset!$AK:$AK,Dataset!$F:$F,'credito latam'!$D$11,Dataset!$Z:$Z,F$44,Dataset!$J:$J,"&lt;"&amp;$D45,Dataset!$J:$J,"&gt;="&amp;$C45)</f>
        <v>0</v>
      </c>
      <c r="G45" s="177">
        <f>SUMIFS(Dataset!$AK:$AK,Dataset!$F:$F,'credito latam'!$D$11,Dataset!$Z:$Z,G$44,Dataset!$J:$J,"&lt;"&amp;$D45,Dataset!$J:$J,"&gt;="&amp;$C45)</f>
        <v>6.990094137954048E-3</v>
      </c>
      <c r="H45" s="177">
        <f>SUMIFS(Dataset!$AK:$AK,Dataset!$F:$F,'credito latam'!$D$11,Dataset!$Z:$Z,H$44,Dataset!$J:$J,"&lt;"&amp;$D45,Dataset!$J:$J,"&gt;="&amp;$C45)</f>
        <v>0</v>
      </c>
      <c r="I45" s="177">
        <f>SUMIFS(Dataset!$AK:$AK,Dataset!$F:$F,'credito latam'!$D$11,Dataset!$Z:$Z,I$44,Dataset!$J:$J,"&lt;"&amp;$D45,Dataset!$J:$J,"&gt;="&amp;$C45)</f>
        <v>0</v>
      </c>
      <c r="J45" s="177">
        <f>SUMIFS(Dataset!$AK:$AK,Dataset!$F:$F,'credito latam'!$D$11,Dataset!$Z:$Z,J$44,Dataset!$J:$J,"&lt;"&amp;$D45,Dataset!$J:$J,"&gt;="&amp;$C45)</f>
        <v>0</v>
      </c>
      <c r="K45" s="178">
        <f>SUMIFS(Dataset!$AK:$AK,Dataset!$F:$F,'credito latam'!$D$11,Dataset!$J:$J,"&lt;"&amp;$D45,Dataset!J:J,"&gt;="&amp;$C45,Dataset!$Z:$Z,"&lt;&gt;CL",Dataset!$Z:$Z,"&lt;&gt;MX",Dataset!$Z:$Z,"&lt;&gt;CO",Dataset!$Z:$Z,"&lt;&gt;PE",Dataset!$Z:$Z,"&lt;&gt;BR",Dataset!$Z:$Z,"&lt;&gt;PA")</f>
        <v>0</v>
      </c>
      <c r="L45" s="160">
        <f t="shared" ref="L45:L61" si="1">SUM(E45:K45)</f>
        <v>3.1055502504106339E-2</v>
      </c>
      <c r="M45" s="176">
        <f>SUMIFS(Dataset!$AK:$AK,Dataset!$F:$F,'credito latam'!$D$11,Dataset!$AN:$AN,"*AAA*",Dataset!$J:$J,"&lt;"&amp;$D45,Dataset!$J:$J,"&gt;="&amp;$C45)</f>
        <v>0</v>
      </c>
      <c r="N45" s="177">
        <f>SUMIFS(Dataset!$AK:$AK,Dataset!$F:$F,'credito latam'!$D$11,Dataset!$AN:$AN,"AA+",Dataset!$J:$J,"&lt;"&amp;$D45,Dataset!$J:$J,"&gt;="&amp;$C45)+SUMIFS(Dataset!$AK:$AK,Dataset!$F:$F,'credito latam'!$D$11,Dataset!$AN:$AN,"AA",Dataset!$J:$J,"&lt;"&amp;$D45,Dataset!$J:$J,"&gt;="&amp;$C45)+SUMIFS(Dataset!$AK:$AK,Dataset!$F:$F,'credito latam'!$D$11,Dataset!$AN:$AN,"AA-",Dataset!$J:$J,"&lt;"&amp;$D45,Dataset!$J:$J,"&gt;="&amp;$C45)</f>
        <v>0</v>
      </c>
      <c r="O45" s="177">
        <f>SUMIFS(Dataset!$AK:$AK,Dataset!$F:$F,'credito latam'!$D$11,Dataset!$AN:$AN,O$44,Dataset!$J:$J,"&lt;"&amp;$D45,Dataset!$J:$J,"&gt;="&amp;$C45)</f>
        <v>0</v>
      </c>
      <c r="P45" s="177">
        <f>SUMIFS(Dataset!$AK:$AK,Dataset!$F:$F,'credito latam'!$D$11,Dataset!$AN:$AN,P$44,Dataset!$J:$J,"&lt;"&amp;$D45,Dataset!$J:$J,"&gt;="&amp;$C45)</f>
        <v>0</v>
      </c>
      <c r="Q45" s="177">
        <f>SUMIFS(Dataset!$AK:$AK,Dataset!$F:$F,'credito latam'!$D$11,Dataset!$AN:$AN,Q$44,Dataset!$J:$J,"&lt;"&amp;$D45,Dataset!$J:$J,"&gt;="&amp;$C45)</f>
        <v>0</v>
      </c>
      <c r="R45" s="177">
        <f>SUMIFS(Dataset!$AK:$AK,Dataset!$F:$F,'credito latam'!$D$11,Dataset!$AN:$AN,R$44,Dataset!$J:$J,"&lt;"&amp;$D45,Dataset!$J:$J,"&gt;="&amp;$C45)</f>
        <v>4.9994187672344247E-3</v>
      </c>
      <c r="S45" s="177">
        <f>SUMIFS(Dataset!$AK:$AK,Dataset!$F:$F,'credito latam'!$D$11,Dataset!$AN:$AN,S$44,Dataset!$J:$J,"&lt;"&amp;$D45,Dataset!$J:$J,"&gt;="&amp;$C45)</f>
        <v>0</v>
      </c>
      <c r="T45" s="177">
        <f>SUMIFS(Dataset!$AK:$AK,Dataset!$F:$F,'credito latam'!$D$11,Dataset!$AN:$AN,T$44,Dataset!$J:$J,"&lt;"&amp;$D45,Dataset!$J:$J,"&gt;="&amp;$C45)</f>
        <v>6.990094137954048E-3</v>
      </c>
      <c r="U45" s="177">
        <f>SUMIFS(Dataset!$AK:$AK,Dataset!$F:$F,'credito latam'!$D$11,Dataset!$AN:$AN,U$44,Dataset!$J:$J,"&lt;"&amp;$D45,Dataset!$J:$J,"&gt;="&amp;$C45)</f>
        <v>0</v>
      </c>
      <c r="V45" s="177">
        <f>SUMIFS(Dataset!$AK:$AK,Dataset!$F:$F,'credito latam'!$D$11,Dataset!$AN:$AN,V$44,Dataset!$J:$J,"&lt;"&amp;$D45,Dataset!$J:$J,"&gt;="&amp;$C45)</f>
        <v>0</v>
      </c>
      <c r="W45" s="177">
        <f>SUMIFS(Dataset!$AK:$AK,Dataset!$F:$F,'credito latam'!$D$11,Dataset!$AN:$AN,W$44,Dataset!$J:$J,"&lt;"&amp;$D45,Dataset!$J:$J,"&gt;="&amp;$C45)</f>
        <v>0</v>
      </c>
      <c r="X45" s="177">
        <f>SUMIFS(Dataset!$AK:$AK,Dataset!$F:$F,'credito latam'!$D$11,Dataset!$AN:$AN,"B-",Dataset!$J:$J,"&lt;"&amp;$D45,Dataset!$J:$J,"&gt;="&amp;$C45)+SUMIFS(Dataset!$AK:$AK,Dataset!$F:$F,'credito latam'!$D$11,Dataset!$AN:$AN,"B",Dataset!$J:$J,"&lt;"&amp;$D45,Dataset!$J:$J,"&gt;="&amp;$C45)+SUMIFS(Dataset!$AK:$AK,Dataset!$F:$F,'credito latam'!$D$11,Dataset!$AN:$AN,"B+",Dataset!$J:$J,"&lt;"&amp;$D45,Dataset!$J:$J,"&gt;="&amp;$C45)</f>
        <v>1.9065989598917865E-2</v>
      </c>
      <c r="Y45" s="178">
        <f>SUMIFS(Dataset!$AK:$AK,Dataset!$F:$F,'credito latam'!$D$11,Dataset!$AN:$AN,Y$44,Dataset!$J:$J,"&lt;"&amp;$D45,Dataset!$J:$J,"&gt;="&amp;$C45)</f>
        <v>0</v>
      </c>
      <c r="Z45" s="160">
        <f t="shared" ref="Z45:Z61" si="2">SUM(M45:Y45)</f>
        <v>3.1055502504106339E-2</v>
      </c>
      <c r="AA45" s="179">
        <f>(SUMIFS(Dataset!$H:$H,Dataset!$F:$F,'credito latam'!$D$11,Dataset!$Z:$Z,AA$44,Dataset!$J:$J,"&lt;"&amp;$D45,Dataset!$J:$J,"&gt;="&amp;$C45))*10</f>
        <v>1.2998488794809505E-2</v>
      </c>
      <c r="AB45" s="180">
        <f>(SUMIFS(Dataset!$H:$H,Dataset!$F:$F,'credito latam'!$D$11,Dataset!$Z:$Z,AB$44,Dataset!$J:$J,"&lt;"&amp;$D45,Dataset!$J:$J,"&gt;="&amp;$C45))*10</f>
        <v>0</v>
      </c>
      <c r="AC45" s="180">
        <f>(SUMIFS(Dataset!$H:$H,Dataset!$F:$F,'credito latam'!$D$11,Dataset!$Z:$Z,AC$44,Dataset!$J:$J,"&lt;"&amp;$D45,Dataset!$J:$J,"&gt;="&amp;$C45))*10</f>
        <v>1.9572263586271336E-2</v>
      </c>
      <c r="AD45" s="180">
        <f>(SUMIFS(Dataset!$H:$H,Dataset!$F:$F,'credito latam'!$D$11,Dataset!$Z:$Z,AD$44,Dataset!$J:$J,"&lt;"&amp;$D45,Dataset!$J:$J,"&gt;="&amp;$C45))*10</f>
        <v>0</v>
      </c>
      <c r="AE45" s="180">
        <f>(SUMIFS(Dataset!$H:$H,Dataset!$F:$F,'credito latam'!$D$11,Dataset!$Z:$Z,AE$44,Dataset!$J:$J,"&lt;"&amp;$D45,Dataset!$J:$J,"&gt;="&amp;$C45))*10</f>
        <v>0</v>
      </c>
      <c r="AF45" s="180">
        <f>(SUMIFS(Dataset!$H:$H,Dataset!$F:$F,'credito latam'!$D$11,Dataset!$Z:$Z,AF$44,Dataset!$J:$J,"&lt;"&amp;$D45,Dataset!$J:$J,"&gt;="&amp;$C45))*10</f>
        <v>0</v>
      </c>
      <c r="AG45" s="181">
        <f>SUMIFS(Dataset!$H:$H,Dataset!$F:$F,'credito latam'!$D$11,Dataset!$J:$J,"&lt;"&amp;$D45,Dataset!J:J,"&gt;="&amp;$C45,Dataset!$Z:$Z,"&lt;&gt;CL",Dataset!$Z:$Z,"&lt;&gt;MX",Dataset!$Z:$Z,"&lt;&gt;CO",Dataset!$Z:$Z,"&lt;&gt;PE",Dataset!$Z:$Z,"&lt;&gt;BR",Dataset!$Z:$Z,"&lt;&gt;CI",Dataset!$Z:$Z,"&lt;&gt;PA")*10</f>
        <v>0</v>
      </c>
      <c r="AH45" s="163">
        <f t="shared" ref="AH45:AH61" si="3">SUM(AA45:AG45)</f>
        <v>3.2570752381080842E-2</v>
      </c>
    </row>
    <row r="46" spans="3:34" ht="27" customHeight="1" x14ac:dyDescent="0.2">
      <c r="C46" s="57">
        <v>0.5</v>
      </c>
      <c r="D46" s="61">
        <v>1.5</v>
      </c>
      <c r="E46" s="182">
        <f>SUMIFS(Dataset!$AK:$AK,Dataset!$F:$F,'credito latam'!$D$11,Dataset!$Z:$Z,E$44,Dataset!$J:$J,"&lt;"&amp;$D46,Dataset!$J:$J,"&gt;="&amp;$C46)</f>
        <v>0</v>
      </c>
      <c r="F46" s="183">
        <f>SUMIFS(Dataset!$AK:$AK,Dataset!$F:$F,'credito latam'!$D$11,Dataset!$Z:$Z,F$44,Dataset!$J:$J,"&lt;"&amp;$D46,Dataset!$J:$J,"&gt;="&amp;$C46)</f>
        <v>0</v>
      </c>
      <c r="G46" s="183">
        <f>SUMIFS(Dataset!$AK:$AK,Dataset!$F:$F,'credito latam'!$D$11,Dataset!$Z:$Z,G$44,Dataset!$J:$J,"&lt;"&amp;$D46,Dataset!$J:$J,"&gt;="&amp;$C46)</f>
        <v>0</v>
      </c>
      <c r="H46" s="183">
        <f>SUMIFS(Dataset!$AK:$AK,Dataset!$F:$F,'credito latam'!$D$11,Dataset!$Z:$Z,H$44,Dataset!$J:$J,"&lt;"&amp;$D46,Dataset!$J:$J,"&gt;="&amp;$C46)</f>
        <v>0</v>
      </c>
      <c r="I46" s="183">
        <f>SUMIFS(Dataset!$AK:$AK,Dataset!$F:$F,'credito latam'!$D$11,Dataset!$Z:$Z,I$44,Dataset!$J:$J,"&lt;"&amp;$D46,Dataset!$J:$J,"&gt;="&amp;$C46)</f>
        <v>0</v>
      </c>
      <c r="J46" s="183">
        <f>SUMIFS(Dataset!$AK:$AK,Dataset!$F:$F,'credito latam'!$D$11,Dataset!$Z:$Z,J$44,Dataset!$J:$J,"&lt;"&amp;$D46,Dataset!$J:$J,"&gt;="&amp;$C46)</f>
        <v>0</v>
      </c>
      <c r="K46" s="184">
        <f>SUMIFS(Dataset!$AK:$AK,Dataset!$F:$F,'credito latam'!$D$11,Dataset!$J:$J,"&lt;"&amp;$D46,Dataset!J:J,"&gt;="&amp;$C46,Dataset!$Z:$Z,"&lt;&gt;CL",Dataset!$Z:$Z,"&lt;&gt;MX",Dataset!$Z:$Z,"&lt;&gt;CO",Dataset!$Z:$Z,"&lt;&gt;PE",Dataset!$Z:$Z,"&lt;&gt;BR",Dataset!$Z:$Z,"&lt;&gt;PA")</f>
        <v>0</v>
      </c>
      <c r="L46" s="160">
        <f t="shared" si="1"/>
        <v>0</v>
      </c>
      <c r="M46" s="182">
        <f>SUMIFS(Dataset!$AK:$AK,Dataset!$F:$F,'credito latam'!$D$11,Dataset!$AN:$AN,"*AAA*",Dataset!$J:$J,"&lt;"&amp;$D46,Dataset!$J:$J,"&gt;="&amp;$C46)</f>
        <v>0</v>
      </c>
      <c r="N46" s="183">
        <f>SUMIFS(Dataset!$AK:$AK,Dataset!$F:$F,'credito latam'!$D$11,Dataset!$AN:$AN,"AA+",Dataset!$J:$J,"&lt;"&amp;$D46,Dataset!$J:$J,"&gt;="&amp;$C46)+SUMIFS(Dataset!$AK:$AK,Dataset!$F:$F,'credito latam'!$D$11,Dataset!$AN:$AN,"AA",Dataset!$J:$J,"&lt;"&amp;$D46,Dataset!$J:$J,"&gt;="&amp;$C46)+SUMIFS(Dataset!$AK:$AK,Dataset!$F:$F,'credito latam'!$D$11,Dataset!$AN:$AN,"AA-",Dataset!$J:$J,"&lt;"&amp;$D46,Dataset!$J:$J,"&gt;="&amp;$C46)</f>
        <v>0</v>
      </c>
      <c r="O46" s="183">
        <f>SUMIFS(Dataset!$AK:$AK,Dataset!$F:$F,'credito latam'!$D$11,Dataset!$AN:$AN,O$44,Dataset!$J:$J,"&lt;"&amp;$D46,Dataset!$J:$J,"&gt;="&amp;$C46)</f>
        <v>0</v>
      </c>
      <c r="P46" s="183">
        <f>SUMIFS(Dataset!$AK:$AK,Dataset!$F:$F,'credito latam'!$D$11,Dataset!$AN:$AN,P$44,Dataset!$J:$J,"&lt;"&amp;$D46,Dataset!$J:$J,"&gt;="&amp;$C46)</f>
        <v>0</v>
      </c>
      <c r="Q46" s="183">
        <f>SUMIFS(Dataset!$AK:$AK,Dataset!$F:$F,'credito latam'!$D$11,Dataset!$AN:$AN,Q$44,Dataset!$J:$J,"&lt;"&amp;$D46,Dataset!$J:$J,"&gt;="&amp;$C46)</f>
        <v>0</v>
      </c>
      <c r="R46" s="183">
        <f>SUMIFS(Dataset!$AK:$AK,Dataset!$F:$F,'credito latam'!$D$11,Dataset!$AN:$AN,R$44,Dataset!$J:$J,"&lt;"&amp;$D46,Dataset!$J:$J,"&gt;="&amp;$C46)</f>
        <v>0</v>
      </c>
      <c r="S46" s="183">
        <f>SUMIFS(Dataset!$AK:$AK,Dataset!$F:$F,'credito latam'!$D$11,Dataset!$AN:$AN,S$44,Dataset!$J:$J,"&lt;"&amp;$D46,Dataset!$J:$J,"&gt;="&amp;$C46)</f>
        <v>0</v>
      </c>
      <c r="T46" s="183">
        <f>SUMIFS(Dataset!$AK:$AK,Dataset!$F:$F,'credito latam'!$D$11,Dataset!$AN:$AN,T$44,Dataset!$J:$J,"&lt;"&amp;$D46,Dataset!$J:$J,"&gt;="&amp;$C46)</f>
        <v>0</v>
      </c>
      <c r="U46" s="183">
        <f>SUMIFS(Dataset!$AK:$AK,Dataset!$F:$F,'credito latam'!$D$11,Dataset!$AN:$AN,U$44,Dataset!$J:$J,"&lt;"&amp;$D46,Dataset!$J:$J,"&gt;="&amp;$C46)</f>
        <v>0</v>
      </c>
      <c r="V46" s="183">
        <f>SUMIFS(Dataset!$AK:$AK,Dataset!$F:$F,'credito latam'!$D$11,Dataset!$AN:$AN,V$44,Dataset!$J:$J,"&lt;"&amp;$D46,Dataset!$J:$J,"&gt;="&amp;$C46)</f>
        <v>0</v>
      </c>
      <c r="W46" s="183">
        <f>SUMIFS(Dataset!$AK:$AK,Dataset!$F:$F,'credito latam'!$D$11,Dataset!$AN:$AN,W$44,Dataset!$J:$J,"&lt;"&amp;$D46,Dataset!$J:$J,"&gt;="&amp;$C46)</f>
        <v>0</v>
      </c>
      <c r="X46" s="183">
        <f>SUMIFS(Dataset!$AK:$AK,Dataset!$F:$F,'credito latam'!$D$11,Dataset!$AN:$AN,"B-",Dataset!$J:$J,"&lt;"&amp;$D46,Dataset!$J:$J,"&gt;="&amp;$C46)+SUMIFS(Dataset!$AK:$AK,Dataset!$F:$F,'credito latam'!$D$11,Dataset!$AN:$AN,"B",Dataset!$J:$J,"&lt;"&amp;$D46,Dataset!$J:$J,"&gt;="&amp;$C46)+SUMIFS(Dataset!$AK:$AK,Dataset!$F:$F,'credito latam'!$D$11,Dataset!$AN:$AN,"B+",Dataset!$J:$J,"&lt;"&amp;$D46,Dataset!$J:$J,"&gt;="&amp;$C46)</f>
        <v>0</v>
      </c>
      <c r="Y46" s="184">
        <f>SUMIFS(Dataset!$AK:$AK,Dataset!$F:$F,'credito latam'!$D$11,Dataset!$AN:$AN,Y$44,Dataset!$J:$J,"&lt;"&amp;$D46,Dataset!$J:$J,"&gt;="&amp;$C46)</f>
        <v>0</v>
      </c>
      <c r="Z46" s="160">
        <f t="shared" si="2"/>
        <v>0</v>
      </c>
      <c r="AA46" s="185">
        <f>(SUMIFS(Dataset!$H:$H,Dataset!$F:$F,'credito latam'!$D$11,Dataset!$Z:$Z,AA$44,Dataset!$J:$J,"&lt;"&amp;$D46,Dataset!$J:$J,"&gt;="&amp;$C46))*10</f>
        <v>0</v>
      </c>
      <c r="AB46" s="186">
        <f>(SUMIFS(Dataset!$H:$H,Dataset!$F:$F,'credito latam'!$D$11,Dataset!$Z:$Z,AB$44,Dataset!$J:$J,"&lt;"&amp;$D46,Dataset!$J:$J,"&gt;="&amp;$C46))*10</f>
        <v>0</v>
      </c>
      <c r="AC46" s="186">
        <f>(SUMIFS(Dataset!$H:$H,Dataset!$F:$F,'credito latam'!$D$11,Dataset!$Z:$Z,AC$44,Dataset!$J:$J,"&lt;"&amp;$D46,Dataset!$J:$J,"&gt;="&amp;$C46))*10</f>
        <v>0</v>
      </c>
      <c r="AD46" s="186">
        <f>(SUMIFS(Dataset!$H:$H,Dataset!$F:$F,'credito latam'!$D$11,Dataset!$Z:$Z,AD$44,Dataset!$J:$J,"&lt;"&amp;$D46,Dataset!$J:$J,"&gt;="&amp;$C46))*10</f>
        <v>0</v>
      </c>
      <c r="AE46" s="186">
        <f>(SUMIFS(Dataset!$H:$H,Dataset!$F:$F,'credito latam'!$D$11,Dataset!$Z:$Z,AE$44,Dataset!$J:$J,"&lt;"&amp;$D46,Dataset!$J:$J,"&gt;="&amp;$C46))*10</f>
        <v>0</v>
      </c>
      <c r="AF46" s="186">
        <f>(SUMIFS(Dataset!$H:$H,Dataset!$F:$F,'credito latam'!$D$11,Dataset!$Z:$Z,AF$44,Dataset!$J:$J,"&lt;"&amp;$D46,Dataset!$J:$J,"&gt;="&amp;$C46))*10</f>
        <v>0</v>
      </c>
      <c r="AG46" s="187">
        <f>SUMIFS(Dataset!$H:$H,Dataset!$F:$F,'credito latam'!$D$11,Dataset!$J:$J,"&lt;"&amp;$D46,Dataset!J:J,"&gt;="&amp;$C46,Dataset!$Z:$Z,"&lt;&gt;CL",Dataset!$Z:$Z,"&lt;&gt;MX",Dataset!$Z:$Z,"&lt;&gt;CO",Dataset!$Z:$Z,"&lt;&gt;PE",Dataset!$Z:$Z,"&lt;&gt;BR",Dataset!$Z:$Z,"&lt;&gt;CI",Dataset!$Z:$Z,"&lt;&gt;PA")*10</f>
        <v>0</v>
      </c>
      <c r="AH46" s="163">
        <f t="shared" si="3"/>
        <v>0</v>
      </c>
    </row>
    <row r="47" spans="3:34" ht="33" customHeight="1" x14ac:dyDescent="0.2">
      <c r="C47" s="57">
        <v>1.5</v>
      </c>
      <c r="D47" s="61">
        <v>2.5</v>
      </c>
      <c r="E47" s="182">
        <f>SUMIFS(Dataset!$AK:$AK,Dataset!$F:$F,'credito latam'!$D$11,Dataset!$Z:$Z,E$44,Dataset!$J:$J,"&lt;"&amp;$D47,Dataset!$J:$J,"&gt;="&amp;$C47)</f>
        <v>8.9415783961868944E-3</v>
      </c>
      <c r="F47" s="188">
        <f>SUMIFS(Dataset!$AK:$AK,Dataset!$F:$F,'credito latam'!$D$11,Dataset!$Z:$Z,F$44,Dataset!$J:$J,"&lt;"&amp;$D47,Dataset!$J:$J,"&gt;="&amp;$C47)</f>
        <v>1.4187757064912107E-2</v>
      </c>
      <c r="G47" s="188">
        <f>SUMIFS(Dataset!$AK:$AK,Dataset!$F:$F,'credito latam'!$D$11,Dataset!$Z:$Z,G$44,Dataset!$J:$J,"&lt;"&amp;$D47,Dataset!$J:$J,"&gt;="&amp;$C47)</f>
        <v>4.5541687993780567E-3</v>
      </c>
      <c r="H47" s="188">
        <f>SUMIFS(Dataset!$AK:$AK,Dataset!$F:$F,'credito latam'!$D$11,Dataset!$Z:$Z,H$44,Dataset!$J:$J,"&lt;"&amp;$D47,Dataset!$J:$J,"&gt;="&amp;$C47)</f>
        <v>0</v>
      </c>
      <c r="I47" s="188">
        <f>SUMIFS(Dataset!$AK:$AK,Dataset!$F:$F,'credito latam'!$D$11,Dataset!$Z:$Z,I$44,Dataset!$J:$J,"&lt;"&amp;$D47,Dataset!$J:$J,"&gt;="&amp;$C47)</f>
        <v>0</v>
      </c>
      <c r="J47" s="188">
        <f>SUMIFS(Dataset!$AK:$AK,Dataset!$F:$F,'credito latam'!$D$11,Dataset!$Z:$Z,J$44,Dataset!$J:$J,"&lt;"&amp;$D47,Dataset!$J:$J,"&gt;="&amp;$C47)</f>
        <v>2.6250713069495631E-3</v>
      </c>
      <c r="K47" s="189">
        <f>SUMIFS(Dataset!$AK:$AK,Dataset!$F:$F,'credito latam'!$D$11,Dataset!$J:$J,"&lt;"&amp;$D47,Dataset!J:J,"&gt;="&amp;$C47,Dataset!$Z:$Z,"&lt;&gt;CL",Dataset!$Z:$Z,"&lt;&gt;MX",Dataset!$Z:$Z,"&lt;&gt;CO",Dataset!$Z:$Z,"&lt;&gt;PE",Dataset!$Z:$Z,"&lt;&gt;BR",Dataset!$Z:$Z,"&lt;&gt;PA")</f>
        <v>0</v>
      </c>
      <c r="L47" s="160">
        <f t="shared" si="1"/>
        <v>3.030857556742662E-2</v>
      </c>
      <c r="M47" s="182">
        <f>SUMIFS(Dataset!$AK:$AK,Dataset!$F:$F,'credito latam'!$D$11,Dataset!$AN:$AN,"*AAA*",Dataset!$J:$J,"&lt;"&amp;$D47,Dataset!$J:$J,"&gt;="&amp;$C47)</f>
        <v>0</v>
      </c>
      <c r="N47" s="188">
        <f>SUMIFS(Dataset!$AK:$AK,Dataset!$F:$F,'credito latam'!$D$11,Dataset!$AN:$AN,"AA+",Dataset!$J:$J,"&lt;"&amp;$D47,Dataset!$J:$J,"&gt;="&amp;$C47)+SUMIFS(Dataset!$AK:$AK,Dataset!$F:$F,'credito latam'!$D$11,Dataset!$AN:$AN,"AA",Dataset!$J:$J,"&lt;"&amp;$D47,Dataset!$J:$J,"&gt;="&amp;$C47)+SUMIFS(Dataset!$AK:$AK,Dataset!$F:$F,'credito latam'!$D$11,Dataset!$AN:$AN,"AA-",Dataset!$J:$J,"&lt;"&amp;$D47,Dataset!$J:$J,"&gt;="&amp;$C47)</f>
        <v>0</v>
      </c>
      <c r="O47" s="188">
        <f>SUMIFS(Dataset!$AK:$AK,Dataset!$F:$F,'credito latam'!$D$11,Dataset!$AN:$AN,O$44,Dataset!$J:$J,"&lt;"&amp;$D47,Dataset!$J:$J,"&gt;="&amp;$C47)</f>
        <v>0</v>
      </c>
      <c r="P47" s="188">
        <f>SUMIFS(Dataset!$AK:$AK,Dataset!$F:$F,'credito latam'!$D$11,Dataset!$AN:$AN,P$44,Dataset!$J:$J,"&lt;"&amp;$D47,Dataset!$J:$J,"&gt;="&amp;$C47)</f>
        <v>0</v>
      </c>
      <c r="Q47" s="188">
        <f>SUMIFS(Dataset!$AK:$AK,Dataset!$F:$F,'credito latam'!$D$11,Dataset!$AN:$AN,Q$44,Dataset!$J:$J,"&lt;"&amp;$D47,Dataset!$J:$J,"&gt;="&amp;$C47)</f>
        <v>0</v>
      </c>
      <c r="R47" s="188">
        <f>SUMIFS(Dataset!$AK:$AK,Dataset!$F:$F,'credito latam'!$D$11,Dataset!$AN:$AN,R$44,Dataset!$J:$J,"&lt;"&amp;$D47,Dataset!$J:$J,"&gt;="&amp;$C47)</f>
        <v>0</v>
      </c>
      <c r="S47" s="188">
        <f>SUMIFS(Dataset!$AK:$AK,Dataset!$F:$F,'credito latam'!$D$11,Dataset!$AN:$AN,S$44,Dataset!$J:$J,"&lt;"&amp;$D47,Dataset!$J:$J,"&gt;="&amp;$C47)</f>
        <v>0</v>
      </c>
      <c r="T47" s="188">
        <f>SUMIFS(Dataset!$AK:$AK,Dataset!$F:$F,'credito latam'!$D$11,Dataset!$AN:$AN,T$44,Dataset!$J:$J,"&lt;"&amp;$D47,Dataset!$J:$J,"&gt;="&amp;$C47)</f>
        <v>3.0308575567426624E-2</v>
      </c>
      <c r="U47" s="188">
        <f>SUMIFS(Dataset!$AK:$AK,Dataset!$F:$F,'credito latam'!$D$11,Dataset!$AN:$AN,U$44,Dataset!$J:$J,"&lt;"&amp;$D47,Dataset!$J:$J,"&gt;="&amp;$C47)</f>
        <v>0</v>
      </c>
      <c r="V47" s="188">
        <f>SUMIFS(Dataset!$AK:$AK,Dataset!$F:$F,'credito latam'!$D$11,Dataset!$AN:$AN,V$44,Dataset!$J:$J,"&lt;"&amp;$D47,Dataset!$J:$J,"&gt;="&amp;$C47)</f>
        <v>0</v>
      </c>
      <c r="W47" s="188">
        <f>SUMIFS(Dataset!$AK:$AK,Dataset!$F:$F,'credito latam'!$D$11,Dataset!$AN:$AN,W$44,Dataset!$J:$J,"&lt;"&amp;$D47,Dataset!$J:$J,"&gt;="&amp;$C47)</f>
        <v>0</v>
      </c>
      <c r="X47" s="188">
        <f>SUMIFS(Dataset!$AK:$AK,Dataset!$F:$F,'credito latam'!$D$11,Dataset!$AN:$AN,"B-",Dataset!$J:$J,"&lt;"&amp;$D47,Dataset!$J:$J,"&gt;="&amp;$C47)+SUMIFS(Dataset!$AK:$AK,Dataset!$F:$F,'credito latam'!$D$11,Dataset!$AN:$AN,"B",Dataset!$J:$J,"&lt;"&amp;$D47,Dataset!$J:$J,"&gt;="&amp;$C47)+SUMIFS(Dataset!$AK:$AK,Dataset!$F:$F,'credito latam'!$D$11,Dataset!$AN:$AN,"B+",Dataset!$J:$J,"&lt;"&amp;$D47,Dataset!$J:$J,"&gt;="&amp;$C47)</f>
        <v>0</v>
      </c>
      <c r="Y47" s="189">
        <f>SUMIFS(Dataset!$AK:$AK,Dataset!$F:$F,'credito latam'!$D$11,Dataset!$AN:$AN,Y$44,Dataset!$J:$J,"&lt;"&amp;$D47,Dataset!$J:$J,"&gt;="&amp;$C47)</f>
        <v>0</v>
      </c>
      <c r="Z47" s="160">
        <f t="shared" si="2"/>
        <v>3.0308575567426624E-2</v>
      </c>
      <c r="AA47" s="185">
        <f>(SUMIFS(Dataset!$H:$H,Dataset!$F:$F,'credito latam'!$D$11,Dataset!$Z:$Z,AA$44,Dataset!$J:$J,"&lt;"&amp;$D47,Dataset!$J:$J,"&gt;="&amp;$C47))*10</f>
        <v>0.20833877663115466</v>
      </c>
      <c r="AB47" s="190">
        <f>(SUMIFS(Dataset!$H:$H,Dataset!$F:$F,'credito latam'!$D$11,Dataset!$Z:$Z,AB$44,Dataset!$J:$J,"&lt;"&amp;$D47,Dataset!$J:$J,"&gt;="&amp;$C47))*10</f>
        <v>0.26531105711385644</v>
      </c>
      <c r="AC47" s="190">
        <f>(SUMIFS(Dataset!$H:$H,Dataset!$F:$F,'credito latam'!$D$11,Dataset!$Z:$Z,AC$44,Dataset!$J:$J,"&lt;"&amp;$D47,Dataset!$J:$J,"&gt;="&amp;$C47))*10</f>
        <v>7.6054618949613545E-2</v>
      </c>
      <c r="AD47" s="190">
        <f>(SUMIFS(Dataset!$H:$H,Dataset!$F:$F,'credito latam'!$D$11,Dataset!$Z:$Z,AD$44,Dataset!$J:$J,"&lt;"&amp;$D47,Dataset!$J:$J,"&gt;="&amp;$C47))*10</f>
        <v>0</v>
      </c>
      <c r="AE47" s="190">
        <f>(SUMIFS(Dataset!$H:$H,Dataset!$F:$F,'credito latam'!$D$11,Dataset!$Z:$Z,AE$44,Dataset!$J:$J,"&lt;"&amp;$D47,Dataset!$J:$J,"&gt;="&amp;$C47))*10</f>
        <v>0</v>
      </c>
      <c r="AF47" s="190">
        <f>(SUMIFS(Dataset!$H:$H,Dataset!$F:$F,'credito latam'!$D$11,Dataset!$Z:$Z,AF$44,Dataset!$J:$J,"&lt;"&amp;$D47,Dataset!$J:$J,"&gt;="&amp;$C47))*10</f>
        <v>5.0401369093431611E-2</v>
      </c>
      <c r="AG47" s="191">
        <f>SUMIFS(Dataset!$H:$H,Dataset!$F:$F,'credito latam'!$D$11,Dataset!$J:$J,"&lt;"&amp;$D47,Dataset!J:J,"&gt;="&amp;$C47,Dataset!$Z:$Z,"&lt;&gt;CL",Dataset!$Z:$Z,"&lt;&gt;MX",Dataset!$Z:$Z,"&lt;&gt;CO",Dataset!$Z:$Z,"&lt;&gt;PE",Dataset!$Z:$Z,"&lt;&gt;BR",Dataset!$Z:$Z,"&lt;&gt;CI",Dataset!$Z:$Z,"&lt;&gt;PA")*10</f>
        <v>0</v>
      </c>
      <c r="AH47" s="163">
        <f t="shared" si="3"/>
        <v>0.60010582178805627</v>
      </c>
    </row>
    <row r="48" spans="3:34" ht="33" customHeight="1" x14ac:dyDescent="0.2">
      <c r="C48" s="57">
        <v>2.5</v>
      </c>
      <c r="D48" s="61">
        <v>3.5</v>
      </c>
      <c r="E48" s="182">
        <f>SUMIFS(Dataset!$AK:$AK,Dataset!$F:$F,'credito latam'!$D$11,Dataset!$Z:$Z,E$44,Dataset!$J:$J,"&lt;"&amp;$D48,Dataset!$J:$J,"&gt;="&amp;$C48)</f>
        <v>0</v>
      </c>
      <c r="F48" s="183">
        <f>SUMIFS(Dataset!$AK:$AK,Dataset!$F:$F,'credito latam'!$D$11,Dataset!$Z:$Z,F$44,Dataset!$J:$J,"&lt;"&amp;$D48,Dataset!$J:$J,"&gt;="&amp;$C48)</f>
        <v>0</v>
      </c>
      <c r="G48" s="183">
        <f>SUMIFS(Dataset!$AK:$AK,Dataset!$F:$F,'credito latam'!$D$11,Dataset!$Z:$Z,G$44,Dataset!$J:$J,"&lt;"&amp;$D48,Dataset!$J:$J,"&gt;="&amp;$C48)</f>
        <v>2.1182366068124715E-2</v>
      </c>
      <c r="H48" s="183">
        <f>SUMIFS(Dataset!$AK:$AK,Dataset!$F:$F,'credito latam'!$D$11,Dataset!$Z:$Z,H$44,Dataset!$J:$J,"&lt;"&amp;$D48,Dataset!$J:$J,"&gt;="&amp;$C48)</f>
        <v>2.0905741092939852E-2</v>
      </c>
      <c r="I48" s="183">
        <f>SUMIFS(Dataset!$AK:$AK,Dataset!$F:$F,'credito latam'!$D$11,Dataset!$Z:$Z,I$44,Dataset!$J:$J,"&lt;"&amp;$D48,Dataset!$J:$J,"&gt;="&amp;$C48)</f>
        <v>1.795550433306017E-2</v>
      </c>
      <c r="J48" s="183">
        <f>SUMIFS(Dataset!$AK:$AK,Dataset!$F:$F,'credito latam'!$D$11,Dataset!$Z:$Z,J$44,Dataset!$J:$J,"&lt;"&amp;$D48,Dataset!$J:$J,"&gt;="&amp;$C48)</f>
        <v>0</v>
      </c>
      <c r="K48" s="184">
        <f>SUMIFS(Dataset!$AK:$AK,Dataset!$F:$F,'credito latam'!$D$11,Dataset!$J:$J,"&lt;"&amp;$D48,Dataset!J:J,"&gt;="&amp;$C48,Dataset!$Z:$Z,"&lt;&gt;CL",Dataset!$Z:$Z,"&lt;&gt;MX",Dataset!$Z:$Z,"&lt;&gt;CO",Dataset!$Z:$Z,"&lt;&gt;PE",Dataset!$Z:$Z,"&lt;&gt;BR",Dataset!$Z:$Z,"&lt;&gt;PA")</f>
        <v>0</v>
      </c>
      <c r="L48" s="160">
        <f t="shared" si="1"/>
        <v>6.0043611494124738E-2</v>
      </c>
      <c r="M48" s="182">
        <f>SUMIFS(Dataset!$AK:$AK,Dataset!$F:$F,'credito latam'!$D$11,Dataset!$AN:$AN,"*AAA*",Dataset!$J:$J,"&lt;"&amp;$D48,Dataset!$J:$J,"&gt;="&amp;$C48)</f>
        <v>0</v>
      </c>
      <c r="N48" s="183">
        <f>SUMIFS(Dataset!$AK:$AK,Dataset!$F:$F,'credito latam'!$D$11,Dataset!$AN:$AN,"AA+",Dataset!$J:$J,"&lt;"&amp;$D48,Dataset!$J:$J,"&gt;="&amp;$C48)+SUMIFS(Dataset!$AK:$AK,Dataset!$F:$F,'credito latam'!$D$11,Dataset!$AN:$AN,"AA",Dataset!$J:$J,"&lt;"&amp;$D48,Dataset!$J:$J,"&gt;="&amp;$C48)+SUMIFS(Dataset!$AK:$AK,Dataset!$F:$F,'credito latam'!$D$11,Dataset!$AN:$AN,"AA-",Dataset!$J:$J,"&lt;"&amp;$D48,Dataset!$J:$J,"&gt;="&amp;$C48)</f>
        <v>0</v>
      </c>
      <c r="O48" s="183">
        <f>SUMIFS(Dataset!$AK:$AK,Dataset!$F:$F,'credito latam'!$D$11,Dataset!$AN:$AN,O$44,Dataset!$J:$J,"&lt;"&amp;$D48,Dataset!$J:$J,"&gt;="&amp;$C48)</f>
        <v>0</v>
      </c>
      <c r="P48" s="183">
        <f>SUMIFS(Dataset!$AK:$AK,Dataset!$F:$F,'credito latam'!$D$11,Dataset!$AN:$AN,P$44,Dataset!$J:$J,"&lt;"&amp;$D48,Dataset!$J:$J,"&gt;="&amp;$C48)</f>
        <v>0</v>
      </c>
      <c r="Q48" s="183">
        <f>SUMIFS(Dataset!$AK:$AK,Dataset!$F:$F,'credito latam'!$D$11,Dataset!$AN:$AN,Q$44,Dataset!$J:$J,"&lt;"&amp;$D48,Dataset!$J:$J,"&gt;="&amp;$C48)</f>
        <v>0</v>
      </c>
      <c r="R48" s="183">
        <f>SUMIFS(Dataset!$AK:$AK,Dataset!$F:$F,'credito latam'!$D$11,Dataset!$AN:$AN,R$44,Dataset!$J:$J,"&lt;"&amp;$D48,Dataset!$J:$J,"&gt;="&amp;$C48)</f>
        <v>0</v>
      </c>
      <c r="S48" s="183">
        <f>SUMIFS(Dataset!$AK:$AK,Dataset!$F:$F,'credito latam'!$D$11,Dataset!$AN:$AN,S$44,Dataset!$J:$J,"&lt;"&amp;$D48,Dataset!$J:$J,"&gt;="&amp;$C48)</f>
        <v>2.3007821259560968E-2</v>
      </c>
      <c r="T48" s="183">
        <f>SUMIFS(Dataset!$AK:$AK,Dataset!$F:$F,'credito latam'!$D$11,Dataset!$AN:$AN,T$44,Dataset!$J:$J,"&lt;"&amp;$D48,Dataset!$J:$J,"&gt;="&amp;$C48)</f>
        <v>1.795550433306017E-2</v>
      </c>
      <c r="U48" s="183">
        <f>SUMIFS(Dataset!$AK:$AK,Dataset!$F:$F,'credito latam'!$D$11,Dataset!$AN:$AN,U$44,Dataset!$J:$J,"&lt;"&amp;$D48,Dataset!$J:$J,"&gt;="&amp;$C48)</f>
        <v>9.7120453445800961E-3</v>
      </c>
      <c r="V48" s="183">
        <f>SUMIFS(Dataset!$AK:$AK,Dataset!$F:$F,'credito latam'!$D$11,Dataset!$AN:$AN,V$44,Dataset!$J:$J,"&lt;"&amp;$D48,Dataset!$J:$J,"&gt;="&amp;$C48)</f>
        <v>9.3682405569235055E-3</v>
      </c>
      <c r="W48" s="183">
        <f>SUMIFS(Dataset!$AK:$AK,Dataset!$F:$F,'credito latam'!$D$11,Dataset!$AN:$AN,W$44,Dataset!$J:$J,"&lt;"&amp;$D48,Dataset!$J:$J,"&gt;="&amp;$C48)</f>
        <v>0</v>
      </c>
      <c r="X48" s="183">
        <f>SUMIFS(Dataset!$AK:$AK,Dataset!$F:$F,'credito latam'!$D$11,Dataset!$AN:$AN,"B-",Dataset!$J:$J,"&lt;"&amp;$D48,Dataset!$J:$J,"&gt;="&amp;$C48)+SUMIFS(Dataset!$AK:$AK,Dataset!$F:$F,'credito latam'!$D$11,Dataset!$AN:$AN,"B",Dataset!$J:$J,"&lt;"&amp;$D48,Dataset!$J:$J,"&gt;="&amp;$C48)+SUMIFS(Dataset!$AK:$AK,Dataset!$F:$F,'credito latam'!$D$11,Dataset!$AN:$AN,"B+",Dataset!$J:$J,"&lt;"&amp;$D48,Dataset!$J:$J,"&gt;="&amp;$C48)</f>
        <v>0</v>
      </c>
      <c r="Y48" s="184">
        <f>SUMIFS(Dataset!$AK:$AK,Dataset!$F:$F,'credito latam'!$D$11,Dataset!$AN:$AN,Y$44,Dataset!$J:$J,"&lt;"&amp;$D48,Dataset!$J:$J,"&gt;="&amp;$C48)</f>
        <v>0</v>
      </c>
      <c r="Z48" s="160">
        <f t="shared" si="2"/>
        <v>6.0043611494124745E-2</v>
      </c>
      <c r="AA48" s="185">
        <f>(SUMIFS(Dataset!$H:$H,Dataset!$F:$F,'credito latam'!$D$11,Dataset!$Z:$Z,AA$44,Dataset!$J:$J,"&lt;"&amp;$D48,Dataset!$J:$J,"&gt;="&amp;$C48))*10</f>
        <v>0</v>
      </c>
      <c r="AB48" s="186">
        <f>(SUMIFS(Dataset!$H:$H,Dataset!$F:$F,'credito latam'!$D$11,Dataset!$Z:$Z,AB$44,Dataset!$J:$J,"&lt;"&amp;$D48,Dataset!$J:$J,"&gt;="&amp;$C48))*10</f>
        <v>0</v>
      </c>
      <c r="AC48" s="186">
        <f>(SUMIFS(Dataset!$H:$H,Dataset!$F:$F,'credito latam'!$D$11,Dataset!$Z:$Z,AC$44,Dataset!$J:$J,"&lt;"&amp;$D48,Dataset!$J:$J,"&gt;="&amp;$C48))*10</f>
        <v>0.69557698403105217</v>
      </c>
      <c r="AD48" s="186">
        <f>(SUMIFS(Dataset!$H:$H,Dataset!$F:$F,'credito latam'!$D$11,Dataset!$Z:$Z,AD$44,Dataset!$J:$J,"&lt;"&amp;$D48,Dataset!$J:$J,"&gt;="&amp;$C48))*10</f>
        <v>0.57649548210526613</v>
      </c>
      <c r="AE48" s="186">
        <f>(SUMIFS(Dataset!$H:$H,Dataset!$F:$F,'credito latam'!$D$11,Dataset!$Z:$Z,AE$44,Dataset!$J:$J,"&lt;"&amp;$D48,Dataset!$J:$J,"&gt;="&amp;$C48))*10</f>
        <v>0.54225623085841712</v>
      </c>
      <c r="AF48" s="186">
        <f>(SUMIFS(Dataset!$H:$H,Dataset!$F:$F,'credito latam'!$D$11,Dataset!$Z:$Z,AF$44,Dataset!$J:$J,"&lt;"&amp;$D48,Dataset!$J:$J,"&gt;="&amp;$C48))*10</f>
        <v>0</v>
      </c>
      <c r="AG48" s="187">
        <f>SUMIFS(Dataset!$H:$H,Dataset!$F:$F,'credito latam'!$D$11,Dataset!$J:$J,"&lt;"&amp;$D48,Dataset!J:J,"&gt;="&amp;$C48,Dataset!$Z:$Z,"&lt;&gt;CL",Dataset!$Z:$Z,"&lt;&gt;MX",Dataset!$Z:$Z,"&lt;&gt;CO",Dataset!$Z:$Z,"&lt;&gt;PE",Dataset!$Z:$Z,"&lt;&gt;BR",Dataset!$Z:$Z,"&lt;&gt;CI",Dataset!$Z:$Z,"&lt;&gt;PA")*10</f>
        <v>0</v>
      </c>
      <c r="AH48" s="163">
        <f t="shared" si="3"/>
        <v>1.8143286969947354</v>
      </c>
    </row>
    <row r="49" spans="3:34" ht="33" customHeight="1" x14ac:dyDescent="0.2">
      <c r="C49" s="57">
        <v>3.5</v>
      </c>
      <c r="D49" s="61">
        <v>4.5</v>
      </c>
      <c r="E49" s="182">
        <f>SUMIFS(Dataset!$AK:$AK,Dataset!$F:$F,'credito latam'!$D$11,Dataset!$Z:$Z,E$44,Dataset!$J:$J,"&lt;"&amp;$D49,Dataset!$J:$J,"&gt;="&amp;$C49)</f>
        <v>2.0197187672032139E-3</v>
      </c>
      <c r="F49" s="188">
        <f>SUMIFS(Dataset!$AK:$AK,Dataset!$F:$F,'credito latam'!$D$11,Dataset!$Z:$Z,F$44,Dataset!$J:$J,"&lt;"&amp;$D49,Dataset!$J:$J,"&gt;="&amp;$C49)</f>
        <v>4.1362117370572604E-2</v>
      </c>
      <c r="G49" s="188">
        <f>SUMIFS(Dataset!$AK:$AK,Dataset!$F:$F,'credito latam'!$D$11,Dataset!$Z:$Z,G$44,Dataset!$J:$J,"&lt;"&amp;$D49,Dataset!$J:$J,"&gt;="&amp;$C49)</f>
        <v>1.9810533180948064E-2</v>
      </c>
      <c r="H49" s="188">
        <f>SUMIFS(Dataset!$AK:$AK,Dataset!$F:$F,'credito latam'!$D$11,Dataset!$Z:$Z,H$44,Dataset!$J:$J,"&lt;"&amp;$D49,Dataset!$J:$J,"&gt;="&amp;$C49)</f>
        <v>2.0351064155023454E-2</v>
      </c>
      <c r="I49" s="188">
        <f>SUMIFS(Dataset!$AK:$AK,Dataset!$F:$F,'credito latam'!$D$11,Dataset!$Z:$Z,I$44,Dataset!$J:$J,"&lt;"&amp;$D49,Dataset!$J:$J,"&gt;="&amp;$C49)</f>
        <v>0</v>
      </c>
      <c r="J49" s="188">
        <f>SUMIFS(Dataset!$AK:$AK,Dataset!$F:$F,'credito latam'!$D$11,Dataset!$Z:$Z,J$44,Dataset!$J:$J,"&lt;"&amp;$D49,Dataset!$J:$J,"&gt;="&amp;$C49)</f>
        <v>2.010624349092199E-2</v>
      </c>
      <c r="K49" s="189">
        <f>SUMIFS(Dataset!$AK:$AK,Dataset!$F:$F,'credito latam'!$D$11,Dataset!$J:$J,"&lt;"&amp;$D49,Dataset!J:J,"&gt;="&amp;$C49,Dataset!$Z:$Z,"&lt;&gt;CL",Dataset!$Z:$Z,"&lt;&gt;MX",Dataset!$Z:$Z,"&lt;&gt;CO",Dataset!$Z:$Z,"&lt;&gt;PE",Dataset!$Z:$Z,"&lt;&gt;BR",Dataset!$Z:$Z,"&lt;&gt;PA")</f>
        <v>0</v>
      </c>
      <c r="L49" s="160">
        <f t="shared" si="1"/>
        <v>0.10364967696466933</v>
      </c>
      <c r="M49" s="182">
        <f>SUMIFS(Dataset!$AK:$AK,Dataset!$F:$F,'credito latam'!$D$11,Dataset!$AN:$AN,"*AAA*",Dataset!$J:$J,"&lt;"&amp;$D49,Dataset!$J:$J,"&gt;="&amp;$C49)</f>
        <v>0</v>
      </c>
      <c r="N49" s="188">
        <f>SUMIFS(Dataset!$AK:$AK,Dataset!$F:$F,'credito latam'!$D$11,Dataset!$AN:$AN,"AA+",Dataset!$J:$J,"&lt;"&amp;$D49,Dataset!$J:$J,"&gt;="&amp;$C49)+SUMIFS(Dataset!$AK:$AK,Dataset!$F:$F,'credito latam'!$D$11,Dataset!$AN:$AN,"AA",Dataset!$J:$J,"&lt;"&amp;$D49,Dataset!$J:$J,"&gt;="&amp;$C49)+SUMIFS(Dataset!$AK:$AK,Dataset!$F:$F,'credito latam'!$D$11,Dataset!$AN:$AN,"AA-",Dataset!$J:$J,"&lt;"&amp;$D49,Dataset!$J:$J,"&gt;="&amp;$C49)</f>
        <v>0</v>
      </c>
      <c r="O49" s="188">
        <f>SUMIFS(Dataset!$AK:$AK,Dataset!$F:$F,'credito latam'!$D$11,Dataset!$AN:$AN,O$44,Dataset!$J:$J,"&lt;"&amp;$D49,Dataset!$J:$J,"&gt;="&amp;$C49)</f>
        <v>0</v>
      </c>
      <c r="P49" s="188">
        <f>SUMIFS(Dataset!$AK:$AK,Dataset!$F:$F,'credito latam'!$D$11,Dataset!$AN:$AN,P$44,Dataset!$J:$J,"&lt;"&amp;$D49,Dataset!$J:$J,"&gt;="&amp;$C49)</f>
        <v>0</v>
      </c>
      <c r="Q49" s="188">
        <f>SUMIFS(Dataset!$AK:$AK,Dataset!$F:$F,'credito latam'!$D$11,Dataset!$AN:$AN,Q$44,Dataset!$J:$J,"&lt;"&amp;$D49,Dataset!$J:$J,"&gt;="&amp;$C49)</f>
        <v>0</v>
      </c>
      <c r="R49" s="188">
        <f>SUMIFS(Dataset!$AK:$AK,Dataset!$F:$F,'credito latam'!$D$11,Dataset!$AN:$AN,R$44,Dataset!$J:$J,"&lt;"&amp;$D49,Dataset!$J:$J,"&gt;="&amp;$C49)</f>
        <v>2.3723105249174065E-2</v>
      </c>
      <c r="S49" s="188">
        <f>SUMIFS(Dataset!$AK:$AK,Dataset!$F:$F,'credito latam'!$D$11,Dataset!$AN:$AN,S$44,Dataset!$J:$J,"&lt;"&amp;$D49,Dataset!$J:$J,"&gt;="&amp;$C49)</f>
        <v>2.0351064155023454E-2</v>
      </c>
      <c r="T49" s="188">
        <f>SUMIFS(Dataset!$AK:$AK,Dataset!$F:$F,'credito latam'!$D$11,Dataset!$AN:$AN,T$44,Dataset!$J:$J,"&lt;"&amp;$D49,Dataset!$J:$J,"&gt;="&amp;$C49)</f>
        <v>3.9916776671870054E-2</v>
      </c>
      <c r="U49" s="188">
        <f>SUMIFS(Dataset!$AK:$AK,Dataset!$F:$F,'credito latam'!$D$11,Dataset!$AN:$AN,U$44,Dataset!$J:$J,"&lt;"&amp;$D49,Dataset!$J:$J,"&gt;="&amp;$C49)</f>
        <v>2.0197187672032139E-3</v>
      </c>
      <c r="V49" s="188">
        <f>SUMIFS(Dataset!$AK:$AK,Dataset!$F:$F,'credito latam'!$D$11,Dataset!$AN:$AN,V$44,Dataset!$J:$J,"&lt;"&amp;$D49,Dataset!$J:$J,"&gt;="&amp;$C49)</f>
        <v>0</v>
      </c>
      <c r="W49" s="188">
        <f>SUMIFS(Dataset!$AK:$AK,Dataset!$F:$F,'credito latam'!$D$11,Dataset!$AN:$AN,W$44,Dataset!$J:$J,"&lt;"&amp;$D49,Dataset!$J:$J,"&gt;="&amp;$C49)</f>
        <v>1.7639012121398543E-2</v>
      </c>
      <c r="X49" s="188">
        <f>SUMIFS(Dataset!$AK:$AK,Dataset!$F:$F,'credito latam'!$D$11,Dataset!$AN:$AN,"B-",Dataset!$J:$J,"&lt;"&amp;$D49,Dataset!$J:$J,"&gt;="&amp;$C49)+SUMIFS(Dataset!$AK:$AK,Dataset!$F:$F,'credito latam'!$D$11,Dataset!$AN:$AN,"B",Dataset!$J:$J,"&lt;"&amp;$D49,Dataset!$J:$J,"&gt;="&amp;$C49)+SUMIFS(Dataset!$AK:$AK,Dataset!$F:$F,'credito latam'!$D$11,Dataset!$AN:$AN,"B+",Dataset!$J:$J,"&lt;"&amp;$D49,Dataset!$J:$J,"&gt;="&amp;$C49)</f>
        <v>0</v>
      </c>
      <c r="Y49" s="189">
        <f>SUMIFS(Dataset!$AK:$AK,Dataset!$F:$F,'credito latam'!$D$11,Dataset!$AN:$AN,Y$44,Dataset!$J:$J,"&lt;"&amp;$D49,Dataset!$J:$J,"&gt;="&amp;$C49)</f>
        <v>0</v>
      </c>
      <c r="Z49" s="160">
        <f t="shared" si="2"/>
        <v>0.10364967696466933</v>
      </c>
      <c r="AA49" s="185">
        <f>(SUMIFS(Dataset!$H:$H,Dataset!$F:$F,'credito latam'!$D$11,Dataset!$Z:$Z,AA$44,Dataset!$J:$J,"&lt;"&amp;$D49,Dataset!$J:$J,"&gt;="&amp;$C49))*10</f>
        <v>7.37197350029173E-2</v>
      </c>
      <c r="AB49" s="190">
        <f>(SUMIFS(Dataset!$H:$H,Dataset!$F:$F,'credito latam'!$D$11,Dataset!$Z:$Z,AB$44,Dataset!$J:$J,"&lt;"&amp;$D49,Dataset!$J:$J,"&gt;="&amp;$C49))*10</f>
        <v>1.8086186942671922</v>
      </c>
      <c r="AC49" s="190">
        <f>(SUMIFS(Dataset!$H:$H,Dataset!$F:$F,'credito latam'!$D$11,Dataset!$Z:$Z,AC$44,Dataset!$J:$J,"&lt;"&amp;$D49,Dataset!$J:$J,"&gt;="&amp;$C49))*10</f>
        <v>0.78647816728363829</v>
      </c>
      <c r="AD49" s="190">
        <f>(SUMIFS(Dataset!$H:$H,Dataset!$F:$F,'credito latam'!$D$11,Dataset!$Z:$Z,AD$44,Dataset!$J:$J,"&lt;"&amp;$D49,Dataset!$J:$J,"&gt;="&amp;$C49))*10</f>
        <v>0.730603203165342</v>
      </c>
      <c r="AE49" s="190">
        <f>(SUMIFS(Dataset!$H:$H,Dataset!$F:$F,'credito latam'!$D$11,Dataset!$Z:$Z,AE$44,Dataset!$J:$J,"&lt;"&amp;$D49,Dataset!$J:$J,"&gt;="&amp;$C49))*10</f>
        <v>0</v>
      </c>
      <c r="AF49" s="190">
        <f>(SUMIFS(Dataset!$H:$H,Dataset!$F:$F,'credito latam'!$D$11,Dataset!$Z:$Z,AF$44,Dataset!$J:$J,"&lt;"&amp;$D49,Dataset!$J:$J,"&gt;="&amp;$C49))*10</f>
        <v>0.73186726306956051</v>
      </c>
      <c r="AG49" s="191">
        <f>SUMIFS(Dataset!$H:$H,Dataset!$F:$F,'credito latam'!$D$11,Dataset!$J:$J,"&lt;"&amp;$D49,Dataset!J:J,"&gt;="&amp;$C49,Dataset!$Z:$Z,"&lt;&gt;CL",Dataset!$Z:$Z,"&lt;&gt;MX",Dataset!$Z:$Z,"&lt;&gt;CO",Dataset!$Z:$Z,"&lt;&gt;PE",Dataset!$Z:$Z,"&lt;&gt;BR",Dataset!$Z:$Z,"&lt;&gt;CI",Dataset!$Z:$Z,"&lt;&gt;PA")*10</f>
        <v>0</v>
      </c>
      <c r="AH49" s="163">
        <f t="shared" si="3"/>
        <v>4.1312870627886502</v>
      </c>
    </row>
    <row r="50" spans="3:34" ht="33" customHeight="1" x14ac:dyDescent="0.2">
      <c r="C50" s="57">
        <v>4.5</v>
      </c>
      <c r="D50" s="61">
        <v>5.5</v>
      </c>
      <c r="E50" s="182">
        <f>SUMIFS(Dataset!$AK:$AK,Dataset!$F:$F,'credito latam'!$D$11,Dataset!$Z:$Z,E$44,Dataset!$J:$J,"&lt;"&amp;$D50,Dataset!$J:$J,"&gt;="&amp;$C50)</f>
        <v>9.9612203270039671E-3</v>
      </c>
      <c r="F50" s="183">
        <f>SUMIFS(Dataset!$AK:$AK,Dataset!$F:$F,'credito latam'!$D$11,Dataset!$Z:$Z,F$44,Dataset!$J:$J,"&lt;"&amp;$D50,Dataset!$J:$J,"&gt;="&amp;$C50)</f>
        <v>2.4804133418116003E-2</v>
      </c>
      <c r="G50" s="183">
        <f>SUMIFS(Dataset!$AK:$AK,Dataset!$F:$F,'credito latam'!$D$11,Dataset!$Z:$Z,G$44,Dataset!$J:$J,"&lt;"&amp;$D50,Dataset!$J:$J,"&gt;="&amp;$C50)</f>
        <v>7.3319658878920951E-3</v>
      </c>
      <c r="H50" s="183">
        <f>SUMIFS(Dataset!$AK:$AK,Dataset!$F:$F,'credito latam'!$D$11,Dataset!$Z:$Z,H$44,Dataset!$J:$J,"&lt;"&amp;$D50,Dataset!$J:$J,"&gt;="&amp;$C50)</f>
        <v>5.6975800979656488E-2</v>
      </c>
      <c r="I50" s="183">
        <f>SUMIFS(Dataset!$AK:$AK,Dataset!$F:$F,'credito latam'!$D$11,Dataset!$Z:$Z,I$44,Dataset!$J:$J,"&lt;"&amp;$D50,Dataset!$J:$J,"&gt;="&amp;$C50)</f>
        <v>8.1274385295065019E-3</v>
      </c>
      <c r="J50" s="183">
        <f>SUMIFS(Dataset!$AK:$AK,Dataset!$F:$F,'credito latam'!$D$11,Dataset!$Z:$Z,J$44,Dataset!$J:$J,"&lt;"&amp;$D50,Dataset!$J:$J,"&gt;="&amp;$C50)</f>
        <v>1.0239164255155879E-2</v>
      </c>
      <c r="K50" s="184">
        <f>SUMIFS(Dataset!$AK:$AK,Dataset!$F:$F,'credito latam'!$D$11,Dataset!$J:$J,"&lt;"&amp;$D50,Dataset!J:J,"&gt;="&amp;$C50,Dataset!$Z:$Z,"&lt;&gt;CL",Dataset!$Z:$Z,"&lt;&gt;MX",Dataset!$Z:$Z,"&lt;&gt;CO",Dataset!$Z:$Z,"&lt;&gt;PE",Dataset!$Z:$Z,"&lt;&gt;BR",Dataset!$Z:$Z,"&lt;&gt;PA")</f>
        <v>8.1843053777581973E-3</v>
      </c>
      <c r="L50" s="160">
        <f t="shared" si="1"/>
        <v>0.12562402877508913</v>
      </c>
      <c r="M50" s="182">
        <f>SUMIFS(Dataset!$AK:$AK,Dataset!$F:$F,'credito latam'!$D$11,Dataset!$AN:$AN,"*AAA*",Dataset!$J:$J,"&lt;"&amp;$D50,Dataset!$J:$J,"&gt;="&amp;$C50)</f>
        <v>0</v>
      </c>
      <c r="N50" s="183">
        <f>SUMIFS(Dataset!$AK:$AK,Dataset!$F:$F,'credito latam'!$D$11,Dataset!$AN:$AN,"AA+",Dataset!$J:$J,"&lt;"&amp;$D50,Dataset!$J:$J,"&gt;="&amp;$C50)+SUMIFS(Dataset!$AK:$AK,Dataset!$F:$F,'credito latam'!$D$11,Dataset!$AN:$AN,"AA",Dataset!$J:$J,"&lt;"&amp;$D50,Dataset!$J:$J,"&gt;="&amp;$C50)+SUMIFS(Dataset!$AK:$AK,Dataset!$F:$F,'credito latam'!$D$11,Dataset!$AN:$AN,"AA-",Dataset!$J:$J,"&lt;"&amp;$D50,Dataset!$J:$J,"&gt;="&amp;$C50)</f>
        <v>0</v>
      </c>
      <c r="O50" s="183">
        <f>SUMIFS(Dataset!$AK:$AK,Dataset!$F:$F,'credito latam'!$D$11,Dataset!$AN:$AN,O$44,Dataset!$J:$J,"&lt;"&amp;$D50,Dataset!$J:$J,"&gt;="&amp;$C50)</f>
        <v>8.1843053777581973E-3</v>
      </c>
      <c r="P50" s="183">
        <f>SUMIFS(Dataset!$AK:$AK,Dataset!$F:$F,'credito latam'!$D$11,Dataset!$AN:$AN,P$44,Dataset!$J:$J,"&lt;"&amp;$D50,Dataset!$J:$J,"&gt;="&amp;$C50)</f>
        <v>0</v>
      </c>
      <c r="Q50" s="183">
        <f>SUMIFS(Dataset!$AK:$AK,Dataset!$F:$F,'credito latam'!$D$11,Dataset!$AN:$AN,Q$44,Dataset!$J:$J,"&lt;"&amp;$D50,Dataset!$J:$J,"&gt;="&amp;$C50)</f>
        <v>0</v>
      </c>
      <c r="R50" s="183">
        <f>SUMIFS(Dataset!$AK:$AK,Dataset!$F:$F,'credito latam'!$D$11,Dataset!$AN:$AN,R$44,Dataset!$J:$J,"&lt;"&amp;$D50,Dataset!$J:$J,"&gt;="&amp;$C50)</f>
        <v>2.6562724996648094E-3</v>
      </c>
      <c r="S50" s="183">
        <f>SUMIFS(Dataset!$AK:$AK,Dataset!$F:$F,'credito latam'!$D$11,Dataset!$AN:$AN,S$44,Dataset!$J:$J,"&lt;"&amp;$D50,Dataset!$J:$J,"&gt;="&amp;$C50)</f>
        <v>2.2147860918451192E-2</v>
      </c>
      <c r="T50" s="183">
        <f>SUMIFS(Dataset!$AK:$AK,Dataset!$F:$F,'credito latam'!$D$11,Dataset!$AN:$AN,T$44,Dataset!$J:$J,"&lt;"&amp;$D50,Dataset!$J:$J,"&gt;="&amp;$C50)</f>
        <v>5.4461601157878875E-2</v>
      </c>
      <c r="U50" s="183">
        <f>SUMIFS(Dataset!$AK:$AK,Dataset!$F:$F,'credito latam'!$D$11,Dataset!$AN:$AN,U$44,Dataset!$J:$J,"&lt;"&amp;$D50,Dataset!$J:$J,"&gt;="&amp;$C50)</f>
        <v>2.0085329964825576E-2</v>
      </c>
      <c r="V50" s="183">
        <f>SUMIFS(Dataset!$AK:$AK,Dataset!$F:$F,'credito latam'!$D$11,Dataset!$AN:$AN,V$44,Dataset!$J:$J,"&lt;"&amp;$D50,Dataset!$J:$J,"&gt;="&amp;$C50)</f>
        <v>0</v>
      </c>
      <c r="W50" s="183">
        <f>SUMIFS(Dataset!$AK:$AK,Dataset!$F:$F,'credito latam'!$D$11,Dataset!$AN:$AN,W$44,Dataset!$J:$J,"&lt;"&amp;$D50,Dataset!$J:$J,"&gt;="&amp;$C50)</f>
        <v>0</v>
      </c>
      <c r="X50" s="183">
        <f>SUMIFS(Dataset!$AK:$AK,Dataset!$F:$F,'credito latam'!$D$11,Dataset!$AN:$AN,"B-",Dataset!$J:$J,"&lt;"&amp;$D50,Dataset!$J:$J,"&gt;="&amp;$C50)+SUMIFS(Dataset!$AK:$AK,Dataset!$F:$F,'credito latam'!$D$11,Dataset!$AN:$AN,"B",Dataset!$J:$J,"&lt;"&amp;$D50,Dataset!$J:$J,"&gt;="&amp;$C50)+SUMIFS(Dataset!$AK:$AK,Dataset!$F:$F,'credito latam'!$D$11,Dataset!$AN:$AN,"B+",Dataset!$J:$J,"&lt;"&amp;$D50,Dataset!$J:$J,"&gt;="&amp;$C50)</f>
        <v>1.8088658856510467E-2</v>
      </c>
      <c r="Y50" s="184">
        <f>SUMIFS(Dataset!$AK:$AK,Dataset!$F:$F,'credito latam'!$D$11,Dataset!$AN:$AN,Y$44,Dataset!$J:$J,"&lt;"&amp;$D50,Dataset!$J:$J,"&gt;="&amp;$C50)</f>
        <v>0</v>
      </c>
      <c r="Z50" s="160">
        <f t="shared" si="2"/>
        <v>0.1256240287750891</v>
      </c>
      <c r="AA50" s="185">
        <f>(SUMIFS(Dataset!$H:$H,Dataset!$F:$F,'credito latam'!$D$11,Dataset!$Z:$Z,AA$44,Dataset!$J:$J,"&lt;"&amp;$D50,Dataset!$J:$J,"&gt;="&amp;$C50))*10</f>
        <v>0.46518898927108526</v>
      </c>
      <c r="AB50" s="186">
        <f>(SUMIFS(Dataset!$H:$H,Dataset!$F:$F,'credito latam'!$D$11,Dataset!$Z:$Z,AB$44,Dataset!$J:$J,"&lt;"&amp;$D50,Dataset!$J:$J,"&gt;="&amp;$C50))*10</f>
        <v>1.2914947923075708</v>
      </c>
      <c r="AC50" s="186">
        <f>(SUMIFS(Dataset!$H:$H,Dataset!$F:$F,'credito latam'!$D$11,Dataset!$Z:$Z,AC$44,Dataset!$J:$J,"&lt;"&amp;$D50,Dataset!$J:$J,"&gt;="&amp;$C50))*10</f>
        <v>0.37539665346007528</v>
      </c>
      <c r="AD50" s="186">
        <f>(SUMIFS(Dataset!$H:$H,Dataset!$F:$F,'credito latam'!$D$11,Dataset!$Z:$Z,AD$44,Dataset!$J:$J,"&lt;"&amp;$D50,Dataset!$J:$J,"&gt;="&amp;$C50))*10</f>
        <v>2.8793979793644993</v>
      </c>
      <c r="AE50" s="186">
        <f>(SUMIFS(Dataset!$H:$H,Dataset!$F:$F,'credito latam'!$D$11,Dataset!$Z:$Z,AE$44,Dataset!$J:$J,"&lt;"&amp;$D50,Dataset!$J:$J,"&gt;="&amp;$C50))*10</f>
        <v>0.38849156171041077</v>
      </c>
      <c r="AF50" s="186">
        <f>(SUMIFS(Dataset!$H:$H,Dataset!$F:$F,'credito latam'!$D$11,Dataset!$Z:$Z,AF$44,Dataset!$J:$J,"&lt;"&amp;$D50,Dataset!$J:$J,"&gt;="&amp;$C50))*10</f>
        <v>0.46485805718407691</v>
      </c>
      <c r="AG50" s="187">
        <f>SUMIFS(Dataset!$H:$H,Dataset!$F:$F,'credito latam'!$D$11,Dataset!$J:$J,"&lt;"&amp;$D50,Dataset!J:J,"&gt;="&amp;$C50,Dataset!$Z:$Z,"&lt;&gt;CL",Dataset!$Z:$Z,"&lt;&gt;MX",Dataset!$Z:$Z,"&lt;&gt;CO",Dataset!$Z:$Z,"&lt;&gt;PE",Dataset!$Z:$Z,"&lt;&gt;BR",Dataset!$Z:$Z,"&lt;&gt;CI",Dataset!$Z:$Z,"&lt;&gt;PA")*10</f>
        <v>0.37484118630132546</v>
      </c>
      <c r="AH50" s="163">
        <f t="shared" si="3"/>
        <v>6.2396692195990431</v>
      </c>
    </row>
    <row r="51" spans="3:34" ht="33" customHeight="1" x14ac:dyDescent="0.2">
      <c r="C51" s="57">
        <v>5.5</v>
      </c>
      <c r="D51" s="61">
        <v>6.5</v>
      </c>
      <c r="E51" s="182">
        <f>SUMIFS(Dataset!$AK:$AK,Dataset!$F:$F,'credito latam'!$D$11,Dataset!$Z:$Z,E$44,Dataset!$J:$J,"&lt;"&amp;$D51,Dataset!$J:$J,"&gt;="&amp;$C51)</f>
        <v>3.678652093862584E-2</v>
      </c>
      <c r="F51" s="188">
        <f>SUMIFS(Dataset!$AK:$AK,Dataset!$F:$F,'credito latam'!$D$11,Dataset!$Z:$Z,F$44,Dataset!$J:$J,"&lt;"&amp;$D51,Dataset!$J:$J,"&gt;="&amp;$C51)</f>
        <v>1.5556210804356164E-2</v>
      </c>
      <c r="G51" s="188">
        <f>SUMIFS(Dataset!$AK:$AK,Dataset!$F:$F,'credito latam'!$D$11,Dataset!$Z:$Z,G$44,Dataset!$J:$J,"&lt;"&amp;$D51,Dataset!$J:$J,"&gt;="&amp;$C51)</f>
        <v>2.7853973123570529E-2</v>
      </c>
      <c r="H51" s="188">
        <f>SUMIFS(Dataset!$AK:$AK,Dataset!$F:$F,'credito latam'!$D$11,Dataset!$Z:$Z,H$44,Dataset!$J:$J,"&lt;"&amp;$D51,Dataset!$J:$J,"&gt;="&amp;$C51)</f>
        <v>0</v>
      </c>
      <c r="I51" s="188">
        <f>SUMIFS(Dataset!$AK:$AK,Dataset!$F:$F,'credito latam'!$D$11,Dataset!$Z:$Z,I$44,Dataset!$J:$J,"&lt;"&amp;$D51,Dataset!$J:$J,"&gt;="&amp;$C51)</f>
        <v>0</v>
      </c>
      <c r="J51" s="188">
        <f>SUMIFS(Dataset!$AK:$AK,Dataset!$F:$F,'credito latam'!$D$11,Dataset!$Z:$Z,J$44,Dataset!$J:$J,"&lt;"&amp;$D51,Dataset!$J:$J,"&gt;="&amp;$C51)</f>
        <v>0</v>
      </c>
      <c r="K51" s="189">
        <f>SUMIFS(Dataset!$AK:$AK,Dataset!$F:$F,'credito latam'!$D$11,Dataset!$J:$J,"&lt;"&amp;$D51,Dataset!J:J,"&gt;="&amp;$C51,Dataset!$Z:$Z,"&lt;&gt;CL",Dataset!$Z:$Z,"&lt;&gt;MX",Dataset!$Z:$Z,"&lt;&gt;CO",Dataset!$Z:$Z,"&lt;&gt;PE",Dataset!$Z:$Z,"&lt;&gt;BR",Dataset!$Z:$Z,"&lt;&gt;PA")</f>
        <v>0</v>
      </c>
      <c r="L51" s="160">
        <f t="shared" si="1"/>
        <v>8.0196704866552532E-2</v>
      </c>
      <c r="M51" s="182">
        <f>SUMIFS(Dataset!$AK:$AK,Dataset!$F:$F,'credito latam'!$D$11,Dataset!$AN:$AN,"*AAA*",Dataset!$J:$J,"&lt;"&amp;$D51,Dataset!$J:$J,"&gt;="&amp;$C51)</f>
        <v>0</v>
      </c>
      <c r="N51" s="188">
        <f>SUMIFS(Dataset!$AK:$AK,Dataset!$F:$F,'credito latam'!$D$11,Dataset!$AN:$AN,"AA+",Dataset!$J:$J,"&lt;"&amp;$D51,Dataset!$J:$J,"&gt;="&amp;$C51)+SUMIFS(Dataset!$AK:$AK,Dataset!$F:$F,'credito latam'!$D$11,Dataset!$AN:$AN,"AA",Dataset!$J:$J,"&lt;"&amp;$D51,Dataset!$J:$J,"&gt;="&amp;$C51)+SUMIFS(Dataset!$AK:$AK,Dataset!$F:$F,'credito latam'!$D$11,Dataset!$AN:$AN,"AA-",Dataset!$J:$J,"&lt;"&amp;$D51,Dataset!$J:$J,"&gt;="&amp;$C51)</f>
        <v>0</v>
      </c>
      <c r="O51" s="188">
        <f>SUMIFS(Dataset!$AK:$AK,Dataset!$F:$F,'credito latam'!$D$11,Dataset!$AN:$AN,O$44,Dataset!$J:$J,"&lt;"&amp;$D51,Dataset!$J:$J,"&gt;="&amp;$C51)</f>
        <v>0</v>
      </c>
      <c r="P51" s="188">
        <f>SUMIFS(Dataset!$AK:$AK,Dataset!$F:$F,'credito latam'!$D$11,Dataset!$AN:$AN,P$44,Dataset!$J:$J,"&lt;"&amp;$D51,Dataset!$J:$J,"&gt;="&amp;$C51)</f>
        <v>0</v>
      </c>
      <c r="Q51" s="188">
        <f>SUMIFS(Dataset!$AK:$AK,Dataset!$F:$F,'credito latam'!$D$11,Dataset!$AN:$AN,Q$44,Dataset!$J:$J,"&lt;"&amp;$D51,Dataset!$J:$J,"&gt;="&amp;$C51)</f>
        <v>1.7489411939025671E-3</v>
      </c>
      <c r="R51" s="188">
        <f>SUMIFS(Dataset!$AK:$AK,Dataset!$F:$F,'credito latam'!$D$11,Dataset!$AN:$AN,R$44,Dataset!$J:$J,"&lt;"&amp;$D51,Dataset!$J:$J,"&gt;="&amp;$C51)</f>
        <v>2.277338798844479E-2</v>
      </c>
      <c r="S51" s="188">
        <f>SUMIFS(Dataset!$AK:$AK,Dataset!$F:$F,'credito latam'!$D$11,Dataset!$AN:$AN,S$44,Dataset!$J:$J,"&lt;"&amp;$D51,Dataset!$J:$J,"&gt;="&amp;$C51)</f>
        <v>1.9890639470568475E-2</v>
      </c>
      <c r="T51" s="188">
        <f>SUMIFS(Dataset!$AK:$AK,Dataset!$F:$F,'credito latam'!$D$11,Dataset!$AN:$AN,T$44,Dataset!$J:$J,"&lt;"&amp;$D51,Dataset!$J:$J,"&gt;="&amp;$C51)</f>
        <v>2.1847243953469975E-2</v>
      </c>
      <c r="U51" s="188">
        <f>SUMIFS(Dataset!$AK:$AK,Dataset!$F:$F,'credito latam'!$D$11,Dataset!$AN:$AN,U$44,Dataset!$J:$J,"&lt;"&amp;$D51,Dataset!$J:$J,"&gt;="&amp;$C51)</f>
        <v>0</v>
      </c>
      <c r="V51" s="188">
        <f>SUMIFS(Dataset!$AK:$AK,Dataset!$F:$F,'credito latam'!$D$11,Dataset!$AN:$AN,V$44,Dataset!$J:$J,"&lt;"&amp;$D51,Dataset!$J:$J,"&gt;="&amp;$C51)</f>
        <v>0</v>
      </c>
      <c r="W51" s="188">
        <f>SUMIFS(Dataset!$AK:$AK,Dataset!$F:$F,'credito latam'!$D$11,Dataset!$AN:$AN,W$44,Dataset!$J:$J,"&lt;"&amp;$D51,Dataset!$J:$J,"&gt;="&amp;$C51)</f>
        <v>1.3936492260166723E-2</v>
      </c>
      <c r="X51" s="188">
        <f>SUMIFS(Dataset!$AK:$AK,Dataset!$F:$F,'credito latam'!$D$11,Dataset!$AN:$AN,"B-",Dataset!$J:$J,"&lt;"&amp;$D51,Dataset!$J:$J,"&gt;="&amp;$C51)+SUMIFS(Dataset!$AK:$AK,Dataset!$F:$F,'credito latam'!$D$11,Dataset!$AN:$AN,"B",Dataset!$J:$J,"&lt;"&amp;$D51,Dataset!$J:$J,"&gt;="&amp;$C51)+SUMIFS(Dataset!$AK:$AK,Dataset!$F:$F,'credito latam'!$D$11,Dataset!$AN:$AN,"B+",Dataset!$J:$J,"&lt;"&amp;$D51,Dataset!$J:$J,"&gt;="&amp;$C51)</f>
        <v>0</v>
      </c>
      <c r="Y51" s="189">
        <f>SUMIFS(Dataset!$AK:$AK,Dataset!$F:$F,'credito latam'!$D$11,Dataset!$AN:$AN,Y$44,Dataset!$J:$J,"&lt;"&amp;$D51,Dataset!$J:$J,"&gt;="&amp;$C51)</f>
        <v>0</v>
      </c>
      <c r="Z51" s="160">
        <f t="shared" si="2"/>
        <v>8.0196704866552532E-2</v>
      </c>
      <c r="AA51" s="185">
        <f>(SUMIFS(Dataset!$H:$H,Dataset!$F:$F,'credito latam'!$D$11,Dataset!$Z:$Z,AA$44,Dataset!$J:$J,"&lt;"&amp;$D51,Dataset!$J:$J,"&gt;="&amp;$C51))*10</f>
        <v>2.2345060155290315</v>
      </c>
      <c r="AB51" s="190">
        <f>(SUMIFS(Dataset!$H:$H,Dataset!$F:$F,'credito latam'!$D$11,Dataset!$Z:$Z,AB$44,Dataset!$J:$J,"&lt;"&amp;$D51,Dataset!$J:$J,"&gt;="&amp;$C51))*10</f>
        <v>0.9349282693418054</v>
      </c>
      <c r="AC51" s="190">
        <f>(SUMIFS(Dataset!$H:$H,Dataset!$F:$F,'credito latam'!$D$11,Dataset!$Z:$Z,AC$44,Dataset!$J:$J,"&lt;"&amp;$D51,Dataset!$J:$J,"&gt;="&amp;$C51))*10</f>
        <v>1.7164686625506302</v>
      </c>
      <c r="AD51" s="190">
        <f>(SUMIFS(Dataset!$H:$H,Dataset!$F:$F,'credito latam'!$D$11,Dataset!$Z:$Z,AD$44,Dataset!$J:$J,"&lt;"&amp;$D51,Dataset!$J:$J,"&gt;="&amp;$C51))*10</f>
        <v>0</v>
      </c>
      <c r="AE51" s="190">
        <f>(SUMIFS(Dataset!$H:$H,Dataset!$F:$F,'credito latam'!$D$11,Dataset!$Z:$Z,AE$44,Dataset!$J:$J,"&lt;"&amp;$D51,Dataset!$J:$J,"&gt;="&amp;$C51))*10</f>
        <v>0</v>
      </c>
      <c r="AF51" s="190">
        <f>(SUMIFS(Dataset!$H:$H,Dataset!$F:$F,'credito latam'!$D$11,Dataset!$Z:$Z,AF$44,Dataset!$J:$J,"&lt;"&amp;$D51,Dataset!$J:$J,"&gt;="&amp;$C51))*10</f>
        <v>0</v>
      </c>
      <c r="AG51" s="191">
        <f>SUMIFS(Dataset!$H:$H,Dataset!$F:$F,'credito latam'!$D$11,Dataset!$J:$J,"&lt;"&amp;$D51,Dataset!J:J,"&gt;="&amp;$C51,Dataset!$Z:$Z,"&lt;&gt;CL",Dataset!$Z:$Z,"&lt;&gt;MX",Dataset!$Z:$Z,"&lt;&gt;CO",Dataset!$Z:$Z,"&lt;&gt;PE",Dataset!$Z:$Z,"&lt;&gt;BR",Dataset!$Z:$Z,"&lt;&gt;CI",Dataset!$Z:$Z,"&lt;&gt;PA")*10</f>
        <v>0</v>
      </c>
      <c r="AH51" s="163">
        <f t="shared" si="3"/>
        <v>4.8859029474214672</v>
      </c>
    </row>
    <row r="52" spans="3:34" ht="33" customHeight="1" x14ac:dyDescent="0.2">
      <c r="C52" s="57">
        <v>6.5</v>
      </c>
      <c r="D52" s="61">
        <v>7.5</v>
      </c>
      <c r="E52" s="182">
        <f>SUMIFS(Dataset!$AK:$AK,Dataset!$F:$F,'credito latam'!$D$11,Dataset!$Z:$Z,E$44,Dataset!$J:$J,"&lt;"&amp;$D52,Dataset!$J:$J,"&gt;="&amp;$C52)</f>
        <v>3.8568701528353816E-3</v>
      </c>
      <c r="F52" s="183">
        <f>SUMIFS(Dataset!$AK:$AK,Dataset!$F:$F,'credito latam'!$D$11,Dataset!$Z:$Z,F$44,Dataset!$J:$J,"&lt;"&amp;$D52,Dataset!$J:$J,"&gt;="&amp;$C52)</f>
        <v>3.8629421087580801E-2</v>
      </c>
      <c r="G52" s="183">
        <f>SUMIFS(Dataset!$AK:$AK,Dataset!$F:$F,'credito latam'!$D$11,Dataset!$Z:$Z,G$44,Dataset!$J:$J,"&lt;"&amp;$D52,Dataset!$J:$J,"&gt;="&amp;$C52)</f>
        <v>4.1177954187200508E-2</v>
      </c>
      <c r="H52" s="183">
        <f>SUMIFS(Dataset!$AK:$AK,Dataset!$F:$F,'credito latam'!$D$11,Dataset!$Z:$Z,H$44,Dataset!$J:$J,"&lt;"&amp;$D52,Dataset!$J:$J,"&gt;="&amp;$C52)</f>
        <v>1.0368941685434663E-2</v>
      </c>
      <c r="I52" s="183">
        <f>SUMIFS(Dataset!$AK:$AK,Dataset!$F:$F,'credito latam'!$D$11,Dataset!$Z:$Z,I$44,Dataset!$J:$J,"&lt;"&amp;$D52,Dataset!$J:$J,"&gt;="&amp;$C52)</f>
        <v>8.230615249945604E-2</v>
      </c>
      <c r="J52" s="183">
        <f>SUMIFS(Dataset!$AK:$AK,Dataset!$F:$F,'credito latam'!$D$11,Dataset!$Z:$Z,J$44,Dataset!$J:$J,"&lt;"&amp;$D52,Dataset!$J:$J,"&gt;="&amp;$C52)</f>
        <v>0</v>
      </c>
      <c r="K52" s="184">
        <f>SUMIFS(Dataset!$AK:$AK,Dataset!$F:$F,'credito latam'!$D$11,Dataset!$J:$J,"&lt;"&amp;$D52,Dataset!J:J,"&gt;="&amp;$C52,Dataset!$Z:$Z,"&lt;&gt;CL",Dataset!$Z:$Z,"&lt;&gt;MX",Dataset!$Z:$Z,"&lt;&gt;CO",Dataset!$Z:$Z,"&lt;&gt;PE",Dataset!$Z:$Z,"&lt;&gt;BR",Dataset!$Z:$Z,"&lt;&gt;PA")</f>
        <v>2.0254297436144073E-2</v>
      </c>
      <c r="L52" s="160">
        <f t="shared" si="1"/>
        <v>0.19659363704865146</v>
      </c>
      <c r="M52" s="182">
        <f>SUMIFS(Dataset!$AK:$AK,Dataset!$F:$F,'credito latam'!$D$11,Dataset!$AN:$AN,"*AAA*",Dataset!$J:$J,"&lt;"&amp;$D52,Dataset!$J:$J,"&gt;="&amp;$C52)</f>
        <v>0</v>
      </c>
      <c r="N52" s="183">
        <f>SUMIFS(Dataset!$AK:$AK,Dataset!$F:$F,'credito latam'!$D$11,Dataset!$AN:$AN,"AA+",Dataset!$J:$J,"&lt;"&amp;$D52,Dataset!$J:$J,"&gt;="&amp;$C52)+SUMIFS(Dataset!$AK:$AK,Dataset!$F:$F,'credito latam'!$D$11,Dataset!$AN:$AN,"AA",Dataset!$J:$J,"&lt;"&amp;$D52,Dataset!$J:$J,"&gt;="&amp;$C52)+SUMIFS(Dataset!$AK:$AK,Dataset!$F:$F,'credito latam'!$D$11,Dataset!$AN:$AN,"AA-",Dataset!$J:$J,"&lt;"&amp;$D52,Dataset!$J:$J,"&gt;="&amp;$C52)</f>
        <v>0</v>
      </c>
      <c r="O52" s="183">
        <f>SUMIFS(Dataset!$AK:$AK,Dataset!$F:$F,'credito latam'!$D$11,Dataset!$AN:$AN,O$44,Dataset!$J:$J,"&lt;"&amp;$D52,Dataset!$J:$J,"&gt;="&amp;$C52)</f>
        <v>0</v>
      </c>
      <c r="P52" s="183">
        <f>SUMIFS(Dataset!$AK:$AK,Dataset!$F:$F,'credito latam'!$D$11,Dataset!$AN:$AN,P$44,Dataset!$J:$J,"&lt;"&amp;$D52,Dataset!$J:$J,"&gt;="&amp;$C52)</f>
        <v>0</v>
      </c>
      <c r="Q52" s="183">
        <f>SUMIFS(Dataset!$AK:$AK,Dataset!$F:$F,'credito latam'!$D$11,Dataset!$AN:$AN,Q$44,Dataset!$J:$J,"&lt;"&amp;$D52,Dataset!$J:$J,"&gt;="&amp;$C52)</f>
        <v>0</v>
      </c>
      <c r="R52" s="183">
        <f>SUMIFS(Dataset!$AK:$AK,Dataset!$F:$F,'credito latam'!$D$11,Dataset!$AN:$AN,R$44,Dataset!$J:$J,"&lt;"&amp;$D52,Dataset!$J:$J,"&gt;="&amp;$C52)</f>
        <v>1.3428834508749633E-2</v>
      </c>
      <c r="S52" s="183">
        <f>SUMIFS(Dataset!$AK:$AK,Dataset!$F:$F,'credito latam'!$D$11,Dataset!$AN:$AN,S$44,Dataset!$J:$J,"&lt;"&amp;$D52,Dataset!$J:$J,"&gt;="&amp;$C52)</f>
        <v>2.0558132913588691E-2</v>
      </c>
      <c r="T52" s="183">
        <f>SUMIFS(Dataset!$AK:$AK,Dataset!$F:$F,'credito latam'!$D$11,Dataset!$AN:$AN,T$44,Dataset!$J:$J,"&lt;"&amp;$D52,Dataset!$J:$J,"&gt;="&amp;$C52)</f>
        <v>0.1098260346889246</v>
      </c>
      <c r="U52" s="183">
        <f>SUMIFS(Dataset!$AK:$AK,Dataset!$F:$F,'credito latam'!$D$11,Dataset!$AN:$AN,U$44,Dataset!$J:$J,"&lt;"&amp;$D52,Dataset!$J:$J,"&gt;="&amp;$C52)</f>
        <v>2.9694926510469781E-2</v>
      </c>
      <c r="V52" s="183">
        <f>SUMIFS(Dataset!$AK:$AK,Dataset!$F:$F,'credito latam'!$D$11,Dataset!$AN:$AN,V$44,Dataset!$J:$J,"&lt;"&amp;$D52,Dataset!$J:$J,"&gt;="&amp;$C52)</f>
        <v>8.5110783284381968E-3</v>
      </c>
      <c r="W52" s="183">
        <f>SUMIFS(Dataset!$AK:$AK,Dataset!$F:$F,'credito latam'!$D$11,Dataset!$AN:$AN,W$44,Dataset!$J:$J,"&lt;"&amp;$D52,Dataset!$J:$J,"&gt;="&amp;$C52)</f>
        <v>1.4574630098480548E-2</v>
      </c>
      <c r="X52" s="183">
        <f>SUMIFS(Dataset!$AK:$AK,Dataset!$F:$F,'credito latam'!$D$11,Dataset!$AN:$AN,"B-",Dataset!$J:$J,"&lt;"&amp;$D52,Dataset!$J:$J,"&gt;="&amp;$C52)+SUMIFS(Dataset!$AK:$AK,Dataset!$F:$F,'credito latam'!$D$11,Dataset!$AN:$AN,"B",Dataset!$J:$J,"&lt;"&amp;$D52,Dataset!$J:$J,"&gt;="&amp;$C52)+SUMIFS(Dataset!$AK:$AK,Dataset!$F:$F,'credito latam'!$D$11,Dataset!$AN:$AN,"B+",Dataset!$J:$J,"&lt;"&amp;$D52,Dataset!$J:$J,"&gt;="&amp;$C52)</f>
        <v>0</v>
      </c>
      <c r="Y52" s="184">
        <f>SUMIFS(Dataset!$AK:$AK,Dataset!$F:$F,'credito latam'!$D$11,Dataset!$AN:$AN,Y$44,Dataset!$J:$J,"&lt;"&amp;$D52,Dataset!$J:$J,"&gt;="&amp;$C52)</f>
        <v>0</v>
      </c>
      <c r="Z52" s="160">
        <f t="shared" si="2"/>
        <v>0.19659363704865146</v>
      </c>
      <c r="AA52" s="185">
        <f>(SUMIFS(Dataset!$H:$H,Dataset!$F:$F,'credito latam'!$D$11,Dataset!$Z:$Z,AA$44,Dataset!$J:$J,"&lt;"&amp;$D52,Dataset!$J:$J,"&gt;="&amp;$C52))*10</f>
        <v>0.27962308608056519</v>
      </c>
      <c r="AB52" s="186">
        <f>(SUMIFS(Dataset!$H:$H,Dataset!$F:$F,'credito latam'!$D$11,Dataset!$Z:$Z,AB$44,Dataset!$J:$J,"&lt;"&amp;$D52,Dataset!$J:$J,"&gt;="&amp;$C52))*10</f>
        <v>2.8026678929217788</v>
      </c>
      <c r="AC52" s="186">
        <f>(SUMIFS(Dataset!$H:$H,Dataset!$F:$F,'credito latam'!$D$11,Dataset!$Z:$Z,AC$44,Dataset!$J:$J,"&lt;"&amp;$D52,Dataset!$J:$J,"&gt;="&amp;$C52))*10</f>
        <v>2.8516257625696544</v>
      </c>
      <c r="AD52" s="186">
        <f>(SUMIFS(Dataset!$H:$H,Dataset!$F:$F,'credito latam'!$D$11,Dataset!$Z:$Z,AD$44,Dataset!$J:$J,"&lt;"&amp;$D52,Dataset!$J:$J,"&gt;="&amp;$C52))*10</f>
        <v>0.73101038882314384</v>
      </c>
      <c r="AE52" s="186">
        <f>(SUMIFS(Dataset!$H:$H,Dataset!$F:$F,'credito latam'!$D$11,Dataset!$Z:$Z,AE$44,Dataset!$J:$J,"&lt;"&amp;$D52,Dataset!$J:$J,"&gt;="&amp;$C52))*10</f>
        <v>6.0576429179210862</v>
      </c>
      <c r="AF52" s="186">
        <f>(SUMIFS(Dataset!$H:$H,Dataset!$F:$F,'credito latam'!$D$11,Dataset!$Z:$Z,AF$44,Dataset!$J:$J,"&lt;"&amp;$D52,Dataset!$J:$J,"&gt;="&amp;$C52))*10</f>
        <v>0</v>
      </c>
      <c r="AG52" s="187">
        <f>SUMIFS(Dataset!$H:$H,Dataset!$F:$F,'credito latam'!$D$11,Dataset!$J:$J,"&lt;"&amp;$D52,Dataset!J:J,"&gt;="&amp;$C52,Dataset!$Z:$Z,"&lt;&gt;CL",Dataset!$Z:$Z,"&lt;&gt;MX",Dataset!$Z:$Z,"&lt;&gt;CO",Dataset!$Z:$Z,"&lt;&gt;PE",Dataset!$Z:$Z,"&lt;&gt;BR",Dataset!$Z:$Z,"&lt;&gt;CI",Dataset!$Z:$Z,"&lt;&gt;PA")*10</f>
        <v>1.4117245312992419</v>
      </c>
      <c r="AH52" s="163">
        <f t="shared" si="3"/>
        <v>14.134294579615471</v>
      </c>
    </row>
    <row r="53" spans="3:34" ht="33" customHeight="1" x14ac:dyDescent="0.2">
      <c r="C53" s="57">
        <v>7.5</v>
      </c>
      <c r="D53" s="61">
        <v>8.5</v>
      </c>
      <c r="E53" s="182">
        <f>SUMIFS(Dataset!$AK:$AK,Dataset!$F:$F,'credito latam'!$D$11,Dataset!$Z:$Z,E$44,Dataset!$J:$J,"&lt;"&amp;$D53,Dataset!$J:$J,"&gt;="&amp;$C53)</f>
        <v>4.7773211724504862E-2</v>
      </c>
      <c r="F53" s="188">
        <f>SUMIFS(Dataset!$AK:$AK,Dataset!$F:$F,'credito latam'!$D$11,Dataset!$Z:$Z,F$44,Dataset!$J:$J,"&lt;"&amp;$D53,Dataset!$J:$J,"&gt;="&amp;$C53)</f>
        <v>4.7713794472374269E-2</v>
      </c>
      <c r="G53" s="188">
        <f>SUMIFS(Dataset!$AK:$AK,Dataset!$F:$F,'credito latam'!$D$11,Dataset!$Z:$Z,G$44,Dataset!$J:$J,"&lt;"&amp;$D53,Dataset!$J:$J,"&gt;="&amp;$C53)</f>
        <v>3.4134613072619557E-2</v>
      </c>
      <c r="H53" s="188">
        <f>SUMIFS(Dataset!$AK:$AK,Dataset!$F:$F,'credito latam'!$D$11,Dataset!$Z:$Z,H$44,Dataset!$J:$J,"&lt;"&amp;$D53,Dataset!$J:$J,"&gt;="&amp;$C53)</f>
        <v>5.1676060778712826E-2</v>
      </c>
      <c r="I53" s="188">
        <f>SUMIFS(Dataset!$AK:$AK,Dataset!$F:$F,'credito latam'!$D$11,Dataset!$Z:$Z,I$44,Dataset!$J:$J,"&lt;"&amp;$D53,Dataset!$J:$J,"&gt;="&amp;$C53)</f>
        <v>3.270846338119477E-2</v>
      </c>
      <c r="J53" s="188">
        <f>SUMIFS(Dataset!$AK:$AK,Dataset!$F:$F,'credito latam'!$D$11,Dataset!$Z:$Z,J$44,Dataset!$J:$J,"&lt;"&amp;$D53,Dataset!$J:$J,"&gt;="&amp;$C53)</f>
        <v>1.6461765798114137E-2</v>
      </c>
      <c r="K53" s="189">
        <f>SUMIFS(Dataset!$AK:$AK,Dataset!$F:$F,'credito latam'!$D$11,Dataset!$J:$J,"&lt;"&amp;$D53,Dataset!J:J,"&gt;="&amp;$C53,Dataset!$Z:$Z,"&lt;&gt;CL",Dataset!$Z:$Z,"&lt;&gt;MX",Dataset!$Z:$Z,"&lt;&gt;CO",Dataset!$Z:$Z,"&lt;&gt;PE",Dataset!$Z:$Z,"&lt;&gt;BR",Dataset!$Z:$Z,"&lt;&gt;PA")</f>
        <v>0</v>
      </c>
      <c r="L53" s="160">
        <f t="shared" si="1"/>
        <v>0.23046790922752042</v>
      </c>
      <c r="M53" s="182">
        <f>SUMIFS(Dataset!$AK:$AK,Dataset!$F:$F,'credito latam'!$D$11,Dataset!$AN:$AN,"*AAA*",Dataset!$J:$J,"&lt;"&amp;$D53,Dataset!$J:$J,"&gt;="&amp;$C53)</f>
        <v>0</v>
      </c>
      <c r="N53" s="188">
        <f>SUMIFS(Dataset!$AK:$AK,Dataset!$F:$F,'credito latam'!$D$11,Dataset!$AN:$AN,"AA+",Dataset!$J:$J,"&lt;"&amp;$D53,Dataset!$J:$J,"&gt;="&amp;$C53)+SUMIFS(Dataset!$AK:$AK,Dataset!$F:$F,'credito latam'!$D$11,Dataset!$AN:$AN,"AA",Dataset!$J:$J,"&lt;"&amp;$D53,Dataset!$J:$J,"&gt;="&amp;$C53)+SUMIFS(Dataset!$AK:$AK,Dataset!$F:$F,'credito latam'!$D$11,Dataset!$AN:$AN,"AA-",Dataset!$J:$J,"&lt;"&amp;$D53,Dataset!$J:$J,"&gt;="&amp;$C53)</f>
        <v>0</v>
      </c>
      <c r="O53" s="188">
        <f>SUMIFS(Dataset!$AK:$AK,Dataset!$F:$F,'credito latam'!$D$11,Dataset!$AN:$AN,O$44,Dataset!$J:$J,"&lt;"&amp;$D53,Dataset!$J:$J,"&gt;="&amp;$C53)</f>
        <v>0</v>
      </c>
      <c r="P53" s="188">
        <f>SUMIFS(Dataset!$AK:$AK,Dataset!$F:$F,'credito latam'!$D$11,Dataset!$AN:$AN,P$44,Dataset!$J:$J,"&lt;"&amp;$D53,Dataset!$J:$J,"&gt;="&amp;$C53)</f>
        <v>0</v>
      </c>
      <c r="Q53" s="188">
        <f>SUMIFS(Dataset!$AK:$AK,Dataset!$F:$F,'credito latam'!$D$11,Dataset!$AN:$AN,Q$44,Dataset!$J:$J,"&lt;"&amp;$D53,Dataset!$J:$J,"&gt;="&amp;$C53)</f>
        <v>3.1294747219481065E-3</v>
      </c>
      <c r="R53" s="188">
        <f>SUMIFS(Dataset!$AK:$AK,Dataset!$F:$F,'credito latam'!$D$11,Dataset!$AN:$AN,R$44,Dataset!$J:$J,"&lt;"&amp;$D53,Dataset!$J:$J,"&gt;="&amp;$C53)</f>
        <v>6.6782020901875613E-2</v>
      </c>
      <c r="S53" s="188">
        <f>SUMIFS(Dataset!$AK:$AK,Dataset!$F:$F,'credito latam'!$D$11,Dataset!$AN:$AN,S$44,Dataset!$J:$J,"&lt;"&amp;$D53,Dataset!$J:$J,"&gt;="&amp;$C53)</f>
        <v>2.4070771990059206E-2</v>
      </c>
      <c r="T53" s="188">
        <f>SUMIFS(Dataset!$AK:$AK,Dataset!$F:$F,'credito latam'!$D$11,Dataset!$AN:$AN,T$44,Dataset!$J:$J,"&lt;"&amp;$D53,Dataset!$J:$J,"&gt;="&amp;$C53)</f>
        <v>0.11515798061736596</v>
      </c>
      <c r="U53" s="188">
        <f>SUMIFS(Dataset!$AK:$AK,Dataset!$F:$F,'credito latam'!$D$11,Dataset!$AN:$AN,U$44,Dataset!$J:$J,"&lt;"&amp;$D53,Dataset!$J:$J,"&gt;="&amp;$C53)</f>
        <v>0</v>
      </c>
      <c r="V53" s="188">
        <f>SUMIFS(Dataset!$AK:$AK,Dataset!$F:$F,'credito latam'!$D$11,Dataset!$AN:$AN,V$44,Dataset!$J:$J,"&lt;"&amp;$D53,Dataset!$J:$J,"&gt;="&amp;$C53)</f>
        <v>0</v>
      </c>
      <c r="W53" s="188">
        <f>SUMIFS(Dataset!$AK:$AK,Dataset!$F:$F,'credito latam'!$D$11,Dataset!$AN:$AN,W$44,Dataset!$J:$J,"&lt;"&amp;$D53,Dataset!$J:$J,"&gt;="&amp;$C53)</f>
        <v>1.32841197978124E-2</v>
      </c>
      <c r="X53" s="188">
        <f>SUMIFS(Dataset!$AK:$AK,Dataset!$F:$F,'credito latam'!$D$11,Dataset!$AN:$AN,"B-",Dataset!$J:$J,"&lt;"&amp;$D53,Dataset!$J:$J,"&gt;="&amp;$C53)+SUMIFS(Dataset!$AK:$AK,Dataset!$F:$F,'credito latam'!$D$11,Dataset!$AN:$AN,"B",Dataset!$J:$J,"&lt;"&amp;$D53,Dataset!$J:$J,"&gt;="&amp;$C53)+SUMIFS(Dataset!$AK:$AK,Dataset!$F:$F,'credito latam'!$D$11,Dataset!$AN:$AN,"B+",Dataset!$J:$J,"&lt;"&amp;$D53,Dataset!$J:$J,"&gt;="&amp;$C53)</f>
        <v>8.0435411984591601E-3</v>
      </c>
      <c r="Y53" s="189">
        <f>SUMIFS(Dataset!$AK:$AK,Dataset!$F:$F,'credito latam'!$D$11,Dataset!$AN:$AN,Y$44,Dataset!$J:$J,"&lt;"&amp;$D53,Dataset!$J:$J,"&gt;="&amp;$C53)</f>
        <v>0</v>
      </c>
      <c r="Z53" s="160">
        <f t="shared" si="2"/>
        <v>0.23046790922752045</v>
      </c>
      <c r="AA53" s="185">
        <f>(SUMIFS(Dataset!$H:$H,Dataset!$F:$F,'credito latam'!$D$11,Dataset!$Z:$Z,AA$44,Dataset!$J:$J,"&lt;"&amp;$D53,Dataset!$J:$J,"&gt;="&amp;$C53))*10</f>
        <v>3.8069023735195029</v>
      </c>
      <c r="AB53" s="190">
        <f>(SUMIFS(Dataset!$H:$H,Dataset!$F:$F,'credito latam'!$D$11,Dataset!$Z:$Z,AB$44,Dataset!$J:$J,"&lt;"&amp;$D53,Dataset!$J:$J,"&gt;="&amp;$C53))*10</f>
        <v>3.7462576835124928</v>
      </c>
      <c r="AC53" s="190">
        <f>(SUMIFS(Dataset!$H:$H,Dataset!$F:$F,'credito latam'!$D$11,Dataset!$Z:$Z,AC$44,Dataset!$J:$J,"&lt;"&amp;$D53,Dataset!$J:$J,"&gt;="&amp;$C53))*10</f>
        <v>2.7155847393998895</v>
      </c>
      <c r="AD53" s="190">
        <f>(SUMIFS(Dataset!$H:$H,Dataset!$F:$F,'credito latam'!$D$11,Dataset!$Z:$Z,AD$44,Dataset!$J:$J,"&lt;"&amp;$D53,Dataset!$J:$J,"&gt;="&amp;$C53))*10</f>
        <v>4.2489982320821547</v>
      </c>
      <c r="AE53" s="190">
        <f>(SUMIFS(Dataset!$H:$H,Dataset!$F:$F,'credito latam'!$D$11,Dataset!$Z:$Z,AE$44,Dataset!$J:$J,"&lt;"&amp;$D53,Dataset!$J:$J,"&gt;="&amp;$C53))*10</f>
        <v>2.6035126524198304</v>
      </c>
      <c r="AF53" s="190">
        <f>(SUMIFS(Dataset!$H:$H,Dataset!$F:$F,'credito latam'!$D$11,Dataset!$Z:$Z,AF$44,Dataset!$J:$J,"&lt;"&amp;$D53,Dataset!$J:$J,"&gt;="&amp;$C53))*10</f>
        <v>1.3334030296472452</v>
      </c>
      <c r="AG53" s="191">
        <f>SUMIFS(Dataset!$H:$H,Dataset!$F:$F,'credito latam'!$D$11,Dataset!$J:$J,"&lt;"&amp;$D53,Dataset!J:J,"&gt;="&amp;$C53,Dataset!$Z:$Z,"&lt;&gt;CL",Dataset!$Z:$Z,"&lt;&gt;MX",Dataset!$Z:$Z,"&lt;&gt;CO",Dataset!$Z:$Z,"&lt;&gt;PE",Dataset!$Z:$Z,"&lt;&gt;BR",Dataset!$Z:$Z,"&lt;&gt;CI",Dataset!$Z:$Z,"&lt;&gt;PA")*10</f>
        <v>0</v>
      </c>
      <c r="AH53" s="163">
        <f t="shared" si="3"/>
        <v>18.454658710581114</v>
      </c>
    </row>
    <row r="54" spans="3:34" ht="33" customHeight="1" x14ac:dyDescent="0.2">
      <c r="C54" s="57">
        <v>8.5</v>
      </c>
      <c r="D54" s="61">
        <v>9.5</v>
      </c>
      <c r="E54" s="182">
        <f>SUMIFS(Dataset!$AK:$AK,Dataset!$F:$F,'credito latam'!$D$11,Dataset!$Z:$Z,E$44,Dataset!$J:$J,"&lt;"&amp;$D54,Dataset!$J:$J,"&gt;="&amp;$C54)</f>
        <v>1.9991500998384863E-2</v>
      </c>
      <c r="F54" s="183">
        <f>SUMIFS(Dataset!$AK:$AK,Dataset!$F:$F,'credito latam'!$D$11,Dataset!$Z:$Z,F$44,Dataset!$J:$J,"&lt;"&amp;$D54,Dataset!$J:$J,"&gt;="&amp;$C54)</f>
        <v>4.0347129436095423E-3</v>
      </c>
      <c r="G54" s="183">
        <f>SUMIFS(Dataset!$AK:$AK,Dataset!$F:$F,'credito latam'!$D$11,Dataset!$Z:$Z,G$44,Dataset!$J:$J,"&lt;"&amp;$D54,Dataset!$J:$J,"&gt;="&amp;$C54)</f>
        <v>0</v>
      </c>
      <c r="H54" s="183">
        <f>SUMIFS(Dataset!$AK:$AK,Dataset!$F:$F,'credito latam'!$D$11,Dataset!$Z:$Z,H$44,Dataset!$J:$J,"&lt;"&amp;$D54,Dataset!$J:$J,"&gt;="&amp;$C54)</f>
        <v>2.3628157377929348E-2</v>
      </c>
      <c r="I54" s="183">
        <f>SUMIFS(Dataset!$AK:$AK,Dataset!$F:$F,'credito latam'!$D$11,Dataset!$Z:$Z,I$44,Dataset!$J:$J,"&lt;"&amp;$D54,Dataset!$J:$J,"&gt;="&amp;$C54)</f>
        <v>0</v>
      </c>
      <c r="J54" s="183">
        <f>SUMIFS(Dataset!$AK:$AK,Dataset!$F:$F,'credito latam'!$D$11,Dataset!$Z:$Z,J$44,Dataset!$J:$J,"&lt;"&amp;$D54,Dataset!$J:$J,"&gt;="&amp;$C54)</f>
        <v>0</v>
      </c>
      <c r="K54" s="184">
        <f>SUMIFS(Dataset!$AK:$AK,Dataset!$F:$F,'credito latam'!$D$11,Dataset!$J:$J,"&lt;"&amp;$D54,Dataset!J:J,"&gt;="&amp;$C54,Dataset!$Z:$Z,"&lt;&gt;CL",Dataset!$Z:$Z,"&lt;&gt;MX",Dataset!$Z:$Z,"&lt;&gt;CO",Dataset!$Z:$Z,"&lt;&gt;PE",Dataset!$Z:$Z,"&lt;&gt;BR",Dataset!$Z:$Z,"&lt;&gt;PA")</f>
        <v>0</v>
      </c>
      <c r="L54" s="160">
        <f t="shared" si="1"/>
        <v>4.7654371319923755E-2</v>
      </c>
      <c r="M54" s="182">
        <f>SUMIFS(Dataset!$AK:$AK,Dataset!$F:$F,'credito latam'!$D$11,Dataset!$AN:$AN,"*AAA*",Dataset!$J:$J,"&lt;"&amp;$D54,Dataset!$J:$J,"&gt;="&amp;$C54)</f>
        <v>0</v>
      </c>
      <c r="N54" s="183">
        <f>SUMIFS(Dataset!$AK:$AK,Dataset!$F:$F,'credito latam'!$D$11,Dataset!$AN:$AN,"AA+",Dataset!$J:$J,"&lt;"&amp;$D54,Dataset!$J:$J,"&gt;="&amp;$C54)+SUMIFS(Dataset!$AK:$AK,Dataset!$F:$F,'credito latam'!$D$11,Dataset!$AN:$AN,"AA",Dataset!$J:$J,"&lt;"&amp;$D54,Dataset!$J:$J,"&gt;="&amp;$C54)+SUMIFS(Dataset!$AK:$AK,Dataset!$F:$F,'credito latam'!$D$11,Dataset!$AN:$AN,"AA-",Dataset!$J:$J,"&lt;"&amp;$D54,Dataset!$J:$J,"&gt;="&amp;$C54)</f>
        <v>0</v>
      </c>
      <c r="O54" s="183">
        <f>SUMIFS(Dataset!$AK:$AK,Dataset!$F:$F,'credito latam'!$D$11,Dataset!$AN:$AN,O$44,Dataset!$J:$J,"&lt;"&amp;$D54,Dataset!$J:$J,"&gt;="&amp;$C54)</f>
        <v>0</v>
      </c>
      <c r="P54" s="183">
        <f>SUMIFS(Dataset!$AK:$AK,Dataset!$F:$F,'credito latam'!$D$11,Dataset!$AN:$AN,P$44,Dataset!$J:$J,"&lt;"&amp;$D54,Dataset!$J:$J,"&gt;="&amp;$C54)</f>
        <v>0</v>
      </c>
      <c r="Q54" s="183">
        <f>SUMIFS(Dataset!$AK:$AK,Dataset!$F:$F,'credito latam'!$D$11,Dataset!$AN:$AN,Q$44,Dataset!$J:$J,"&lt;"&amp;$D54,Dataset!$J:$J,"&gt;="&amp;$C54)</f>
        <v>0</v>
      </c>
      <c r="R54" s="183">
        <f>SUMIFS(Dataset!$AK:$AK,Dataset!$F:$F,'credito latam'!$D$11,Dataset!$AN:$AN,R$44,Dataset!$J:$J,"&lt;"&amp;$D54,Dataset!$J:$J,"&gt;="&amp;$C54)</f>
        <v>0</v>
      </c>
      <c r="S54" s="183">
        <f>SUMIFS(Dataset!$AK:$AK,Dataset!$F:$F,'credito latam'!$D$11,Dataset!$AN:$AN,S$44,Dataset!$J:$J,"&lt;"&amp;$D54,Dataset!$J:$J,"&gt;="&amp;$C54)</f>
        <v>1.9991500998384863E-2</v>
      </c>
      <c r="T54" s="183">
        <f>SUMIFS(Dataset!$AK:$AK,Dataset!$F:$F,'credito latam'!$D$11,Dataset!$AN:$AN,T$44,Dataset!$J:$J,"&lt;"&amp;$D54,Dataset!$J:$J,"&gt;="&amp;$C54)</f>
        <v>2.3628157377929348E-2</v>
      </c>
      <c r="U54" s="183">
        <f>SUMIFS(Dataset!$AK:$AK,Dataset!$F:$F,'credito latam'!$D$11,Dataset!$AN:$AN,U$44,Dataset!$J:$J,"&lt;"&amp;$D54,Dataset!$J:$J,"&gt;="&amp;$C54)</f>
        <v>0</v>
      </c>
      <c r="V54" s="183">
        <f>SUMIFS(Dataset!$AK:$AK,Dataset!$F:$F,'credito latam'!$D$11,Dataset!$AN:$AN,V$44,Dataset!$J:$J,"&lt;"&amp;$D54,Dataset!$J:$J,"&gt;="&amp;$C54)</f>
        <v>4.0347129436095423E-3</v>
      </c>
      <c r="W54" s="183">
        <f>SUMIFS(Dataset!$AK:$AK,Dataset!$F:$F,'credito latam'!$D$11,Dataset!$AN:$AN,W$44,Dataset!$J:$J,"&lt;"&amp;$D54,Dataset!$J:$J,"&gt;="&amp;$C54)</f>
        <v>0</v>
      </c>
      <c r="X54" s="183">
        <f>SUMIFS(Dataset!$AK:$AK,Dataset!$F:$F,'credito latam'!$D$11,Dataset!$AN:$AN,"B-",Dataset!$J:$J,"&lt;"&amp;$D54,Dataset!$J:$J,"&gt;="&amp;$C54)+SUMIFS(Dataset!$AK:$AK,Dataset!$F:$F,'credito latam'!$D$11,Dataset!$AN:$AN,"B",Dataset!$J:$J,"&lt;"&amp;$D54,Dataset!$J:$J,"&gt;="&amp;$C54)+SUMIFS(Dataset!$AK:$AK,Dataset!$F:$F,'credito latam'!$D$11,Dataset!$AN:$AN,"B+",Dataset!$J:$J,"&lt;"&amp;$D54,Dataset!$J:$J,"&gt;="&amp;$C54)</f>
        <v>0</v>
      </c>
      <c r="Y54" s="184">
        <f>SUMIFS(Dataset!$AK:$AK,Dataset!$F:$F,'credito latam'!$D$11,Dataset!$AN:$AN,Y$44,Dataset!$J:$J,"&lt;"&amp;$D54,Dataset!$J:$J,"&gt;="&amp;$C54)</f>
        <v>0</v>
      </c>
      <c r="Z54" s="160">
        <f t="shared" si="2"/>
        <v>4.7654371319923748E-2</v>
      </c>
      <c r="AA54" s="185">
        <f>(SUMIFS(Dataset!$H:$H,Dataset!$F:$F,'credito latam'!$D$11,Dataset!$Z:$Z,AA$44,Dataset!$J:$J,"&lt;"&amp;$D54,Dataset!$J:$J,"&gt;="&amp;$C54))*10</f>
        <v>1.8372189417515687</v>
      </c>
      <c r="AB54" s="186">
        <f>(SUMIFS(Dataset!$H:$H,Dataset!$F:$F,'credito latam'!$D$11,Dataset!$Z:$Z,AB$44,Dataset!$J:$J,"&lt;"&amp;$D54,Dataset!$J:$J,"&gt;="&amp;$C54))*10</f>
        <v>0.35303738256583495</v>
      </c>
      <c r="AC54" s="186">
        <f>(SUMIFS(Dataset!$H:$H,Dataset!$F:$F,'credito latam'!$D$11,Dataset!$Z:$Z,AC$44,Dataset!$J:$J,"&lt;"&amp;$D54,Dataset!$J:$J,"&gt;="&amp;$C54))*10</f>
        <v>0</v>
      </c>
      <c r="AD54" s="186">
        <f>(SUMIFS(Dataset!$H:$H,Dataset!$F:$F,'credito latam'!$D$11,Dataset!$Z:$Z,AD$44,Dataset!$J:$J,"&lt;"&amp;$D54,Dataset!$J:$J,"&gt;="&amp;$C54))*10</f>
        <v>2.1548879528671563</v>
      </c>
      <c r="AE54" s="186">
        <f>(SUMIFS(Dataset!$H:$H,Dataset!$F:$F,'credito latam'!$D$11,Dataset!$Z:$Z,AE$44,Dataset!$J:$J,"&lt;"&amp;$D54,Dataset!$J:$J,"&gt;="&amp;$C54))*10</f>
        <v>0</v>
      </c>
      <c r="AF54" s="186">
        <f>(SUMIFS(Dataset!$H:$H,Dataset!$F:$F,'credito latam'!$D$11,Dataset!$Z:$Z,AF$44,Dataset!$J:$J,"&lt;"&amp;$D54,Dataset!$J:$J,"&gt;="&amp;$C54))*10</f>
        <v>0</v>
      </c>
      <c r="AG54" s="187">
        <f>SUMIFS(Dataset!$H:$H,Dataset!$F:$F,'credito latam'!$D$11,Dataset!$J:$J,"&lt;"&amp;$D54,Dataset!J:J,"&gt;="&amp;$C54,Dataset!$Z:$Z,"&lt;&gt;CL",Dataset!$Z:$Z,"&lt;&gt;MX",Dataset!$Z:$Z,"&lt;&gt;CO",Dataset!$Z:$Z,"&lt;&gt;PE",Dataset!$Z:$Z,"&lt;&gt;BR",Dataset!$Z:$Z,"&lt;&gt;CI",Dataset!$Z:$Z,"&lt;&gt;PA")*10</f>
        <v>0</v>
      </c>
      <c r="AH54" s="163">
        <f t="shared" si="3"/>
        <v>4.3451442771845601</v>
      </c>
    </row>
    <row r="55" spans="3:34" ht="33" customHeight="1" x14ac:dyDescent="0.2">
      <c r="C55" s="57">
        <v>9.5</v>
      </c>
      <c r="D55" s="61">
        <v>10.5</v>
      </c>
      <c r="E55" s="182">
        <f>SUMIFS(Dataset!$AK:$AK,Dataset!$F:$F,'credito latam'!$D$11,Dataset!$Z:$Z,E$44,Dataset!$J:$J,"&lt;"&amp;$D55,Dataset!$J:$J,"&gt;="&amp;$C55)</f>
        <v>0</v>
      </c>
      <c r="F55" s="188">
        <f>SUMIFS(Dataset!$AK:$AK,Dataset!$F:$F,'credito latam'!$D$11,Dataset!$Z:$Z,F$44,Dataset!$J:$J,"&lt;"&amp;$D55,Dataset!$J:$J,"&gt;="&amp;$C55)</f>
        <v>1.0577130147072854E-2</v>
      </c>
      <c r="G55" s="188">
        <f>SUMIFS(Dataset!$AK:$AK,Dataset!$F:$F,'credito latam'!$D$11,Dataset!$Z:$Z,G$44,Dataset!$J:$J,"&lt;"&amp;$D55,Dataset!$J:$J,"&gt;="&amp;$C55)</f>
        <v>0</v>
      </c>
      <c r="H55" s="188">
        <f>SUMIFS(Dataset!$AK:$AK,Dataset!$F:$F,'credito latam'!$D$11,Dataset!$Z:$Z,H$44,Dataset!$J:$J,"&lt;"&amp;$D55,Dataset!$J:$J,"&gt;="&amp;$C55)</f>
        <v>0</v>
      </c>
      <c r="I55" s="188">
        <f>SUMIFS(Dataset!$AK:$AK,Dataset!$F:$F,'credito latam'!$D$11,Dataset!$Z:$Z,I$44,Dataset!$J:$J,"&lt;"&amp;$D55,Dataset!$J:$J,"&gt;="&amp;$C55)</f>
        <v>0</v>
      </c>
      <c r="J55" s="188">
        <f>SUMIFS(Dataset!$AK:$AK,Dataset!$F:$F,'credito latam'!$D$11,Dataset!$Z:$Z,J$44,Dataset!$J:$J,"&lt;"&amp;$D55,Dataset!$J:$J,"&gt;="&amp;$C55)</f>
        <v>0</v>
      </c>
      <c r="K55" s="189">
        <f>SUMIFS(Dataset!$AK:$AK,Dataset!$F:$F,'credito latam'!$D$11,Dataset!$J:$J,"&lt;"&amp;$D55,Dataset!J:J,"&gt;="&amp;$C55,Dataset!$Z:$Z,"&lt;&gt;CL",Dataset!$Z:$Z,"&lt;&gt;MX",Dataset!$Z:$Z,"&lt;&gt;CO",Dataset!$Z:$Z,"&lt;&gt;PE",Dataset!$Z:$Z,"&lt;&gt;BR",Dataset!$Z:$Z,"&lt;&gt;PA")</f>
        <v>0</v>
      </c>
      <c r="L55" s="160">
        <f t="shared" si="1"/>
        <v>1.0577130147072854E-2</v>
      </c>
      <c r="M55" s="182">
        <f>SUMIFS(Dataset!$AK:$AK,Dataset!$F:$F,'credito latam'!$D$11,Dataset!$AN:$AN,"*AAA*",Dataset!$J:$J,"&lt;"&amp;$D55,Dataset!$J:$J,"&gt;="&amp;$C55)</f>
        <v>0</v>
      </c>
      <c r="N55" s="188">
        <f>SUMIFS(Dataset!$AK:$AK,Dataset!$F:$F,'credito latam'!$D$11,Dataset!$AN:$AN,"AA+",Dataset!$J:$J,"&lt;"&amp;$D55,Dataset!$J:$J,"&gt;="&amp;$C55)+SUMIFS(Dataset!$AK:$AK,Dataset!$F:$F,'credito latam'!$D$11,Dataset!$AN:$AN,"AA",Dataset!$J:$J,"&lt;"&amp;$D55,Dataset!$J:$J,"&gt;="&amp;$C55)+SUMIFS(Dataset!$AK:$AK,Dataset!$F:$F,'credito latam'!$D$11,Dataset!$AN:$AN,"AA-",Dataset!$J:$J,"&lt;"&amp;$D55,Dataset!$J:$J,"&gt;="&amp;$C55)</f>
        <v>0</v>
      </c>
      <c r="O55" s="188">
        <f>SUMIFS(Dataset!$AK:$AK,Dataset!$F:$F,'credito latam'!$D$11,Dataset!$AN:$AN,O$44,Dataset!$J:$J,"&lt;"&amp;$D55,Dataset!$J:$J,"&gt;="&amp;$C55)</f>
        <v>0</v>
      </c>
      <c r="P55" s="188">
        <f>SUMIFS(Dataset!$AK:$AK,Dataset!$F:$F,'credito latam'!$D$11,Dataset!$AN:$AN,P$44,Dataset!$J:$J,"&lt;"&amp;$D55,Dataset!$J:$J,"&gt;="&amp;$C55)</f>
        <v>0</v>
      </c>
      <c r="Q55" s="188">
        <f>SUMIFS(Dataset!$AK:$AK,Dataset!$F:$F,'credito latam'!$D$11,Dataset!$AN:$AN,Q$44,Dataset!$J:$J,"&lt;"&amp;$D55,Dataset!$J:$J,"&gt;="&amp;$C55)</f>
        <v>0</v>
      </c>
      <c r="R55" s="188">
        <f>SUMIFS(Dataset!$AK:$AK,Dataset!$F:$F,'credito latam'!$D$11,Dataset!$AN:$AN,R$44,Dataset!$J:$J,"&lt;"&amp;$D55,Dataset!$J:$J,"&gt;="&amp;$C55)</f>
        <v>0</v>
      </c>
      <c r="S55" s="188">
        <f>SUMIFS(Dataset!$AK:$AK,Dataset!$F:$F,'credito latam'!$D$11,Dataset!$AN:$AN,S$44,Dataset!$J:$J,"&lt;"&amp;$D55,Dataset!$J:$J,"&gt;="&amp;$C55)</f>
        <v>1.0577130147072854E-2</v>
      </c>
      <c r="T55" s="188">
        <f>SUMIFS(Dataset!$AK:$AK,Dataset!$F:$F,'credito latam'!$D$11,Dataset!$AN:$AN,T$44,Dataset!$J:$J,"&lt;"&amp;$D55,Dataset!$J:$J,"&gt;="&amp;$C55)</f>
        <v>0</v>
      </c>
      <c r="U55" s="188">
        <f>SUMIFS(Dataset!$AK:$AK,Dataset!$F:$F,'credito latam'!$D$11,Dataset!$AN:$AN,U$44,Dataset!$J:$J,"&lt;"&amp;$D55,Dataset!$J:$J,"&gt;="&amp;$C55)</f>
        <v>0</v>
      </c>
      <c r="V55" s="188">
        <f>SUMIFS(Dataset!$AK:$AK,Dataset!$F:$F,'credito latam'!$D$11,Dataset!$AN:$AN,V$44,Dataset!$J:$J,"&lt;"&amp;$D55,Dataset!$J:$J,"&gt;="&amp;$C55)</f>
        <v>0</v>
      </c>
      <c r="W55" s="188">
        <f>SUMIFS(Dataset!$AK:$AK,Dataset!$F:$F,'credito latam'!$D$11,Dataset!$AN:$AN,W$44,Dataset!$J:$J,"&lt;"&amp;$D55,Dataset!$J:$J,"&gt;="&amp;$C55)</f>
        <v>0</v>
      </c>
      <c r="X55" s="188">
        <f>SUMIFS(Dataset!$AK:$AK,Dataset!$F:$F,'credito latam'!$D$11,Dataset!$AN:$AN,"B-",Dataset!$J:$J,"&lt;"&amp;$D55,Dataset!$J:$J,"&gt;="&amp;$C55)+SUMIFS(Dataset!$AK:$AK,Dataset!$F:$F,'credito latam'!$D$11,Dataset!$AN:$AN,"B",Dataset!$J:$J,"&lt;"&amp;$D55,Dataset!$J:$J,"&gt;="&amp;$C55)+SUMIFS(Dataset!$AK:$AK,Dataset!$F:$F,'credito latam'!$D$11,Dataset!$AN:$AN,"B+",Dataset!$J:$J,"&lt;"&amp;$D55,Dataset!$J:$J,"&gt;="&amp;$C55)</f>
        <v>0</v>
      </c>
      <c r="Y55" s="189">
        <f>SUMIFS(Dataset!$AK:$AK,Dataset!$F:$F,'credito latam'!$D$11,Dataset!$AN:$AN,Y$44,Dataset!$J:$J,"&lt;"&amp;$D55,Dataset!$J:$J,"&gt;="&amp;$C55)</f>
        <v>0</v>
      </c>
      <c r="Z55" s="160">
        <f t="shared" si="2"/>
        <v>1.0577130147072854E-2</v>
      </c>
      <c r="AA55" s="185">
        <f>(SUMIFS(Dataset!$H:$H,Dataset!$F:$F,'credito latam'!$D$11,Dataset!$Z:$Z,AA$44,Dataset!$J:$J,"&lt;"&amp;$D55,Dataset!$J:$J,"&gt;="&amp;$C55))*10</f>
        <v>0</v>
      </c>
      <c r="AB55" s="190">
        <f>(SUMIFS(Dataset!$H:$H,Dataset!$F:$F,'credito latam'!$D$11,Dataset!$Z:$Z,AB$44,Dataset!$J:$J,"&lt;"&amp;$D55,Dataset!$J:$J,"&gt;="&amp;$C55))*10</f>
        <v>1.0767518489720165</v>
      </c>
      <c r="AC55" s="190">
        <f>(SUMIFS(Dataset!$H:$H,Dataset!$F:$F,'credito latam'!$D$11,Dataset!$Z:$Z,AC$44,Dataset!$J:$J,"&lt;"&amp;$D55,Dataset!$J:$J,"&gt;="&amp;$C55))*10</f>
        <v>0</v>
      </c>
      <c r="AD55" s="190">
        <f>(SUMIFS(Dataset!$H:$H,Dataset!$F:$F,'credito latam'!$D$11,Dataset!$Z:$Z,AD$44,Dataset!$J:$J,"&lt;"&amp;$D55,Dataset!$J:$J,"&gt;="&amp;$C55))*10</f>
        <v>0</v>
      </c>
      <c r="AE55" s="190">
        <f>(SUMIFS(Dataset!$H:$H,Dataset!$F:$F,'credito latam'!$D$11,Dataset!$Z:$Z,AE$44,Dataset!$J:$J,"&lt;"&amp;$D55,Dataset!$J:$J,"&gt;="&amp;$C55))*10</f>
        <v>0</v>
      </c>
      <c r="AF55" s="190">
        <f>(SUMIFS(Dataset!$H:$H,Dataset!$F:$F,'credito latam'!$D$11,Dataset!$Z:$Z,AF$44,Dataset!$J:$J,"&lt;"&amp;$D55,Dataset!$J:$J,"&gt;="&amp;$C55))*10</f>
        <v>0</v>
      </c>
      <c r="AG55" s="191">
        <f>SUMIFS(Dataset!$H:$H,Dataset!$F:$F,'credito latam'!$D$11,Dataset!$J:$J,"&lt;"&amp;$D55,Dataset!J:J,"&gt;="&amp;$C55,Dataset!$Z:$Z,"&lt;&gt;CL",Dataset!$Z:$Z,"&lt;&gt;MX",Dataset!$Z:$Z,"&lt;&gt;CO",Dataset!$Z:$Z,"&lt;&gt;PE",Dataset!$Z:$Z,"&lt;&gt;BR",Dataset!$Z:$Z,"&lt;&gt;CI",Dataset!$Z:$Z,"&lt;&gt;PA")*10</f>
        <v>0</v>
      </c>
      <c r="AH55" s="163">
        <f t="shared" si="3"/>
        <v>1.0767518489720165</v>
      </c>
    </row>
    <row r="56" spans="3:34" ht="33" customHeight="1" x14ac:dyDescent="0.2">
      <c r="C56" s="57">
        <v>10.5</v>
      </c>
      <c r="D56" s="61">
        <v>11.5</v>
      </c>
      <c r="E56" s="182">
        <f>SUMIFS(Dataset!$AK:$AK,Dataset!$F:$F,'credito latam'!$D$11,Dataset!$Z:$Z,E$44,Dataset!$J:$J,"&lt;"&amp;$D56,Dataset!$J:$J,"&gt;="&amp;$C56)</f>
        <v>0</v>
      </c>
      <c r="F56" s="183">
        <f>SUMIFS(Dataset!$AK:$AK,Dataset!$F:$F,'credito latam'!$D$11,Dataset!$Z:$Z,F$44,Dataset!$J:$J,"&lt;"&amp;$D56,Dataset!$J:$J,"&gt;="&amp;$C56)</f>
        <v>0</v>
      </c>
      <c r="G56" s="183">
        <f>SUMIFS(Dataset!$AK:$AK,Dataset!$F:$F,'credito latam'!$D$11,Dataset!$Z:$Z,G$44,Dataset!$J:$J,"&lt;"&amp;$D56,Dataset!$J:$J,"&gt;="&amp;$C56)</f>
        <v>0</v>
      </c>
      <c r="H56" s="183">
        <f>SUMIFS(Dataset!$AK:$AK,Dataset!$F:$F,'credito latam'!$D$11,Dataset!$Z:$Z,H$44,Dataset!$J:$J,"&lt;"&amp;$D56,Dataset!$J:$J,"&gt;="&amp;$C56)</f>
        <v>2.0271918732583546E-2</v>
      </c>
      <c r="I56" s="183">
        <f>SUMIFS(Dataset!$AK:$AK,Dataset!$F:$F,'credito latam'!$D$11,Dataset!$Z:$Z,I$44,Dataset!$J:$J,"&lt;"&amp;$D56,Dataset!$J:$J,"&gt;="&amp;$C56)</f>
        <v>0</v>
      </c>
      <c r="J56" s="183">
        <f>SUMIFS(Dataset!$AK:$AK,Dataset!$F:$F,'credito latam'!$D$11,Dataset!$Z:$Z,J$44,Dataset!$J:$J,"&lt;"&amp;$D56,Dataset!$J:$J,"&gt;="&amp;$C56)</f>
        <v>0</v>
      </c>
      <c r="K56" s="184">
        <f>SUMIFS(Dataset!$AK:$AK,Dataset!$F:$F,'credito latam'!$D$11,Dataset!$J:$J,"&lt;"&amp;$D56,Dataset!J:J,"&gt;="&amp;$C56,Dataset!$Z:$Z,"&lt;&gt;CL",Dataset!$Z:$Z,"&lt;&gt;MX",Dataset!$Z:$Z,"&lt;&gt;CO",Dataset!$Z:$Z,"&lt;&gt;PE",Dataset!$Z:$Z,"&lt;&gt;BR",Dataset!$Z:$Z,"&lt;&gt;PA")</f>
        <v>0</v>
      </c>
      <c r="L56" s="160">
        <f t="shared" si="1"/>
        <v>2.0271918732583546E-2</v>
      </c>
      <c r="M56" s="182">
        <f>SUMIFS(Dataset!$AK:$AK,Dataset!$F:$F,'credito latam'!$D$11,Dataset!$AN:$AN,"*AAA*",Dataset!$J:$J,"&lt;"&amp;$D56,Dataset!$J:$J,"&gt;="&amp;$C56)</f>
        <v>0</v>
      </c>
      <c r="N56" s="183">
        <f>SUMIFS(Dataset!$AK:$AK,Dataset!$F:$F,'credito latam'!$D$11,Dataset!$AN:$AN,"AA+",Dataset!$J:$J,"&lt;"&amp;$D56,Dataset!$J:$J,"&gt;="&amp;$C56)+SUMIFS(Dataset!$AK:$AK,Dataset!$F:$F,'credito latam'!$D$11,Dataset!$AN:$AN,"AA",Dataset!$J:$J,"&lt;"&amp;$D56,Dataset!$J:$J,"&gt;="&amp;$C56)+SUMIFS(Dataset!$AK:$AK,Dataset!$F:$F,'credito latam'!$D$11,Dataset!$AN:$AN,"AA-",Dataset!$J:$J,"&lt;"&amp;$D56,Dataset!$J:$J,"&gt;="&amp;$C56)</f>
        <v>0</v>
      </c>
      <c r="O56" s="183">
        <f>SUMIFS(Dataset!$AK:$AK,Dataset!$F:$F,'credito latam'!$D$11,Dataset!$AN:$AN,O$44,Dataset!$J:$J,"&lt;"&amp;$D56,Dataset!$J:$J,"&gt;="&amp;$C56)</f>
        <v>0</v>
      </c>
      <c r="P56" s="183">
        <f>SUMIFS(Dataset!$AK:$AK,Dataset!$F:$F,'credito latam'!$D$11,Dataset!$AN:$AN,P$44,Dataset!$J:$J,"&lt;"&amp;$D56,Dataset!$J:$J,"&gt;="&amp;$C56)</f>
        <v>0</v>
      </c>
      <c r="Q56" s="183">
        <f>SUMIFS(Dataset!$AK:$AK,Dataset!$F:$F,'credito latam'!$D$11,Dataset!$AN:$AN,Q$44,Dataset!$J:$J,"&lt;"&amp;$D56,Dataset!$J:$J,"&gt;="&amp;$C56)</f>
        <v>0</v>
      </c>
      <c r="R56" s="183">
        <f>SUMIFS(Dataset!$AK:$AK,Dataset!$F:$F,'credito latam'!$D$11,Dataset!$AN:$AN,R$44,Dataset!$J:$J,"&lt;"&amp;$D56,Dataset!$J:$J,"&gt;="&amp;$C56)</f>
        <v>0</v>
      </c>
      <c r="S56" s="183">
        <f>SUMIFS(Dataset!$AK:$AK,Dataset!$F:$F,'credito latam'!$D$11,Dataset!$AN:$AN,S$44,Dataset!$J:$J,"&lt;"&amp;$D56,Dataset!$J:$J,"&gt;="&amp;$C56)</f>
        <v>1.8142905331300731E-2</v>
      </c>
      <c r="T56" s="183">
        <f>SUMIFS(Dataset!$AK:$AK,Dataset!$F:$F,'credito latam'!$D$11,Dataset!$AN:$AN,T$44,Dataset!$J:$J,"&lt;"&amp;$D56,Dataset!$J:$J,"&gt;="&amp;$C56)</f>
        <v>2.1290134012828142E-3</v>
      </c>
      <c r="U56" s="183">
        <f>SUMIFS(Dataset!$AK:$AK,Dataset!$F:$F,'credito latam'!$D$11,Dataset!$AN:$AN,U$44,Dataset!$J:$J,"&lt;"&amp;$D56,Dataset!$J:$J,"&gt;="&amp;$C56)</f>
        <v>0</v>
      </c>
      <c r="V56" s="183">
        <f>SUMIFS(Dataset!$AK:$AK,Dataset!$F:$F,'credito latam'!$D$11,Dataset!$AN:$AN,V$44,Dataset!$J:$J,"&lt;"&amp;$D56,Dataset!$J:$J,"&gt;="&amp;$C56)</f>
        <v>0</v>
      </c>
      <c r="W56" s="183">
        <f>SUMIFS(Dataset!$AK:$AK,Dataset!$F:$F,'credito latam'!$D$11,Dataset!$AN:$AN,W$44,Dataset!$J:$J,"&lt;"&amp;$D56,Dataset!$J:$J,"&gt;="&amp;$C56)</f>
        <v>0</v>
      </c>
      <c r="X56" s="183">
        <f>SUMIFS(Dataset!$AK:$AK,Dataset!$F:$F,'credito latam'!$D$11,Dataset!$AN:$AN,"B-",Dataset!$J:$J,"&lt;"&amp;$D56,Dataset!$J:$J,"&gt;="&amp;$C56)+SUMIFS(Dataset!$AK:$AK,Dataset!$F:$F,'credito latam'!$D$11,Dataset!$AN:$AN,"B",Dataset!$J:$J,"&lt;"&amp;$D56,Dataset!$J:$J,"&gt;="&amp;$C56)+SUMIFS(Dataset!$AK:$AK,Dataset!$F:$F,'credito latam'!$D$11,Dataset!$AN:$AN,"B+",Dataset!$J:$J,"&lt;"&amp;$D56,Dataset!$J:$J,"&gt;="&amp;$C56)</f>
        <v>0</v>
      </c>
      <c r="Y56" s="184">
        <f>SUMIFS(Dataset!$AK:$AK,Dataset!$F:$F,'credito latam'!$D$11,Dataset!$AN:$AN,Y$44,Dataset!$J:$J,"&lt;"&amp;$D56,Dataset!$J:$J,"&gt;="&amp;$C56)</f>
        <v>0</v>
      </c>
      <c r="Z56" s="160">
        <f t="shared" si="2"/>
        <v>2.0271918732583546E-2</v>
      </c>
      <c r="AA56" s="185">
        <f>(SUMIFS(Dataset!$H:$H,Dataset!$F:$F,'credito latam'!$D$11,Dataset!$Z:$Z,AA$44,Dataset!$J:$J,"&lt;"&amp;$D56,Dataset!$J:$J,"&gt;="&amp;$C56))*10</f>
        <v>0</v>
      </c>
      <c r="AB56" s="186">
        <f>(SUMIFS(Dataset!$H:$H,Dataset!$F:$F,'credito latam'!$D$11,Dataset!$Z:$Z,AB$44,Dataset!$J:$J,"&lt;"&amp;$D56,Dataset!$J:$J,"&gt;="&amp;$C56))*10</f>
        <v>0</v>
      </c>
      <c r="AC56" s="186">
        <f>(SUMIFS(Dataset!$H:$H,Dataset!$F:$F,'credito latam'!$D$11,Dataset!$Z:$Z,AC$44,Dataset!$J:$J,"&lt;"&amp;$D56,Dataset!$J:$J,"&gt;="&amp;$C56))*10</f>
        <v>0</v>
      </c>
      <c r="AD56" s="186">
        <f>(SUMIFS(Dataset!$H:$H,Dataset!$F:$F,'credito latam'!$D$11,Dataset!$Z:$Z,AD$44,Dataset!$J:$J,"&lt;"&amp;$D56,Dataset!$J:$J,"&gt;="&amp;$C56))*10</f>
        <v>2.2329194541982242</v>
      </c>
      <c r="AE56" s="186">
        <f>(SUMIFS(Dataset!$H:$H,Dataset!$F:$F,'credito latam'!$D$11,Dataset!$Z:$Z,AE$44,Dataset!$J:$J,"&lt;"&amp;$D56,Dataset!$J:$J,"&gt;="&amp;$C56))*10</f>
        <v>0</v>
      </c>
      <c r="AF56" s="186">
        <f>(SUMIFS(Dataset!$H:$H,Dataset!$F:$F,'credito latam'!$D$11,Dataset!$Z:$Z,AF$44,Dataset!$J:$J,"&lt;"&amp;$D56,Dataset!$J:$J,"&gt;="&amp;$C56))*10</f>
        <v>0</v>
      </c>
      <c r="AG56" s="187">
        <f>SUMIFS(Dataset!$H:$H,Dataset!$F:$F,'credito latam'!$D$11,Dataset!$J:$J,"&lt;"&amp;$D56,Dataset!J:J,"&gt;="&amp;$C56,Dataset!$Z:$Z,"&lt;&gt;CL",Dataset!$Z:$Z,"&lt;&gt;MX",Dataset!$Z:$Z,"&lt;&gt;CO",Dataset!$Z:$Z,"&lt;&gt;PE",Dataset!$Z:$Z,"&lt;&gt;BR",Dataset!$Z:$Z,"&lt;&gt;CI",Dataset!$Z:$Z,"&lt;&gt;PA")*10</f>
        <v>0</v>
      </c>
      <c r="AH56" s="163">
        <f t="shared" si="3"/>
        <v>2.2329194541982242</v>
      </c>
    </row>
    <row r="57" spans="3:34" ht="33" customHeight="1" x14ac:dyDescent="0.2">
      <c r="C57" s="57">
        <v>11.5</v>
      </c>
      <c r="D57" s="61">
        <v>12.5</v>
      </c>
      <c r="E57" s="182">
        <f>SUMIFS(Dataset!$AK:$AK,Dataset!$F:$F,'credito latam'!$D$11,Dataset!$Z:$Z,E$44,Dataset!$J:$J,"&lt;"&amp;$D57,Dataset!$J:$J,"&gt;="&amp;$C57)</f>
        <v>0</v>
      </c>
      <c r="F57" s="188">
        <f>SUMIFS(Dataset!$AK:$AK,Dataset!$F:$F,'credito latam'!$D$11,Dataset!$Z:$Z,F$44,Dataset!$J:$J,"&lt;"&amp;$D57,Dataset!$J:$J,"&gt;="&amp;$C57)</f>
        <v>2.2587309613899834E-2</v>
      </c>
      <c r="G57" s="188">
        <f>SUMIFS(Dataset!$AK:$AK,Dataset!$F:$F,'credito latam'!$D$11,Dataset!$Z:$Z,G$44,Dataset!$J:$J,"&lt;"&amp;$D57,Dataset!$J:$J,"&gt;="&amp;$C57)</f>
        <v>0</v>
      </c>
      <c r="H57" s="188">
        <f>SUMIFS(Dataset!$AK:$AK,Dataset!$F:$F,'credito latam'!$D$11,Dataset!$Z:$Z,H$44,Dataset!$J:$J,"&lt;"&amp;$D57,Dataset!$J:$J,"&gt;="&amp;$C57)</f>
        <v>0</v>
      </c>
      <c r="I57" s="188">
        <f>SUMIFS(Dataset!$AK:$AK,Dataset!$F:$F,'credito latam'!$D$11,Dataset!$Z:$Z,I$44,Dataset!$J:$J,"&lt;"&amp;$D57,Dataset!$J:$J,"&gt;="&amp;$C57)</f>
        <v>0</v>
      </c>
      <c r="J57" s="188">
        <f>SUMIFS(Dataset!$AK:$AK,Dataset!$F:$F,'credito latam'!$D$11,Dataset!$Z:$Z,J$44,Dataset!$J:$J,"&lt;"&amp;$D57,Dataset!$J:$J,"&gt;="&amp;$C57)</f>
        <v>0</v>
      </c>
      <c r="K57" s="189">
        <f>SUMIFS(Dataset!$AK:$AK,Dataset!$F:$F,'credito latam'!$D$11,Dataset!$J:$J,"&lt;"&amp;$D57,Dataset!J:J,"&gt;="&amp;$C57,Dataset!$Z:$Z,"&lt;&gt;CL",Dataset!$Z:$Z,"&lt;&gt;MX",Dataset!$Z:$Z,"&lt;&gt;CO",Dataset!$Z:$Z,"&lt;&gt;PE",Dataset!$Z:$Z,"&lt;&gt;BR",Dataset!$Z:$Z,"&lt;&gt;PA")</f>
        <v>0</v>
      </c>
      <c r="L57" s="160">
        <f t="shared" si="1"/>
        <v>2.2587309613899834E-2</v>
      </c>
      <c r="M57" s="182">
        <f>SUMIFS(Dataset!$AK:$AK,Dataset!$F:$F,'credito latam'!$D$11,Dataset!$AN:$AN,"*AAA*",Dataset!$J:$J,"&lt;"&amp;$D57,Dataset!$J:$J,"&gt;="&amp;$C57)</f>
        <v>0</v>
      </c>
      <c r="N57" s="188">
        <f>SUMIFS(Dataset!$AK:$AK,Dataset!$F:$F,'credito latam'!$D$11,Dataset!$AN:$AN,"AA+",Dataset!$J:$J,"&lt;"&amp;$D57,Dataset!$J:$J,"&gt;="&amp;$C57)+SUMIFS(Dataset!$AK:$AK,Dataset!$F:$F,'credito latam'!$D$11,Dataset!$AN:$AN,"AA",Dataset!$J:$J,"&lt;"&amp;$D57,Dataset!$J:$J,"&gt;="&amp;$C57)+SUMIFS(Dataset!$AK:$AK,Dataset!$F:$F,'credito latam'!$D$11,Dataset!$AN:$AN,"AA-",Dataset!$J:$J,"&lt;"&amp;$D57,Dataset!$J:$J,"&gt;="&amp;$C57)</f>
        <v>0</v>
      </c>
      <c r="O57" s="188">
        <f>SUMIFS(Dataset!$AK:$AK,Dataset!$F:$F,'credito latam'!$D$11,Dataset!$AN:$AN,O$44,Dataset!$J:$J,"&lt;"&amp;$D57,Dataset!$J:$J,"&gt;="&amp;$C57)</f>
        <v>0</v>
      </c>
      <c r="P57" s="188">
        <f>SUMIFS(Dataset!$AK:$AK,Dataset!$F:$F,'credito latam'!$D$11,Dataset!$AN:$AN,P$44,Dataset!$J:$J,"&lt;"&amp;$D57,Dataset!$J:$J,"&gt;="&amp;$C57)</f>
        <v>0</v>
      </c>
      <c r="Q57" s="188">
        <f>SUMIFS(Dataset!$AK:$AK,Dataset!$F:$F,'credito latam'!$D$11,Dataset!$AN:$AN,Q$44,Dataset!$J:$J,"&lt;"&amp;$D57,Dataset!$J:$J,"&gt;="&amp;$C57)</f>
        <v>0</v>
      </c>
      <c r="R57" s="188">
        <f>SUMIFS(Dataset!$AK:$AK,Dataset!$F:$F,'credito latam'!$D$11,Dataset!$AN:$AN,R$44,Dataset!$J:$J,"&lt;"&amp;$D57,Dataset!$J:$J,"&gt;="&amp;$C57)</f>
        <v>0</v>
      </c>
      <c r="S57" s="188">
        <f>SUMIFS(Dataset!$AK:$AK,Dataset!$F:$F,'credito latam'!$D$11,Dataset!$AN:$AN,S$44,Dataset!$J:$J,"&lt;"&amp;$D57,Dataset!$J:$J,"&gt;="&amp;$C57)</f>
        <v>0</v>
      </c>
      <c r="T57" s="188">
        <f>SUMIFS(Dataset!$AK:$AK,Dataset!$F:$F,'credito latam'!$D$11,Dataset!$AN:$AN,T$44,Dataset!$J:$J,"&lt;"&amp;$D57,Dataset!$J:$J,"&gt;="&amp;$C57)</f>
        <v>2.2587309613899834E-2</v>
      </c>
      <c r="U57" s="188">
        <f>SUMIFS(Dataset!$AK:$AK,Dataset!$F:$F,'credito latam'!$D$11,Dataset!$AN:$AN,U$44,Dataset!$J:$J,"&lt;"&amp;$D57,Dataset!$J:$J,"&gt;="&amp;$C57)</f>
        <v>0</v>
      </c>
      <c r="V57" s="188">
        <f>SUMIFS(Dataset!$AK:$AK,Dataset!$F:$F,'credito latam'!$D$11,Dataset!$AN:$AN,V$44,Dataset!$J:$J,"&lt;"&amp;$D57,Dataset!$J:$J,"&gt;="&amp;$C57)</f>
        <v>0</v>
      </c>
      <c r="W57" s="188">
        <f>SUMIFS(Dataset!$AK:$AK,Dataset!$F:$F,'credito latam'!$D$11,Dataset!$AN:$AN,W$44,Dataset!$J:$J,"&lt;"&amp;$D57,Dataset!$J:$J,"&gt;="&amp;$C57)</f>
        <v>0</v>
      </c>
      <c r="X57" s="188">
        <f>SUMIFS(Dataset!$AK:$AK,Dataset!$F:$F,'credito latam'!$D$11,Dataset!$AN:$AN,"B-",Dataset!$J:$J,"&lt;"&amp;$D57,Dataset!$J:$J,"&gt;="&amp;$C57)+SUMIFS(Dataset!$AK:$AK,Dataset!$F:$F,'credito latam'!$D$11,Dataset!$AN:$AN,"B",Dataset!$J:$J,"&lt;"&amp;$D57,Dataset!$J:$J,"&gt;="&amp;$C57)+SUMIFS(Dataset!$AK:$AK,Dataset!$F:$F,'credito latam'!$D$11,Dataset!$AN:$AN,"B+",Dataset!$J:$J,"&lt;"&amp;$D57,Dataset!$J:$J,"&gt;="&amp;$C57)</f>
        <v>0</v>
      </c>
      <c r="Y57" s="189">
        <f>SUMIFS(Dataset!$AK:$AK,Dataset!$F:$F,'credito latam'!$D$11,Dataset!$AN:$AN,Y$44,Dataset!$J:$J,"&lt;"&amp;$D57,Dataset!$J:$J,"&gt;="&amp;$C57)</f>
        <v>0</v>
      </c>
      <c r="Z57" s="160">
        <f t="shared" si="2"/>
        <v>2.2587309613899834E-2</v>
      </c>
      <c r="AA57" s="185">
        <f>(SUMIFS(Dataset!$H:$H,Dataset!$F:$F,'credito latam'!$D$11,Dataset!$Z:$Z,AA$44,Dataset!$J:$J,"&lt;"&amp;$D57,Dataset!$J:$J,"&gt;="&amp;$C57))*10</f>
        <v>0</v>
      </c>
      <c r="AB57" s="190">
        <f>(SUMIFS(Dataset!$H:$H,Dataset!$F:$F,'credito latam'!$D$11,Dataset!$Z:$Z,AB$44,Dataset!$J:$J,"&lt;"&amp;$D57,Dataset!$J:$J,"&gt;="&amp;$C57))*10</f>
        <v>2.6562676105946204</v>
      </c>
      <c r="AC57" s="190">
        <f>(SUMIFS(Dataset!$H:$H,Dataset!$F:$F,'credito latam'!$D$11,Dataset!$Z:$Z,AC$44,Dataset!$J:$J,"&lt;"&amp;$D57,Dataset!$J:$J,"&gt;="&amp;$C57))*10</f>
        <v>0</v>
      </c>
      <c r="AD57" s="190">
        <f>(SUMIFS(Dataset!$H:$H,Dataset!$F:$F,'credito latam'!$D$11,Dataset!$Z:$Z,AD$44,Dataset!$J:$J,"&lt;"&amp;$D57,Dataset!$J:$J,"&gt;="&amp;$C57))*10</f>
        <v>0</v>
      </c>
      <c r="AE57" s="190">
        <f>(SUMIFS(Dataset!$H:$H,Dataset!$F:$F,'credito latam'!$D$11,Dataset!$Z:$Z,AE$44,Dataset!$J:$J,"&lt;"&amp;$D57,Dataset!$J:$J,"&gt;="&amp;$C57))*10</f>
        <v>0</v>
      </c>
      <c r="AF57" s="190">
        <f>(SUMIFS(Dataset!$H:$H,Dataset!$F:$F,'credito latam'!$D$11,Dataset!$Z:$Z,AF$44,Dataset!$J:$J,"&lt;"&amp;$D57,Dataset!$J:$J,"&gt;="&amp;$C57))*10</f>
        <v>0</v>
      </c>
      <c r="AG57" s="191">
        <f>SUMIFS(Dataset!$H:$H,Dataset!$F:$F,'credito latam'!$D$11,Dataset!$J:$J,"&lt;"&amp;$D57,Dataset!J:J,"&gt;="&amp;$C57,Dataset!$Z:$Z,"&lt;&gt;CL",Dataset!$Z:$Z,"&lt;&gt;MX",Dataset!$Z:$Z,"&lt;&gt;CO",Dataset!$Z:$Z,"&lt;&gt;PE",Dataset!$Z:$Z,"&lt;&gt;BR",Dataset!$Z:$Z,"&lt;&gt;CI",Dataset!$Z:$Z,"&lt;&gt;PA")*10</f>
        <v>0</v>
      </c>
      <c r="AH57" s="163">
        <f t="shared" si="3"/>
        <v>2.6562676105946204</v>
      </c>
    </row>
    <row r="58" spans="3:34" ht="33" customHeight="1" x14ac:dyDescent="0.2">
      <c r="C58" s="57">
        <v>12.5</v>
      </c>
      <c r="D58" s="61">
        <v>13.5</v>
      </c>
      <c r="E58" s="182">
        <f>SUMIFS(Dataset!$AK:$AK,Dataset!$F:$F,'credito latam'!$D$11,Dataset!$Z:$Z,E$44,Dataset!$J:$J,"&lt;"&amp;$D58,Dataset!$J:$J,"&gt;="&amp;$C58)</f>
        <v>0</v>
      </c>
      <c r="F58" s="183">
        <f>SUMIFS(Dataset!$AK:$AK,Dataset!$F:$F,'credito latam'!$D$11,Dataset!$Z:$Z,F$44,Dataset!$J:$J,"&lt;"&amp;$D58,Dataset!$J:$J,"&gt;="&amp;$C58)</f>
        <v>8.0515142368052517E-3</v>
      </c>
      <c r="G58" s="183">
        <f>SUMIFS(Dataset!$AK:$AK,Dataset!$F:$F,'credito latam'!$D$11,Dataset!$Z:$Z,G$44,Dataset!$J:$J,"&lt;"&amp;$D58,Dataset!$J:$J,"&gt;="&amp;$C58)</f>
        <v>3.7742977355994952E-3</v>
      </c>
      <c r="H58" s="183">
        <f>SUMIFS(Dataset!$AK:$AK,Dataset!$F:$F,'credito latam'!$D$11,Dataset!$Z:$Z,H$44,Dataset!$J:$J,"&lt;"&amp;$D58,Dataset!$J:$J,"&gt;="&amp;$C58)</f>
        <v>0</v>
      </c>
      <c r="I58" s="183">
        <f>SUMIFS(Dataset!$AK:$AK,Dataset!$F:$F,'credito latam'!$D$11,Dataset!$Z:$Z,I$44,Dataset!$J:$J,"&lt;"&amp;$D58,Dataset!$J:$J,"&gt;="&amp;$C58)</f>
        <v>0</v>
      </c>
      <c r="J58" s="183">
        <f>SUMIFS(Dataset!$AK:$AK,Dataset!$F:$F,'credito latam'!$D$11,Dataset!$Z:$Z,J$44,Dataset!$J:$J,"&lt;"&amp;$D58,Dataset!$J:$J,"&gt;="&amp;$C58)</f>
        <v>0</v>
      </c>
      <c r="K58" s="184">
        <f>SUMIFS(Dataset!$AK:$AK,Dataset!$F:$F,'credito latam'!$D$11,Dataset!$J:$J,"&lt;"&amp;$D58,Dataset!J:J,"&gt;="&amp;$C58,Dataset!$Z:$Z,"&lt;&gt;CL",Dataset!$Z:$Z,"&lt;&gt;MX",Dataset!$Z:$Z,"&lt;&gt;CO",Dataset!$Z:$Z,"&lt;&gt;PE",Dataset!$Z:$Z,"&lt;&gt;BR",Dataset!$Z:$Z,"&lt;&gt;PA")</f>
        <v>1.7161354315141365E-2</v>
      </c>
      <c r="L58" s="160">
        <f t="shared" si="1"/>
        <v>2.8987166287546114E-2</v>
      </c>
      <c r="M58" s="182">
        <f>SUMIFS(Dataset!$AK:$AK,Dataset!$F:$F,'credito latam'!$D$11,Dataset!$AN:$AN,"*AAA*",Dataset!$J:$J,"&lt;"&amp;$D58,Dataset!$J:$J,"&gt;="&amp;$C58)</f>
        <v>0</v>
      </c>
      <c r="N58" s="183">
        <f>SUMIFS(Dataset!$AK:$AK,Dataset!$F:$F,'credito latam'!$D$11,Dataset!$AN:$AN,"AA+",Dataset!$J:$J,"&lt;"&amp;$D58,Dataset!$J:$J,"&gt;="&amp;$C58)+SUMIFS(Dataset!$AK:$AK,Dataset!$F:$F,'credito latam'!$D$11,Dataset!$AN:$AN,"AA",Dataset!$J:$J,"&lt;"&amp;$D58,Dataset!$J:$J,"&gt;="&amp;$C58)+SUMIFS(Dataset!$AK:$AK,Dataset!$F:$F,'credito latam'!$D$11,Dataset!$AN:$AN,"AA-",Dataset!$J:$J,"&lt;"&amp;$D58,Dataset!$J:$J,"&gt;="&amp;$C58)</f>
        <v>0</v>
      </c>
      <c r="O58" s="183">
        <f>SUMIFS(Dataset!$AK:$AK,Dataset!$F:$F,'credito latam'!$D$11,Dataset!$AN:$AN,O$44,Dataset!$J:$J,"&lt;"&amp;$D58,Dataset!$J:$J,"&gt;="&amp;$C58)</f>
        <v>0</v>
      </c>
      <c r="P58" s="183">
        <f>SUMIFS(Dataset!$AK:$AK,Dataset!$F:$F,'credito latam'!$D$11,Dataset!$AN:$AN,P$44,Dataset!$J:$J,"&lt;"&amp;$D58,Dataset!$J:$J,"&gt;="&amp;$C58)</f>
        <v>0</v>
      </c>
      <c r="Q58" s="183">
        <f>SUMIFS(Dataset!$AK:$AK,Dataset!$F:$F,'credito latam'!$D$11,Dataset!$AN:$AN,Q$44,Dataset!$J:$J,"&lt;"&amp;$D58,Dataset!$J:$J,"&gt;="&amp;$C58)</f>
        <v>1.7161354315141365E-2</v>
      </c>
      <c r="R58" s="183">
        <f>SUMIFS(Dataset!$AK:$AK,Dataset!$F:$F,'credito latam'!$D$11,Dataset!$AN:$AN,R$44,Dataset!$J:$J,"&lt;"&amp;$D58,Dataset!$J:$J,"&gt;="&amp;$C58)</f>
        <v>8.0515142368052517E-3</v>
      </c>
      <c r="S58" s="183">
        <f>SUMIFS(Dataset!$AK:$AK,Dataset!$F:$F,'credito latam'!$D$11,Dataset!$AN:$AN,S$44,Dataset!$J:$J,"&lt;"&amp;$D58,Dataset!$J:$J,"&gt;="&amp;$C58)</f>
        <v>0</v>
      </c>
      <c r="T58" s="183">
        <f>SUMIFS(Dataset!$AK:$AK,Dataset!$F:$F,'credito latam'!$D$11,Dataset!$AN:$AN,T$44,Dataset!$J:$J,"&lt;"&amp;$D58,Dataset!$J:$J,"&gt;="&amp;$C58)</f>
        <v>3.7742977355994952E-3</v>
      </c>
      <c r="U58" s="183">
        <f>SUMIFS(Dataset!$AK:$AK,Dataset!$F:$F,'credito latam'!$D$11,Dataset!$AN:$AN,U$44,Dataset!$J:$J,"&lt;"&amp;$D58,Dataset!$J:$J,"&gt;="&amp;$C58)</f>
        <v>0</v>
      </c>
      <c r="V58" s="183">
        <f>SUMIFS(Dataset!$AK:$AK,Dataset!$F:$F,'credito latam'!$D$11,Dataset!$AN:$AN,V$44,Dataset!$J:$J,"&lt;"&amp;$D58,Dataset!$J:$J,"&gt;="&amp;$C58)</f>
        <v>0</v>
      </c>
      <c r="W58" s="183">
        <f>SUMIFS(Dataset!$AK:$AK,Dataset!$F:$F,'credito latam'!$D$11,Dataset!$AN:$AN,W$44,Dataset!$J:$J,"&lt;"&amp;$D58,Dataset!$J:$J,"&gt;="&amp;$C58)</f>
        <v>0</v>
      </c>
      <c r="X58" s="183">
        <f>SUMIFS(Dataset!$AK:$AK,Dataset!$F:$F,'credito latam'!$D$11,Dataset!$AN:$AN,"B-",Dataset!$J:$J,"&lt;"&amp;$D58,Dataset!$J:$J,"&gt;="&amp;$C58)+SUMIFS(Dataset!$AK:$AK,Dataset!$F:$F,'credito latam'!$D$11,Dataset!$AN:$AN,"B",Dataset!$J:$J,"&lt;"&amp;$D58,Dataset!$J:$J,"&gt;="&amp;$C58)+SUMIFS(Dataset!$AK:$AK,Dataset!$F:$F,'credito latam'!$D$11,Dataset!$AN:$AN,"B+",Dataset!$J:$J,"&lt;"&amp;$D58,Dataset!$J:$J,"&gt;="&amp;$C58)</f>
        <v>0</v>
      </c>
      <c r="Y58" s="184">
        <f>SUMIFS(Dataset!$AK:$AK,Dataset!$F:$F,'credito latam'!$D$11,Dataset!$AN:$AN,Y$44,Dataset!$J:$J,"&lt;"&amp;$D58,Dataset!$J:$J,"&gt;="&amp;$C58)</f>
        <v>0</v>
      </c>
      <c r="Z58" s="160">
        <f t="shared" si="2"/>
        <v>2.898716628754611E-2</v>
      </c>
      <c r="AA58" s="185">
        <f>(SUMIFS(Dataset!$H:$H,Dataset!$F:$F,'credito latam'!$D$11,Dataset!$Z:$Z,AA$44,Dataset!$J:$J,"&lt;"&amp;$D58,Dataset!$J:$J,"&gt;="&amp;$C58))*10</f>
        <v>0</v>
      </c>
      <c r="AB58" s="186">
        <f>(SUMIFS(Dataset!$H:$H,Dataset!$F:$F,'credito latam'!$D$11,Dataset!$Z:$Z,AB$44,Dataset!$J:$J,"&lt;"&amp;$D58,Dataset!$J:$J,"&gt;="&amp;$C58))*10</f>
        <v>1.0241526109216281</v>
      </c>
      <c r="AC58" s="186">
        <f>(SUMIFS(Dataset!$H:$H,Dataset!$F:$F,'credito latam'!$D$11,Dataset!$Z:$Z,AC$44,Dataset!$J:$J,"&lt;"&amp;$D58,Dataset!$J:$J,"&gt;="&amp;$C58))*10</f>
        <v>0.47971324219469585</v>
      </c>
      <c r="AD58" s="186">
        <f>(SUMIFS(Dataset!$H:$H,Dataset!$F:$F,'credito latam'!$D$11,Dataset!$Z:$Z,AD$44,Dataset!$J:$J,"&lt;"&amp;$D58,Dataset!$J:$J,"&gt;="&amp;$C58))*10</f>
        <v>0</v>
      </c>
      <c r="AE58" s="186">
        <f>(SUMIFS(Dataset!$H:$H,Dataset!$F:$F,'credito latam'!$D$11,Dataset!$Z:$Z,AE$44,Dataset!$J:$J,"&lt;"&amp;$D58,Dataset!$J:$J,"&gt;="&amp;$C58))*10</f>
        <v>0</v>
      </c>
      <c r="AF58" s="186">
        <f>(SUMIFS(Dataset!$H:$H,Dataset!$F:$F,'credito latam'!$D$11,Dataset!$Z:$Z,AF$44,Dataset!$J:$J,"&lt;"&amp;$D58,Dataset!$J:$J,"&gt;="&amp;$C58))*10</f>
        <v>0</v>
      </c>
      <c r="AG58" s="187">
        <f>SUMIFS(Dataset!$H:$H,Dataset!$F:$F,'credito latam'!$D$11,Dataset!$J:$J,"&lt;"&amp;$D58,Dataset!J:J,"&gt;="&amp;$C58,Dataset!$Z:$Z,"&lt;&gt;CL",Dataset!$Z:$Z,"&lt;&gt;MX",Dataset!$Z:$Z,"&lt;&gt;CO",Dataset!$Z:$Z,"&lt;&gt;PE",Dataset!$Z:$Z,"&lt;&gt;BR",Dataset!$Z:$Z,"&lt;&gt;CI",Dataset!$Z:$Z,"&lt;&gt;PA")*10</f>
        <v>2.3099182908180276</v>
      </c>
      <c r="AH58" s="163">
        <f t="shared" si="3"/>
        <v>3.8137841439343516</v>
      </c>
    </row>
    <row r="59" spans="3:34" ht="33" customHeight="1" x14ac:dyDescent="0.2">
      <c r="C59" s="57">
        <v>13.5</v>
      </c>
      <c r="D59" s="61">
        <v>14.5</v>
      </c>
      <c r="E59" s="182">
        <f>SUMIFS(Dataset!$AK:$AK,Dataset!$F:$F,'credito latam'!$D$11,Dataset!$Z:$Z,E$44,Dataset!$J:$J,"&lt;"&amp;$D59,Dataset!$J:$J,"&gt;="&amp;$C59)</f>
        <v>0</v>
      </c>
      <c r="F59" s="188">
        <f>SUMIFS(Dataset!$AK:$AK,Dataset!$F:$F,'credito latam'!$D$11,Dataset!$Z:$Z,F$44,Dataset!$J:$J,"&lt;"&amp;$D59,Dataset!$J:$J,"&gt;="&amp;$C59)</f>
        <v>0</v>
      </c>
      <c r="G59" s="188">
        <f>SUMIFS(Dataset!$AK:$AK,Dataset!$F:$F,'credito latam'!$D$11,Dataset!$Z:$Z,G$44,Dataset!$J:$J,"&lt;"&amp;$D59,Dataset!$J:$J,"&gt;="&amp;$C59)</f>
        <v>6.6171185742984664E-3</v>
      </c>
      <c r="H59" s="188">
        <f>SUMIFS(Dataset!$AK:$AK,Dataset!$F:$F,'credito latam'!$D$11,Dataset!$Z:$Z,H$44,Dataset!$J:$J,"&lt;"&amp;$D59,Dataset!$J:$J,"&gt;="&amp;$C59)</f>
        <v>0</v>
      </c>
      <c r="I59" s="188">
        <f>SUMIFS(Dataset!$AK:$AK,Dataset!$F:$F,'credito latam'!$D$11,Dataset!$Z:$Z,I$44,Dataset!$J:$J,"&lt;"&amp;$D59,Dataset!$J:$J,"&gt;="&amp;$C59)</f>
        <v>0</v>
      </c>
      <c r="J59" s="188">
        <f>SUMIFS(Dataset!$AK:$AK,Dataset!$F:$F,'credito latam'!$D$11,Dataset!$Z:$Z,J$44,Dataset!$J:$J,"&lt;"&amp;$D59,Dataset!$J:$J,"&gt;="&amp;$C59)</f>
        <v>0</v>
      </c>
      <c r="K59" s="189">
        <f>SUMIFS(Dataset!$AK:$AK,Dataset!$F:$F,'credito latam'!$D$11,Dataset!$J:$J,"&lt;"&amp;$D59,Dataset!J:J,"&gt;="&amp;$C59,Dataset!$Z:$Z,"&lt;&gt;CL",Dataset!$Z:$Z,"&lt;&gt;MX",Dataset!$Z:$Z,"&lt;&gt;CO",Dataset!$Z:$Z,"&lt;&gt;PE",Dataset!$Z:$Z,"&lt;&gt;BR",Dataset!$Z:$Z,"&lt;&gt;PA")</f>
        <v>0</v>
      </c>
      <c r="L59" s="160">
        <f t="shared" si="1"/>
        <v>6.6171185742984664E-3</v>
      </c>
      <c r="M59" s="182">
        <f>SUMIFS(Dataset!$AK:$AK,Dataset!$F:$F,'credito latam'!$D$11,Dataset!$AN:$AN,"*AAA*",Dataset!$J:$J,"&lt;"&amp;$D59,Dataset!$J:$J,"&gt;="&amp;$C59)</f>
        <v>0</v>
      </c>
      <c r="N59" s="188">
        <f>SUMIFS(Dataset!$AK:$AK,Dataset!$F:$F,'credito latam'!$D$11,Dataset!$AN:$AN,"AA+",Dataset!$J:$J,"&lt;"&amp;$D59,Dataset!$J:$J,"&gt;="&amp;$C59)+SUMIFS(Dataset!$AK:$AK,Dataset!$F:$F,'credito latam'!$D$11,Dataset!$AN:$AN,"AA",Dataset!$J:$J,"&lt;"&amp;$D59,Dataset!$J:$J,"&gt;="&amp;$C59)+SUMIFS(Dataset!$AK:$AK,Dataset!$F:$F,'credito latam'!$D$11,Dataset!$AN:$AN,"AA-",Dataset!$J:$J,"&lt;"&amp;$D59,Dataset!$J:$J,"&gt;="&amp;$C59)</f>
        <v>0</v>
      </c>
      <c r="O59" s="188">
        <f>SUMIFS(Dataset!$AK:$AK,Dataset!$F:$F,'credito latam'!$D$11,Dataset!$AN:$AN,O$44,Dataset!$J:$J,"&lt;"&amp;$D59,Dataset!$J:$J,"&gt;="&amp;$C59)</f>
        <v>0</v>
      </c>
      <c r="P59" s="188">
        <f>SUMIFS(Dataset!$AK:$AK,Dataset!$F:$F,'credito latam'!$D$11,Dataset!$AN:$AN,P$44,Dataset!$J:$J,"&lt;"&amp;$D59,Dataset!$J:$J,"&gt;="&amp;$C59)</f>
        <v>0</v>
      </c>
      <c r="Q59" s="188">
        <f>SUMIFS(Dataset!$AK:$AK,Dataset!$F:$F,'credito latam'!$D$11,Dataset!$AN:$AN,Q$44,Dataset!$J:$J,"&lt;"&amp;$D59,Dataset!$J:$J,"&gt;="&amp;$C59)</f>
        <v>0</v>
      </c>
      <c r="R59" s="188">
        <f>SUMIFS(Dataset!$AK:$AK,Dataset!$F:$F,'credito latam'!$D$11,Dataset!$AN:$AN,R$44,Dataset!$J:$J,"&lt;"&amp;$D59,Dataset!$J:$J,"&gt;="&amp;$C59)</f>
        <v>0</v>
      </c>
      <c r="S59" s="188">
        <f>SUMIFS(Dataset!$AK:$AK,Dataset!$F:$F,'credito latam'!$D$11,Dataset!$AN:$AN,S$44,Dataset!$J:$J,"&lt;"&amp;$D59,Dataset!$J:$J,"&gt;="&amp;$C59)</f>
        <v>0</v>
      </c>
      <c r="T59" s="188">
        <f>SUMIFS(Dataset!$AK:$AK,Dataset!$F:$F,'credito latam'!$D$11,Dataset!$AN:$AN,T$44,Dataset!$J:$J,"&lt;"&amp;$D59,Dataset!$J:$J,"&gt;="&amp;$C59)</f>
        <v>6.6171185742984664E-3</v>
      </c>
      <c r="U59" s="188">
        <f>SUMIFS(Dataset!$AK:$AK,Dataset!$F:$F,'credito latam'!$D$11,Dataset!$AN:$AN,U$44,Dataset!$J:$J,"&lt;"&amp;$D59,Dataset!$J:$J,"&gt;="&amp;$C59)</f>
        <v>0</v>
      </c>
      <c r="V59" s="188">
        <f>SUMIFS(Dataset!$AK:$AK,Dataset!$F:$F,'credito latam'!$D$11,Dataset!$AN:$AN,V$44,Dataset!$J:$J,"&lt;"&amp;$D59,Dataset!$J:$J,"&gt;="&amp;$C59)</f>
        <v>0</v>
      </c>
      <c r="W59" s="188">
        <f>SUMIFS(Dataset!$AK:$AK,Dataset!$F:$F,'credito latam'!$D$11,Dataset!$AN:$AN,W$44,Dataset!$J:$J,"&lt;"&amp;$D59,Dataset!$J:$J,"&gt;="&amp;$C59)</f>
        <v>0</v>
      </c>
      <c r="X59" s="188">
        <f>SUMIFS(Dataset!$AK:$AK,Dataset!$F:$F,'credito latam'!$D$11,Dataset!$AN:$AN,"B-",Dataset!$J:$J,"&lt;"&amp;$D59,Dataset!$J:$J,"&gt;="&amp;$C59)+SUMIFS(Dataset!$AK:$AK,Dataset!$F:$F,'credito latam'!$D$11,Dataset!$AN:$AN,"B",Dataset!$J:$J,"&lt;"&amp;$D59,Dataset!$J:$J,"&gt;="&amp;$C59)+SUMIFS(Dataset!$AK:$AK,Dataset!$F:$F,'credito latam'!$D$11,Dataset!$AN:$AN,"B+",Dataset!$J:$J,"&lt;"&amp;$D59,Dataset!$J:$J,"&gt;="&amp;$C59)</f>
        <v>0</v>
      </c>
      <c r="Y59" s="189">
        <f>SUMIFS(Dataset!$AK:$AK,Dataset!$F:$F,'credito latam'!$D$11,Dataset!$AN:$AN,Y$44,Dataset!$J:$J,"&lt;"&amp;$D59,Dataset!$J:$J,"&gt;="&amp;$C59)</f>
        <v>0</v>
      </c>
      <c r="Z59" s="160">
        <f t="shared" si="2"/>
        <v>6.6171185742984664E-3</v>
      </c>
      <c r="AA59" s="185">
        <f>(SUMIFS(Dataset!$H:$H,Dataset!$F:$F,'credito latam'!$D$11,Dataset!$Z:$Z,AA$44,Dataset!$J:$J,"&lt;"&amp;$D59,Dataset!$J:$J,"&gt;="&amp;$C59))*10</f>
        <v>0</v>
      </c>
      <c r="AB59" s="190">
        <f>(SUMIFS(Dataset!$H:$H,Dataset!$F:$F,'credito latam'!$D$11,Dataset!$Z:$Z,AB$44,Dataset!$J:$J,"&lt;"&amp;$D59,Dataset!$J:$J,"&gt;="&amp;$C59))*10</f>
        <v>0</v>
      </c>
      <c r="AC59" s="190">
        <f>(SUMIFS(Dataset!$H:$H,Dataset!$F:$F,'credito latam'!$D$11,Dataset!$Z:$Z,AC$44,Dataset!$J:$J,"&lt;"&amp;$D59,Dataset!$J:$J,"&gt;="&amp;$C59))*10</f>
        <v>0.8999281261045915</v>
      </c>
      <c r="AD59" s="190">
        <f>(SUMIFS(Dataset!$H:$H,Dataset!$F:$F,'credito latam'!$D$11,Dataset!$Z:$Z,AD$44,Dataset!$J:$J,"&lt;"&amp;$D59,Dataset!$J:$J,"&gt;="&amp;$C59))*10</f>
        <v>0</v>
      </c>
      <c r="AE59" s="190">
        <f>(SUMIFS(Dataset!$H:$H,Dataset!$F:$F,'credito latam'!$D$11,Dataset!$Z:$Z,AE$44,Dataset!$J:$J,"&lt;"&amp;$D59,Dataset!$J:$J,"&gt;="&amp;$C59))*10</f>
        <v>0</v>
      </c>
      <c r="AF59" s="190">
        <f>(SUMIFS(Dataset!$H:$H,Dataset!$F:$F,'credito latam'!$D$11,Dataset!$Z:$Z,AF$44,Dataset!$J:$J,"&lt;"&amp;$D59,Dataset!$J:$J,"&gt;="&amp;$C59))*10</f>
        <v>0</v>
      </c>
      <c r="AG59" s="191">
        <f>SUMIFS(Dataset!$H:$H,Dataset!$F:$F,'credito latam'!$D$11,Dataset!$J:$J,"&lt;"&amp;$D59,Dataset!J:J,"&gt;="&amp;$C59,Dataset!$Z:$Z,"&lt;&gt;CL",Dataset!$Z:$Z,"&lt;&gt;MX",Dataset!$Z:$Z,"&lt;&gt;CO",Dataset!$Z:$Z,"&lt;&gt;PE",Dataset!$Z:$Z,"&lt;&gt;BR",Dataset!$Z:$Z,"&lt;&gt;CI",Dataset!$Z:$Z,"&lt;&gt;PA")*10</f>
        <v>0</v>
      </c>
      <c r="AH59" s="163">
        <f t="shared" si="3"/>
        <v>0.8999281261045915</v>
      </c>
    </row>
    <row r="60" spans="3:34" ht="33" customHeight="1" x14ac:dyDescent="0.2">
      <c r="C60" s="57">
        <v>14.5</v>
      </c>
      <c r="D60" s="61">
        <v>100</v>
      </c>
      <c r="E60" s="192">
        <f>SUMIFS(Dataset!$AK:$AK,Dataset!$F:$F,'credito latam'!$D$11,Dataset!$Z:$Z,E$44,Dataset!$J:$J,"&lt;"&amp;$D60,Dataset!$J:$J,"&gt;="&amp;$C60)</f>
        <v>2.1283585917282418E-3</v>
      </c>
      <c r="F60" s="193">
        <f>SUMIFS(Dataset!$AK:$AK,Dataset!$F:$F,'credito latam'!$D$11,Dataset!$Z:$Z,F$44,Dataset!$J:$J,"&lt;"&amp;$D60,Dataset!$J:$J,"&gt;="&amp;$C60)</f>
        <v>3.2369802848065329E-3</v>
      </c>
      <c r="G60" s="193">
        <f>SUMIFS(Dataset!$AK:$AK,Dataset!$F:$F,'credito latam'!$D$11,Dataset!$Z:$Z,G$44,Dataset!$J:$J,"&lt;"&amp;$D60,Dataset!$J:$J,"&gt;="&amp;$C60)</f>
        <v>0</v>
      </c>
      <c r="H60" s="193">
        <f>SUMIFS(Dataset!$AK:$AK,Dataset!$F:$F,'credito latam'!$D$11,Dataset!$Z:$Z,H$44,Dataset!$J:$J,"&lt;"&amp;$D60,Dataset!$J:$J,"&gt;="&amp;$C60)</f>
        <v>0</v>
      </c>
      <c r="I60" s="193">
        <f>SUMIFS(Dataset!$AK:$AK,Dataset!$F:$F,'credito latam'!$D$11,Dataset!$Z:$Z,I$44,Dataset!$J:$J,"&lt;"&amp;$D60,Dataset!$J:$J,"&gt;="&amp;$C60)</f>
        <v>0</v>
      </c>
      <c r="J60" s="193">
        <f>SUMIFS(Dataset!$AK:$AK,Dataset!$F:$F,'credito latam'!$D$11,Dataset!$Z:$Z,J$44,Dataset!$J:$J,"&lt;"&amp;$D60,Dataset!$J:$J,"&gt;="&amp;$C60)</f>
        <v>0</v>
      </c>
      <c r="K60" s="194">
        <f>SUMIFS(Dataset!$AK:$AK,Dataset!$F:$F,'credito latam'!$D$11,Dataset!$J:$J,"&lt;"&amp;$D60,Dataset!J:J,"&gt;="&amp;$C60,Dataset!$Z:$Z,"&lt;&gt;CL",Dataset!$Z:$Z,"&lt;&gt;MX",Dataset!$Z:$Z,"&lt;&gt;CO",Dataset!$Z:$Z,"&lt;&gt;PE",Dataset!$Z:$Z,"&lt;&gt;BR",Dataset!$Z:$Z,"&lt;&gt;PA")</f>
        <v>0</v>
      </c>
      <c r="L60" s="166">
        <f t="shared" si="1"/>
        <v>5.3653388765347743E-3</v>
      </c>
      <c r="M60" s="192">
        <f>SUMIFS(Dataset!$AK:$AK,Dataset!$F:$F,'credito latam'!$D$11,Dataset!$AN:$AN,"*AAA*",Dataset!$J:$J,"&lt;"&amp;$D60,Dataset!$J:$J,"&gt;="&amp;$C60)</f>
        <v>0</v>
      </c>
      <c r="N60" s="193">
        <f>SUMIFS(Dataset!$AK:$AK,Dataset!$F:$F,'credito latam'!$D$11,Dataset!$AN:$AN,"AA+",Dataset!$J:$J,"&lt;"&amp;$D60,Dataset!$J:$J,"&gt;="&amp;$C60)+SUMIFS(Dataset!$AK:$AK,Dataset!$F:$F,'credito latam'!$D$11,Dataset!$AN:$AN,"AA",Dataset!$J:$J,"&lt;"&amp;$D60,Dataset!$J:$J,"&gt;="&amp;$C60)+SUMIFS(Dataset!$AK:$AK,Dataset!$F:$F,'credito latam'!$D$11,Dataset!$AN:$AN,"AA-",Dataset!$J:$J,"&lt;"&amp;$D60,Dataset!$J:$J,"&gt;="&amp;$C60)</f>
        <v>0</v>
      </c>
      <c r="O60" s="193">
        <f>SUMIFS(Dataset!$AK:$AK,Dataset!$F:$F,'credito latam'!$D$11,Dataset!$AN:$AN,O$44,Dataset!$J:$J,"&lt;"&amp;$D60,Dataset!$J:$J,"&gt;="&amp;$C60)</f>
        <v>0</v>
      </c>
      <c r="P60" s="193">
        <f>SUMIFS(Dataset!$AK:$AK,Dataset!$F:$F,'credito latam'!$D$11,Dataset!$AN:$AN,P$44,Dataset!$J:$J,"&lt;"&amp;$D60,Dataset!$J:$J,"&gt;="&amp;$C60)</f>
        <v>0</v>
      </c>
      <c r="Q60" s="193">
        <f>SUMIFS(Dataset!$AK:$AK,Dataset!$F:$F,'credito latam'!$D$11,Dataset!$AN:$AN,Q$44,Dataset!$J:$J,"&lt;"&amp;$D60,Dataset!$J:$J,"&gt;="&amp;$C60)</f>
        <v>0</v>
      </c>
      <c r="R60" s="193">
        <f>SUMIFS(Dataset!$AK:$AK,Dataset!$F:$F,'credito latam'!$D$11,Dataset!$AN:$AN,R$44,Dataset!$J:$J,"&lt;"&amp;$D60,Dataset!$J:$J,"&gt;="&amp;$C60)</f>
        <v>0</v>
      </c>
      <c r="S60" s="193">
        <f>SUMIFS(Dataset!$AK:$AK,Dataset!$F:$F,'credito latam'!$D$11,Dataset!$AN:$AN,S$44,Dataset!$J:$J,"&lt;"&amp;$D60,Dataset!$J:$J,"&gt;="&amp;$C60)</f>
        <v>0</v>
      </c>
      <c r="T60" s="193">
        <f>SUMIFS(Dataset!$AK:$AK,Dataset!$F:$F,'credito latam'!$D$11,Dataset!$AN:$AN,T$44,Dataset!$J:$J,"&lt;"&amp;$D60,Dataset!$J:$J,"&gt;="&amp;$C60)</f>
        <v>3.7308301098406575E-3</v>
      </c>
      <c r="U60" s="193">
        <f>SUMIFS(Dataset!$AK:$AK,Dataset!$F:$F,'credito latam'!$D$11,Dataset!$AN:$AN,U$44,Dataset!$J:$J,"&lt;"&amp;$D60,Dataset!$J:$J,"&gt;="&amp;$C60)</f>
        <v>0</v>
      </c>
      <c r="V60" s="193">
        <f>SUMIFS(Dataset!$AK:$AK,Dataset!$F:$F,'credito latam'!$D$11,Dataset!$AN:$AN,V$44,Dataset!$J:$J,"&lt;"&amp;$D60,Dataset!$J:$J,"&gt;="&amp;$C60)</f>
        <v>1.6345087666941171E-3</v>
      </c>
      <c r="W60" s="183">
        <f>SUMIFS(Dataset!$AK:$AK,Dataset!$F:$F,'credito latam'!$D$11,Dataset!$AN:$AN,W$44,Dataset!$J:$J,"&lt;"&amp;$D60,Dataset!$J:$J,"&gt;="&amp;$C60)</f>
        <v>0</v>
      </c>
      <c r="X60" s="183">
        <f>SUMIFS(Dataset!$AK:$AK,Dataset!$F:$F,'credito latam'!$D$11,Dataset!$AN:$AN,"B-",Dataset!$J:$J,"&lt;"&amp;$D60,Dataset!$J:$J,"&gt;="&amp;$C60)+SUMIFS(Dataset!$AK:$AK,Dataset!$F:$F,'credito latam'!$D$11,Dataset!$AN:$AN,"B",Dataset!$J:$J,"&lt;"&amp;$D60,Dataset!$J:$J,"&gt;="&amp;$C60)+SUMIFS(Dataset!$AK:$AK,Dataset!$F:$F,'credito latam'!$D$11,Dataset!$AN:$AN,"B+",Dataset!$J:$J,"&lt;"&amp;$D60,Dataset!$J:$J,"&gt;="&amp;$C60)</f>
        <v>0</v>
      </c>
      <c r="Y60" s="194">
        <f>SUMIFS(Dataset!$AK:$AK,Dataset!$F:$F,'credito latam'!$D$11,Dataset!$AN:$AN,Y$44,Dataset!$J:$J,"&lt;"&amp;$D60,Dataset!$J:$J,"&gt;="&amp;$C60)</f>
        <v>0</v>
      </c>
      <c r="Z60" s="166">
        <f t="shared" si="2"/>
        <v>5.3653388765347743E-3</v>
      </c>
      <c r="AA60" s="195">
        <f>(SUMIFS(Dataset!$H:$H,Dataset!$F:$F,'credito latam'!$D$11,Dataset!$Z:$Z,AA$44,Dataset!$J:$J,"&lt;"&amp;$D60,Dataset!$J:$J,"&gt;="&amp;$C60))*10</f>
        <v>0.32670304383028509</v>
      </c>
      <c r="AB60" s="196">
        <f>(SUMIFS(Dataset!$H:$H,Dataset!$F:$F,'credito latam'!$D$11,Dataset!$Z:$Z,AB$44,Dataset!$J:$J,"&lt;"&amp;$D60,Dataset!$J:$J,"&gt;="&amp;$C60))*10</f>
        <v>0.48404068294861258</v>
      </c>
      <c r="AC60" s="196">
        <f>(SUMIFS(Dataset!$H:$H,Dataset!$F:$F,'credito latam'!$D$11,Dataset!$Z:$Z,AC$44,Dataset!$J:$J,"&lt;"&amp;$D60,Dataset!$J:$J,"&gt;="&amp;$C60))*10</f>
        <v>0</v>
      </c>
      <c r="AD60" s="196">
        <f>(SUMIFS(Dataset!$H:$H,Dataset!$F:$F,'credito latam'!$D$11,Dataset!$Z:$Z,AD$44,Dataset!$J:$J,"&lt;"&amp;$D60,Dataset!$J:$J,"&gt;="&amp;$C60))*10</f>
        <v>0</v>
      </c>
      <c r="AE60" s="196">
        <f>(SUMIFS(Dataset!$H:$H,Dataset!$F:$F,'credito latam'!$D$11,Dataset!$Z:$Z,AE$44,Dataset!$J:$J,"&lt;"&amp;$D60,Dataset!$J:$J,"&gt;="&amp;$C60))*10</f>
        <v>0</v>
      </c>
      <c r="AF60" s="196">
        <f>(SUMIFS(Dataset!$H:$H,Dataset!$F:$F,'credito latam'!$D$11,Dataset!$Z:$Z,AF$44,Dataset!$J:$J,"&lt;"&amp;$D60,Dataset!$J:$J,"&gt;="&amp;$C60))*10</f>
        <v>0</v>
      </c>
      <c r="AG60" s="197">
        <f>SUMIFS(Dataset!$H:$H,Dataset!$F:$F,'credito latam'!$D$11,Dataset!$J:$J,"&lt;"&amp;$D60,Dataset!J:J,"&gt;="&amp;$C60,Dataset!$Z:$Z,"&lt;&gt;CL",Dataset!$Z:$Z,"&lt;&gt;MX",Dataset!$Z:$Z,"&lt;&gt;CO",Dataset!$Z:$Z,"&lt;&gt;PE",Dataset!$Z:$Z,"&lt;&gt;BR",Dataset!$Z:$Z,"&lt;&gt;CI",Dataset!$Z:$Z,"&lt;&gt;PA")*10</f>
        <v>0</v>
      </c>
      <c r="AH60" s="169">
        <f t="shared" si="3"/>
        <v>0.81074372677889772</v>
      </c>
    </row>
    <row r="61" spans="3:34" ht="33" customHeight="1" x14ac:dyDescent="0.2">
      <c r="C61" s="240"/>
      <c r="D61" s="241"/>
      <c r="E61" s="153">
        <f t="shared" ref="E61:K61" si="4">SUM(E45:E60)</f>
        <v>0.15552438826262557</v>
      </c>
      <c r="F61" s="153">
        <f t="shared" si="4"/>
        <v>0.23074108144410599</v>
      </c>
      <c r="G61" s="153">
        <f t="shared" si="4"/>
        <v>0.17342708476758556</v>
      </c>
      <c r="H61" s="153">
        <f t="shared" si="4"/>
        <v>0.20417768480228016</v>
      </c>
      <c r="I61" s="153">
        <f t="shared" si="4"/>
        <v>0.14109755874321747</v>
      </c>
      <c r="J61" s="153">
        <f t="shared" si="4"/>
        <v>4.9432244851141574E-2</v>
      </c>
      <c r="K61" s="198">
        <f t="shared" si="4"/>
        <v>4.5599957129043633E-2</v>
      </c>
      <c r="L61" s="160">
        <f t="shared" si="1"/>
        <v>1</v>
      </c>
      <c r="M61" s="153">
        <f t="shared" ref="M61:Y61" si="5">SUM(M45:M60)</f>
        <v>0</v>
      </c>
      <c r="N61" s="153">
        <f t="shared" si="5"/>
        <v>0</v>
      </c>
      <c r="O61" s="153">
        <f t="shared" si="5"/>
        <v>8.1843053777581973E-3</v>
      </c>
      <c r="P61" s="153">
        <f t="shared" si="5"/>
        <v>0</v>
      </c>
      <c r="Q61" s="153">
        <f t="shared" si="5"/>
        <v>2.2039770230992038E-2</v>
      </c>
      <c r="R61" s="153">
        <f t="shared" si="5"/>
        <v>0.14241455415194856</v>
      </c>
      <c r="S61" s="153">
        <f t="shared" si="5"/>
        <v>0.17873782718401041</v>
      </c>
      <c r="T61" s="153">
        <f t="shared" si="5"/>
        <v>0.45893053794080085</v>
      </c>
      <c r="U61" s="153">
        <f t="shared" si="5"/>
        <v>6.1512020587078671E-2</v>
      </c>
      <c r="V61" s="153">
        <f t="shared" si="5"/>
        <v>2.3548540595665364E-2</v>
      </c>
      <c r="W61" s="153">
        <f t="shared" si="5"/>
        <v>5.9434254277858214E-2</v>
      </c>
      <c r="X61" s="153">
        <f t="shared" si="5"/>
        <v>4.5198189653887492E-2</v>
      </c>
      <c r="Y61" s="198">
        <f t="shared" si="5"/>
        <v>0</v>
      </c>
      <c r="Z61" s="160">
        <f t="shared" si="2"/>
        <v>0.99999999999999978</v>
      </c>
      <c r="AA61" s="156">
        <f t="shared" ref="AA61:AF61" si="6">SUM(AA45:AA60)</f>
        <v>9.2451994504109205</v>
      </c>
      <c r="AB61" s="156">
        <f t="shared" si="6"/>
        <v>16.443528525467411</v>
      </c>
      <c r="AC61" s="156">
        <f t="shared" si="6"/>
        <v>10.616399220130111</v>
      </c>
      <c r="AD61" s="156">
        <f t="shared" si="6"/>
        <v>13.554312692605787</v>
      </c>
      <c r="AE61" s="156">
        <f t="shared" si="6"/>
        <v>9.5919033629097434</v>
      </c>
      <c r="AF61" s="156">
        <f t="shared" si="6"/>
        <v>2.5805297189943142</v>
      </c>
      <c r="AG61" s="199">
        <f>SUM(AG45:AG60)</f>
        <v>4.0964840084185949</v>
      </c>
      <c r="AH61" s="163">
        <f t="shared" si="3"/>
        <v>66.128356978936893</v>
      </c>
    </row>
    <row r="62" spans="3:34" ht="15" customHeight="1" x14ac:dyDescent="0.2">
      <c r="W62" s="55"/>
      <c r="X62" s="55"/>
    </row>
    <row r="63" spans="3:34" ht="48" customHeight="1" x14ac:dyDescent="0.2">
      <c r="E63" s="231" t="s">
        <v>1755</v>
      </c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10"/>
      <c r="S63" s="231" t="s">
        <v>1746</v>
      </c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</row>
    <row r="64" spans="3:34" ht="15" customHeight="1" x14ac:dyDescent="0.2">
      <c r="L64" s="7"/>
      <c r="O64" s="11"/>
      <c r="P64" s="11"/>
      <c r="Q64" s="11"/>
      <c r="R64" s="11"/>
      <c r="S64" s="11"/>
      <c r="T64" s="11"/>
      <c r="U64" s="11"/>
      <c r="V64" s="7"/>
    </row>
    <row r="65" spans="3:32" ht="42" customHeight="1" x14ac:dyDescent="0.2">
      <c r="C65" s="234" t="s">
        <v>72</v>
      </c>
      <c r="D65" s="234"/>
      <c r="E65" s="60" t="s">
        <v>42</v>
      </c>
      <c r="F65" s="60" t="s">
        <v>33</v>
      </c>
      <c r="G65" s="60" t="s">
        <v>142</v>
      </c>
      <c r="H65" s="60" t="s">
        <v>55</v>
      </c>
      <c r="I65" s="60" t="s">
        <v>150</v>
      </c>
      <c r="J65" s="60" t="s">
        <v>148</v>
      </c>
      <c r="K65" s="60" t="s">
        <v>54</v>
      </c>
      <c r="L65" s="60" t="s">
        <v>146</v>
      </c>
      <c r="M65" s="60" t="s">
        <v>149</v>
      </c>
      <c r="N65" s="60" t="s">
        <v>144</v>
      </c>
      <c r="O65" s="60" t="s">
        <v>154</v>
      </c>
      <c r="P65" s="60" t="s">
        <v>163</v>
      </c>
      <c r="Q65" s="60" t="s">
        <v>47</v>
      </c>
      <c r="R65" s="60" t="s">
        <v>84</v>
      </c>
      <c r="S65" s="60" t="s">
        <v>42</v>
      </c>
      <c r="T65" s="60" t="s">
        <v>33</v>
      </c>
      <c r="U65" s="60" t="s">
        <v>142</v>
      </c>
      <c r="V65" s="60" t="s">
        <v>55</v>
      </c>
      <c r="W65" s="60" t="s">
        <v>150</v>
      </c>
      <c r="X65" s="60" t="s">
        <v>148</v>
      </c>
      <c r="Y65" s="60" t="s">
        <v>54</v>
      </c>
      <c r="Z65" s="60" t="s">
        <v>146</v>
      </c>
      <c r="AA65" s="60" t="s">
        <v>149</v>
      </c>
      <c r="AB65" s="60" t="s">
        <v>144</v>
      </c>
      <c r="AC65" s="60" t="s">
        <v>154</v>
      </c>
      <c r="AD65" s="60" t="s">
        <v>163</v>
      </c>
      <c r="AE65" s="60" t="s">
        <v>47</v>
      </c>
      <c r="AF65" s="60"/>
    </row>
    <row r="66" spans="3:32" ht="27" customHeight="1" x14ac:dyDescent="0.2">
      <c r="C66" s="59">
        <v>0</v>
      </c>
      <c r="D66" s="58">
        <v>0.5</v>
      </c>
      <c r="E66" s="176">
        <f>SUMIFS(Dataset!$AJ:$AJ,Dataset!$F:$F,'credito latam'!$D$11,Dataset!$AN:$AN,"*AAA*",Dataset!$J:$J,"&lt;"&amp;$D66,Dataset!$J:$J,"&gt;="&amp;$C66)</f>
        <v>0</v>
      </c>
      <c r="F66" s="177">
        <f>SUMIFS(Dataset!$AJ:$AJ,Dataset!$F:$F,'credito latam'!$D$11,Dataset!$AN:$AN,"AA+",Dataset!$J:$J,"&lt;"&amp;$D66,Dataset!$J:$J,"&gt;="&amp;$C66)+SUMIFS(Dataset!$AJ:$AJ,Dataset!$F:$F,'credito latam'!$D$11,Dataset!$AN:$AN,"AA",Dataset!$J:$J,"&lt;"&amp;$D66,Dataset!$J:$J,"&gt;="&amp;$C66)+SUMIFS(Dataset!$AJ:$AJ,Dataset!$F:$F,'credito latam'!$D$11,Dataset!$AN:$AN,"AA-",Dataset!$J:$J,"&lt;"&amp;$D66,Dataset!$J:$J,"&gt;="&amp;$C66)</f>
        <v>0</v>
      </c>
      <c r="G66" s="177">
        <f>SUMIFS(Dataset!$AJ:$AJ,Dataset!$F:$F,'credito latam'!$D$11,Dataset!$AN:$AN,G$65,Dataset!$J:$J,"&lt;"&amp;$D66,Dataset!$J:$J,"&gt;="&amp;$C66)</f>
        <v>0</v>
      </c>
      <c r="H66" s="177">
        <f>SUMIFS(Dataset!$AJ:$AJ,Dataset!$F:$F,'credito latam'!$D$11,Dataset!$AN:$AN,H$65,Dataset!$J:$J,"&lt;"&amp;$D66,Dataset!$J:$J,"&gt;="&amp;$C66)</f>
        <v>0</v>
      </c>
      <c r="I66" s="177">
        <f>SUMIFS(Dataset!$AJ:$AJ,Dataset!$F:$F,'credito latam'!$D$11,Dataset!$AN:$AN,I$65,Dataset!$J:$J,"&lt;"&amp;$D66,Dataset!$J:$J,"&gt;="&amp;$C66)</f>
        <v>0</v>
      </c>
      <c r="J66" s="177">
        <f>SUMIFS(Dataset!$AJ:$AJ,Dataset!$F:$F,'credito latam'!$D$11,Dataset!$AN:$AN,J$65,Dataset!$J:$J,"&lt;"&amp;$D66,Dataset!$J:$J,"&gt;="&amp;$C66)</f>
        <v>4.9994187672344247E-3</v>
      </c>
      <c r="K66" s="177">
        <f>SUMIFS(Dataset!$AJ:$AJ,Dataset!$F:$F,'credito latam'!$D$11,Dataset!$AN:$AN,K$65,Dataset!$J:$J,"&lt;"&amp;$D66,Dataset!$J:$J,"&gt;="&amp;$C66)</f>
        <v>0</v>
      </c>
      <c r="L66" s="177">
        <f>SUMIFS(Dataset!$AJ:$AJ,Dataset!$F:$F,'credito latam'!$D$11,Dataset!$AN:$AN,L$65,Dataset!$J:$J,"&lt;"&amp;$D66,Dataset!$J:$J,"&gt;="&amp;$C66)</f>
        <v>-2.5279496463568498E-3</v>
      </c>
      <c r="M66" s="177">
        <f>SUMIFS(Dataset!$AJ:$AJ,Dataset!$F:$F,'credito latam'!$D$11,Dataset!$AN:$AN,M$65,Dataset!$J:$J,"&lt;"&amp;$D66,Dataset!$J:$J,"&gt;="&amp;$C66)</f>
        <v>-2.431777672091811E-3</v>
      </c>
      <c r="N66" s="177">
        <f>SUMIFS(Dataset!$AJ:$AJ,Dataset!$F:$F,'credito latam'!$D$11,Dataset!$AN:$AN,N$65,Dataset!$J:$J,"&lt;"&amp;$D66,Dataset!$J:$J,"&gt;="&amp;$C66)</f>
        <v>0</v>
      </c>
      <c r="O66" s="177">
        <f>SUMIFS(Dataset!$AJ:$AJ,Dataset!$F:$F,'credito latam'!$D$11,Dataset!$AN:$AN,O$65,Dataset!$J:$J,"&lt;"&amp;$D66,Dataset!$J:$J,"&gt;="&amp;$C66)</f>
        <v>0</v>
      </c>
      <c r="P66" s="177">
        <f>SUMIFS(Dataset!$AJ:$AJ,Dataset!$F:$F,'credito latam'!$D$11,Dataset!$AN:$AN,"B-",Dataset!$J:$J,"&lt;"&amp;$D66,Dataset!$J:$J,"&gt;="&amp;$C66)+SUMIFS(Dataset!$AJ:$AJ,Dataset!$F:$F,'credito latam'!$D$11,Dataset!$AN:$AN,"B",Dataset!$J:$J,"&lt;"&amp;$D66,Dataset!$J:$J,"&gt;="&amp;$C66)+SUMIFS(Dataset!$AJ:$AJ,Dataset!$F:$F,'credito latam'!$D$11,Dataset!$AN:$AN,"B+",Dataset!$J:$J,"&lt;"&amp;$D66,Dataset!$J:$J,"&gt;="&amp;$C66)</f>
        <v>1.9065989598917865E-2</v>
      </c>
      <c r="Q66" s="178">
        <f>SUMIFS(Dataset!$AJ:$AJ,Dataset!$F:$F,'credito latam'!$D$11,Dataset!$AN:$AN,Q$65,Dataset!$J:$J,"&lt;"&amp;$D66,Dataset!$J:$J,"&gt;="&amp;$C66)</f>
        <v>0</v>
      </c>
      <c r="R66" s="160">
        <f t="shared" ref="R66:R82" si="7">SUM(E66:Q66)</f>
        <v>1.9105681047703629E-2</v>
      </c>
      <c r="S66" s="176">
        <f>SUMIFS(Dataset!$AA:$AA,Dataset!$F:$F,'credito latam'!$D$11,Dataset!$AN:$AN,"*AAA*",Dataset!$J:$J,"&lt;"&amp;$D66,Dataset!$J:$J,"&gt;="&amp;$C66)</f>
        <v>0</v>
      </c>
      <c r="T66" s="177">
        <f>SUMIFS(Dataset!$AA:$AA,Dataset!$F:$F,'credito latam'!$D$11,Dataset!$AN:$AN,"AA+",Dataset!$J:$J,"&lt;"&amp;$D66,Dataset!$J:$J,"&gt;="&amp;$C66)+SUMIFS(Dataset!$AA:$AA,Dataset!$F:$F,'credito latam'!$D$11,Dataset!$AN:$AN,"AA",Dataset!$J:$J,"&lt;"&amp;$D66,Dataset!$J:$J,"&gt;="&amp;$C66)+SUMIFS(Dataset!$AA:$AA,Dataset!$F:$F,'credito latam'!$D$11,Dataset!$AN:$AN,"AA-",Dataset!$J:$J,"&lt;"&amp;$D66,Dataset!$J:$J,"&gt;="&amp;$C66)</f>
        <v>0</v>
      </c>
      <c r="U66" s="177">
        <f>SUMIFS(Dataset!$AA:$AA,Dataset!$F:$F,'credito latam'!$D$11,Dataset!$AN:$AN,U$65,Dataset!$J:$J,"&lt;"&amp;$D66,Dataset!$J:$J,"&gt;="&amp;$C66)</f>
        <v>0</v>
      </c>
      <c r="V66" s="177">
        <f>SUMIFS(Dataset!$AA:$AA,Dataset!$F:$F,'credito latam'!$D$11,Dataset!$AN:$AN,V$65,Dataset!$J:$J,"&lt;"&amp;$D66,Dataset!$J:$J,"&gt;="&amp;$C66)</f>
        <v>0</v>
      </c>
      <c r="W66" s="177">
        <f>SUMIFS(Dataset!$AA:$AA,Dataset!$F:$F,'credito latam'!$D$11,Dataset!$AN:$AN,W$65,Dataset!$J:$J,"&lt;"&amp;$D66,Dataset!$J:$J,"&gt;="&amp;$C66)</f>
        <v>0</v>
      </c>
      <c r="X66" s="177">
        <f>SUMIFS(Dataset!$AA:$AA,Dataset!$F:$F,'credito latam'!$D$11,Dataset!$AN:$AN,X$65,Dataset!$J:$J,"&lt;"&amp;$D66,Dataset!$J:$J,"&gt;="&amp;$C66)</f>
        <v>8.9124350256592649E-4</v>
      </c>
      <c r="Y66" s="177">
        <f>SUMIFS(Dataset!$AA:$AA,Dataset!$F:$F,'credito latam'!$D$11,Dataset!$AN:$AN,Y$65,Dataset!$J:$J,"&lt;"&amp;$D66,Dataset!$J:$J,"&gt;="&amp;$C66)</f>
        <v>0</v>
      </c>
      <c r="Z66" s="177">
        <f>SUMIFS(Dataset!$AA:$AA,Dataset!$F:$F,'credito latam'!$D$11,Dataset!$AN:$AN,Z$65,Dataset!$J:$J,"&lt;"&amp;$D66,Dataset!$J:$J,"&gt;="&amp;$C66)</f>
        <v>2.6670030211357089E-3</v>
      </c>
      <c r="AA66" s="177">
        <f>SUMIFS(Dataset!$AA:$AA,Dataset!$F:$F,'credito latam'!$D$11,Dataset!$AN:$AN,AA$65,Dataset!$J:$J,"&lt;"&amp;$D66,Dataset!$J:$J,"&gt;="&amp;$C66)</f>
        <v>3.3198136719489609E-3</v>
      </c>
      <c r="AB66" s="177">
        <f>SUMIFS(Dataset!$AA:$AA,Dataset!$F:$F,'credito latam'!$D$11,Dataset!$AN:$AN,AB$65,Dataset!$J:$J,"&lt;"&amp;$D66,Dataset!$J:$J,"&gt;="&amp;$C66)</f>
        <v>0</v>
      </c>
      <c r="AC66" s="177">
        <f>SUMIFS(Dataset!$AA:$AA,Dataset!$F:$F,'credito latam'!$D$11,Dataset!$AN:$AN,AC$65,Dataset!$J:$J,"&lt;"&amp;$D66,Dataset!$J:$J,"&gt;="&amp;$C66)</f>
        <v>0</v>
      </c>
      <c r="AD66" s="177">
        <f>SUMIFS(Dataset!$AA:$AA,Dataset!$F:$F,'credito latam'!$D$11,Dataset!$AN:$AN,"B-",Dataset!$J:$J,"&lt;"&amp;$D66,Dataset!$J:$J,"&gt;="&amp;$C66)+SUMIFS(Dataset!$AA:$AA,Dataset!$F:$F,'credito latam'!$D$11,Dataset!$AN:$AN,"B",Dataset!$J:$J,"&lt;"&amp;$D66,Dataset!$J:$J,"&gt;="&amp;$C66)+SUMIFS(Dataset!$AA:$AA,Dataset!$F:$F,'credito latam'!$D$11,Dataset!$AN:$AN,"B+",Dataset!$J:$J,"&lt;"&amp;$D66,Dataset!$J:$J,"&gt;="&amp;$C66)</f>
        <v>0</v>
      </c>
      <c r="AE66" s="178">
        <f>SUMIFS(Dataset!$AA:$AA,Dataset!$F:$F,'credito latam'!$D$11,Dataset!$AN:$AN,AE$65,Dataset!$J:$J,"&lt;"&amp;$D66,Dataset!$J:$J,"&gt;="&amp;$C66)</f>
        <v>0</v>
      </c>
      <c r="AF66" s="160">
        <f t="shared" ref="AF66:AF82" si="8">SUM(S66:AE66)</f>
        <v>6.8780601956505965E-3</v>
      </c>
    </row>
    <row r="67" spans="3:32" ht="27" customHeight="1" x14ac:dyDescent="0.2">
      <c r="C67" s="57">
        <v>0.5</v>
      </c>
      <c r="D67" s="61">
        <v>1.5</v>
      </c>
      <c r="E67" s="182">
        <f>SUMIFS(Dataset!$AJ:$AJ,Dataset!$F:$F,'credito latam'!$D$11,Dataset!$AN:$AN,"*AAA*",Dataset!$J:$J,"&lt;"&amp;$D67,Dataset!$J:$J,"&gt;="&amp;$C67)</f>
        <v>0</v>
      </c>
      <c r="F67" s="183">
        <f>SUMIFS(Dataset!$AJ:$AJ,Dataset!$F:$F,'credito latam'!$D$11,Dataset!$AN:$AN,"AA+",Dataset!$J:$J,"&lt;"&amp;$D67,Dataset!$J:$J,"&gt;="&amp;$C67)+SUMIFS(Dataset!$AJ:$AJ,Dataset!$F:$F,'credito latam'!$D$11,Dataset!$AN:$AN,"AA",Dataset!$J:$J,"&lt;"&amp;$D67,Dataset!$J:$J,"&gt;="&amp;$C67)+SUMIFS(Dataset!$AJ:$AJ,Dataset!$F:$F,'credito latam'!$D$11,Dataset!$AN:$AN,"AA-",Dataset!$J:$J,"&lt;"&amp;$D67,Dataset!$J:$J,"&gt;="&amp;$C67)</f>
        <v>0</v>
      </c>
      <c r="G67" s="183">
        <f>SUMIFS(Dataset!$AJ:$AJ,Dataset!$F:$F,'credito latam'!$D$11,Dataset!$AN:$AN,G$65,Dataset!$J:$J,"&lt;"&amp;$D67,Dataset!$J:$J,"&gt;="&amp;$C67)</f>
        <v>0</v>
      </c>
      <c r="H67" s="183">
        <f>SUMIFS(Dataset!$AJ:$AJ,Dataset!$F:$F,'credito latam'!$D$11,Dataset!$AN:$AN,H$65,Dataset!$J:$J,"&lt;"&amp;$D67,Dataset!$J:$J,"&gt;="&amp;$C67)</f>
        <v>0</v>
      </c>
      <c r="I67" s="183">
        <f>SUMIFS(Dataset!$AJ:$AJ,Dataset!$F:$F,'credito latam'!$D$11,Dataset!$AN:$AN,I$65,Dataset!$J:$J,"&lt;"&amp;$D67,Dataset!$J:$J,"&gt;="&amp;$C67)</f>
        <v>-2.5881943285245511E-3</v>
      </c>
      <c r="J67" s="183">
        <f>SUMIFS(Dataset!$AJ:$AJ,Dataset!$F:$F,'credito latam'!$D$11,Dataset!$AN:$AN,J$65,Dataset!$J:$J,"&lt;"&amp;$D67,Dataset!$J:$J,"&gt;="&amp;$C67)</f>
        <v>0</v>
      </c>
      <c r="K67" s="183">
        <f>SUMIFS(Dataset!$AJ:$AJ,Dataset!$F:$F,'credito latam'!$D$11,Dataset!$AN:$AN,K$65,Dataset!$J:$J,"&lt;"&amp;$D67,Dataset!$J:$J,"&gt;="&amp;$C67)</f>
        <v>0</v>
      </c>
      <c r="L67" s="183">
        <f>SUMIFS(Dataset!$AJ:$AJ,Dataset!$F:$F,'credito latam'!$D$11,Dataset!$AN:$AN,L$65,Dataset!$J:$J,"&lt;"&amp;$D67,Dataset!$J:$J,"&gt;="&amp;$C67)</f>
        <v>-7.878135462118574E-3</v>
      </c>
      <c r="M67" s="183">
        <f>SUMIFS(Dataset!$AJ:$AJ,Dataset!$F:$F,'credito latam'!$D$11,Dataset!$AN:$AN,M$65,Dataset!$J:$J,"&lt;"&amp;$D67,Dataset!$J:$J,"&gt;="&amp;$C67)</f>
        <v>0</v>
      </c>
      <c r="N67" s="183">
        <f>SUMIFS(Dataset!$AJ:$AJ,Dataset!$F:$F,'credito latam'!$D$11,Dataset!$AN:$AN,N$65,Dataset!$J:$J,"&lt;"&amp;$D67,Dataset!$J:$J,"&gt;="&amp;$C67)</f>
        <v>0</v>
      </c>
      <c r="O67" s="183">
        <f>SUMIFS(Dataset!$AJ:$AJ,Dataset!$F:$F,'credito latam'!$D$11,Dataset!$AN:$AN,O$65,Dataset!$J:$J,"&lt;"&amp;$D67,Dataset!$J:$J,"&gt;="&amp;$C67)</f>
        <v>0</v>
      </c>
      <c r="P67" s="183">
        <f>SUMIFS(Dataset!$AJ:$AJ,Dataset!$F:$F,'credito latam'!$D$11,Dataset!$AN:$AN,"B-",Dataset!$J:$J,"&lt;"&amp;$D67,Dataset!$J:$J,"&gt;="&amp;$C67)+SUMIFS(Dataset!$AJ:$AJ,Dataset!$F:$F,'credito latam'!$D$11,Dataset!$AN:$AN,"B",Dataset!$J:$J,"&lt;"&amp;$D67,Dataset!$J:$J,"&gt;="&amp;$C67)+SUMIFS(Dataset!$AJ:$AJ,Dataset!$F:$F,'credito latam'!$D$11,Dataset!$AN:$AN,"B+",Dataset!$J:$J,"&lt;"&amp;$D67,Dataset!$J:$J,"&gt;="&amp;$C67)</f>
        <v>0</v>
      </c>
      <c r="Q67" s="184">
        <f>SUMIFS(Dataset!$AJ:$AJ,Dataset!$F:$F,'credito latam'!$D$11,Dataset!$AN:$AN,Q$65,Dataset!$J:$J,"&lt;"&amp;$D67,Dataset!$J:$J,"&gt;="&amp;$C67)</f>
        <v>0</v>
      </c>
      <c r="R67" s="160">
        <f t="shared" si="7"/>
        <v>-1.0466329790643126E-2</v>
      </c>
      <c r="S67" s="182">
        <f>SUMIFS(Dataset!$AA:$AA,Dataset!$F:$F,'credito latam'!$D$11,Dataset!$AN:$AN,"*AAA*",Dataset!$J:$J,"&lt;"&amp;$D67,Dataset!$J:$J,"&gt;="&amp;$C67)</f>
        <v>0</v>
      </c>
      <c r="T67" s="183">
        <f>SUMIFS(Dataset!$AA:$AA,Dataset!$F:$F,'credito latam'!$D$11,Dataset!$AN:$AN,"AA+",Dataset!$J:$J,"&lt;"&amp;$D67,Dataset!$J:$J,"&gt;="&amp;$C67)+SUMIFS(Dataset!$AA:$AA,Dataset!$F:$F,'credito latam'!$D$11,Dataset!$AN:$AN,"AA",Dataset!$J:$J,"&lt;"&amp;$D67,Dataset!$J:$J,"&gt;="&amp;$C67)+SUMIFS(Dataset!$AA:$AA,Dataset!$F:$F,'credito latam'!$D$11,Dataset!$AN:$AN,"AA-",Dataset!$J:$J,"&lt;"&amp;$D67,Dataset!$J:$J,"&gt;="&amp;$C67)</f>
        <v>0</v>
      </c>
      <c r="U67" s="183">
        <f>SUMIFS(Dataset!$AA:$AA,Dataset!$F:$F,'credito latam'!$D$11,Dataset!$AN:$AN,U$65,Dataset!$J:$J,"&lt;"&amp;$D67,Dataset!$J:$J,"&gt;="&amp;$C67)</f>
        <v>0</v>
      </c>
      <c r="V67" s="183">
        <f>SUMIFS(Dataset!$AA:$AA,Dataset!$F:$F,'credito latam'!$D$11,Dataset!$AN:$AN,V$65,Dataset!$J:$J,"&lt;"&amp;$D67,Dataset!$J:$J,"&gt;="&amp;$C67)</f>
        <v>0</v>
      </c>
      <c r="W67" s="183">
        <f>SUMIFS(Dataset!$AA:$AA,Dataset!$F:$F,'credito latam'!$D$11,Dataset!$AN:$AN,W$65,Dataset!$J:$J,"&lt;"&amp;$D67,Dataset!$J:$J,"&gt;="&amp;$C67)</f>
        <v>1.165231501498777E-3</v>
      </c>
      <c r="X67" s="183">
        <f>SUMIFS(Dataset!$AA:$AA,Dataset!$F:$F,'credito latam'!$D$11,Dataset!$AN:$AN,X$65,Dataset!$J:$J,"&lt;"&amp;$D67,Dataset!$J:$J,"&gt;="&amp;$C67)</f>
        <v>0</v>
      </c>
      <c r="Y67" s="183">
        <f>SUMIFS(Dataset!$AA:$AA,Dataset!$F:$F,'credito latam'!$D$11,Dataset!$AN:$AN,Y$65,Dataset!$J:$J,"&lt;"&amp;$D67,Dataset!$J:$J,"&gt;="&amp;$C67)</f>
        <v>0</v>
      </c>
      <c r="Z67" s="183">
        <f>SUMIFS(Dataset!$AA:$AA,Dataset!$F:$F,'credito latam'!$D$11,Dataset!$AN:$AN,Z$65,Dataset!$J:$J,"&lt;"&amp;$D67,Dataset!$J:$J,"&gt;="&amp;$C67)</f>
        <v>-1.6757812895444753E-3</v>
      </c>
      <c r="AA67" s="183">
        <f>SUMIFS(Dataset!$AA:$AA,Dataset!$F:$F,'credito latam'!$D$11,Dataset!$AN:$AN,AA$65,Dataset!$J:$J,"&lt;"&amp;$D67,Dataset!$J:$J,"&gt;="&amp;$C67)</f>
        <v>0</v>
      </c>
      <c r="AB67" s="183">
        <f>SUMIFS(Dataset!$AA:$AA,Dataset!$F:$F,'credito latam'!$D$11,Dataset!$AN:$AN,AB$65,Dataset!$J:$J,"&lt;"&amp;$D67,Dataset!$J:$J,"&gt;="&amp;$C67)</f>
        <v>0</v>
      </c>
      <c r="AC67" s="183">
        <f>SUMIFS(Dataset!$AA:$AA,Dataset!$F:$F,'credito latam'!$D$11,Dataset!$AN:$AN,AC$65,Dataset!$J:$J,"&lt;"&amp;$D67,Dataset!$J:$J,"&gt;="&amp;$C67)</f>
        <v>0</v>
      </c>
      <c r="AD67" s="183">
        <f>SUMIFS(Dataset!$AA:$AA,Dataset!$F:$F,'credito latam'!$D$11,Dataset!$AN:$AN,"B-",Dataset!$J:$J,"&lt;"&amp;$D67,Dataset!$J:$J,"&gt;="&amp;$C67)+SUMIFS(Dataset!$AA:$AA,Dataset!$F:$F,'credito latam'!$D$11,Dataset!$AN:$AN,"B",Dataset!$J:$J,"&lt;"&amp;$D67,Dataset!$J:$J,"&gt;="&amp;$C67)+SUMIFS(Dataset!$AA:$AA,Dataset!$F:$F,'credito latam'!$D$11,Dataset!$AN:$AN,"B+",Dataset!$J:$J,"&lt;"&amp;$D67,Dataset!$J:$J,"&gt;="&amp;$C67)</f>
        <v>0</v>
      </c>
      <c r="AE67" s="184">
        <f>SUMIFS(Dataset!$AA:$AA,Dataset!$F:$F,'credito latam'!$D$11,Dataset!$AN:$AN,AE$65,Dataset!$J:$J,"&lt;"&amp;$D67,Dataset!$J:$J,"&gt;="&amp;$C67)</f>
        <v>0</v>
      </c>
      <c r="AF67" s="160">
        <f t="shared" si="8"/>
        <v>-5.1054978804569826E-4</v>
      </c>
    </row>
    <row r="68" spans="3:32" ht="39" customHeight="1" x14ac:dyDescent="0.2">
      <c r="C68" s="57">
        <v>1.5</v>
      </c>
      <c r="D68" s="61">
        <v>2.5</v>
      </c>
      <c r="E68" s="182">
        <f>SUMIFS(Dataset!$AJ:$AJ,Dataset!$F:$F,'credito latam'!$D$11,Dataset!$AN:$AN,"*AAA*",Dataset!$J:$J,"&lt;"&amp;$D68,Dataset!$J:$J,"&gt;="&amp;$C68)</f>
        <v>0</v>
      </c>
      <c r="F68" s="188">
        <f>SUMIFS(Dataset!$AJ:$AJ,Dataset!$F:$F,'credito latam'!$D$11,Dataset!$AN:$AN,"AA+",Dataset!$J:$J,"&lt;"&amp;$D68,Dataset!$J:$J,"&gt;="&amp;$C68)+SUMIFS(Dataset!$AJ:$AJ,Dataset!$F:$F,'credito latam'!$D$11,Dataset!$AN:$AN,"AA",Dataset!$J:$J,"&lt;"&amp;$D68,Dataset!$J:$J,"&gt;="&amp;$C68)+SUMIFS(Dataset!$AJ:$AJ,Dataset!$F:$F,'credito latam'!$D$11,Dataset!$AN:$AN,"AA-",Dataset!$J:$J,"&lt;"&amp;$D68,Dataset!$J:$J,"&gt;="&amp;$C68)</f>
        <v>0</v>
      </c>
      <c r="G68" s="188">
        <f>SUMIFS(Dataset!$AJ:$AJ,Dataset!$F:$F,'credito latam'!$D$11,Dataset!$AN:$AN,G$65,Dataset!$J:$J,"&lt;"&amp;$D68,Dataset!$J:$J,"&gt;="&amp;$C68)</f>
        <v>0</v>
      </c>
      <c r="H68" s="188">
        <f>SUMIFS(Dataset!$AJ:$AJ,Dataset!$F:$F,'credito latam'!$D$11,Dataset!$AN:$AN,H$65,Dataset!$J:$J,"&lt;"&amp;$D68,Dataset!$J:$J,"&gt;="&amp;$C68)</f>
        <v>0</v>
      </c>
      <c r="I68" s="188">
        <f>SUMIFS(Dataset!$AJ:$AJ,Dataset!$F:$F,'credito latam'!$D$11,Dataset!$AN:$AN,I$65,Dataset!$J:$J,"&lt;"&amp;$D68,Dataset!$J:$J,"&gt;="&amp;$C68)</f>
        <v>-2.3100303664890388E-2</v>
      </c>
      <c r="J68" s="188">
        <f>SUMIFS(Dataset!$AJ:$AJ,Dataset!$F:$F,'credito latam'!$D$11,Dataset!$AN:$AN,J$65,Dataset!$J:$J,"&lt;"&amp;$D68,Dataset!$J:$J,"&gt;="&amp;$C68)</f>
        <v>-9.0749234180039443E-3</v>
      </c>
      <c r="K68" s="188">
        <f>SUMIFS(Dataset!$AJ:$AJ,Dataset!$F:$F,'credito latam'!$D$11,Dataset!$AN:$AN,K$65,Dataset!$J:$J,"&lt;"&amp;$D68,Dataset!$J:$J,"&gt;="&amp;$C68)</f>
        <v>-1.4613817703044665E-2</v>
      </c>
      <c r="L68" s="188">
        <f>SUMIFS(Dataset!$AJ:$AJ,Dataset!$F:$F,'credito latam'!$D$11,Dataset!$AN:$AN,L$65,Dataset!$J:$J,"&lt;"&amp;$D68,Dataset!$J:$J,"&gt;="&amp;$C68)</f>
        <v>-1.4452246520017031E-2</v>
      </c>
      <c r="M68" s="188">
        <f>SUMIFS(Dataset!$AJ:$AJ,Dataset!$F:$F,'credito latam'!$D$11,Dataset!$AN:$AN,M$65,Dataset!$J:$J,"&lt;"&amp;$D68,Dataset!$J:$J,"&gt;="&amp;$C68)</f>
        <v>-1.5431606095051755E-3</v>
      </c>
      <c r="N68" s="188">
        <f>SUMIFS(Dataset!$AJ:$AJ,Dataset!$F:$F,'credito latam'!$D$11,Dataset!$AN:$AN,N$65,Dataset!$J:$J,"&lt;"&amp;$D68,Dataset!$J:$J,"&gt;="&amp;$C68)</f>
        <v>0</v>
      </c>
      <c r="O68" s="188">
        <f>SUMIFS(Dataset!$AJ:$AJ,Dataset!$F:$F,'credito latam'!$D$11,Dataset!$AN:$AN,O$65,Dataset!$J:$J,"&lt;"&amp;$D68,Dataset!$J:$J,"&gt;="&amp;$C68)</f>
        <v>0</v>
      </c>
      <c r="P68" s="188">
        <f>SUMIFS(Dataset!$AJ:$AJ,Dataset!$F:$F,'credito latam'!$D$11,Dataset!$AN:$AN,"B-",Dataset!$J:$J,"&lt;"&amp;$D68,Dataset!$J:$J,"&gt;="&amp;$C68)+SUMIFS(Dataset!$AJ:$AJ,Dataset!$F:$F,'credito latam'!$D$11,Dataset!$AN:$AN,"B",Dataset!$J:$J,"&lt;"&amp;$D68,Dataset!$J:$J,"&gt;="&amp;$C68)+SUMIFS(Dataset!$AJ:$AJ,Dataset!$F:$F,'credito latam'!$D$11,Dataset!$AN:$AN,"B+",Dataset!$J:$J,"&lt;"&amp;$D68,Dataset!$J:$J,"&gt;="&amp;$C68)</f>
        <v>0</v>
      </c>
      <c r="Q68" s="189">
        <f>SUMIFS(Dataset!$AJ:$AJ,Dataset!$F:$F,'credito latam'!$D$11,Dataset!$AN:$AN,Q$65,Dataset!$J:$J,"&lt;"&amp;$D68,Dataset!$J:$J,"&gt;="&amp;$C68)</f>
        <v>0</v>
      </c>
      <c r="R68" s="160">
        <f t="shared" si="7"/>
        <v>-6.2784451915461198E-2</v>
      </c>
      <c r="S68" s="182">
        <f>SUMIFS(Dataset!$AA:$AA,Dataset!$F:$F,'credito latam'!$D$11,Dataset!$AN:$AN,"*AAA*",Dataset!$J:$J,"&lt;"&amp;$D68,Dataset!$J:$J,"&gt;="&amp;$C68)</f>
        <v>0</v>
      </c>
      <c r="T68" s="188">
        <f>SUMIFS(Dataset!$AA:$AA,Dataset!$F:$F,'credito latam'!$D$11,Dataset!$AN:$AN,"AA+",Dataset!$J:$J,"&lt;"&amp;$D68,Dataset!$J:$J,"&gt;="&amp;$C68)+SUMIFS(Dataset!$AA:$AA,Dataset!$F:$F,'credito latam'!$D$11,Dataset!$AN:$AN,"AA",Dataset!$J:$J,"&lt;"&amp;$D68,Dataset!$J:$J,"&gt;="&amp;$C68)+SUMIFS(Dataset!$AA:$AA,Dataset!$F:$F,'credito latam'!$D$11,Dataset!$AN:$AN,"AA-",Dataset!$J:$J,"&lt;"&amp;$D68,Dataset!$J:$J,"&gt;="&amp;$C68)</f>
        <v>0</v>
      </c>
      <c r="U68" s="188">
        <f>SUMIFS(Dataset!$AA:$AA,Dataset!$F:$F,'credito latam'!$D$11,Dataset!$AN:$AN,U$65,Dataset!$J:$J,"&lt;"&amp;$D68,Dataset!$J:$J,"&gt;="&amp;$C68)</f>
        <v>0</v>
      </c>
      <c r="V68" s="188">
        <f>SUMIFS(Dataset!$AA:$AA,Dataset!$F:$F,'credito latam'!$D$11,Dataset!$AN:$AN,V$65,Dataset!$J:$J,"&lt;"&amp;$D68,Dataset!$J:$J,"&gt;="&amp;$C68)</f>
        <v>0</v>
      </c>
      <c r="W68" s="188">
        <f>SUMIFS(Dataset!$AA:$AA,Dataset!$F:$F,'credito latam'!$D$11,Dataset!$AN:$AN,W$65,Dataset!$J:$J,"&lt;"&amp;$D68,Dataset!$J:$J,"&gt;="&amp;$C68)</f>
        <v>1.8029665015161424E-2</v>
      </c>
      <c r="X68" s="188">
        <f>SUMIFS(Dataset!$AA:$AA,Dataset!$F:$F,'credito latam'!$D$11,Dataset!$AN:$AN,X$65,Dataset!$J:$J,"&lt;"&amp;$D68,Dataset!$J:$J,"&gt;="&amp;$C68)</f>
        <v>-1.6526155640670178E-3</v>
      </c>
      <c r="Y68" s="188">
        <f>SUMIFS(Dataset!$AA:$AA,Dataset!$F:$F,'credito latam'!$D$11,Dataset!$AN:$AN,Y$65,Dataset!$J:$J,"&lt;"&amp;$D68,Dataset!$J:$J,"&gt;="&amp;$C68)</f>
        <v>9.0752388634491553E-3</v>
      </c>
      <c r="Z68" s="188">
        <f>SUMIFS(Dataset!$AA:$AA,Dataset!$F:$F,'credito latam'!$D$11,Dataset!$AN:$AN,Z$65,Dataset!$J:$J,"&lt;"&amp;$D68,Dataset!$J:$J,"&gt;="&amp;$C68)</f>
        <v>8.294907281501741E-3</v>
      </c>
      <c r="AA68" s="188">
        <f>SUMIFS(Dataset!$AA:$AA,Dataset!$F:$F,'credito latam'!$D$11,Dataset!$AN:$AN,AA$65,Dataset!$J:$J,"&lt;"&amp;$D68,Dataset!$J:$J,"&gt;="&amp;$C68)</f>
        <v>1.7889319849341706E-3</v>
      </c>
      <c r="AB68" s="188">
        <f>SUMIFS(Dataset!$AA:$AA,Dataset!$F:$F,'credito latam'!$D$11,Dataset!$AN:$AN,AB$65,Dataset!$J:$J,"&lt;"&amp;$D68,Dataset!$J:$J,"&gt;="&amp;$C68)</f>
        <v>0</v>
      </c>
      <c r="AC68" s="188">
        <f>SUMIFS(Dataset!$AA:$AA,Dataset!$F:$F,'credito latam'!$D$11,Dataset!$AN:$AN,AC$65,Dataset!$J:$J,"&lt;"&amp;$D68,Dataset!$J:$J,"&gt;="&amp;$C68)</f>
        <v>0</v>
      </c>
      <c r="AD68" s="188">
        <f>SUMIFS(Dataset!$AA:$AA,Dataset!$F:$F,'credito latam'!$D$11,Dataset!$AN:$AN,"B-",Dataset!$J:$J,"&lt;"&amp;$D68,Dataset!$J:$J,"&gt;="&amp;$C68)+SUMIFS(Dataset!$AA:$AA,Dataset!$F:$F,'credito latam'!$D$11,Dataset!$AN:$AN,"B",Dataset!$J:$J,"&lt;"&amp;$D68,Dataset!$J:$J,"&gt;="&amp;$C68)+SUMIFS(Dataset!$AA:$AA,Dataset!$F:$F,'credito latam'!$D$11,Dataset!$AN:$AN,"B+",Dataset!$J:$J,"&lt;"&amp;$D68,Dataset!$J:$J,"&gt;="&amp;$C68)</f>
        <v>0</v>
      </c>
      <c r="AE68" s="189">
        <f>SUMIFS(Dataset!$AA:$AA,Dataset!$F:$F,'credito latam'!$D$11,Dataset!$AN:$AN,AE$65,Dataset!$J:$J,"&lt;"&amp;$D68,Dataset!$J:$J,"&gt;="&amp;$C68)</f>
        <v>0</v>
      </c>
      <c r="AF68" s="160">
        <f t="shared" si="8"/>
        <v>3.5536127580979474E-2</v>
      </c>
    </row>
    <row r="69" spans="3:32" ht="35.25" customHeight="1" x14ac:dyDescent="0.2">
      <c r="C69" s="57">
        <v>2.5</v>
      </c>
      <c r="D69" s="61">
        <v>3.5</v>
      </c>
      <c r="E69" s="182">
        <f>SUMIFS(Dataset!$AJ:$AJ,Dataset!$F:$F,'credito latam'!$D$11,Dataset!$AN:$AN,"*AAA*",Dataset!$J:$J,"&lt;"&amp;$D69,Dataset!$J:$J,"&gt;="&amp;$C69)</f>
        <v>0</v>
      </c>
      <c r="F69" s="183">
        <f>SUMIFS(Dataset!$AJ:$AJ,Dataset!$F:$F,'credito latam'!$D$11,Dataset!$AN:$AN,"AA+",Dataset!$J:$J,"&lt;"&amp;$D69,Dataset!$J:$J,"&gt;="&amp;$C69)+SUMIFS(Dataset!$AJ:$AJ,Dataset!$F:$F,'credito latam'!$D$11,Dataset!$AN:$AN,"AA",Dataset!$J:$J,"&lt;"&amp;$D69,Dataset!$J:$J,"&gt;="&amp;$C69)+SUMIFS(Dataset!$AJ:$AJ,Dataset!$F:$F,'credito latam'!$D$11,Dataset!$AN:$AN,"AA-",Dataset!$J:$J,"&lt;"&amp;$D69,Dataset!$J:$J,"&gt;="&amp;$C69)</f>
        <v>0</v>
      </c>
      <c r="G69" s="183">
        <f>SUMIFS(Dataset!$AJ:$AJ,Dataset!$F:$F,'credito latam'!$D$11,Dataset!$AN:$AN,G$65,Dataset!$J:$J,"&lt;"&amp;$D69,Dataset!$J:$J,"&gt;="&amp;$C69)</f>
        <v>0</v>
      </c>
      <c r="H69" s="183">
        <f>SUMIFS(Dataset!$AJ:$AJ,Dataset!$F:$F,'credito latam'!$D$11,Dataset!$AN:$AN,H$65,Dataset!$J:$J,"&lt;"&amp;$D69,Dataset!$J:$J,"&gt;="&amp;$C69)</f>
        <v>0</v>
      </c>
      <c r="I69" s="183">
        <f>SUMIFS(Dataset!$AJ:$AJ,Dataset!$F:$F,'credito latam'!$D$11,Dataset!$AN:$AN,I$65,Dataset!$J:$J,"&lt;"&amp;$D69,Dataset!$J:$J,"&gt;="&amp;$C69)</f>
        <v>0</v>
      </c>
      <c r="J69" s="183">
        <f>SUMIFS(Dataset!$AJ:$AJ,Dataset!$F:$F,'credito latam'!$D$11,Dataset!$AN:$AN,J$65,Dataset!$J:$J,"&lt;"&amp;$D69,Dataset!$J:$J,"&gt;="&amp;$C69)</f>
        <v>0</v>
      </c>
      <c r="K69" s="183">
        <f>SUMIFS(Dataset!$AJ:$AJ,Dataset!$F:$F,'credito latam'!$D$11,Dataset!$AN:$AN,K$65,Dataset!$J:$J,"&lt;"&amp;$D69,Dataset!$J:$J,"&gt;="&amp;$C69)</f>
        <v>-2.1934865271111981E-2</v>
      </c>
      <c r="L69" s="183">
        <f>SUMIFS(Dataset!$AJ:$AJ,Dataset!$F:$F,'credito latam'!$D$11,Dataset!$AN:$AN,L$65,Dataset!$J:$J,"&lt;"&amp;$D69,Dataset!$J:$J,"&gt;="&amp;$C69)</f>
        <v>-2.1633270662221264E-2</v>
      </c>
      <c r="M69" s="183">
        <f>SUMIFS(Dataset!$AJ:$AJ,Dataset!$F:$F,'credito latam'!$D$11,Dataset!$AN:$AN,M$65,Dataset!$J:$J,"&lt;"&amp;$D69,Dataset!$J:$J,"&gt;="&amp;$C69)</f>
        <v>-3.8409835917221176E-4</v>
      </c>
      <c r="N69" s="183">
        <f>SUMIFS(Dataset!$AJ:$AJ,Dataset!$F:$F,'credito latam'!$D$11,Dataset!$AN:$AN,N$65,Dataset!$J:$J,"&lt;"&amp;$D69,Dataset!$J:$J,"&gt;="&amp;$C69)</f>
        <v>-4.3102155673621217E-3</v>
      </c>
      <c r="O69" s="183">
        <f>SUMIFS(Dataset!$AJ:$AJ,Dataset!$F:$F,'credito latam'!$D$11,Dataset!$AN:$AN,O$65,Dataset!$J:$J,"&lt;"&amp;$D69,Dataset!$J:$J,"&gt;="&amp;$C69)</f>
        <v>0</v>
      </c>
      <c r="P69" s="183">
        <f>SUMIFS(Dataset!$AJ:$AJ,Dataset!$F:$F,'credito latam'!$D$11,Dataset!$AN:$AN,"B-",Dataset!$J:$J,"&lt;"&amp;$D69,Dataset!$J:$J,"&gt;="&amp;$C69)+SUMIFS(Dataset!$AJ:$AJ,Dataset!$F:$F,'credito latam'!$D$11,Dataset!$AN:$AN,"B",Dataset!$J:$J,"&lt;"&amp;$D69,Dataset!$J:$J,"&gt;="&amp;$C69)+SUMIFS(Dataset!$AJ:$AJ,Dataset!$F:$F,'credito latam'!$D$11,Dataset!$AN:$AN,"B+",Dataset!$J:$J,"&lt;"&amp;$D69,Dataset!$J:$J,"&gt;="&amp;$C69)</f>
        <v>0</v>
      </c>
      <c r="Q69" s="184">
        <f>SUMIFS(Dataset!$AJ:$AJ,Dataset!$F:$F,'credito latam'!$D$11,Dataset!$AN:$AN,Q$65,Dataset!$J:$J,"&lt;"&amp;$D69,Dataset!$J:$J,"&gt;="&amp;$C69)</f>
        <v>0</v>
      </c>
      <c r="R69" s="160">
        <f t="shared" si="7"/>
        <v>-4.8262449859867579E-2</v>
      </c>
      <c r="S69" s="182">
        <f>SUMIFS(Dataset!$AA:$AA,Dataset!$F:$F,'credito latam'!$D$11,Dataset!$AN:$AN,"*AAA*",Dataset!$J:$J,"&lt;"&amp;$D69,Dataset!$J:$J,"&gt;="&amp;$C69)</f>
        <v>0</v>
      </c>
      <c r="T69" s="183">
        <f>SUMIFS(Dataset!$AA:$AA,Dataset!$F:$F,'credito latam'!$D$11,Dataset!$AN:$AN,"AA+",Dataset!$J:$J,"&lt;"&amp;$D69,Dataset!$J:$J,"&gt;="&amp;$C69)+SUMIFS(Dataset!$AA:$AA,Dataset!$F:$F,'credito latam'!$D$11,Dataset!$AN:$AN,"AA",Dataset!$J:$J,"&lt;"&amp;$D69,Dataset!$J:$J,"&gt;="&amp;$C69)+SUMIFS(Dataset!$AA:$AA,Dataset!$F:$F,'credito latam'!$D$11,Dataset!$AN:$AN,"AA-",Dataset!$J:$J,"&lt;"&amp;$D69,Dataset!$J:$J,"&gt;="&amp;$C69)</f>
        <v>0</v>
      </c>
      <c r="U69" s="183">
        <f>SUMIFS(Dataset!$AA:$AA,Dataset!$F:$F,'credito latam'!$D$11,Dataset!$AN:$AN,U$65,Dataset!$J:$J,"&lt;"&amp;$D69,Dataset!$J:$J,"&gt;="&amp;$C69)</f>
        <v>0</v>
      </c>
      <c r="V69" s="183">
        <f>SUMIFS(Dataset!$AA:$AA,Dataset!$F:$F,'credito latam'!$D$11,Dataset!$AN:$AN,V$65,Dataset!$J:$J,"&lt;"&amp;$D69,Dataset!$J:$J,"&gt;="&amp;$C69)</f>
        <v>0</v>
      </c>
      <c r="W69" s="183">
        <f>SUMIFS(Dataset!$AA:$AA,Dataset!$F:$F,'credito latam'!$D$11,Dataset!$AN:$AN,W$65,Dataset!$J:$J,"&lt;"&amp;$D69,Dataset!$J:$J,"&gt;="&amp;$C69)</f>
        <v>0</v>
      </c>
      <c r="X69" s="183">
        <f>SUMIFS(Dataset!$AA:$AA,Dataset!$F:$F,'credito latam'!$D$11,Dataset!$AN:$AN,X$65,Dataset!$J:$J,"&lt;"&amp;$D69,Dataset!$J:$J,"&gt;="&amp;$C69)</f>
        <v>0</v>
      </c>
      <c r="Y69" s="183">
        <f>SUMIFS(Dataset!$AA:$AA,Dataset!$F:$F,'credito latam'!$D$11,Dataset!$AN:$AN,Y$65,Dataset!$J:$J,"&lt;"&amp;$D69,Dataset!$J:$J,"&gt;="&amp;$C69)</f>
        <v>1.246847284486657E-2</v>
      </c>
      <c r="Z69" s="183">
        <f>SUMIFS(Dataset!$AA:$AA,Dataset!$F:$F,'credito latam'!$D$11,Dataset!$AN:$AN,Z$65,Dataset!$J:$J,"&lt;"&amp;$D69,Dataset!$J:$J,"&gt;="&amp;$C69)</f>
        <v>1.1643878769288896E-2</v>
      </c>
      <c r="AA69" s="183">
        <f>SUMIFS(Dataset!$AA:$AA,Dataset!$F:$F,'credito latam'!$D$11,Dataset!$AN:$AN,AA$65,Dataset!$J:$J,"&lt;"&amp;$D69,Dataset!$J:$J,"&gt;="&amp;$C69)</f>
        <v>3.087679087796624E-3</v>
      </c>
      <c r="AB69" s="183">
        <f>SUMIFS(Dataset!$AA:$AA,Dataset!$F:$F,'credito latam'!$D$11,Dataset!$AN:$AN,AB$65,Dataset!$J:$J,"&lt;"&amp;$D69,Dataset!$J:$J,"&gt;="&amp;$C69)</f>
        <v>-1.2448974115697922E-4</v>
      </c>
      <c r="AC69" s="183">
        <f>SUMIFS(Dataset!$AA:$AA,Dataset!$F:$F,'credito latam'!$D$11,Dataset!$AN:$AN,AC$65,Dataset!$J:$J,"&lt;"&amp;$D69,Dataset!$J:$J,"&gt;="&amp;$C69)</f>
        <v>0</v>
      </c>
      <c r="AD69" s="183">
        <f>SUMIFS(Dataset!$AA:$AA,Dataset!$F:$F,'credito latam'!$D$11,Dataset!$AN:$AN,"B-",Dataset!$J:$J,"&lt;"&amp;$D69,Dataset!$J:$J,"&gt;="&amp;$C69)+SUMIFS(Dataset!$AA:$AA,Dataset!$F:$F,'credito latam'!$D$11,Dataset!$AN:$AN,"B",Dataset!$J:$J,"&lt;"&amp;$D69,Dataset!$J:$J,"&gt;="&amp;$C69)+SUMIFS(Dataset!$AA:$AA,Dataset!$F:$F,'credito latam'!$D$11,Dataset!$AN:$AN,"B+",Dataset!$J:$J,"&lt;"&amp;$D69,Dataset!$J:$J,"&gt;="&amp;$C69)</f>
        <v>0</v>
      </c>
      <c r="AE69" s="184">
        <f>SUMIFS(Dataset!$AA:$AA,Dataset!$F:$F,'credito latam'!$D$11,Dataset!$AN:$AN,AE$65,Dataset!$J:$J,"&lt;"&amp;$D69,Dataset!$J:$J,"&gt;="&amp;$C69)</f>
        <v>0</v>
      </c>
      <c r="AF69" s="160">
        <f t="shared" si="8"/>
        <v>2.7075540960795112E-2</v>
      </c>
    </row>
    <row r="70" spans="3:32" ht="27" customHeight="1" x14ac:dyDescent="0.2">
      <c r="C70" s="57">
        <v>3.5</v>
      </c>
      <c r="D70" s="61">
        <v>4.5</v>
      </c>
      <c r="E70" s="182">
        <f>SUMIFS(Dataset!$AJ:$AJ,Dataset!$F:$F,'credito latam'!$D$11,Dataset!$AN:$AN,"*AAA*",Dataset!$J:$J,"&lt;"&amp;$D70,Dataset!$J:$J,"&gt;="&amp;$C70)</f>
        <v>0</v>
      </c>
      <c r="F70" s="188">
        <f>SUMIFS(Dataset!$AJ:$AJ,Dataset!$F:$F,'credito latam'!$D$11,Dataset!$AN:$AN,"AA+",Dataset!$J:$J,"&lt;"&amp;$D70,Dataset!$J:$J,"&gt;="&amp;$C70)+SUMIFS(Dataset!$AJ:$AJ,Dataset!$F:$F,'credito latam'!$D$11,Dataset!$AN:$AN,"AA",Dataset!$J:$J,"&lt;"&amp;$D70,Dataset!$J:$J,"&gt;="&amp;$C70)+SUMIFS(Dataset!$AJ:$AJ,Dataset!$F:$F,'credito latam'!$D$11,Dataset!$AN:$AN,"AA-",Dataset!$J:$J,"&lt;"&amp;$D70,Dataset!$J:$J,"&gt;="&amp;$C70)</f>
        <v>0</v>
      </c>
      <c r="G70" s="188">
        <f>SUMIFS(Dataset!$AJ:$AJ,Dataset!$F:$F,'credito latam'!$D$11,Dataset!$AN:$AN,G$65,Dataset!$J:$J,"&lt;"&amp;$D70,Dataset!$J:$J,"&gt;="&amp;$C70)</f>
        <v>0</v>
      </c>
      <c r="H70" s="188">
        <f>SUMIFS(Dataset!$AJ:$AJ,Dataset!$F:$F,'credito latam'!$D$11,Dataset!$AN:$AN,H$65,Dataset!$J:$J,"&lt;"&amp;$D70,Dataset!$J:$J,"&gt;="&amp;$C70)</f>
        <v>-4.0923710944264901E-3</v>
      </c>
      <c r="I70" s="188">
        <f>SUMIFS(Dataset!$AJ:$AJ,Dataset!$F:$F,'credito latam'!$D$11,Dataset!$AN:$AN,I$65,Dataset!$J:$J,"&lt;"&amp;$D70,Dataset!$J:$J,"&gt;="&amp;$C70)</f>
        <v>-9.5052797840776363E-3</v>
      </c>
      <c r="J70" s="188">
        <f>SUMIFS(Dataset!$AJ:$AJ,Dataset!$F:$F,'credito latam'!$D$11,Dataset!$AN:$AN,J$65,Dataset!$J:$J,"&lt;"&amp;$D70,Dataset!$J:$J,"&gt;="&amp;$C70)</f>
        <v>7.7675234084901238E-3</v>
      </c>
      <c r="K70" s="188">
        <f>SUMIFS(Dataset!$AJ:$AJ,Dataset!$F:$F,'credito latam'!$D$11,Dataset!$AN:$AN,K$65,Dataset!$J:$J,"&lt;"&amp;$D70,Dataset!$J:$J,"&gt;="&amp;$C70)</f>
        <v>6.8365246653123409E-3</v>
      </c>
      <c r="L70" s="188">
        <f>SUMIFS(Dataset!$AJ:$AJ,Dataset!$F:$F,'credito latam'!$D$11,Dataset!$AN:$AN,L$65,Dataset!$J:$J,"&lt;"&amp;$D70,Dataset!$J:$J,"&gt;="&amp;$C70)</f>
        <v>-2.4584840154968611E-2</v>
      </c>
      <c r="M70" s="188">
        <f>SUMIFS(Dataset!$AJ:$AJ,Dataset!$F:$F,'credito latam'!$D$11,Dataset!$AN:$AN,M$65,Dataset!$J:$J,"&lt;"&amp;$D70,Dataset!$J:$J,"&gt;="&amp;$C70)</f>
        <v>-9.0169317306679989E-4</v>
      </c>
      <c r="N70" s="188">
        <f>SUMIFS(Dataset!$AJ:$AJ,Dataset!$F:$F,'credito latam'!$D$11,Dataset!$AN:$AN,N$65,Dataset!$J:$J,"&lt;"&amp;$D70,Dataset!$J:$J,"&gt;="&amp;$C70)</f>
        <v>0</v>
      </c>
      <c r="O70" s="188">
        <f>SUMIFS(Dataset!$AJ:$AJ,Dataset!$F:$F,'credito latam'!$D$11,Dataset!$AN:$AN,O$65,Dataset!$J:$J,"&lt;"&amp;$D70,Dataset!$J:$J,"&gt;="&amp;$C70)</f>
        <v>1.5009668180181686E-2</v>
      </c>
      <c r="P70" s="188">
        <f>SUMIFS(Dataset!$AJ:$AJ,Dataset!$F:$F,'credito latam'!$D$11,Dataset!$AN:$AN,"B-",Dataset!$J:$J,"&lt;"&amp;$D70,Dataset!$J:$J,"&gt;="&amp;$C70)+SUMIFS(Dataset!$AJ:$AJ,Dataset!$F:$F,'credito latam'!$D$11,Dataset!$AN:$AN,"B",Dataset!$J:$J,"&lt;"&amp;$D70,Dataset!$J:$J,"&gt;="&amp;$C70)+SUMIFS(Dataset!$AJ:$AJ,Dataset!$F:$F,'credito latam'!$D$11,Dataset!$AN:$AN,"B+",Dataset!$J:$J,"&lt;"&amp;$D70,Dataset!$J:$J,"&gt;="&amp;$C70)</f>
        <v>0</v>
      </c>
      <c r="Q70" s="189">
        <f>SUMIFS(Dataset!$AJ:$AJ,Dataset!$F:$F,'credito latam'!$D$11,Dataset!$AN:$AN,Q$65,Dataset!$J:$J,"&lt;"&amp;$D70,Dataset!$J:$J,"&gt;="&amp;$C70)</f>
        <v>0</v>
      </c>
      <c r="R70" s="160">
        <f t="shared" si="7"/>
        <v>-9.470467952555385E-3</v>
      </c>
      <c r="S70" s="182">
        <f>SUMIFS(Dataset!$AA:$AA,Dataset!$F:$F,'credito latam'!$D$11,Dataset!$AN:$AN,"*AAA*",Dataset!$J:$J,"&lt;"&amp;$D70,Dataset!$J:$J,"&gt;="&amp;$C70)</f>
        <v>0</v>
      </c>
      <c r="T70" s="188">
        <f>SUMIFS(Dataset!$AA:$AA,Dataset!$F:$F,'credito latam'!$D$11,Dataset!$AN:$AN,"AA+",Dataset!$J:$J,"&lt;"&amp;$D70,Dataset!$J:$J,"&gt;="&amp;$C70)+SUMIFS(Dataset!$AA:$AA,Dataset!$F:$F,'credito latam'!$D$11,Dataset!$AN:$AN,"AA",Dataset!$J:$J,"&lt;"&amp;$D70,Dataset!$J:$J,"&gt;="&amp;$C70)+SUMIFS(Dataset!$AA:$AA,Dataset!$F:$F,'credito latam'!$D$11,Dataset!$AN:$AN,"AA-",Dataset!$J:$J,"&lt;"&amp;$D70,Dataset!$J:$J,"&gt;="&amp;$C70)</f>
        <v>0</v>
      </c>
      <c r="U70" s="188">
        <f>SUMIFS(Dataset!$AA:$AA,Dataset!$F:$F,'credito latam'!$D$11,Dataset!$AN:$AN,U$65,Dataset!$J:$J,"&lt;"&amp;$D70,Dataset!$J:$J,"&gt;="&amp;$C70)</f>
        <v>0</v>
      </c>
      <c r="V70" s="188">
        <f>SUMIFS(Dataset!$AA:$AA,Dataset!$F:$F,'credito latam'!$D$11,Dataset!$AN:$AN,V$65,Dataset!$J:$J,"&lt;"&amp;$D70,Dataset!$J:$J,"&gt;="&amp;$C70)</f>
        <v>2.875095254148319E-3</v>
      </c>
      <c r="W70" s="188">
        <f>SUMIFS(Dataset!$AA:$AA,Dataset!$F:$F,'credito latam'!$D$11,Dataset!$AN:$AN,W$65,Dataset!$J:$J,"&lt;"&amp;$D70,Dataset!$J:$J,"&gt;="&amp;$C70)</f>
        <v>2.7819991473925811E-2</v>
      </c>
      <c r="X70" s="188">
        <f>SUMIFS(Dataset!$AA:$AA,Dataset!$F:$F,'credito latam'!$D$11,Dataset!$AN:$AN,X$65,Dataset!$J:$J,"&lt;"&amp;$D70,Dataset!$J:$J,"&gt;="&amp;$C70)</f>
        <v>1.7000190975053633E-2</v>
      </c>
      <c r="Y70" s="188">
        <f>SUMIFS(Dataset!$AA:$AA,Dataset!$F:$F,'credito latam'!$D$11,Dataset!$AN:$AN,Y$65,Dataset!$J:$J,"&lt;"&amp;$D70,Dataset!$J:$J,"&gt;="&amp;$C70)</f>
        <v>5.1717292105437204E-3</v>
      </c>
      <c r="Z70" s="188">
        <f>SUMIFS(Dataset!$AA:$AA,Dataset!$F:$F,'credito latam'!$D$11,Dataset!$AN:$AN,Z$65,Dataset!$J:$J,"&lt;"&amp;$D70,Dataset!$J:$J,"&gt;="&amp;$C70)</f>
        <v>4.6214194036345878E-2</v>
      </c>
      <c r="AA70" s="188">
        <f>SUMIFS(Dataset!$AA:$AA,Dataset!$F:$F,'credito latam'!$D$11,Dataset!$AN:$AN,AA$65,Dataset!$J:$J,"&lt;"&amp;$D70,Dataset!$J:$J,"&gt;="&amp;$C70)</f>
        <v>8.2877776790296382E-4</v>
      </c>
      <c r="AB70" s="188">
        <f>SUMIFS(Dataset!$AA:$AA,Dataset!$F:$F,'credito latam'!$D$11,Dataset!$AN:$AN,AB$65,Dataset!$J:$J,"&lt;"&amp;$D70,Dataset!$J:$J,"&gt;="&amp;$C70)</f>
        <v>0</v>
      </c>
      <c r="AC70" s="188">
        <f>SUMIFS(Dataset!$AA:$AA,Dataset!$F:$F,'credito latam'!$D$11,Dataset!$AN:$AN,AC$65,Dataset!$J:$J,"&lt;"&amp;$D70,Dataset!$J:$J,"&gt;="&amp;$C70)</f>
        <v>-3.4212796924042747E-3</v>
      </c>
      <c r="AD70" s="188">
        <f>SUMIFS(Dataset!$AA:$AA,Dataset!$F:$F,'credito latam'!$D$11,Dataset!$AN:$AN,"B-",Dataset!$J:$J,"&lt;"&amp;$D70,Dataset!$J:$J,"&gt;="&amp;$C70)+SUMIFS(Dataset!$AA:$AA,Dataset!$F:$F,'credito latam'!$D$11,Dataset!$AN:$AN,"B",Dataset!$J:$J,"&lt;"&amp;$D70,Dataset!$J:$J,"&gt;="&amp;$C70)+SUMIFS(Dataset!$AA:$AA,Dataset!$F:$F,'credito latam'!$D$11,Dataset!$AN:$AN,"B+",Dataset!$J:$J,"&lt;"&amp;$D70,Dataset!$J:$J,"&gt;="&amp;$C70)</f>
        <v>0</v>
      </c>
      <c r="AE70" s="189">
        <f>SUMIFS(Dataset!$AA:$AA,Dataset!$F:$F,'credito latam'!$D$11,Dataset!$AN:$AN,AE$65,Dataset!$J:$J,"&lt;"&amp;$D70,Dataset!$J:$J,"&gt;="&amp;$C70)</f>
        <v>0</v>
      </c>
      <c r="AF70" s="160">
        <f t="shared" si="8"/>
        <v>9.6488699025516045E-2</v>
      </c>
    </row>
    <row r="71" spans="3:32" ht="33" customHeight="1" x14ac:dyDescent="0.2">
      <c r="C71" s="57">
        <v>4.5</v>
      </c>
      <c r="D71" s="61">
        <v>5.5</v>
      </c>
      <c r="E71" s="182">
        <f>SUMIFS(Dataset!$AJ:$AJ,Dataset!$F:$F,'credito latam'!$D$11,Dataset!$AN:$AN,"*AAA*",Dataset!$J:$J,"&lt;"&amp;$D71,Dataset!$J:$J,"&gt;="&amp;$C71)</f>
        <v>0</v>
      </c>
      <c r="F71" s="183">
        <f>SUMIFS(Dataset!$AJ:$AJ,Dataset!$F:$F,'credito latam'!$D$11,Dataset!$AN:$AN,"AA+",Dataset!$J:$J,"&lt;"&amp;$D71,Dataset!$J:$J,"&gt;="&amp;$C71)+SUMIFS(Dataset!$AJ:$AJ,Dataset!$F:$F,'credito latam'!$D$11,Dataset!$AN:$AN,"AA",Dataset!$J:$J,"&lt;"&amp;$D71,Dataset!$J:$J,"&gt;="&amp;$C71)+SUMIFS(Dataset!$AJ:$AJ,Dataset!$F:$F,'credito latam'!$D$11,Dataset!$AN:$AN,"AA-",Dataset!$J:$J,"&lt;"&amp;$D71,Dataset!$J:$J,"&gt;="&amp;$C71)</f>
        <v>0</v>
      </c>
      <c r="G71" s="183">
        <f>SUMIFS(Dataset!$AJ:$AJ,Dataset!$F:$F,'credito latam'!$D$11,Dataset!$AN:$AN,G$65,Dataset!$J:$J,"&lt;"&amp;$D71,Dataset!$J:$J,"&gt;="&amp;$C71)</f>
        <v>8.1843053777581973E-3</v>
      </c>
      <c r="H71" s="183">
        <f>SUMIFS(Dataset!$AJ:$AJ,Dataset!$F:$F,'credito latam'!$D$11,Dataset!$AN:$AN,H$65,Dataset!$J:$J,"&lt;"&amp;$D71,Dataset!$J:$J,"&gt;="&amp;$C71)</f>
        <v>-6.227428374607144E-3</v>
      </c>
      <c r="I71" s="183">
        <f>SUMIFS(Dataset!$AJ:$AJ,Dataset!$F:$F,'credito latam'!$D$11,Dataset!$AN:$AN,I$65,Dataset!$J:$J,"&lt;"&amp;$D71,Dataset!$J:$J,"&gt;="&amp;$C71)</f>
        <v>-7.2792501754473504E-3</v>
      </c>
      <c r="J71" s="183">
        <f>SUMIFS(Dataset!$AJ:$AJ,Dataset!$F:$F,'credito latam'!$D$11,Dataset!$AN:$AN,J$65,Dataset!$J:$J,"&lt;"&amp;$D71,Dataset!$J:$J,"&gt;="&amp;$C71)</f>
        <v>-3.4655746318502357E-3</v>
      </c>
      <c r="K71" s="183">
        <f>SUMIFS(Dataset!$AJ:$AJ,Dataset!$F:$F,'credito latam'!$D$11,Dataset!$AN:$AN,K$65,Dataset!$J:$J,"&lt;"&amp;$D71,Dataset!$J:$J,"&gt;="&amp;$C71)</f>
        <v>-2.2672610059320555E-2</v>
      </c>
      <c r="L71" s="183">
        <f>SUMIFS(Dataset!$AJ:$AJ,Dataset!$F:$F,'credito latam'!$D$11,Dataset!$AN:$AN,L$65,Dataset!$J:$J,"&lt;"&amp;$D71,Dataset!$J:$J,"&gt;="&amp;$C71)</f>
        <v>4.3270748119797267E-3</v>
      </c>
      <c r="M71" s="183">
        <f>SUMIFS(Dataset!$AJ:$AJ,Dataset!$F:$F,'credito latam'!$D$11,Dataset!$AN:$AN,M$65,Dataset!$J:$J,"&lt;"&amp;$D71,Dataset!$J:$J,"&gt;="&amp;$C71)</f>
        <v>-1.7678015327323611E-3</v>
      </c>
      <c r="N71" s="183">
        <f>SUMIFS(Dataset!$AJ:$AJ,Dataset!$F:$F,'credito latam'!$D$11,Dataset!$AN:$AN,N$65,Dataset!$J:$J,"&lt;"&amp;$D71,Dataset!$J:$J,"&gt;="&amp;$C71)</f>
        <v>0</v>
      </c>
      <c r="O71" s="183">
        <f>SUMIFS(Dataset!$AJ:$AJ,Dataset!$F:$F,'credito latam'!$D$11,Dataset!$AN:$AN,O$65,Dataset!$J:$J,"&lt;"&amp;$D71,Dataset!$J:$J,"&gt;="&amp;$C71)</f>
        <v>0</v>
      </c>
      <c r="P71" s="183">
        <f>SUMIFS(Dataset!$AJ:$AJ,Dataset!$F:$F,'credito latam'!$D$11,Dataset!$AN:$AN,"B-",Dataset!$J:$J,"&lt;"&amp;$D71,Dataset!$J:$J,"&gt;="&amp;$C71)+SUMIFS(Dataset!$AJ:$AJ,Dataset!$F:$F,'credito latam'!$D$11,Dataset!$AN:$AN,"B",Dataset!$J:$J,"&lt;"&amp;$D71,Dataset!$J:$J,"&gt;="&amp;$C71)+SUMIFS(Dataset!$AJ:$AJ,Dataset!$F:$F,'credito latam'!$D$11,Dataset!$AN:$AN,"B+",Dataset!$J:$J,"&lt;"&amp;$D71,Dataset!$J:$J,"&gt;="&amp;$C71)</f>
        <v>6.2645623010699498E-3</v>
      </c>
      <c r="Q71" s="184">
        <f>SUMIFS(Dataset!$AJ:$AJ,Dataset!$F:$F,'credito latam'!$D$11,Dataset!$AN:$AN,Q$65,Dataset!$J:$J,"&lt;"&amp;$D71,Dataset!$J:$J,"&gt;="&amp;$C71)</f>
        <v>0</v>
      </c>
      <c r="R71" s="160">
        <f t="shared" si="7"/>
        <v>-2.2636722283149772E-2</v>
      </c>
      <c r="S71" s="182">
        <f>SUMIFS(Dataset!$AA:$AA,Dataset!$F:$F,'credito latam'!$D$11,Dataset!$AN:$AN,"*AAA*",Dataset!$J:$J,"&lt;"&amp;$D71,Dataset!$J:$J,"&gt;="&amp;$C71)</f>
        <v>0</v>
      </c>
      <c r="T71" s="183">
        <f>SUMIFS(Dataset!$AA:$AA,Dataset!$F:$F,'credito latam'!$D$11,Dataset!$AN:$AN,"AA+",Dataset!$J:$J,"&lt;"&amp;$D71,Dataset!$J:$J,"&gt;="&amp;$C71)+SUMIFS(Dataset!$AA:$AA,Dataset!$F:$F,'credito latam'!$D$11,Dataset!$AN:$AN,"AA",Dataset!$J:$J,"&lt;"&amp;$D71,Dataset!$J:$J,"&gt;="&amp;$C71)+SUMIFS(Dataset!$AA:$AA,Dataset!$F:$F,'credito latam'!$D$11,Dataset!$AN:$AN,"AA-",Dataset!$J:$J,"&lt;"&amp;$D71,Dataset!$J:$J,"&gt;="&amp;$C71)</f>
        <v>0</v>
      </c>
      <c r="U71" s="183">
        <f>SUMIFS(Dataset!$AA:$AA,Dataset!$F:$F,'credito latam'!$D$11,Dataset!$AN:$AN,U$65,Dataset!$J:$J,"&lt;"&amp;$D71,Dataset!$J:$J,"&gt;="&amp;$C71)</f>
        <v>-3.5817792586728618E-2</v>
      </c>
      <c r="V71" s="183">
        <f>SUMIFS(Dataset!$AA:$AA,Dataset!$F:$F,'credito latam'!$D$11,Dataset!$AN:$AN,V$65,Dataset!$J:$J,"&lt;"&amp;$D71,Dataset!$J:$J,"&gt;="&amp;$C71)</f>
        <v>2.6121755174017434E-3</v>
      </c>
      <c r="W71" s="183">
        <f>SUMIFS(Dataset!$AA:$AA,Dataset!$F:$F,'credito latam'!$D$11,Dataset!$AN:$AN,W$65,Dataset!$J:$J,"&lt;"&amp;$D71,Dataset!$J:$J,"&gt;="&amp;$C71)</f>
        <v>2.2349578582640854E-2</v>
      </c>
      <c r="X71" s="183">
        <f>SUMIFS(Dataset!$AA:$AA,Dataset!$F:$F,'credito latam'!$D$11,Dataset!$AN:$AN,X$65,Dataset!$J:$J,"&lt;"&amp;$D71,Dataset!$J:$J,"&gt;="&amp;$C71)</f>
        <v>9.2916553294345415E-5</v>
      </c>
      <c r="Y71" s="183">
        <f>SUMIFS(Dataset!$AA:$AA,Dataset!$F:$F,'credito latam'!$D$11,Dataset!$AN:$AN,Y$65,Dataset!$J:$J,"&lt;"&amp;$D71,Dataset!$J:$J,"&gt;="&amp;$C71)</f>
        <v>2.6627319354142951E-2</v>
      </c>
      <c r="Z71" s="183">
        <f>SUMIFS(Dataset!$AA:$AA,Dataset!$F:$F,'credito latam'!$D$11,Dataset!$AN:$AN,Z$65,Dataset!$J:$J,"&lt;"&amp;$D71,Dataset!$J:$J,"&gt;="&amp;$C71)</f>
        <v>1.3670548859710035E-2</v>
      </c>
      <c r="AA71" s="183">
        <f>SUMIFS(Dataset!$AA:$AA,Dataset!$F:$F,'credito latam'!$D$11,Dataset!$AN:$AN,AA$65,Dataset!$J:$J,"&lt;"&amp;$D71,Dataset!$J:$J,"&gt;="&amp;$C71)</f>
        <v>6.7223482023362237E-3</v>
      </c>
      <c r="AB71" s="183">
        <f>SUMIFS(Dataset!$AA:$AA,Dataset!$F:$F,'credito latam'!$D$11,Dataset!$AN:$AN,AB$65,Dataset!$J:$J,"&lt;"&amp;$D71,Dataset!$J:$J,"&gt;="&amp;$C71)</f>
        <v>0</v>
      </c>
      <c r="AC71" s="183">
        <f>SUMIFS(Dataset!$AA:$AA,Dataset!$F:$F,'credito latam'!$D$11,Dataset!$AN:$AN,AC$65,Dataset!$J:$J,"&lt;"&amp;$D71,Dataset!$J:$J,"&gt;="&amp;$C71)</f>
        <v>0</v>
      </c>
      <c r="AD71" s="183">
        <f>SUMIFS(Dataset!$AA:$AA,Dataset!$F:$F,'credito latam'!$D$11,Dataset!$AN:$AN,"B-",Dataset!$J:$J,"&lt;"&amp;$D71,Dataset!$J:$J,"&gt;="&amp;$C71)+SUMIFS(Dataset!$AA:$AA,Dataset!$F:$F,'credito latam'!$D$11,Dataset!$AN:$AN,"B",Dataset!$J:$J,"&lt;"&amp;$D71,Dataset!$J:$J,"&gt;="&amp;$C71)+SUMIFS(Dataset!$AA:$AA,Dataset!$F:$F,'credito latam'!$D$11,Dataset!$AN:$AN,"B+",Dataset!$J:$J,"&lt;"&amp;$D71,Dataset!$J:$J,"&gt;="&amp;$C71)</f>
        <v>-1.8708884541333392E-3</v>
      </c>
      <c r="AE71" s="184">
        <f>SUMIFS(Dataset!$AA:$AA,Dataset!$F:$F,'credito latam'!$D$11,Dataset!$AN:$AN,AE$65,Dataset!$J:$J,"&lt;"&amp;$D71,Dataset!$J:$J,"&gt;="&amp;$C71)</f>
        <v>0</v>
      </c>
      <c r="AF71" s="160">
        <f t="shared" si="8"/>
        <v>3.4386206028664192E-2</v>
      </c>
    </row>
    <row r="72" spans="3:32" ht="33" customHeight="1" x14ac:dyDescent="0.2">
      <c r="C72" s="57">
        <v>5.5</v>
      </c>
      <c r="D72" s="61">
        <v>6.5</v>
      </c>
      <c r="E72" s="182">
        <f>SUMIFS(Dataset!$AJ:$AJ,Dataset!$F:$F,'credito latam'!$D$11,Dataset!$AN:$AN,"*AAA*",Dataset!$J:$J,"&lt;"&amp;$D72,Dataset!$J:$J,"&gt;="&amp;$C72)</f>
        <v>0</v>
      </c>
      <c r="F72" s="188">
        <f>SUMIFS(Dataset!$AJ:$AJ,Dataset!$F:$F,'credito latam'!$D$11,Dataset!$AN:$AN,"AA+",Dataset!$J:$J,"&lt;"&amp;$D72,Dataset!$J:$J,"&gt;="&amp;$C72)+SUMIFS(Dataset!$AJ:$AJ,Dataset!$F:$F,'credito latam'!$D$11,Dataset!$AN:$AN,"AA",Dataset!$J:$J,"&lt;"&amp;$D72,Dataset!$J:$J,"&gt;="&amp;$C72)+SUMIFS(Dataset!$AJ:$AJ,Dataset!$F:$F,'credito latam'!$D$11,Dataset!$AN:$AN,"AA-",Dataset!$J:$J,"&lt;"&amp;$D72,Dataset!$J:$J,"&gt;="&amp;$C72)</f>
        <v>0</v>
      </c>
      <c r="G72" s="188">
        <f>SUMIFS(Dataset!$AJ:$AJ,Dataset!$F:$F,'credito latam'!$D$11,Dataset!$AN:$AN,G$65,Dataset!$J:$J,"&lt;"&amp;$D72,Dataset!$J:$J,"&gt;="&amp;$C72)</f>
        <v>0</v>
      </c>
      <c r="H72" s="188">
        <f>SUMIFS(Dataset!$AJ:$AJ,Dataset!$F:$F,'credito latam'!$D$11,Dataset!$AN:$AN,H$65,Dataset!$J:$J,"&lt;"&amp;$D72,Dataset!$J:$J,"&gt;="&amp;$C72)</f>
        <v>0</v>
      </c>
      <c r="I72" s="188">
        <f>SUMIFS(Dataset!$AJ:$AJ,Dataset!$F:$F,'credito latam'!$D$11,Dataset!$AN:$AN,I$65,Dataset!$J:$J,"&lt;"&amp;$D72,Dataset!$J:$J,"&gt;="&amp;$C72)</f>
        <v>-2.7618143763552634E-3</v>
      </c>
      <c r="J72" s="188">
        <f>SUMIFS(Dataset!$AJ:$AJ,Dataset!$F:$F,'credito latam'!$D$11,Dataset!$AN:$AN,J$65,Dataset!$J:$J,"&lt;"&amp;$D72,Dataset!$J:$J,"&gt;="&amp;$C72)</f>
        <v>7.8043403742822978E-4</v>
      </c>
      <c r="K72" s="188">
        <f>SUMIFS(Dataset!$AJ:$AJ,Dataset!$F:$F,'credito latam'!$D$11,Dataset!$AN:$AN,K$65,Dataset!$J:$J,"&lt;"&amp;$D72,Dataset!$J:$J,"&gt;="&amp;$C72)</f>
        <v>-1.2371368776519794E-2</v>
      </c>
      <c r="L72" s="188">
        <f>SUMIFS(Dataset!$AJ:$AJ,Dataset!$F:$F,'credito latam'!$D$11,Dataset!$AN:$AN,L$65,Dataset!$J:$J,"&lt;"&amp;$D72,Dataset!$J:$J,"&gt;="&amp;$C72)</f>
        <v>-3.4037539697829015E-2</v>
      </c>
      <c r="M72" s="188">
        <f>SUMIFS(Dataset!$AJ:$AJ,Dataset!$F:$F,'credito latam'!$D$11,Dataset!$AN:$AN,M$65,Dataset!$J:$J,"&lt;"&amp;$D72,Dataset!$J:$J,"&gt;="&amp;$C72)</f>
        <v>-3.8245376504116601E-3</v>
      </c>
      <c r="N72" s="188">
        <f>SUMIFS(Dataset!$AJ:$AJ,Dataset!$F:$F,'credito latam'!$D$11,Dataset!$AN:$AN,N$65,Dataset!$J:$J,"&lt;"&amp;$D72,Dataset!$J:$J,"&gt;="&amp;$C72)</f>
        <v>0</v>
      </c>
      <c r="O72" s="188">
        <f>SUMIFS(Dataset!$AJ:$AJ,Dataset!$F:$F,'credito latam'!$D$11,Dataset!$AN:$AN,O$65,Dataset!$J:$J,"&lt;"&amp;$D72,Dataset!$J:$J,"&gt;="&amp;$C72)</f>
        <v>-9.4420634956192753E-4</v>
      </c>
      <c r="P72" s="188">
        <f>SUMIFS(Dataset!$AJ:$AJ,Dataset!$F:$F,'credito latam'!$D$11,Dataset!$AN:$AN,"B-",Dataset!$J:$J,"&lt;"&amp;$D72,Dataset!$J:$J,"&gt;="&amp;$C72)+SUMIFS(Dataset!$AJ:$AJ,Dataset!$F:$F,'credito latam'!$D$11,Dataset!$AN:$AN,"B",Dataset!$J:$J,"&lt;"&amp;$D72,Dataset!$J:$J,"&gt;="&amp;$C72)+SUMIFS(Dataset!$AJ:$AJ,Dataset!$F:$F,'credito latam'!$D$11,Dataset!$AN:$AN,"B+",Dataset!$J:$J,"&lt;"&amp;$D72,Dataset!$J:$J,"&gt;="&amp;$C72)</f>
        <v>0</v>
      </c>
      <c r="Q72" s="189">
        <f>SUMIFS(Dataset!$AJ:$AJ,Dataset!$F:$F,'credito latam'!$D$11,Dataset!$AN:$AN,Q$65,Dataset!$J:$J,"&lt;"&amp;$D72,Dataset!$J:$J,"&gt;="&amp;$C72)</f>
        <v>0</v>
      </c>
      <c r="R72" s="160">
        <f t="shared" si="7"/>
        <v>-5.3159032813249421E-2</v>
      </c>
      <c r="S72" s="182">
        <f>SUMIFS(Dataset!$AA:$AA,Dataset!$F:$F,'credito latam'!$D$11,Dataset!$AN:$AN,"*AAA*",Dataset!$J:$J,"&lt;"&amp;$D72,Dataset!$J:$J,"&gt;="&amp;$C72)</f>
        <v>0</v>
      </c>
      <c r="T72" s="188">
        <f>SUMIFS(Dataset!$AA:$AA,Dataset!$F:$F,'credito latam'!$D$11,Dataset!$AN:$AN,"AA+",Dataset!$J:$J,"&lt;"&amp;$D72,Dataset!$J:$J,"&gt;="&amp;$C72)+SUMIFS(Dataset!$AA:$AA,Dataset!$F:$F,'credito latam'!$D$11,Dataset!$AN:$AN,"AA",Dataset!$J:$J,"&lt;"&amp;$D72,Dataset!$J:$J,"&gt;="&amp;$C72)+SUMIFS(Dataset!$AA:$AA,Dataset!$F:$F,'credito latam'!$D$11,Dataset!$AN:$AN,"AA-",Dataset!$J:$J,"&lt;"&amp;$D72,Dataset!$J:$J,"&gt;="&amp;$C72)</f>
        <v>0</v>
      </c>
      <c r="U72" s="188">
        <f>SUMIFS(Dataset!$AA:$AA,Dataset!$F:$F,'credito latam'!$D$11,Dataset!$AN:$AN,U$65,Dataset!$J:$J,"&lt;"&amp;$D72,Dataset!$J:$J,"&gt;="&amp;$C72)</f>
        <v>0</v>
      </c>
      <c r="V72" s="188">
        <f>SUMIFS(Dataset!$AA:$AA,Dataset!$F:$F,'credito latam'!$D$11,Dataset!$AN:$AN,V$65,Dataset!$J:$J,"&lt;"&amp;$D72,Dataset!$J:$J,"&gt;="&amp;$C72)</f>
        <v>0</v>
      </c>
      <c r="W72" s="188">
        <f>SUMIFS(Dataset!$AA:$AA,Dataset!$F:$F,'credito latam'!$D$11,Dataset!$AN:$AN,W$65,Dataset!$J:$J,"&lt;"&amp;$D72,Dataset!$J:$J,"&gt;="&amp;$C72)</f>
        <v>-7.6380868533574304E-3</v>
      </c>
      <c r="X72" s="188">
        <f>SUMIFS(Dataset!$AA:$AA,Dataset!$F:$F,'credito latam'!$D$11,Dataset!$AN:$AN,X$65,Dataset!$J:$J,"&lt;"&amp;$D72,Dataset!$J:$J,"&gt;="&amp;$C72)</f>
        <v>3.0695971096506552E-2</v>
      </c>
      <c r="Y72" s="188">
        <f>SUMIFS(Dataset!$AA:$AA,Dataset!$F:$F,'credito latam'!$D$11,Dataset!$AN:$AN,Y$65,Dataset!$J:$J,"&lt;"&amp;$D72,Dataset!$J:$J,"&gt;="&amp;$C72)</f>
        <v>3.9087289737911569E-2</v>
      </c>
      <c r="Z72" s="188">
        <f>SUMIFS(Dataset!$AA:$AA,Dataset!$F:$F,'credito latam'!$D$11,Dataset!$AN:$AN,Z$65,Dataset!$J:$J,"&lt;"&amp;$D72,Dataset!$J:$J,"&gt;="&amp;$C72)</f>
        <v>6.0134033232681197E-2</v>
      </c>
      <c r="AA72" s="188">
        <f>SUMIFS(Dataset!$AA:$AA,Dataset!$F:$F,'credito latam'!$D$11,Dataset!$AN:$AN,AA$65,Dataset!$J:$J,"&lt;"&amp;$D72,Dataset!$J:$J,"&gt;="&amp;$C72)</f>
        <v>4.0930850027951476E-3</v>
      </c>
      <c r="AB72" s="188">
        <f>SUMIFS(Dataset!$AA:$AA,Dataset!$F:$F,'credito latam'!$D$11,Dataset!$AN:$AN,AB$65,Dataset!$J:$J,"&lt;"&amp;$D72,Dataset!$J:$J,"&gt;="&amp;$C72)</f>
        <v>0</v>
      </c>
      <c r="AC72" s="188">
        <f>SUMIFS(Dataset!$AA:$AA,Dataset!$F:$F,'credito latam'!$D$11,Dataset!$AN:$AN,AC$65,Dataset!$J:$J,"&lt;"&amp;$D72,Dataset!$J:$J,"&gt;="&amp;$C72)</f>
        <v>-1.8299273993515382E-4</v>
      </c>
      <c r="AD72" s="188">
        <f>SUMIFS(Dataset!$AA:$AA,Dataset!$F:$F,'credito latam'!$D$11,Dataset!$AN:$AN,"B-",Dataset!$J:$J,"&lt;"&amp;$D72,Dataset!$J:$J,"&gt;="&amp;$C72)+SUMIFS(Dataset!$AA:$AA,Dataset!$F:$F,'credito latam'!$D$11,Dataset!$AN:$AN,"B",Dataset!$J:$J,"&lt;"&amp;$D72,Dataset!$J:$J,"&gt;="&amp;$C72)+SUMIFS(Dataset!$AA:$AA,Dataset!$F:$F,'credito latam'!$D$11,Dataset!$AN:$AN,"B+",Dataset!$J:$J,"&lt;"&amp;$D72,Dataset!$J:$J,"&gt;="&amp;$C72)</f>
        <v>0</v>
      </c>
      <c r="AE72" s="189">
        <f>SUMIFS(Dataset!$AA:$AA,Dataset!$F:$F,'credito latam'!$D$11,Dataset!$AN:$AN,AE$65,Dataset!$J:$J,"&lt;"&amp;$D72,Dataset!$J:$J,"&gt;="&amp;$C72)</f>
        <v>0</v>
      </c>
      <c r="AF72" s="160">
        <f t="shared" si="8"/>
        <v>0.12618929947660187</v>
      </c>
    </row>
    <row r="73" spans="3:32" ht="33" customHeight="1" x14ac:dyDescent="0.2">
      <c r="C73" s="57">
        <v>6.5</v>
      </c>
      <c r="D73" s="61">
        <v>7.5</v>
      </c>
      <c r="E73" s="182">
        <f>SUMIFS(Dataset!$AJ:$AJ,Dataset!$F:$F,'credito latam'!$D$11,Dataset!$AN:$AN,"*AAA*",Dataset!$J:$J,"&lt;"&amp;$D73,Dataset!$J:$J,"&gt;="&amp;$C73)</f>
        <v>0</v>
      </c>
      <c r="F73" s="183">
        <f>SUMIFS(Dataset!$AJ:$AJ,Dataset!$F:$F,'credito latam'!$D$11,Dataset!$AN:$AN,"AA+",Dataset!$J:$J,"&lt;"&amp;$D73,Dataset!$J:$J,"&gt;="&amp;$C73)+SUMIFS(Dataset!$AJ:$AJ,Dataset!$F:$F,'credito latam'!$D$11,Dataset!$AN:$AN,"AA",Dataset!$J:$J,"&lt;"&amp;$D73,Dataset!$J:$J,"&gt;="&amp;$C73)+SUMIFS(Dataset!$AJ:$AJ,Dataset!$F:$F,'credito latam'!$D$11,Dataset!$AN:$AN,"AA-",Dataset!$J:$J,"&lt;"&amp;$D73,Dataset!$J:$J,"&gt;="&amp;$C73)</f>
        <v>0</v>
      </c>
      <c r="G73" s="183">
        <f>SUMIFS(Dataset!$AJ:$AJ,Dataset!$F:$F,'credito latam'!$D$11,Dataset!$AN:$AN,G$65,Dataset!$J:$J,"&lt;"&amp;$D73,Dataset!$J:$J,"&gt;="&amp;$C73)</f>
        <v>0</v>
      </c>
      <c r="H73" s="183">
        <f>SUMIFS(Dataset!$AJ:$AJ,Dataset!$F:$F,'credito latam'!$D$11,Dataset!$AN:$AN,H$65,Dataset!$J:$J,"&lt;"&amp;$D73,Dataset!$J:$J,"&gt;="&amp;$C73)</f>
        <v>0</v>
      </c>
      <c r="I73" s="183">
        <f>SUMIFS(Dataset!$AJ:$AJ,Dataset!$F:$F,'credito latam'!$D$11,Dataset!$AN:$AN,I$65,Dataset!$J:$J,"&lt;"&amp;$D73,Dataset!$J:$J,"&gt;="&amp;$C73)</f>
        <v>0</v>
      </c>
      <c r="J73" s="183">
        <f>SUMIFS(Dataset!$AJ:$AJ,Dataset!$F:$F,'credito latam'!$D$11,Dataset!$AN:$AN,J$65,Dataset!$J:$J,"&lt;"&amp;$D73,Dataset!$J:$J,"&gt;="&amp;$C73)</f>
        <v>1.1569261051356769E-2</v>
      </c>
      <c r="K73" s="183">
        <f>SUMIFS(Dataset!$AJ:$AJ,Dataset!$F:$F,'credito latam'!$D$11,Dataset!$AN:$AN,K$65,Dataset!$J:$J,"&lt;"&amp;$D73,Dataset!$J:$J,"&gt;="&amp;$C73)</f>
        <v>1.0049069290271443E-2</v>
      </c>
      <c r="L73" s="183">
        <f>SUMIFS(Dataset!$AJ:$AJ,Dataset!$F:$F,'credito latam'!$D$11,Dataset!$AN:$AN,L$65,Dataset!$J:$J,"&lt;"&amp;$D73,Dataset!$J:$J,"&gt;="&amp;$C73)</f>
        <v>6.1355801620887274E-2</v>
      </c>
      <c r="M73" s="183">
        <f>SUMIFS(Dataset!$AJ:$AJ,Dataset!$F:$F,'credito latam'!$D$11,Dataset!$AN:$AN,M$65,Dataset!$J:$J,"&lt;"&amp;$D73,Dataset!$J:$J,"&gt;="&amp;$C73)</f>
        <v>2.1808198158956155E-2</v>
      </c>
      <c r="N73" s="183">
        <f>SUMIFS(Dataset!$AJ:$AJ,Dataset!$F:$F,'credito latam'!$D$11,Dataset!$AN:$AN,N$65,Dataset!$J:$J,"&lt;"&amp;$D73,Dataset!$J:$J,"&gt;="&amp;$C73)</f>
        <v>8.5110783284381968E-3</v>
      </c>
      <c r="O73" s="183">
        <f>SUMIFS(Dataset!$AJ:$AJ,Dataset!$F:$F,'credito latam'!$D$11,Dataset!$AN:$AN,O$65,Dataset!$J:$J,"&lt;"&amp;$D73,Dataset!$J:$J,"&gt;="&amp;$C73)</f>
        <v>1.2891917756652882E-2</v>
      </c>
      <c r="P73" s="183">
        <f>SUMIFS(Dataset!$AJ:$AJ,Dataset!$F:$F,'credito latam'!$D$11,Dataset!$AN:$AN,"B-",Dataset!$J:$J,"&lt;"&amp;$D73,Dataset!$J:$J,"&gt;="&amp;$C73)+SUMIFS(Dataset!$AJ:$AJ,Dataset!$F:$F,'credito latam'!$D$11,Dataset!$AN:$AN,"B",Dataset!$J:$J,"&lt;"&amp;$D73,Dataset!$J:$J,"&gt;="&amp;$C73)+SUMIFS(Dataset!$AJ:$AJ,Dataset!$F:$F,'credito latam'!$D$11,Dataset!$AN:$AN,"B+",Dataset!$J:$J,"&lt;"&amp;$D73,Dataset!$J:$J,"&gt;="&amp;$C73)</f>
        <v>0</v>
      </c>
      <c r="Q73" s="184">
        <f>SUMIFS(Dataset!$AJ:$AJ,Dataset!$F:$F,'credito latam'!$D$11,Dataset!$AN:$AN,Q$65,Dataset!$J:$J,"&lt;"&amp;$D73,Dataset!$J:$J,"&gt;="&amp;$C73)</f>
        <v>0</v>
      </c>
      <c r="R73" s="160">
        <f t="shared" si="7"/>
        <v>0.12618532620656273</v>
      </c>
      <c r="S73" s="182">
        <f>SUMIFS(Dataset!$AA:$AA,Dataset!$F:$F,'credito latam'!$D$11,Dataset!$AN:$AN,"*AAA*",Dataset!$J:$J,"&lt;"&amp;$D73,Dataset!$J:$J,"&gt;="&amp;$C73)</f>
        <v>0</v>
      </c>
      <c r="T73" s="183">
        <f>SUMIFS(Dataset!$AA:$AA,Dataset!$F:$F,'credito latam'!$D$11,Dataset!$AN:$AN,"AA+",Dataset!$J:$J,"&lt;"&amp;$D73,Dataset!$J:$J,"&gt;="&amp;$C73)+SUMIFS(Dataset!$AA:$AA,Dataset!$F:$F,'credito latam'!$D$11,Dataset!$AN:$AN,"AA",Dataset!$J:$J,"&lt;"&amp;$D73,Dataset!$J:$J,"&gt;="&amp;$C73)+SUMIFS(Dataset!$AA:$AA,Dataset!$F:$F,'credito latam'!$D$11,Dataset!$AN:$AN,"AA-",Dataset!$J:$J,"&lt;"&amp;$D73,Dataset!$J:$J,"&gt;="&amp;$C73)</f>
        <v>0</v>
      </c>
      <c r="U73" s="183">
        <f>SUMIFS(Dataset!$AA:$AA,Dataset!$F:$F,'credito latam'!$D$11,Dataset!$AN:$AN,U$65,Dataset!$J:$J,"&lt;"&amp;$D73,Dataset!$J:$J,"&gt;="&amp;$C73)</f>
        <v>0</v>
      </c>
      <c r="V73" s="183">
        <f>SUMIFS(Dataset!$AA:$AA,Dataset!$F:$F,'credito latam'!$D$11,Dataset!$AN:$AN,V$65,Dataset!$J:$J,"&lt;"&amp;$D73,Dataset!$J:$J,"&gt;="&amp;$C73)</f>
        <v>0</v>
      </c>
      <c r="W73" s="183">
        <f>SUMIFS(Dataset!$AA:$AA,Dataset!$F:$F,'credito latam'!$D$11,Dataset!$AN:$AN,W$65,Dataset!$J:$J,"&lt;"&amp;$D73,Dataset!$J:$J,"&gt;="&amp;$C73)</f>
        <v>0</v>
      </c>
      <c r="X73" s="183">
        <f>SUMIFS(Dataset!$AA:$AA,Dataset!$F:$F,'credito latam'!$D$11,Dataset!$AN:$AN,X$65,Dataset!$J:$J,"&lt;"&amp;$D73,Dataset!$J:$J,"&gt;="&amp;$C73)</f>
        <v>3.3552299270423018E-2</v>
      </c>
      <c r="Y73" s="183">
        <f>SUMIFS(Dataset!$AA:$AA,Dataset!$F:$F,'credito latam'!$D$11,Dataset!$AN:$AN,Y$65,Dataset!$J:$J,"&lt;"&amp;$D73,Dataset!$J:$J,"&gt;="&amp;$C73)</f>
        <v>-1.142925722285726E-2</v>
      </c>
      <c r="Z73" s="183">
        <f>SUMIFS(Dataset!$AA:$AA,Dataset!$F:$F,'credito latam'!$D$11,Dataset!$AN:$AN,Z$65,Dataset!$J:$J,"&lt;"&amp;$D73,Dataset!$J:$J,"&gt;="&amp;$C73)</f>
        <v>-6.4471392346279147E-2</v>
      </c>
      <c r="AA73" s="183">
        <f>SUMIFS(Dataset!$AA:$AA,Dataset!$F:$F,'credito latam'!$D$11,Dataset!$AN:$AN,AA$65,Dataset!$J:$J,"&lt;"&amp;$D73,Dataset!$J:$J,"&gt;="&amp;$C73)</f>
        <v>-2.7252159286799388E-2</v>
      </c>
      <c r="AB73" s="183">
        <f>SUMIFS(Dataset!$AA:$AA,Dataset!$F:$F,'credito latam'!$D$11,Dataset!$AN:$AN,AB$65,Dataset!$J:$J,"&lt;"&amp;$D73,Dataset!$J:$J,"&gt;="&amp;$C73)</f>
        <v>-1.1064068691853182E-2</v>
      </c>
      <c r="AC73" s="183">
        <f>SUMIFS(Dataset!$AA:$AA,Dataset!$F:$F,'credito latam'!$D$11,Dataset!$AN:$AN,AC$65,Dataset!$J:$J,"&lt;"&amp;$D73,Dataset!$J:$J,"&gt;="&amp;$C73)</f>
        <v>-1.1021183195313089E-2</v>
      </c>
      <c r="AD73" s="183">
        <f>SUMIFS(Dataset!$AA:$AA,Dataset!$F:$F,'credito latam'!$D$11,Dataset!$AN:$AN,"B-",Dataset!$J:$J,"&lt;"&amp;$D73,Dataset!$J:$J,"&gt;="&amp;$C73)+SUMIFS(Dataset!$AA:$AA,Dataset!$F:$F,'credito latam'!$D$11,Dataset!$AN:$AN,"B",Dataset!$J:$J,"&lt;"&amp;$D73,Dataset!$J:$J,"&gt;="&amp;$C73)+SUMIFS(Dataset!$AA:$AA,Dataset!$F:$F,'credito latam'!$D$11,Dataset!$AN:$AN,"B+",Dataset!$J:$J,"&lt;"&amp;$D73,Dataset!$J:$J,"&gt;="&amp;$C73)</f>
        <v>0</v>
      </c>
      <c r="AE73" s="184">
        <f>SUMIFS(Dataset!$AA:$AA,Dataset!$F:$F,'credito latam'!$D$11,Dataset!$AN:$AN,AE$65,Dataset!$J:$J,"&lt;"&amp;$D73,Dataset!$J:$J,"&gt;="&amp;$C73)</f>
        <v>0</v>
      </c>
      <c r="AF73" s="160">
        <f t="shared" si="8"/>
        <v>-9.1685761472679053E-2</v>
      </c>
    </row>
    <row r="74" spans="3:32" ht="33" customHeight="1" x14ac:dyDescent="0.2">
      <c r="C74" s="57">
        <v>7.5</v>
      </c>
      <c r="D74" s="61">
        <v>8.5</v>
      </c>
      <c r="E74" s="182">
        <f>SUMIFS(Dataset!$AJ:$AJ,Dataset!$F:$F,'credito latam'!$D$11,Dataset!$AN:$AN,"*AAA*",Dataset!$J:$J,"&lt;"&amp;$D74,Dataset!$J:$J,"&gt;="&amp;$C74)</f>
        <v>0</v>
      </c>
      <c r="F74" s="188">
        <f>SUMIFS(Dataset!$AJ:$AJ,Dataset!$F:$F,'credito latam'!$D$11,Dataset!$AN:$AN,"AA+",Dataset!$J:$J,"&lt;"&amp;$D74,Dataset!$J:$J,"&gt;="&amp;$C74)+SUMIFS(Dataset!$AJ:$AJ,Dataset!$F:$F,'credito latam'!$D$11,Dataset!$AN:$AN,"AA",Dataset!$J:$J,"&lt;"&amp;$D74,Dataset!$J:$J,"&gt;="&amp;$C74)+SUMIFS(Dataset!$AJ:$AJ,Dataset!$F:$F,'credito latam'!$D$11,Dataset!$AN:$AN,"AA-",Dataset!$J:$J,"&lt;"&amp;$D74,Dataset!$J:$J,"&gt;="&amp;$C74)</f>
        <v>0</v>
      </c>
      <c r="G74" s="188">
        <f>SUMIFS(Dataset!$AJ:$AJ,Dataset!$F:$F,'credito latam'!$D$11,Dataset!$AN:$AN,G$65,Dataset!$J:$J,"&lt;"&amp;$D74,Dataset!$J:$J,"&gt;="&amp;$C74)</f>
        <v>0</v>
      </c>
      <c r="H74" s="188">
        <f>SUMIFS(Dataset!$AJ:$AJ,Dataset!$F:$F,'credito latam'!$D$11,Dataset!$AN:$AN,H$65,Dataset!$J:$J,"&lt;"&amp;$D74,Dataset!$J:$J,"&gt;="&amp;$C74)</f>
        <v>0</v>
      </c>
      <c r="I74" s="188">
        <f>SUMIFS(Dataset!$AJ:$AJ,Dataset!$F:$F,'credito latam'!$D$11,Dataset!$AN:$AN,I$65,Dataset!$J:$J,"&lt;"&amp;$D74,Dataset!$J:$J,"&gt;="&amp;$C74)</f>
        <v>3.1294747219481065E-3</v>
      </c>
      <c r="J74" s="188">
        <f>SUMIFS(Dataset!$AJ:$AJ,Dataset!$F:$F,'credito latam'!$D$11,Dataset!$AN:$AN,J$65,Dataset!$J:$J,"&lt;"&amp;$D74,Dataset!$J:$J,"&gt;="&amp;$C74)</f>
        <v>2.9507370178264082E-2</v>
      </c>
      <c r="K74" s="188">
        <f>SUMIFS(Dataset!$AJ:$AJ,Dataset!$F:$F,'credito latam'!$D$11,Dataset!$AN:$AN,K$65,Dataset!$J:$J,"&lt;"&amp;$D74,Dataset!$J:$J,"&gt;="&amp;$C74)</f>
        <v>1.2215081275361021E-2</v>
      </c>
      <c r="L74" s="188">
        <f>SUMIFS(Dataset!$AJ:$AJ,Dataset!$F:$F,'credito latam'!$D$11,Dataset!$AN:$AN,L$65,Dataset!$J:$J,"&lt;"&amp;$D74,Dataset!$J:$J,"&gt;="&amp;$C74)</f>
        <v>0.10025787029950564</v>
      </c>
      <c r="M74" s="188">
        <f>SUMIFS(Dataset!$AJ:$AJ,Dataset!$F:$F,'credito latam'!$D$11,Dataset!$AN:$AN,M$65,Dataset!$J:$J,"&lt;"&amp;$D74,Dataset!$J:$J,"&gt;="&amp;$C74)</f>
        <v>0</v>
      </c>
      <c r="N74" s="188">
        <f>SUMIFS(Dataset!$AJ:$AJ,Dataset!$F:$F,'credito latam'!$D$11,Dataset!$AN:$AN,N$65,Dataset!$J:$J,"&lt;"&amp;$D74,Dataset!$J:$J,"&gt;="&amp;$C74)</f>
        <v>0</v>
      </c>
      <c r="O74" s="188">
        <f>SUMIFS(Dataset!$AJ:$AJ,Dataset!$F:$F,'credito latam'!$D$11,Dataset!$AN:$AN,O$65,Dataset!$J:$J,"&lt;"&amp;$D74,Dataset!$J:$J,"&gt;="&amp;$C74)</f>
        <v>8.9942526212220854E-3</v>
      </c>
      <c r="P74" s="188">
        <f>SUMIFS(Dataset!$AJ:$AJ,Dataset!$F:$F,'credito latam'!$D$11,Dataset!$AN:$AN,"B-",Dataset!$J:$J,"&lt;"&amp;$D74,Dataset!$J:$J,"&gt;="&amp;$C74)+SUMIFS(Dataset!$AJ:$AJ,Dataset!$F:$F,'credito latam'!$D$11,Dataset!$AN:$AN,"B",Dataset!$J:$J,"&lt;"&amp;$D74,Dataset!$J:$J,"&gt;="&amp;$C74)+SUMIFS(Dataset!$AJ:$AJ,Dataset!$F:$F,'credito latam'!$D$11,Dataset!$AN:$AN,"B+",Dataset!$J:$J,"&lt;"&amp;$D74,Dataset!$J:$J,"&gt;="&amp;$C74)</f>
        <v>8.0435411984591601E-3</v>
      </c>
      <c r="Q74" s="189">
        <f>SUMIFS(Dataset!$AJ:$AJ,Dataset!$F:$F,'credito latam'!$D$11,Dataset!$AN:$AN,Q$65,Dataset!$J:$J,"&lt;"&amp;$D74,Dataset!$J:$J,"&gt;="&amp;$C74)</f>
        <v>0</v>
      </c>
      <c r="R74" s="160">
        <f t="shared" si="7"/>
        <v>0.16214759029476009</v>
      </c>
      <c r="S74" s="182">
        <f>SUMIFS(Dataset!$AA:$AA,Dataset!$F:$F,'credito latam'!$D$11,Dataset!$AN:$AN,"*AAA*",Dataset!$J:$J,"&lt;"&amp;$D74,Dataset!$J:$J,"&gt;="&amp;$C74)</f>
        <v>0</v>
      </c>
      <c r="T74" s="188">
        <f>SUMIFS(Dataset!$AA:$AA,Dataset!$F:$F,'credito latam'!$D$11,Dataset!$AN:$AN,"AA+",Dataset!$J:$J,"&lt;"&amp;$D74,Dataset!$J:$J,"&gt;="&amp;$C74)+SUMIFS(Dataset!$AA:$AA,Dataset!$F:$F,'credito latam'!$D$11,Dataset!$AN:$AN,"AA",Dataset!$J:$J,"&lt;"&amp;$D74,Dataset!$J:$J,"&gt;="&amp;$C74)+SUMIFS(Dataset!$AA:$AA,Dataset!$F:$F,'credito latam'!$D$11,Dataset!$AN:$AN,"AA-",Dataset!$J:$J,"&lt;"&amp;$D74,Dataset!$J:$J,"&gt;="&amp;$C74)</f>
        <v>0</v>
      </c>
      <c r="U74" s="188">
        <f>SUMIFS(Dataset!$AA:$AA,Dataset!$F:$F,'credito latam'!$D$11,Dataset!$AN:$AN,U$65,Dataset!$J:$J,"&lt;"&amp;$D74,Dataset!$J:$J,"&gt;="&amp;$C74)</f>
        <v>0</v>
      </c>
      <c r="V74" s="188">
        <f>SUMIFS(Dataset!$AA:$AA,Dataset!$F:$F,'credito latam'!$D$11,Dataset!$AN:$AN,V$65,Dataset!$J:$J,"&lt;"&amp;$D74,Dataset!$J:$J,"&gt;="&amp;$C74)</f>
        <v>0</v>
      </c>
      <c r="W74" s="188">
        <f>SUMIFS(Dataset!$AA:$AA,Dataset!$F:$F,'credito latam'!$D$11,Dataset!$AN:$AN,W$65,Dataset!$J:$J,"&lt;"&amp;$D74,Dataset!$J:$J,"&gt;="&amp;$C74)</f>
        <v>-2.8994101874343747E-3</v>
      </c>
      <c r="X74" s="188">
        <f>SUMIFS(Dataset!$AA:$AA,Dataset!$F:$F,'credito latam'!$D$11,Dataset!$AN:$AN,X$65,Dataset!$J:$J,"&lt;"&amp;$D74,Dataset!$J:$J,"&gt;="&amp;$C74)</f>
        <v>-2.3369758808817687E-2</v>
      </c>
      <c r="Y74" s="188">
        <f>SUMIFS(Dataset!$AA:$AA,Dataset!$F:$F,'credito latam'!$D$11,Dataset!$AN:$AN,Y$65,Dataset!$J:$J,"&lt;"&amp;$D74,Dataset!$J:$J,"&gt;="&amp;$C74)</f>
        <v>-4.5336370473267875E-3</v>
      </c>
      <c r="Z74" s="188">
        <f>SUMIFS(Dataset!$AA:$AA,Dataset!$F:$F,'credito latam'!$D$11,Dataset!$AN:$AN,Z$65,Dataset!$J:$J,"&lt;"&amp;$D74,Dataset!$J:$J,"&gt;="&amp;$C74)</f>
        <v>-3.5124379355776045E-2</v>
      </c>
      <c r="AA74" s="188">
        <f>SUMIFS(Dataset!$AA:$AA,Dataset!$F:$F,'credito latam'!$D$11,Dataset!$AN:$AN,AA$65,Dataset!$J:$J,"&lt;"&amp;$D74,Dataset!$J:$J,"&gt;="&amp;$C74)</f>
        <v>0</v>
      </c>
      <c r="AB74" s="188">
        <f>SUMIFS(Dataset!$AA:$AA,Dataset!$F:$F,'credito latam'!$D$11,Dataset!$AN:$AN,AB$65,Dataset!$J:$J,"&lt;"&amp;$D74,Dataset!$J:$J,"&gt;="&amp;$C74)</f>
        <v>0</v>
      </c>
      <c r="AC74" s="188">
        <f>SUMIFS(Dataset!$AA:$AA,Dataset!$F:$F,'credito latam'!$D$11,Dataset!$AN:$AN,AC$65,Dataset!$J:$J,"&lt;"&amp;$D74,Dataset!$J:$J,"&gt;="&amp;$C74)</f>
        <v>-2.9819198873506383E-3</v>
      </c>
      <c r="AD74" s="188">
        <f>SUMIFS(Dataset!$AA:$AA,Dataset!$F:$F,'credito latam'!$D$11,Dataset!$AN:$AN,"B-",Dataset!$J:$J,"&lt;"&amp;$D74,Dataset!$J:$J,"&gt;="&amp;$C74)+SUMIFS(Dataset!$AA:$AA,Dataset!$F:$F,'credito latam'!$D$11,Dataset!$AN:$AN,"B",Dataset!$J:$J,"&lt;"&amp;$D74,Dataset!$J:$J,"&gt;="&amp;$C74)+SUMIFS(Dataset!$AA:$AA,Dataset!$F:$F,'credito latam'!$D$11,Dataset!$AN:$AN,"B+",Dataset!$J:$J,"&lt;"&amp;$D74,Dataset!$J:$J,"&gt;="&amp;$C74)</f>
        <v>2.2958350566123706E-3</v>
      </c>
      <c r="AE74" s="189">
        <f>SUMIFS(Dataset!$AA:$AA,Dataset!$F:$F,'credito latam'!$D$11,Dataset!$AN:$AN,AE$65,Dataset!$J:$J,"&lt;"&amp;$D74,Dataset!$J:$J,"&gt;="&amp;$C74)</f>
        <v>0</v>
      </c>
      <c r="AF74" s="160">
        <f t="shared" si="8"/>
        <v>-6.6613270230093169E-2</v>
      </c>
    </row>
    <row r="75" spans="3:32" ht="33" customHeight="1" x14ac:dyDescent="0.2">
      <c r="C75" s="57">
        <v>8.5</v>
      </c>
      <c r="D75" s="61">
        <v>9.5</v>
      </c>
      <c r="E75" s="182">
        <f>SUMIFS(Dataset!$AJ:$AJ,Dataset!$F:$F,'credito latam'!$D$11,Dataset!$AN:$AN,"*AAA*",Dataset!$J:$J,"&lt;"&amp;$D75,Dataset!$J:$J,"&gt;="&amp;$C75)</f>
        <v>0</v>
      </c>
      <c r="F75" s="183">
        <f>SUMIFS(Dataset!$AJ:$AJ,Dataset!$F:$F,'credito latam'!$D$11,Dataset!$AN:$AN,"AA+",Dataset!$J:$J,"&lt;"&amp;$D75,Dataset!$J:$J,"&gt;="&amp;$C75)+SUMIFS(Dataset!$AJ:$AJ,Dataset!$F:$F,'credito latam'!$D$11,Dataset!$AN:$AN,"AA",Dataset!$J:$J,"&lt;"&amp;$D75,Dataset!$J:$J,"&gt;="&amp;$C75)+SUMIFS(Dataset!$AJ:$AJ,Dataset!$F:$F,'credito latam'!$D$11,Dataset!$AN:$AN,"AA-",Dataset!$J:$J,"&lt;"&amp;$D75,Dataset!$J:$J,"&gt;="&amp;$C75)</f>
        <v>0</v>
      </c>
      <c r="G75" s="183">
        <f>SUMIFS(Dataset!$AJ:$AJ,Dataset!$F:$F,'credito latam'!$D$11,Dataset!$AN:$AN,G$65,Dataset!$J:$J,"&lt;"&amp;$D75,Dataset!$J:$J,"&gt;="&amp;$C75)</f>
        <v>0</v>
      </c>
      <c r="H75" s="183">
        <f>SUMIFS(Dataset!$AJ:$AJ,Dataset!$F:$F,'credito latam'!$D$11,Dataset!$AN:$AN,H$65,Dataset!$J:$J,"&lt;"&amp;$D75,Dataset!$J:$J,"&gt;="&amp;$C75)</f>
        <v>0</v>
      </c>
      <c r="I75" s="183">
        <f>SUMIFS(Dataset!$AJ:$AJ,Dataset!$F:$F,'credito latam'!$D$11,Dataset!$AN:$AN,I$65,Dataset!$J:$J,"&lt;"&amp;$D75,Dataset!$J:$J,"&gt;="&amp;$C75)</f>
        <v>0</v>
      </c>
      <c r="J75" s="183">
        <f>SUMIFS(Dataset!$AJ:$AJ,Dataset!$F:$F,'credito latam'!$D$11,Dataset!$AN:$AN,J$65,Dataset!$J:$J,"&lt;"&amp;$D75,Dataset!$J:$J,"&gt;="&amp;$C75)</f>
        <v>-2.2928977292552811E-3</v>
      </c>
      <c r="K75" s="183">
        <f>SUMIFS(Dataset!$AJ:$AJ,Dataset!$F:$F,'credito latam'!$D$11,Dataset!$AN:$AN,K$65,Dataset!$J:$J,"&lt;"&amp;$D75,Dataset!$J:$J,"&gt;="&amp;$C75)</f>
        <v>2.2734644012187945E-3</v>
      </c>
      <c r="L75" s="183">
        <f>SUMIFS(Dataset!$AJ:$AJ,Dataset!$F:$F,'credito latam'!$D$11,Dataset!$AN:$AN,L$65,Dataset!$J:$J,"&lt;"&amp;$D75,Dataset!$J:$J,"&gt;="&amp;$C75)</f>
        <v>1.8547202934721709E-2</v>
      </c>
      <c r="M75" s="183">
        <f>SUMIFS(Dataset!$AJ:$AJ,Dataset!$F:$F,'credito latam'!$D$11,Dataset!$AN:$AN,M$65,Dataset!$J:$J,"&lt;"&amp;$D75,Dataset!$J:$J,"&gt;="&amp;$C75)</f>
        <v>0</v>
      </c>
      <c r="N75" s="183">
        <f>SUMIFS(Dataset!$AJ:$AJ,Dataset!$F:$F,'credito latam'!$D$11,Dataset!$AN:$AN,N$65,Dataset!$J:$J,"&lt;"&amp;$D75,Dataset!$J:$J,"&gt;="&amp;$C75)</f>
        <v>4.0347129436095423E-3</v>
      </c>
      <c r="O75" s="183">
        <f>SUMIFS(Dataset!$AJ:$AJ,Dataset!$F:$F,'credito latam'!$D$11,Dataset!$AN:$AN,O$65,Dataset!$J:$J,"&lt;"&amp;$D75,Dataset!$J:$J,"&gt;="&amp;$C75)</f>
        <v>0</v>
      </c>
      <c r="P75" s="183">
        <f>SUMIFS(Dataset!$AJ:$AJ,Dataset!$F:$F,'credito latam'!$D$11,Dataset!$AN:$AN,"B-",Dataset!$J:$J,"&lt;"&amp;$D75,Dataset!$J:$J,"&gt;="&amp;$C75)+SUMIFS(Dataset!$AJ:$AJ,Dataset!$F:$F,'credito latam'!$D$11,Dataset!$AN:$AN,"B",Dataset!$J:$J,"&lt;"&amp;$D75,Dataset!$J:$J,"&gt;="&amp;$C75)+SUMIFS(Dataset!$AJ:$AJ,Dataset!$F:$F,'credito latam'!$D$11,Dataset!$AN:$AN,"B+",Dataset!$J:$J,"&lt;"&amp;$D75,Dataset!$J:$J,"&gt;="&amp;$C75)</f>
        <v>0</v>
      </c>
      <c r="Q75" s="184">
        <f>SUMIFS(Dataset!$AJ:$AJ,Dataset!$F:$F,'credito latam'!$D$11,Dataset!$AN:$AN,Q$65,Dataset!$J:$J,"&lt;"&amp;$D75,Dataset!$J:$J,"&gt;="&amp;$C75)</f>
        <v>0</v>
      </c>
      <c r="R75" s="160">
        <f t="shared" si="7"/>
        <v>2.2562482550294763E-2</v>
      </c>
      <c r="S75" s="182">
        <f>SUMIFS(Dataset!$AA:$AA,Dataset!$F:$F,'credito latam'!$D$11,Dataset!$AN:$AN,"*AAA*",Dataset!$J:$J,"&lt;"&amp;$D75,Dataset!$J:$J,"&gt;="&amp;$C75)</f>
        <v>0</v>
      </c>
      <c r="T75" s="183">
        <f>SUMIFS(Dataset!$AA:$AA,Dataset!$F:$F,'credito latam'!$D$11,Dataset!$AN:$AN,"AA+",Dataset!$J:$J,"&lt;"&amp;$D75,Dataset!$J:$J,"&gt;="&amp;$C75)+SUMIFS(Dataset!$AA:$AA,Dataset!$F:$F,'credito latam'!$D$11,Dataset!$AN:$AN,"AA",Dataset!$J:$J,"&lt;"&amp;$D75,Dataset!$J:$J,"&gt;="&amp;$C75)+SUMIFS(Dataset!$AA:$AA,Dataset!$F:$F,'credito latam'!$D$11,Dataset!$AN:$AN,"AA-",Dataset!$J:$J,"&lt;"&amp;$D75,Dataset!$J:$J,"&gt;="&amp;$C75)</f>
        <v>0</v>
      </c>
      <c r="U75" s="183">
        <f>SUMIFS(Dataset!$AA:$AA,Dataset!$F:$F,'credito latam'!$D$11,Dataset!$AN:$AN,U$65,Dataset!$J:$J,"&lt;"&amp;$D75,Dataset!$J:$J,"&gt;="&amp;$C75)</f>
        <v>0</v>
      </c>
      <c r="V75" s="183">
        <f>SUMIFS(Dataset!$AA:$AA,Dataset!$F:$F,'credito latam'!$D$11,Dataset!$AN:$AN,V$65,Dataset!$J:$J,"&lt;"&amp;$D75,Dataset!$J:$J,"&gt;="&amp;$C75)</f>
        <v>0</v>
      </c>
      <c r="W75" s="183">
        <f>SUMIFS(Dataset!$AA:$AA,Dataset!$F:$F,'credito latam'!$D$11,Dataset!$AN:$AN,W$65,Dataset!$J:$J,"&lt;"&amp;$D75,Dataset!$J:$J,"&gt;="&amp;$C75)</f>
        <v>0</v>
      </c>
      <c r="X75" s="183">
        <f>SUMIFS(Dataset!$AA:$AA,Dataset!$F:$F,'credito latam'!$D$11,Dataset!$AN:$AN,X$65,Dataset!$J:$J,"&lt;"&amp;$D75,Dataset!$J:$J,"&gt;="&amp;$C75)</f>
        <v>6.2283701168113709E-3</v>
      </c>
      <c r="Y75" s="183">
        <f>SUMIFS(Dataset!$AA:$AA,Dataset!$F:$F,'credito latam'!$D$11,Dataset!$AN:$AN,Y$65,Dataset!$J:$J,"&lt;"&amp;$D75,Dataset!$J:$J,"&gt;="&amp;$C75)</f>
        <v>-1.0214677139610016E-2</v>
      </c>
      <c r="Z75" s="183">
        <f>SUMIFS(Dataset!$AA:$AA,Dataset!$F:$F,'credito latam'!$D$11,Dataset!$AN:$AN,Z$65,Dataset!$J:$J,"&lt;"&amp;$D75,Dataset!$J:$J,"&gt;="&amp;$C75)</f>
        <v>-1.0302184755716554E-2</v>
      </c>
      <c r="AA75" s="183">
        <f>SUMIFS(Dataset!$AA:$AA,Dataset!$F:$F,'credito latam'!$D$11,Dataset!$AN:$AN,AA$65,Dataset!$J:$J,"&lt;"&amp;$D75,Dataset!$J:$J,"&gt;="&amp;$C75)</f>
        <v>0</v>
      </c>
      <c r="AB75" s="183">
        <f>SUMIFS(Dataset!$AA:$AA,Dataset!$F:$F,'credito latam'!$D$11,Dataset!$AN:$AN,AB$65,Dataset!$J:$J,"&lt;"&amp;$D75,Dataset!$J:$J,"&gt;="&amp;$C75)</f>
        <v>9.932175399474984E-4</v>
      </c>
      <c r="AC75" s="183">
        <f>SUMIFS(Dataset!$AA:$AA,Dataset!$F:$F,'credito latam'!$D$11,Dataset!$AN:$AN,AC$65,Dataset!$J:$J,"&lt;"&amp;$D75,Dataset!$J:$J,"&gt;="&amp;$C75)</f>
        <v>0</v>
      </c>
      <c r="AD75" s="183">
        <f>SUMIFS(Dataset!$AA:$AA,Dataset!$F:$F,'credito latam'!$D$11,Dataset!$AN:$AN,"B-",Dataset!$J:$J,"&lt;"&amp;$D75,Dataset!$J:$J,"&gt;="&amp;$C75)+SUMIFS(Dataset!$AA:$AA,Dataset!$F:$F,'credito latam'!$D$11,Dataset!$AN:$AN,"B",Dataset!$J:$J,"&lt;"&amp;$D75,Dataset!$J:$J,"&gt;="&amp;$C75)+SUMIFS(Dataset!$AA:$AA,Dataset!$F:$F,'credito latam'!$D$11,Dataset!$AN:$AN,"B+",Dataset!$J:$J,"&lt;"&amp;$D75,Dataset!$J:$J,"&gt;="&amp;$C75)</f>
        <v>0</v>
      </c>
      <c r="AE75" s="184">
        <f>SUMIFS(Dataset!$AA:$AA,Dataset!$F:$F,'credito latam'!$D$11,Dataset!$AN:$AN,AE$65,Dataset!$J:$J,"&lt;"&amp;$D75,Dataset!$J:$J,"&gt;="&amp;$C75)</f>
        <v>0</v>
      </c>
      <c r="AF75" s="160">
        <f t="shared" si="8"/>
        <v>-1.3295274238567703E-2</v>
      </c>
    </row>
    <row r="76" spans="3:32" ht="33" customHeight="1" x14ac:dyDescent="0.2">
      <c r="C76" s="57">
        <v>9.5</v>
      </c>
      <c r="D76" s="61">
        <v>10.5</v>
      </c>
      <c r="E76" s="182">
        <f>SUMIFS(Dataset!$AJ:$AJ,Dataset!$F:$F,'credito latam'!$D$11,Dataset!$AN:$AN,"*AAA*",Dataset!$J:$J,"&lt;"&amp;$D76,Dataset!$J:$J,"&gt;="&amp;$C76)</f>
        <v>0</v>
      </c>
      <c r="F76" s="188">
        <f>SUMIFS(Dataset!$AJ:$AJ,Dataset!$F:$F,'credito latam'!$D$11,Dataset!$AN:$AN,"AA+",Dataset!$J:$J,"&lt;"&amp;$D76,Dataset!$J:$J,"&gt;="&amp;$C76)+SUMIFS(Dataset!$AJ:$AJ,Dataset!$F:$F,'credito latam'!$D$11,Dataset!$AN:$AN,"AA",Dataset!$J:$J,"&lt;"&amp;$D76,Dataset!$J:$J,"&gt;="&amp;$C76)+SUMIFS(Dataset!$AJ:$AJ,Dataset!$F:$F,'credito latam'!$D$11,Dataset!$AN:$AN,"AA-",Dataset!$J:$J,"&lt;"&amp;$D76,Dataset!$J:$J,"&gt;="&amp;$C76)</f>
        <v>0</v>
      </c>
      <c r="G76" s="188">
        <f>SUMIFS(Dataset!$AJ:$AJ,Dataset!$F:$F,'credito latam'!$D$11,Dataset!$AN:$AN,G$65,Dataset!$J:$J,"&lt;"&amp;$D76,Dataset!$J:$J,"&gt;="&amp;$C76)</f>
        <v>0</v>
      </c>
      <c r="H76" s="188">
        <f>SUMIFS(Dataset!$AJ:$AJ,Dataset!$F:$F,'credito latam'!$D$11,Dataset!$AN:$AN,H$65,Dataset!$J:$J,"&lt;"&amp;$D76,Dataset!$J:$J,"&gt;="&amp;$C76)</f>
        <v>0</v>
      </c>
      <c r="I76" s="188">
        <f>SUMIFS(Dataset!$AJ:$AJ,Dataset!$F:$F,'credito latam'!$D$11,Dataset!$AN:$AN,I$65,Dataset!$J:$J,"&lt;"&amp;$D76,Dataset!$J:$J,"&gt;="&amp;$C76)</f>
        <v>0</v>
      </c>
      <c r="J76" s="188">
        <f>SUMIFS(Dataset!$AJ:$AJ,Dataset!$F:$F,'credito latam'!$D$11,Dataset!$AN:$AN,J$65,Dataset!$J:$J,"&lt;"&amp;$D76,Dataset!$J:$J,"&gt;="&amp;$C76)</f>
        <v>0</v>
      </c>
      <c r="K76" s="188">
        <f>SUMIFS(Dataset!$AJ:$AJ,Dataset!$F:$F,'credito latam'!$D$11,Dataset!$AN:$AN,K$65,Dataset!$J:$J,"&lt;"&amp;$D76,Dataset!$J:$J,"&gt;="&amp;$C76)</f>
        <v>-2.3253420444013274E-4</v>
      </c>
      <c r="L76" s="188">
        <f>SUMIFS(Dataset!$AJ:$AJ,Dataset!$F:$F,'credito latam'!$D$11,Dataset!$AN:$AN,L$65,Dataset!$J:$J,"&lt;"&amp;$D76,Dataset!$J:$J,"&gt;="&amp;$C76)</f>
        <v>-3.5175499087449187E-3</v>
      </c>
      <c r="M76" s="188">
        <f>SUMIFS(Dataset!$AJ:$AJ,Dataset!$F:$F,'credito latam'!$D$11,Dataset!$AN:$AN,M$65,Dataset!$J:$J,"&lt;"&amp;$D76,Dataset!$J:$J,"&gt;="&amp;$C76)</f>
        <v>0</v>
      </c>
      <c r="N76" s="188">
        <f>SUMIFS(Dataset!$AJ:$AJ,Dataset!$F:$F,'credito latam'!$D$11,Dataset!$AN:$AN,N$65,Dataset!$J:$J,"&lt;"&amp;$D76,Dataset!$J:$J,"&gt;="&amp;$C76)</f>
        <v>0</v>
      </c>
      <c r="O76" s="188">
        <f>SUMIFS(Dataset!$AJ:$AJ,Dataset!$F:$F,'credito latam'!$D$11,Dataset!$AN:$AN,O$65,Dataset!$J:$J,"&lt;"&amp;$D76,Dataset!$J:$J,"&gt;="&amp;$C76)</f>
        <v>0</v>
      </c>
      <c r="P76" s="188">
        <f>SUMIFS(Dataset!$AJ:$AJ,Dataset!$F:$F,'credito latam'!$D$11,Dataset!$AN:$AN,"B-",Dataset!$J:$J,"&lt;"&amp;$D76,Dataset!$J:$J,"&gt;="&amp;$C76)+SUMIFS(Dataset!$AJ:$AJ,Dataset!$F:$F,'credito latam'!$D$11,Dataset!$AN:$AN,"B",Dataset!$J:$J,"&lt;"&amp;$D76,Dataset!$J:$J,"&gt;="&amp;$C76)+SUMIFS(Dataset!$AJ:$AJ,Dataset!$F:$F,'credito latam'!$D$11,Dataset!$AN:$AN,"B+",Dataset!$J:$J,"&lt;"&amp;$D76,Dataset!$J:$J,"&gt;="&amp;$C76)</f>
        <v>0</v>
      </c>
      <c r="Q76" s="189">
        <f>SUMIFS(Dataset!$AJ:$AJ,Dataset!$F:$F,'credito latam'!$D$11,Dataset!$AN:$AN,Q$65,Dataset!$J:$J,"&lt;"&amp;$D76,Dataset!$J:$J,"&gt;="&amp;$C76)</f>
        <v>0</v>
      </c>
      <c r="R76" s="160">
        <f t="shared" si="7"/>
        <v>-3.7500841131850515E-3</v>
      </c>
      <c r="S76" s="182">
        <f>SUMIFS(Dataset!$AA:$AA,Dataset!$F:$F,'credito latam'!$D$11,Dataset!$AN:$AN,"*AAA*",Dataset!$J:$J,"&lt;"&amp;$D76,Dataset!$J:$J,"&gt;="&amp;$C76)</f>
        <v>0</v>
      </c>
      <c r="T76" s="188">
        <f>SUMIFS(Dataset!$AA:$AA,Dataset!$F:$F,'credito latam'!$D$11,Dataset!$AN:$AN,"AA+",Dataset!$J:$J,"&lt;"&amp;$D76,Dataset!$J:$J,"&gt;="&amp;$C76)+SUMIFS(Dataset!$AA:$AA,Dataset!$F:$F,'credito latam'!$D$11,Dataset!$AN:$AN,"AA",Dataset!$J:$J,"&lt;"&amp;$D76,Dataset!$J:$J,"&gt;="&amp;$C76)+SUMIFS(Dataset!$AA:$AA,Dataset!$F:$F,'credito latam'!$D$11,Dataset!$AN:$AN,"AA-",Dataset!$J:$J,"&lt;"&amp;$D76,Dataset!$J:$J,"&gt;="&amp;$C76)</f>
        <v>0</v>
      </c>
      <c r="U76" s="188">
        <f>SUMIFS(Dataset!$AA:$AA,Dataset!$F:$F,'credito latam'!$D$11,Dataset!$AN:$AN,U$65,Dataset!$J:$J,"&lt;"&amp;$D76,Dataset!$J:$J,"&gt;="&amp;$C76)</f>
        <v>0</v>
      </c>
      <c r="V76" s="188">
        <f>SUMIFS(Dataset!$AA:$AA,Dataset!$F:$F,'credito latam'!$D$11,Dataset!$AN:$AN,V$65,Dataset!$J:$J,"&lt;"&amp;$D76,Dataset!$J:$J,"&gt;="&amp;$C76)</f>
        <v>0</v>
      </c>
      <c r="W76" s="188">
        <f>SUMIFS(Dataset!$AA:$AA,Dataset!$F:$F,'credito latam'!$D$11,Dataset!$AN:$AN,W$65,Dataset!$J:$J,"&lt;"&amp;$D76,Dataset!$J:$J,"&gt;="&amp;$C76)</f>
        <v>0</v>
      </c>
      <c r="X76" s="188">
        <f>SUMIFS(Dataset!$AA:$AA,Dataset!$F:$F,'credito latam'!$D$11,Dataset!$AN:$AN,X$65,Dataset!$J:$J,"&lt;"&amp;$D76,Dataset!$J:$J,"&gt;="&amp;$C76)</f>
        <v>0</v>
      </c>
      <c r="Y76" s="188">
        <f>SUMIFS(Dataset!$AA:$AA,Dataset!$F:$F,'credito latam'!$D$11,Dataset!$AN:$AN,Y$65,Dataset!$J:$J,"&lt;"&amp;$D76,Dataset!$J:$J,"&gt;="&amp;$C76)</f>
        <v>-1.6497212735876701E-2</v>
      </c>
      <c r="Z76" s="188">
        <f>SUMIFS(Dataset!$AA:$AA,Dataset!$F:$F,'credito latam'!$D$11,Dataset!$AN:$AN,Z$65,Dataset!$J:$J,"&lt;"&amp;$D76,Dataset!$J:$J,"&gt;="&amp;$C76)</f>
        <v>1.9217938268418881E-2</v>
      </c>
      <c r="AA76" s="188">
        <f>SUMIFS(Dataset!$AA:$AA,Dataset!$F:$F,'credito latam'!$D$11,Dataset!$AN:$AN,AA$65,Dataset!$J:$J,"&lt;"&amp;$D76,Dataset!$J:$J,"&gt;="&amp;$C76)</f>
        <v>0</v>
      </c>
      <c r="AB76" s="188">
        <f>SUMIFS(Dataset!$AA:$AA,Dataset!$F:$F,'credito latam'!$D$11,Dataset!$AN:$AN,AB$65,Dataset!$J:$J,"&lt;"&amp;$D76,Dataset!$J:$J,"&gt;="&amp;$C76)</f>
        <v>0</v>
      </c>
      <c r="AC76" s="188">
        <f>SUMIFS(Dataset!$AA:$AA,Dataset!$F:$F,'credito latam'!$D$11,Dataset!$AN:$AN,AC$65,Dataset!$J:$J,"&lt;"&amp;$D76,Dataset!$J:$J,"&gt;="&amp;$C76)</f>
        <v>0</v>
      </c>
      <c r="AD76" s="188">
        <f>SUMIFS(Dataset!$AA:$AA,Dataset!$F:$F,'credito latam'!$D$11,Dataset!$AN:$AN,"B-",Dataset!$J:$J,"&lt;"&amp;$D76,Dataset!$J:$J,"&gt;="&amp;$C76)+SUMIFS(Dataset!$AA:$AA,Dataset!$F:$F,'credito latam'!$D$11,Dataset!$AN:$AN,"B",Dataset!$J:$J,"&lt;"&amp;$D76,Dataset!$J:$J,"&gt;="&amp;$C76)+SUMIFS(Dataset!$AA:$AA,Dataset!$F:$F,'credito latam'!$D$11,Dataset!$AN:$AN,"B+",Dataset!$J:$J,"&lt;"&amp;$D76,Dataset!$J:$J,"&gt;="&amp;$C76)</f>
        <v>0</v>
      </c>
      <c r="AE76" s="189">
        <f>SUMIFS(Dataset!$AA:$AA,Dataset!$F:$F,'credito latam'!$D$11,Dataset!$AN:$AN,AE$65,Dataset!$J:$J,"&lt;"&amp;$D76,Dataset!$J:$J,"&gt;="&amp;$C76)</f>
        <v>0</v>
      </c>
      <c r="AF76" s="160">
        <f t="shared" si="8"/>
        <v>2.7207255325421807E-3</v>
      </c>
    </row>
    <row r="77" spans="3:32" ht="33" customHeight="1" x14ac:dyDescent="0.2">
      <c r="C77" s="57">
        <v>10.5</v>
      </c>
      <c r="D77" s="61">
        <v>11.5</v>
      </c>
      <c r="E77" s="182">
        <f>SUMIFS(Dataset!$AJ:$AJ,Dataset!$F:$F,'credito latam'!$D$11,Dataset!$AN:$AN,"*AAA*",Dataset!$J:$J,"&lt;"&amp;$D77,Dataset!$J:$J,"&gt;="&amp;$C77)</f>
        <v>0</v>
      </c>
      <c r="F77" s="183">
        <f>SUMIFS(Dataset!$AJ:$AJ,Dataset!$F:$F,'credito latam'!$D$11,Dataset!$AN:$AN,"AA+",Dataset!$J:$J,"&lt;"&amp;$D77,Dataset!$J:$J,"&gt;="&amp;$C77)+SUMIFS(Dataset!$AJ:$AJ,Dataset!$F:$F,'credito latam'!$D$11,Dataset!$AN:$AN,"AA",Dataset!$J:$J,"&lt;"&amp;$D77,Dataset!$J:$J,"&gt;="&amp;$C77)+SUMIFS(Dataset!$AJ:$AJ,Dataset!$F:$F,'credito latam'!$D$11,Dataset!$AN:$AN,"AA-",Dataset!$J:$J,"&lt;"&amp;$D77,Dataset!$J:$J,"&gt;="&amp;$C77)</f>
        <v>0</v>
      </c>
      <c r="G77" s="183">
        <f>SUMIFS(Dataset!$AJ:$AJ,Dataset!$F:$F,'credito latam'!$D$11,Dataset!$AN:$AN,G$65,Dataset!$J:$J,"&lt;"&amp;$D77,Dataset!$J:$J,"&gt;="&amp;$C77)</f>
        <v>0</v>
      </c>
      <c r="H77" s="183">
        <f>SUMIFS(Dataset!$AJ:$AJ,Dataset!$F:$F,'credito latam'!$D$11,Dataset!$AN:$AN,H$65,Dataset!$J:$J,"&lt;"&amp;$D77,Dataset!$J:$J,"&gt;="&amp;$C77)</f>
        <v>0</v>
      </c>
      <c r="I77" s="183">
        <f>SUMIFS(Dataset!$AJ:$AJ,Dataset!$F:$F,'credito latam'!$D$11,Dataset!$AN:$AN,I$65,Dataset!$J:$J,"&lt;"&amp;$D77,Dataset!$J:$J,"&gt;="&amp;$C77)</f>
        <v>-7.233247635722132E-3</v>
      </c>
      <c r="J77" s="183">
        <f>SUMIFS(Dataset!$AJ:$AJ,Dataset!$F:$F,'credito latam'!$D$11,Dataset!$AN:$AN,J$65,Dataset!$J:$J,"&lt;"&amp;$D77,Dataset!$J:$J,"&gt;="&amp;$C77)</f>
        <v>0</v>
      </c>
      <c r="K77" s="183">
        <f>SUMIFS(Dataset!$AJ:$AJ,Dataset!$F:$F,'credito latam'!$D$11,Dataset!$AN:$AN,K$65,Dataset!$J:$J,"&lt;"&amp;$D77,Dataset!$J:$J,"&gt;="&amp;$C77)</f>
        <v>-9.6570270164900197E-3</v>
      </c>
      <c r="L77" s="183">
        <f>SUMIFS(Dataset!$AJ:$AJ,Dataset!$F:$F,'credito latam'!$D$11,Dataset!$AN:$AN,L$65,Dataset!$J:$J,"&lt;"&amp;$D77,Dataset!$J:$J,"&gt;="&amp;$C77)</f>
        <v>-8.0443259331025481E-3</v>
      </c>
      <c r="M77" s="183">
        <f>SUMIFS(Dataset!$AJ:$AJ,Dataset!$F:$F,'credito latam'!$D$11,Dataset!$AN:$AN,M$65,Dataset!$J:$J,"&lt;"&amp;$D77,Dataset!$J:$J,"&gt;="&amp;$C77)</f>
        <v>0</v>
      </c>
      <c r="N77" s="183">
        <f>SUMIFS(Dataset!$AJ:$AJ,Dataset!$F:$F,'credito latam'!$D$11,Dataset!$AN:$AN,N$65,Dataset!$J:$J,"&lt;"&amp;$D77,Dataset!$J:$J,"&gt;="&amp;$C77)</f>
        <v>0</v>
      </c>
      <c r="O77" s="183">
        <f>SUMIFS(Dataset!$AJ:$AJ,Dataset!$F:$F,'credito latam'!$D$11,Dataset!$AN:$AN,O$65,Dataset!$J:$J,"&lt;"&amp;$D77,Dataset!$J:$J,"&gt;="&amp;$C77)</f>
        <v>0</v>
      </c>
      <c r="P77" s="183">
        <f>SUMIFS(Dataset!$AJ:$AJ,Dataset!$F:$F,'credito latam'!$D$11,Dataset!$AN:$AN,"B-",Dataset!$J:$J,"&lt;"&amp;$D77,Dataset!$J:$J,"&gt;="&amp;$C77)+SUMIFS(Dataset!$AJ:$AJ,Dataset!$F:$F,'credito latam'!$D$11,Dataset!$AN:$AN,"B",Dataset!$J:$J,"&lt;"&amp;$D77,Dataset!$J:$J,"&gt;="&amp;$C77)+SUMIFS(Dataset!$AJ:$AJ,Dataset!$F:$F,'credito latam'!$D$11,Dataset!$AN:$AN,"B+",Dataset!$J:$J,"&lt;"&amp;$D77,Dataset!$J:$J,"&gt;="&amp;$C77)</f>
        <v>0</v>
      </c>
      <c r="Q77" s="184">
        <f>SUMIFS(Dataset!$AJ:$AJ,Dataset!$F:$F,'credito latam'!$D$11,Dataset!$AN:$AN,Q$65,Dataset!$J:$J,"&lt;"&amp;$D77,Dataset!$J:$J,"&gt;="&amp;$C77)</f>
        <v>0</v>
      </c>
      <c r="R77" s="160">
        <f t="shared" si="7"/>
        <v>-2.4934600585314701E-2</v>
      </c>
      <c r="S77" s="182">
        <f>SUMIFS(Dataset!$AA:$AA,Dataset!$F:$F,'credito latam'!$D$11,Dataset!$AN:$AN,"*AAA*",Dataset!$J:$J,"&lt;"&amp;$D77,Dataset!$J:$J,"&gt;="&amp;$C77)</f>
        <v>0</v>
      </c>
      <c r="T77" s="183">
        <f>SUMIFS(Dataset!$AA:$AA,Dataset!$F:$F,'credito latam'!$D$11,Dataset!$AN:$AN,"AA+",Dataset!$J:$J,"&lt;"&amp;$D77,Dataset!$J:$J,"&gt;="&amp;$C77)+SUMIFS(Dataset!$AA:$AA,Dataset!$F:$F,'credito latam'!$D$11,Dataset!$AN:$AN,"AA",Dataset!$J:$J,"&lt;"&amp;$D77,Dataset!$J:$J,"&gt;="&amp;$C77)+SUMIFS(Dataset!$AA:$AA,Dataset!$F:$F,'credito latam'!$D$11,Dataset!$AN:$AN,"AA-",Dataset!$J:$J,"&lt;"&amp;$D77,Dataset!$J:$J,"&gt;="&amp;$C77)</f>
        <v>0</v>
      </c>
      <c r="U77" s="183">
        <f>SUMIFS(Dataset!$AA:$AA,Dataset!$F:$F,'credito latam'!$D$11,Dataset!$AN:$AN,U$65,Dataset!$J:$J,"&lt;"&amp;$D77,Dataset!$J:$J,"&gt;="&amp;$C77)</f>
        <v>0</v>
      </c>
      <c r="V77" s="183">
        <f>SUMIFS(Dataset!$AA:$AA,Dataset!$F:$F,'credito latam'!$D$11,Dataset!$AN:$AN,V$65,Dataset!$J:$J,"&lt;"&amp;$D77,Dataset!$J:$J,"&gt;="&amp;$C77)</f>
        <v>0</v>
      </c>
      <c r="W77" s="183">
        <f>SUMIFS(Dataset!$AA:$AA,Dataset!$F:$F,'credito latam'!$D$11,Dataset!$AN:$AN,W$65,Dataset!$J:$J,"&lt;"&amp;$D77,Dataset!$J:$J,"&gt;="&amp;$C77)</f>
        <v>6.2256845581772267E-2</v>
      </c>
      <c r="X77" s="183">
        <f>SUMIFS(Dataset!$AA:$AA,Dataset!$F:$F,'credito latam'!$D$11,Dataset!$AN:$AN,X$65,Dataset!$J:$J,"&lt;"&amp;$D77,Dataset!$J:$J,"&gt;="&amp;$C77)</f>
        <v>0</v>
      </c>
      <c r="Y77" s="183">
        <f>SUMIFS(Dataset!$AA:$AA,Dataset!$F:$F,'credito latam'!$D$11,Dataset!$AN:$AN,Y$65,Dataset!$J:$J,"&lt;"&amp;$D77,Dataset!$J:$J,"&gt;="&amp;$C77)</f>
        <v>3.7213637102683925E-2</v>
      </c>
      <c r="Z77" s="183">
        <f>SUMIFS(Dataset!$AA:$AA,Dataset!$F:$F,'credito latam'!$D$11,Dataset!$AN:$AN,Z$65,Dataset!$J:$J,"&lt;"&amp;$D77,Dataset!$J:$J,"&gt;="&amp;$C77)</f>
        <v>6.5398852486345402E-2</v>
      </c>
      <c r="AA77" s="183">
        <f>SUMIFS(Dataset!$AA:$AA,Dataset!$F:$F,'credito latam'!$D$11,Dataset!$AN:$AN,AA$65,Dataset!$J:$J,"&lt;"&amp;$D77,Dataset!$J:$J,"&gt;="&amp;$C77)</f>
        <v>0</v>
      </c>
      <c r="AB77" s="183">
        <f>SUMIFS(Dataset!$AA:$AA,Dataset!$F:$F,'credito latam'!$D$11,Dataset!$AN:$AN,AB$65,Dataset!$J:$J,"&lt;"&amp;$D77,Dataset!$J:$J,"&gt;="&amp;$C77)</f>
        <v>0</v>
      </c>
      <c r="AC77" s="183">
        <f>SUMIFS(Dataset!$AA:$AA,Dataset!$F:$F,'credito latam'!$D$11,Dataset!$AN:$AN,AC$65,Dataset!$J:$J,"&lt;"&amp;$D77,Dataset!$J:$J,"&gt;="&amp;$C77)</f>
        <v>0</v>
      </c>
      <c r="AD77" s="183">
        <f>SUMIFS(Dataset!$AA:$AA,Dataset!$F:$F,'credito latam'!$D$11,Dataset!$AN:$AN,"B-",Dataset!$J:$J,"&lt;"&amp;$D77,Dataset!$J:$J,"&gt;="&amp;$C77)+SUMIFS(Dataset!$AA:$AA,Dataset!$F:$F,'credito latam'!$D$11,Dataset!$AN:$AN,"B",Dataset!$J:$J,"&lt;"&amp;$D77,Dataset!$J:$J,"&gt;="&amp;$C77)+SUMIFS(Dataset!$AA:$AA,Dataset!$F:$F,'credito latam'!$D$11,Dataset!$AN:$AN,"B+",Dataset!$J:$J,"&lt;"&amp;$D77,Dataset!$J:$J,"&gt;="&amp;$C77)</f>
        <v>0</v>
      </c>
      <c r="AE77" s="184">
        <f>SUMIFS(Dataset!$AA:$AA,Dataset!$F:$F,'credito latam'!$D$11,Dataset!$AN:$AN,AE$65,Dataset!$J:$J,"&lt;"&amp;$D77,Dataset!$J:$J,"&gt;="&amp;$C77)</f>
        <v>0</v>
      </c>
      <c r="AF77" s="160">
        <f t="shared" si="8"/>
        <v>0.1648693351708016</v>
      </c>
    </row>
    <row r="78" spans="3:32" ht="33" customHeight="1" x14ac:dyDescent="0.2">
      <c r="C78" s="57">
        <v>11.5</v>
      </c>
      <c r="D78" s="61">
        <v>12.5</v>
      </c>
      <c r="E78" s="182">
        <f>SUMIFS(Dataset!$AJ:$AJ,Dataset!$F:$F,'credito latam'!$D$11,Dataset!$AN:$AN,"*AAA*",Dataset!$J:$J,"&lt;"&amp;$D78,Dataset!$J:$J,"&gt;="&amp;$C78)</f>
        <v>0</v>
      </c>
      <c r="F78" s="188">
        <f>SUMIFS(Dataset!$AJ:$AJ,Dataset!$F:$F,'credito latam'!$D$11,Dataset!$AN:$AN,"AA+",Dataset!$J:$J,"&lt;"&amp;$D78,Dataset!$J:$J,"&gt;="&amp;$C78)+SUMIFS(Dataset!$AJ:$AJ,Dataset!$F:$F,'credito latam'!$D$11,Dataset!$AN:$AN,"AA",Dataset!$J:$J,"&lt;"&amp;$D78,Dataset!$J:$J,"&gt;="&amp;$C78)+SUMIFS(Dataset!$AJ:$AJ,Dataset!$F:$F,'credito latam'!$D$11,Dataset!$AN:$AN,"AA-",Dataset!$J:$J,"&lt;"&amp;$D78,Dataset!$J:$J,"&gt;="&amp;$C78)</f>
        <v>0</v>
      </c>
      <c r="G78" s="188">
        <f>SUMIFS(Dataset!$AJ:$AJ,Dataset!$F:$F,'credito latam'!$D$11,Dataset!$AN:$AN,G$65,Dataset!$J:$J,"&lt;"&amp;$D78,Dataset!$J:$J,"&gt;="&amp;$C78)</f>
        <v>0</v>
      </c>
      <c r="H78" s="188">
        <f>SUMIFS(Dataset!$AJ:$AJ,Dataset!$F:$F,'credito latam'!$D$11,Dataset!$AN:$AN,H$65,Dataset!$J:$J,"&lt;"&amp;$D78,Dataset!$J:$J,"&gt;="&amp;$C78)</f>
        <v>0</v>
      </c>
      <c r="I78" s="188">
        <f>SUMIFS(Dataset!$AJ:$AJ,Dataset!$F:$F,'credito latam'!$D$11,Dataset!$AN:$AN,I$65,Dataset!$J:$J,"&lt;"&amp;$D78,Dataset!$J:$J,"&gt;="&amp;$C78)</f>
        <v>-2.8613218747571031E-3</v>
      </c>
      <c r="J78" s="188">
        <f>SUMIFS(Dataset!$AJ:$AJ,Dataset!$F:$F,'credito latam'!$D$11,Dataset!$AN:$AN,J$65,Dataset!$J:$J,"&lt;"&amp;$D78,Dataset!$J:$J,"&gt;="&amp;$C78)</f>
        <v>0</v>
      </c>
      <c r="K78" s="188">
        <f>SUMIFS(Dataset!$AJ:$AJ,Dataset!$F:$F,'credito latam'!$D$11,Dataset!$AN:$AN,K$65,Dataset!$J:$J,"&lt;"&amp;$D78,Dataset!$J:$J,"&gt;="&amp;$C78)</f>
        <v>-4.5269186247558803E-3</v>
      </c>
      <c r="L78" s="188">
        <f>SUMIFS(Dataset!$AJ:$AJ,Dataset!$F:$F,'credito latam'!$D$11,Dataset!$AN:$AN,L$65,Dataset!$J:$J,"&lt;"&amp;$D78,Dataset!$J:$J,"&gt;="&amp;$C78)</f>
        <v>1.2254094408564471E-2</v>
      </c>
      <c r="M78" s="188">
        <f>SUMIFS(Dataset!$AJ:$AJ,Dataset!$F:$F,'credito latam'!$D$11,Dataset!$AN:$AN,M$65,Dataset!$J:$J,"&lt;"&amp;$D78,Dataset!$J:$J,"&gt;="&amp;$C78)</f>
        <v>-4.9351460446278375E-3</v>
      </c>
      <c r="N78" s="188">
        <f>SUMIFS(Dataset!$AJ:$AJ,Dataset!$F:$F,'credito latam'!$D$11,Dataset!$AN:$AN,N$65,Dataset!$J:$J,"&lt;"&amp;$D78,Dataset!$J:$J,"&gt;="&amp;$C78)</f>
        <v>0</v>
      </c>
      <c r="O78" s="188">
        <f>SUMIFS(Dataset!$AJ:$AJ,Dataset!$F:$F,'credito latam'!$D$11,Dataset!$AN:$AN,O$65,Dataset!$J:$J,"&lt;"&amp;$D78,Dataset!$J:$J,"&gt;="&amp;$C78)</f>
        <v>0</v>
      </c>
      <c r="P78" s="188">
        <f>SUMIFS(Dataset!$AJ:$AJ,Dataset!$F:$F,'credito latam'!$D$11,Dataset!$AN:$AN,"B-",Dataset!$J:$J,"&lt;"&amp;$D78,Dataset!$J:$J,"&gt;="&amp;$C78)+SUMIFS(Dataset!$AJ:$AJ,Dataset!$F:$F,'credito latam'!$D$11,Dataset!$AN:$AN,"B",Dataset!$J:$J,"&lt;"&amp;$D78,Dataset!$J:$J,"&gt;="&amp;$C78)+SUMIFS(Dataset!$AJ:$AJ,Dataset!$F:$F,'credito latam'!$D$11,Dataset!$AN:$AN,"B+",Dataset!$J:$J,"&lt;"&amp;$D78,Dataset!$J:$J,"&gt;="&amp;$C78)</f>
        <v>0</v>
      </c>
      <c r="Q78" s="189">
        <f>SUMIFS(Dataset!$AJ:$AJ,Dataset!$F:$F,'credito latam'!$D$11,Dataset!$AN:$AN,Q$65,Dataset!$J:$J,"&lt;"&amp;$D78,Dataset!$J:$J,"&gt;="&amp;$C78)</f>
        <v>0</v>
      </c>
      <c r="R78" s="160">
        <f t="shared" si="7"/>
        <v>-6.9292135576350805E-5</v>
      </c>
      <c r="S78" s="182">
        <f>SUMIFS(Dataset!$AA:$AA,Dataset!$F:$F,'credito latam'!$D$11,Dataset!$AN:$AN,"*AAA*",Dataset!$J:$J,"&lt;"&amp;$D78,Dataset!$J:$J,"&gt;="&amp;$C78)</f>
        <v>0</v>
      </c>
      <c r="T78" s="188">
        <f>SUMIFS(Dataset!$AA:$AA,Dataset!$F:$F,'credito latam'!$D$11,Dataset!$AN:$AN,"AA+",Dataset!$J:$J,"&lt;"&amp;$D78,Dataset!$J:$J,"&gt;="&amp;$C78)+SUMIFS(Dataset!$AA:$AA,Dataset!$F:$F,'credito latam'!$D$11,Dataset!$AN:$AN,"AA",Dataset!$J:$J,"&lt;"&amp;$D78,Dataset!$J:$J,"&gt;="&amp;$C78)+SUMIFS(Dataset!$AA:$AA,Dataset!$F:$F,'credito latam'!$D$11,Dataset!$AN:$AN,"AA-",Dataset!$J:$J,"&lt;"&amp;$D78,Dataset!$J:$J,"&gt;="&amp;$C78)</f>
        <v>0</v>
      </c>
      <c r="U78" s="188">
        <f>SUMIFS(Dataset!$AA:$AA,Dataset!$F:$F,'credito latam'!$D$11,Dataset!$AN:$AN,U$65,Dataset!$J:$J,"&lt;"&amp;$D78,Dataset!$J:$J,"&gt;="&amp;$C78)</f>
        <v>0</v>
      </c>
      <c r="V78" s="188">
        <f>SUMIFS(Dataset!$AA:$AA,Dataset!$F:$F,'credito latam'!$D$11,Dataset!$AN:$AN,V$65,Dataset!$J:$J,"&lt;"&amp;$D78,Dataset!$J:$J,"&gt;="&amp;$C78)</f>
        <v>0</v>
      </c>
      <c r="W78" s="188">
        <f>SUMIFS(Dataset!$AA:$AA,Dataset!$F:$F,'credito latam'!$D$11,Dataset!$AN:$AN,W$65,Dataset!$J:$J,"&lt;"&amp;$D78,Dataset!$J:$J,"&gt;="&amp;$C78)</f>
        <v>2.8331015568808623E-2</v>
      </c>
      <c r="X78" s="188">
        <f>SUMIFS(Dataset!$AA:$AA,Dataset!$F:$F,'credito latam'!$D$11,Dataset!$AN:$AN,X$65,Dataset!$J:$J,"&lt;"&amp;$D78,Dataset!$J:$J,"&gt;="&amp;$C78)</f>
        <v>0</v>
      </c>
      <c r="Y78" s="188">
        <f>SUMIFS(Dataset!$AA:$AA,Dataset!$F:$F,'credito latam'!$D$11,Dataset!$AN:$AN,Y$65,Dataset!$J:$J,"&lt;"&amp;$D78,Dataset!$J:$J,"&gt;="&amp;$C78)</f>
        <v>-7.0814816511785669E-4</v>
      </c>
      <c r="Z78" s="188">
        <f>SUMIFS(Dataset!$AA:$AA,Dataset!$F:$F,'credito latam'!$D$11,Dataset!$AN:$AN,Z$65,Dataset!$J:$J,"&lt;"&amp;$D78,Dataset!$J:$J,"&gt;="&amp;$C78)</f>
        <v>7.8452408220505768E-2</v>
      </c>
      <c r="AA78" s="188">
        <f>SUMIFS(Dataset!$AA:$AA,Dataset!$F:$F,'credito latam'!$D$11,Dataset!$AN:$AN,AA$65,Dataset!$J:$J,"&lt;"&amp;$D78,Dataset!$J:$J,"&gt;="&amp;$C78)</f>
        <v>1.9762369153982665E-2</v>
      </c>
      <c r="AB78" s="188">
        <f>SUMIFS(Dataset!$AA:$AA,Dataset!$F:$F,'credito latam'!$D$11,Dataset!$AN:$AN,AB$65,Dataset!$J:$J,"&lt;"&amp;$D78,Dataset!$J:$J,"&gt;="&amp;$C78)</f>
        <v>0</v>
      </c>
      <c r="AC78" s="188">
        <f>SUMIFS(Dataset!$AA:$AA,Dataset!$F:$F,'credito latam'!$D$11,Dataset!$AN:$AN,AC$65,Dataset!$J:$J,"&lt;"&amp;$D78,Dataset!$J:$J,"&gt;="&amp;$C78)</f>
        <v>0</v>
      </c>
      <c r="AD78" s="188">
        <f>SUMIFS(Dataset!$AA:$AA,Dataset!$F:$F,'credito latam'!$D$11,Dataset!$AN:$AN,"B-",Dataset!$J:$J,"&lt;"&amp;$D78,Dataset!$J:$J,"&gt;="&amp;$C78)+SUMIFS(Dataset!$AA:$AA,Dataset!$F:$F,'credito latam'!$D$11,Dataset!$AN:$AN,"B",Dataset!$J:$J,"&lt;"&amp;$D78,Dataset!$J:$J,"&gt;="&amp;$C78)+SUMIFS(Dataset!$AA:$AA,Dataset!$F:$F,'credito latam'!$D$11,Dataset!$AN:$AN,"B+",Dataset!$J:$J,"&lt;"&amp;$D78,Dataset!$J:$J,"&gt;="&amp;$C78)</f>
        <v>0</v>
      </c>
      <c r="AE78" s="189">
        <f>SUMIFS(Dataset!$AA:$AA,Dataset!$F:$F,'credito latam'!$D$11,Dataset!$AN:$AN,AE$65,Dataset!$J:$J,"&lt;"&amp;$D78,Dataset!$J:$J,"&gt;="&amp;$C78)</f>
        <v>0</v>
      </c>
      <c r="AF78" s="160">
        <f t="shared" si="8"/>
        <v>0.12583764477817921</v>
      </c>
    </row>
    <row r="79" spans="3:32" ht="33" customHeight="1" x14ac:dyDescent="0.2">
      <c r="C79" s="57">
        <v>12.5</v>
      </c>
      <c r="D79" s="61">
        <v>13.5</v>
      </c>
      <c r="E79" s="182">
        <f>SUMIFS(Dataset!$AJ:$AJ,Dataset!$F:$F,'credito latam'!$D$11,Dataset!$AN:$AN,"*AAA*",Dataset!$J:$J,"&lt;"&amp;$D79,Dataset!$J:$J,"&gt;="&amp;$C79)</f>
        <v>0</v>
      </c>
      <c r="F79" s="183">
        <f>SUMIFS(Dataset!$AJ:$AJ,Dataset!$F:$F,'credito latam'!$D$11,Dataset!$AN:$AN,"AA+",Dataset!$J:$J,"&lt;"&amp;$D79,Dataset!$J:$J,"&gt;="&amp;$C79)+SUMIFS(Dataset!$AJ:$AJ,Dataset!$F:$F,'credito latam'!$D$11,Dataset!$AN:$AN,"AA",Dataset!$J:$J,"&lt;"&amp;$D79,Dataset!$J:$J,"&gt;="&amp;$C79)+SUMIFS(Dataset!$AJ:$AJ,Dataset!$F:$F,'credito latam'!$D$11,Dataset!$AN:$AN,"AA-",Dataset!$J:$J,"&lt;"&amp;$D79,Dataset!$J:$J,"&gt;="&amp;$C79)</f>
        <v>0</v>
      </c>
      <c r="G79" s="183">
        <f>SUMIFS(Dataset!$AJ:$AJ,Dataset!$F:$F,'credito latam'!$D$11,Dataset!$AN:$AN,G$65,Dataset!$J:$J,"&lt;"&amp;$D79,Dataset!$J:$J,"&gt;="&amp;$C79)</f>
        <v>0</v>
      </c>
      <c r="H79" s="183">
        <f>SUMIFS(Dataset!$AJ:$AJ,Dataset!$F:$F,'credito latam'!$D$11,Dataset!$AN:$AN,H$65,Dataset!$J:$J,"&lt;"&amp;$D79,Dataset!$J:$J,"&gt;="&amp;$C79)</f>
        <v>0</v>
      </c>
      <c r="I79" s="183">
        <f>SUMIFS(Dataset!$AJ:$AJ,Dataset!$F:$F,'credito latam'!$D$11,Dataset!$AN:$AN,I$65,Dataset!$J:$J,"&lt;"&amp;$D79,Dataset!$J:$J,"&gt;="&amp;$C79)</f>
        <v>3.0570939505525866E-3</v>
      </c>
      <c r="J79" s="183">
        <f>SUMIFS(Dataset!$AJ:$AJ,Dataset!$F:$F,'credito latam'!$D$11,Dataset!$AN:$AN,J$65,Dataset!$J:$J,"&lt;"&amp;$D79,Dataset!$J:$J,"&gt;="&amp;$C79)</f>
        <v>3.8054738041423414E-3</v>
      </c>
      <c r="K79" s="183">
        <f>SUMIFS(Dataset!$AJ:$AJ,Dataset!$F:$F,'credito latam'!$D$11,Dataset!$AN:$AN,K$65,Dataset!$J:$J,"&lt;"&amp;$D79,Dataset!$J:$J,"&gt;="&amp;$C79)</f>
        <v>-8.1057417506456998E-3</v>
      </c>
      <c r="L79" s="183">
        <f>SUMIFS(Dataset!$AJ:$AJ,Dataset!$F:$F,'credito latam'!$D$11,Dataset!$AN:$AN,L$65,Dataset!$J:$J,"&lt;"&amp;$D79,Dataset!$J:$J,"&gt;="&amp;$C79)</f>
        <v>-1.839221854380493E-2</v>
      </c>
      <c r="M79" s="183">
        <f>SUMIFS(Dataset!$AJ:$AJ,Dataset!$F:$F,'credito latam'!$D$11,Dataset!$AN:$AN,M$65,Dataset!$J:$J,"&lt;"&amp;$D79,Dataset!$J:$J,"&gt;="&amp;$C79)</f>
        <v>0</v>
      </c>
      <c r="N79" s="183">
        <f>SUMIFS(Dataset!$AJ:$AJ,Dataset!$F:$F,'credito latam'!$D$11,Dataset!$AN:$AN,N$65,Dataset!$J:$J,"&lt;"&amp;$D79,Dataset!$J:$J,"&gt;="&amp;$C79)</f>
        <v>0</v>
      </c>
      <c r="O79" s="183">
        <f>SUMIFS(Dataset!$AJ:$AJ,Dataset!$F:$F,'credito latam'!$D$11,Dataset!$AN:$AN,O$65,Dataset!$J:$J,"&lt;"&amp;$D79,Dataset!$J:$J,"&gt;="&amp;$C79)</f>
        <v>0</v>
      </c>
      <c r="P79" s="183">
        <f>SUMIFS(Dataset!$AJ:$AJ,Dataset!$F:$F,'credito latam'!$D$11,Dataset!$AN:$AN,"B-",Dataset!$J:$J,"&lt;"&amp;$D79,Dataset!$J:$J,"&gt;="&amp;$C79)+SUMIFS(Dataset!$AJ:$AJ,Dataset!$F:$F,'credito latam'!$D$11,Dataset!$AN:$AN,"B",Dataset!$J:$J,"&lt;"&amp;$D79,Dataset!$J:$J,"&gt;="&amp;$C79)+SUMIFS(Dataset!$AJ:$AJ,Dataset!$F:$F,'credito latam'!$D$11,Dataset!$AN:$AN,"B+",Dataset!$J:$J,"&lt;"&amp;$D79,Dataset!$J:$J,"&gt;="&amp;$C79)</f>
        <v>0</v>
      </c>
      <c r="Q79" s="184">
        <f>SUMIFS(Dataset!$AJ:$AJ,Dataset!$F:$F,'credito latam'!$D$11,Dataset!$AN:$AN,Q$65,Dataset!$J:$J,"&lt;"&amp;$D79,Dataset!$J:$J,"&gt;="&amp;$C79)</f>
        <v>0</v>
      </c>
      <c r="R79" s="160">
        <f t="shared" si="7"/>
        <v>-1.96353925397557E-2</v>
      </c>
      <c r="S79" s="182">
        <f>SUMIFS(Dataset!$AA:$AA,Dataset!$F:$F,'credito latam'!$D$11,Dataset!$AN:$AN,"*AAA*",Dataset!$J:$J,"&lt;"&amp;$D79,Dataset!$J:$J,"&gt;="&amp;$C79)</f>
        <v>0</v>
      </c>
      <c r="T79" s="183">
        <f>SUMIFS(Dataset!$AA:$AA,Dataset!$F:$F,'credito latam'!$D$11,Dataset!$AN:$AN,"AA+",Dataset!$J:$J,"&lt;"&amp;$D79,Dataset!$J:$J,"&gt;="&amp;$C79)+SUMIFS(Dataset!$AA:$AA,Dataset!$F:$F,'credito latam'!$D$11,Dataset!$AN:$AN,"AA",Dataset!$J:$J,"&lt;"&amp;$D79,Dataset!$J:$J,"&gt;="&amp;$C79)+SUMIFS(Dataset!$AA:$AA,Dataset!$F:$F,'credito latam'!$D$11,Dataset!$AN:$AN,"AA-",Dataset!$J:$J,"&lt;"&amp;$D79,Dataset!$J:$J,"&gt;="&amp;$C79)</f>
        <v>0</v>
      </c>
      <c r="U79" s="183">
        <f>SUMIFS(Dataset!$AA:$AA,Dataset!$F:$F,'credito latam'!$D$11,Dataset!$AN:$AN,U$65,Dataset!$J:$J,"&lt;"&amp;$D79,Dataset!$J:$J,"&gt;="&amp;$C79)</f>
        <v>0</v>
      </c>
      <c r="V79" s="183">
        <f>SUMIFS(Dataset!$AA:$AA,Dataset!$F:$F,'credito latam'!$D$11,Dataset!$AN:$AN,V$65,Dataset!$J:$J,"&lt;"&amp;$D79,Dataset!$J:$J,"&gt;="&amp;$C79)</f>
        <v>0</v>
      </c>
      <c r="W79" s="183">
        <f>SUMIFS(Dataset!$AA:$AA,Dataset!$F:$F,'credito latam'!$D$11,Dataset!$AN:$AN,W$65,Dataset!$J:$J,"&lt;"&amp;$D79,Dataset!$J:$J,"&gt;="&amp;$C79)</f>
        <v>-3.2235415529113021E-2</v>
      </c>
      <c r="X79" s="183">
        <f>SUMIFS(Dataset!$AA:$AA,Dataset!$F:$F,'credito latam'!$D$11,Dataset!$AN:$AN,X$65,Dataset!$J:$J,"&lt;"&amp;$D79,Dataset!$J:$J,"&gt;="&amp;$C79)</f>
        <v>-3.4602306937232312E-2</v>
      </c>
      <c r="Y79" s="183">
        <f>SUMIFS(Dataset!$AA:$AA,Dataset!$F:$F,'credito latam'!$D$11,Dataset!$AN:$AN,Y$65,Dataset!$J:$J,"&lt;"&amp;$D79,Dataset!$J:$J,"&gt;="&amp;$C79)</f>
        <v>3.253881238671278E-2</v>
      </c>
      <c r="Z79" s="183">
        <f>SUMIFS(Dataset!$AA:$AA,Dataset!$F:$F,'credito latam'!$D$11,Dataset!$AN:$AN,Z$65,Dataset!$J:$J,"&lt;"&amp;$D79,Dataset!$J:$J,"&gt;="&amp;$C79)</f>
        <v>3.3226238048132406E-2</v>
      </c>
      <c r="AA79" s="183">
        <f>SUMIFS(Dataset!$AA:$AA,Dataset!$F:$F,'credito latam'!$D$11,Dataset!$AN:$AN,AA$65,Dataset!$J:$J,"&lt;"&amp;$D79,Dataset!$J:$J,"&gt;="&amp;$C79)</f>
        <v>0</v>
      </c>
      <c r="AB79" s="183">
        <f>SUMIFS(Dataset!$AA:$AA,Dataset!$F:$F,'credito latam'!$D$11,Dataset!$AN:$AN,AB$65,Dataset!$J:$J,"&lt;"&amp;$D79,Dataset!$J:$J,"&gt;="&amp;$C79)</f>
        <v>0</v>
      </c>
      <c r="AC79" s="183">
        <f>SUMIFS(Dataset!$AA:$AA,Dataset!$F:$F,'credito latam'!$D$11,Dataset!$AN:$AN,AC$65,Dataset!$J:$J,"&lt;"&amp;$D79,Dataset!$J:$J,"&gt;="&amp;$C79)</f>
        <v>0</v>
      </c>
      <c r="AD79" s="183">
        <f>SUMIFS(Dataset!$AA:$AA,Dataset!$F:$F,'credito latam'!$D$11,Dataset!$AN:$AN,"B-",Dataset!$J:$J,"&lt;"&amp;$D79,Dataset!$J:$J,"&gt;="&amp;$C79)+SUMIFS(Dataset!$AA:$AA,Dataset!$F:$F,'credito latam'!$D$11,Dataset!$AN:$AN,"B",Dataset!$J:$J,"&lt;"&amp;$D79,Dataset!$J:$J,"&gt;="&amp;$C79)+SUMIFS(Dataset!$AA:$AA,Dataset!$F:$F,'credito latam'!$D$11,Dataset!$AN:$AN,"B+",Dataset!$J:$J,"&lt;"&amp;$D79,Dataset!$J:$J,"&gt;="&amp;$C79)</f>
        <v>0</v>
      </c>
      <c r="AE79" s="184">
        <f>SUMIFS(Dataset!$AA:$AA,Dataset!$F:$F,'credito latam'!$D$11,Dataset!$AN:$AN,AE$65,Dataset!$J:$J,"&lt;"&amp;$D79,Dataset!$J:$J,"&gt;="&amp;$C79)</f>
        <v>0</v>
      </c>
      <c r="AF79" s="160">
        <f t="shared" si="8"/>
        <v>-1.0726720315001534E-3</v>
      </c>
    </row>
    <row r="80" spans="3:32" ht="33" customHeight="1" x14ac:dyDescent="0.2">
      <c r="C80" s="57">
        <v>13.5</v>
      </c>
      <c r="D80" s="61">
        <v>14.5</v>
      </c>
      <c r="E80" s="182">
        <f>SUMIFS(Dataset!$AJ:$AJ,Dataset!$F:$F,'credito latam'!$D$11,Dataset!$AN:$AN,"*AAA*",Dataset!$J:$J,"&lt;"&amp;$D80,Dataset!$J:$J,"&gt;="&amp;$C80)</f>
        <v>0</v>
      </c>
      <c r="F80" s="188">
        <f>SUMIFS(Dataset!$AJ:$AJ,Dataset!$F:$F,'credito latam'!$D$11,Dataset!$AN:$AN,"AA+",Dataset!$J:$J,"&lt;"&amp;$D80,Dataset!$J:$J,"&gt;="&amp;$C80)+SUMIFS(Dataset!$AJ:$AJ,Dataset!$F:$F,'credito latam'!$D$11,Dataset!$AN:$AN,"AA",Dataset!$J:$J,"&lt;"&amp;$D80,Dataset!$J:$J,"&gt;="&amp;$C80)+SUMIFS(Dataset!$AJ:$AJ,Dataset!$F:$F,'credito latam'!$D$11,Dataset!$AN:$AN,"AA-",Dataset!$J:$J,"&lt;"&amp;$D80,Dataset!$J:$J,"&gt;="&amp;$C80)</f>
        <v>0</v>
      </c>
      <c r="G80" s="188">
        <f>SUMIFS(Dataset!$AJ:$AJ,Dataset!$F:$F,'credito latam'!$D$11,Dataset!$AN:$AN,G$65,Dataset!$J:$J,"&lt;"&amp;$D80,Dataset!$J:$J,"&gt;="&amp;$C80)</f>
        <v>0</v>
      </c>
      <c r="H80" s="188">
        <f>SUMIFS(Dataset!$AJ:$AJ,Dataset!$F:$F,'credito latam'!$D$11,Dataset!$AN:$AN,H$65,Dataset!$J:$J,"&lt;"&amp;$D80,Dataset!$J:$J,"&gt;="&amp;$C80)</f>
        <v>0</v>
      </c>
      <c r="I80" s="188">
        <f>SUMIFS(Dataset!$AJ:$AJ,Dataset!$F:$F,'credito latam'!$D$11,Dataset!$AN:$AN,I$65,Dataset!$J:$J,"&lt;"&amp;$D80,Dataset!$J:$J,"&gt;="&amp;$C80)</f>
        <v>0</v>
      </c>
      <c r="J80" s="188">
        <f>SUMIFS(Dataset!$AJ:$AJ,Dataset!$F:$F,'credito latam'!$D$11,Dataset!$AN:$AN,J$65,Dataset!$J:$J,"&lt;"&amp;$D80,Dataset!$J:$J,"&gt;="&amp;$C80)</f>
        <v>-1.1910496704702117E-2</v>
      </c>
      <c r="K80" s="188">
        <f>SUMIFS(Dataset!$AJ:$AJ,Dataset!$F:$F,'credito latam'!$D$11,Dataset!$AN:$AN,K$65,Dataset!$J:$J,"&lt;"&amp;$D80,Dataset!$J:$J,"&gt;="&amp;$C80)</f>
        <v>-1.7911371595200433E-2</v>
      </c>
      <c r="L80" s="188">
        <f>SUMIFS(Dataset!$AJ:$AJ,Dataset!$F:$F,'credito latam'!$D$11,Dataset!$AN:$AN,L$65,Dataset!$J:$J,"&lt;"&amp;$D80,Dataset!$J:$J,"&gt;="&amp;$C80)</f>
        <v>-2.7708807454419795E-2</v>
      </c>
      <c r="M80" s="188">
        <f>SUMIFS(Dataset!$AJ:$AJ,Dataset!$F:$F,'credito latam'!$D$11,Dataset!$AN:$AN,M$65,Dataset!$J:$J,"&lt;"&amp;$D80,Dataset!$J:$J,"&gt;="&amp;$C80)</f>
        <v>0</v>
      </c>
      <c r="N80" s="188">
        <f>SUMIFS(Dataset!$AJ:$AJ,Dataset!$F:$F,'credito latam'!$D$11,Dataset!$AN:$AN,N$65,Dataset!$J:$J,"&lt;"&amp;$D80,Dataset!$J:$J,"&gt;="&amp;$C80)</f>
        <v>0</v>
      </c>
      <c r="O80" s="188">
        <f>SUMIFS(Dataset!$AJ:$AJ,Dataset!$F:$F,'credito latam'!$D$11,Dataset!$AN:$AN,O$65,Dataset!$J:$J,"&lt;"&amp;$D80,Dataset!$J:$J,"&gt;="&amp;$C80)</f>
        <v>0</v>
      </c>
      <c r="P80" s="188">
        <f>SUMIFS(Dataset!$AJ:$AJ,Dataset!$F:$F,'credito latam'!$D$11,Dataset!$AN:$AN,"B-",Dataset!$J:$J,"&lt;"&amp;$D80,Dataset!$J:$J,"&gt;="&amp;$C80)+SUMIFS(Dataset!$AJ:$AJ,Dataset!$F:$F,'credito latam'!$D$11,Dataset!$AN:$AN,"B",Dataset!$J:$J,"&lt;"&amp;$D80,Dataset!$J:$J,"&gt;="&amp;$C80)+SUMIFS(Dataset!$AJ:$AJ,Dataset!$F:$F,'credito latam'!$D$11,Dataset!$AN:$AN,"B+",Dataset!$J:$J,"&lt;"&amp;$D80,Dataset!$J:$J,"&gt;="&amp;$C80)</f>
        <v>0</v>
      </c>
      <c r="Q80" s="189">
        <f>SUMIFS(Dataset!$AJ:$AJ,Dataset!$F:$F,'credito latam'!$D$11,Dataset!$AN:$AN,Q$65,Dataset!$J:$J,"&lt;"&amp;$D80,Dataset!$J:$J,"&gt;="&amp;$C80)</f>
        <v>0</v>
      </c>
      <c r="R80" s="160">
        <f t="shared" si="7"/>
        <v>-5.7530675754322344E-2</v>
      </c>
      <c r="S80" s="182">
        <f>SUMIFS(Dataset!$AA:$AA,Dataset!$F:$F,'credito latam'!$D$11,Dataset!$AN:$AN,"*AAA*",Dataset!$J:$J,"&lt;"&amp;$D80,Dataset!$J:$J,"&gt;="&amp;$C80)</f>
        <v>0</v>
      </c>
      <c r="T80" s="188">
        <f>SUMIFS(Dataset!$AA:$AA,Dataset!$F:$F,'credito latam'!$D$11,Dataset!$AN:$AN,"AA+",Dataset!$J:$J,"&lt;"&amp;$D80,Dataset!$J:$J,"&gt;="&amp;$C80)+SUMIFS(Dataset!$AA:$AA,Dataset!$F:$F,'credito latam'!$D$11,Dataset!$AN:$AN,"AA",Dataset!$J:$J,"&lt;"&amp;$D80,Dataset!$J:$J,"&gt;="&amp;$C80)+SUMIFS(Dataset!$AA:$AA,Dataset!$F:$F,'credito latam'!$D$11,Dataset!$AN:$AN,"AA-",Dataset!$J:$J,"&lt;"&amp;$D80,Dataset!$J:$J,"&gt;="&amp;$C80)</f>
        <v>0</v>
      </c>
      <c r="U80" s="188">
        <f>SUMIFS(Dataset!$AA:$AA,Dataset!$F:$F,'credito latam'!$D$11,Dataset!$AN:$AN,U$65,Dataset!$J:$J,"&lt;"&amp;$D80,Dataset!$J:$J,"&gt;="&amp;$C80)</f>
        <v>0</v>
      </c>
      <c r="V80" s="188">
        <f>SUMIFS(Dataset!$AA:$AA,Dataset!$F:$F,'credito latam'!$D$11,Dataset!$AN:$AN,V$65,Dataset!$J:$J,"&lt;"&amp;$D80,Dataset!$J:$J,"&gt;="&amp;$C80)</f>
        <v>0</v>
      </c>
      <c r="W80" s="188">
        <f>SUMIFS(Dataset!$AA:$AA,Dataset!$F:$F,'credito latam'!$D$11,Dataset!$AN:$AN,W$65,Dataset!$J:$J,"&lt;"&amp;$D80,Dataset!$J:$J,"&gt;="&amp;$C80)</f>
        <v>0</v>
      </c>
      <c r="X80" s="188">
        <f>SUMIFS(Dataset!$AA:$AA,Dataset!$F:$F,'credito latam'!$D$11,Dataset!$AN:$AN,X$65,Dataset!$J:$J,"&lt;"&amp;$D80,Dataset!$J:$J,"&gt;="&amp;$C80)</f>
        <v>0.1192935357009712</v>
      </c>
      <c r="Y80" s="188">
        <f>SUMIFS(Dataset!$AA:$AA,Dataset!$F:$F,'credito latam'!$D$11,Dataset!$AN:$AN,Y$65,Dataset!$J:$J,"&lt;"&amp;$D80,Dataset!$J:$J,"&gt;="&amp;$C80)</f>
        <v>9.8192693226057892E-2</v>
      </c>
      <c r="Z80" s="188">
        <f>SUMIFS(Dataset!$AA:$AA,Dataset!$F:$F,'credito latam'!$D$11,Dataset!$AN:$AN,Z$65,Dataset!$J:$J,"&lt;"&amp;$D80,Dataset!$J:$J,"&gt;="&amp;$C80)</f>
        <v>0.14779256537103136</v>
      </c>
      <c r="AA80" s="188">
        <f>SUMIFS(Dataset!$AA:$AA,Dataset!$F:$F,'credito latam'!$D$11,Dataset!$AN:$AN,AA$65,Dataset!$J:$J,"&lt;"&amp;$D80,Dataset!$J:$J,"&gt;="&amp;$C80)</f>
        <v>0</v>
      </c>
      <c r="AB80" s="188">
        <f>SUMIFS(Dataset!$AA:$AA,Dataset!$F:$F,'credito latam'!$D$11,Dataset!$AN:$AN,AB$65,Dataset!$J:$J,"&lt;"&amp;$D80,Dataset!$J:$J,"&gt;="&amp;$C80)</f>
        <v>0</v>
      </c>
      <c r="AC80" s="188">
        <f>SUMIFS(Dataset!$AA:$AA,Dataset!$F:$F,'credito latam'!$D$11,Dataset!$AN:$AN,AC$65,Dataset!$J:$J,"&lt;"&amp;$D80,Dataset!$J:$J,"&gt;="&amp;$C80)</f>
        <v>0</v>
      </c>
      <c r="AD80" s="188">
        <f>SUMIFS(Dataset!$AA:$AA,Dataset!$F:$F,'credito latam'!$D$11,Dataset!$AN:$AN,"B-",Dataset!$J:$J,"&lt;"&amp;$D80,Dataset!$J:$J,"&gt;="&amp;$C80)+SUMIFS(Dataset!$AA:$AA,Dataset!$F:$F,'credito latam'!$D$11,Dataset!$AN:$AN,"B",Dataset!$J:$J,"&lt;"&amp;$D80,Dataset!$J:$J,"&gt;="&amp;$C80)+SUMIFS(Dataset!$AA:$AA,Dataset!$F:$F,'credito latam'!$D$11,Dataset!$AN:$AN,"B+",Dataset!$J:$J,"&lt;"&amp;$D80,Dataset!$J:$J,"&gt;="&amp;$C80)</f>
        <v>0</v>
      </c>
      <c r="AE80" s="189">
        <f>SUMIFS(Dataset!$AA:$AA,Dataset!$F:$F,'credito latam'!$D$11,Dataset!$AN:$AN,AE$65,Dataset!$J:$J,"&lt;"&amp;$D80,Dataset!$J:$J,"&gt;="&amp;$C80)</f>
        <v>0</v>
      </c>
      <c r="AF80" s="160">
        <f t="shared" si="8"/>
        <v>0.36527879429806043</v>
      </c>
    </row>
    <row r="81" spans="2:32" ht="33" customHeight="1" x14ac:dyDescent="0.2">
      <c r="C81" s="57">
        <v>14.5</v>
      </c>
      <c r="D81" s="61">
        <v>100</v>
      </c>
      <c r="E81" s="192">
        <f>SUMIFS(Dataset!$AJ:$AJ,Dataset!$F:$F,'credito latam'!$D$11,Dataset!$AN:$AN,"*AAA*",Dataset!$J:$J,"&lt;"&amp;$D81,Dataset!$J:$J,"&gt;="&amp;$C81)</f>
        <v>0</v>
      </c>
      <c r="F81" s="193">
        <f>SUMIFS(Dataset!$AJ:$AJ,Dataset!$F:$F,'credito latam'!$D$11,Dataset!$AN:$AN,"AA+",Dataset!$J:$J,"&lt;"&amp;$D81,Dataset!$J:$J,"&gt;="&amp;$C81)+SUMIFS(Dataset!$AJ:$AJ,Dataset!$F:$F,'credito latam'!$D$11,Dataset!$AN:$AN,"AA",Dataset!$J:$J,"&lt;"&amp;$D81,Dataset!$J:$J,"&gt;="&amp;$C81)+SUMIFS(Dataset!$AJ:$AJ,Dataset!$F:$F,'credito latam'!$D$11,Dataset!$AN:$AN,"AA-",Dataset!$J:$J,"&lt;"&amp;$D81,Dataset!$J:$J,"&gt;="&amp;$C81)</f>
        <v>0</v>
      </c>
      <c r="G81" s="193">
        <f>SUMIFS(Dataset!$AJ:$AJ,Dataset!$F:$F,'credito latam'!$D$11,Dataset!$AN:$AN,G$65,Dataset!$J:$J,"&lt;"&amp;$D81,Dataset!$J:$J,"&gt;="&amp;$C81)</f>
        <v>0</v>
      </c>
      <c r="H81" s="193">
        <f>SUMIFS(Dataset!$AJ:$AJ,Dataset!$F:$F,'credito latam'!$D$11,Dataset!$AN:$AN,H$65,Dataset!$J:$J,"&lt;"&amp;$D81,Dataset!$J:$J,"&gt;="&amp;$C81)</f>
        <v>0</v>
      </c>
      <c r="I81" s="193">
        <f>SUMIFS(Dataset!$AJ:$AJ,Dataset!$F:$F,'credito latam'!$D$11,Dataset!$AN:$AN,I$65,Dataset!$J:$J,"&lt;"&amp;$D81,Dataset!$J:$J,"&gt;="&amp;$C81)</f>
        <v>-1.5131937850769366E-2</v>
      </c>
      <c r="J81" s="193">
        <f>SUMIFS(Dataset!$AJ:$AJ,Dataset!$F:$F,'credito latam'!$D$11,Dataset!$AN:$AN,J$65,Dataset!$J:$J,"&lt;"&amp;$D81,Dataset!$J:$J,"&gt;="&amp;$C81)</f>
        <v>0</v>
      </c>
      <c r="K81" s="193">
        <f>SUMIFS(Dataset!$AJ:$AJ,Dataset!$F:$F,'credito latam'!$D$11,Dataset!$AN:$AN,K$65,Dataset!$J:$J,"&lt;"&amp;$D81,Dataset!$J:$J,"&gt;="&amp;$C81)</f>
        <v>-2.9396605501871673E-3</v>
      </c>
      <c r="L81" s="193">
        <f>SUMIFS(Dataset!$AJ:$AJ,Dataset!$F:$F,'credito latam'!$D$11,Dataset!$AN:$AN,L$65,Dataset!$J:$J,"&lt;"&amp;$D81,Dataset!$J:$J,"&gt;="&amp;$C81)</f>
        <v>-8.6449072197830861E-4</v>
      </c>
      <c r="M81" s="193">
        <f>SUMIFS(Dataset!$AJ:$AJ,Dataset!$F:$F,'credito latam'!$D$11,Dataset!$AN:$AN,M$65,Dataset!$J:$J,"&lt;"&amp;$D81,Dataset!$J:$J,"&gt;="&amp;$C81)</f>
        <v>0</v>
      </c>
      <c r="N81" s="193">
        <f>SUMIFS(Dataset!$AJ:$AJ,Dataset!$F:$F,'credito latam'!$D$11,Dataset!$AN:$AN,N$65,Dataset!$J:$J,"&lt;"&amp;$D81,Dataset!$J:$J,"&gt;="&amp;$C81)</f>
        <v>1.6345087666941171E-3</v>
      </c>
      <c r="O81" s="183">
        <f>SUMIFS(Dataset!$AJ:$AJ,Dataset!$F:$F,'credito latam'!$D$11,Dataset!$AN:$AN,O$65,Dataset!$J:$J,"&lt;"&amp;$D81,Dataset!$J:$J,"&gt;="&amp;$C81)</f>
        <v>0</v>
      </c>
      <c r="P81" s="183">
        <f>SUMIFS(Dataset!$AJ:$AJ,Dataset!$F:$F,'credito latam'!$D$11,Dataset!$AN:$AN,"B-",Dataset!$J:$J,"&lt;"&amp;$D81,Dataset!$J:$J,"&gt;="&amp;$C81)+SUMIFS(Dataset!$AJ:$AJ,Dataset!$F:$F,'credito latam'!$D$11,Dataset!$AN:$AN,"B",Dataset!$J:$J,"&lt;"&amp;$D81,Dataset!$J:$J,"&gt;="&amp;$C81)+SUMIFS(Dataset!$AJ:$AJ,Dataset!$F:$F,'credito latam'!$D$11,Dataset!$AN:$AN,"B+",Dataset!$J:$J,"&lt;"&amp;$D81,Dataset!$J:$J,"&gt;="&amp;$C81)</f>
        <v>0</v>
      </c>
      <c r="Q81" s="194">
        <f>SUMIFS(Dataset!$AJ:$AJ,Dataset!$F:$F,'credito latam'!$D$11,Dataset!$AN:$AN,Q$65,Dataset!$J:$J,"&lt;"&amp;$D81,Dataset!$J:$J,"&gt;="&amp;$C81)</f>
        <v>0</v>
      </c>
      <c r="R81" s="166">
        <f t="shared" si="7"/>
        <v>-1.7301580356240725E-2</v>
      </c>
      <c r="S81" s="192">
        <f>SUMIFS(Dataset!$AA:$AA,Dataset!$F:$F,'credito latam'!$D$11,Dataset!$AN:$AN,"*AAA*",Dataset!$J:$J,"&lt;"&amp;$D81,Dataset!$J:$J,"&gt;="&amp;$C81)</f>
        <v>0</v>
      </c>
      <c r="T81" s="193">
        <f>SUMIFS(Dataset!$AA:$AA,Dataset!$F:$F,'credito latam'!$D$11,Dataset!$AN:$AN,"AA+",Dataset!$J:$J,"&lt;"&amp;$D81,Dataset!$J:$J,"&gt;="&amp;$C81)+SUMIFS(Dataset!$AA:$AA,Dataset!$F:$F,'credito latam'!$D$11,Dataset!$AN:$AN,"AA",Dataset!$J:$J,"&lt;"&amp;$D81,Dataset!$J:$J,"&gt;="&amp;$C81)+SUMIFS(Dataset!$AA:$AA,Dataset!$F:$F,'credito latam'!$D$11,Dataset!$AN:$AN,"AA-",Dataset!$J:$J,"&lt;"&amp;$D81,Dataset!$J:$J,"&gt;="&amp;$C81)</f>
        <v>0</v>
      </c>
      <c r="U81" s="193">
        <f>SUMIFS(Dataset!$AA:$AA,Dataset!$F:$F,'credito latam'!$D$11,Dataset!$AN:$AN,U$65,Dataset!$J:$J,"&lt;"&amp;$D81,Dataset!$J:$J,"&gt;="&amp;$C81)</f>
        <v>0</v>
      </c>
      <c r="V81" s="193">
        <f>SUMIFS(Dataset!$AA:$AA,Dataset!$F:$F,'credito latam'!$D$11,Dataset!$AN:$AN,V$65,Dataset!$J:$J,"&lt;"&amp;$D81,Dataset!$J:$J,"&gt;="&amp;$C81)</f>
        <v>0</v>
      </c>
      <c r="W81" s="193">
        <f>SUMIFS(Dataset!$AA:$AA,Dataset!$F:$F,'credito latam'!$D$11,Dataset!$AN:$AN,W$65,Dataset!$J:$J,"&lt;"&amp;$D81,Dataset!$J:$J,"&gt;="&amp;$C81)</f>
        <v>0.16336187570984553</v>
      </c>
      <c r="X81" s="193">
        <f>SUMIFS(Dataset!$AA:$AA,Dataset!$F:$F,'credito latam'!$D$11,Dataset!$AN:$AN,X$65,Dataset!$J:$J,"&lt;"&amp;$D81,Dataset!$J:$J,"&gt;="&amp;$C81)</f>
        <v>0</v>
      </c>
      <c r="Y81" s="193">
        <f>SUMIFS(Dataset!$AA:$AA,Dataset!$F:$F,'credito latam'!$D$11,Dataset!$AN:$AN,Y$65,Dataset!$J:$J,"&lt;"&amp;$D81,Dataset!$J:$J,"&gt;="&amp;$C81)</f>
        <v>2.4439964427166855E-2</v>
      </c>
      <c r="Z81" s="193">
        <f>SUMIFS(Dataset!$AA:$AA,Dataset!$F:$F,'credito latam'!$D$11,Dataset!$AN:$AN,Z$65,Dataset!$J:$J,"&lt;"&amp;$D81,Dataset!$J:$J,"&gt;="&amp;$C81)</f>
        <v>2.7101721956802119E-3</v>
      </c>
      <c r="AA81" s="193">
        <f>SUMIFS(Dataset!$AA:$AA,Dataset!$F:$F,'credito latam'!$D$11,Dataset!$AN:$AN,AA$65,Dataset!$J:$J,"&lt;"&amp;$D81,Dataset!$J:$J,"&gt;="&amp;$C81)</f>
        <v>0</v>
      </c>
      <c r="AB81" s="193">
        <f>SUMIFS(Dataset!$AA:$AA,Dataset!$F:$F,'credito latam'!$D$11,Dataset!$AN:$AN,AB$65,Dataset!$J:$J,"&lt;"&amp;$D81,Dataset!$J:$J,"&gt;="&amp;$C81)</f>
        <v>-2.5949176195984298E-3</v>
      </c>
      <c r="AC81" s="183">
        <f>SUMIFS(Dataset!$AA:$AA,Dataset!$F:$F,'credito latam'!$D$11,Dataset!$AN:$AN,AC$65,Dataset!$J:$J,"&lt;"&amp;$D81,Dataset!$J:$J,"&gt;="&amp;$C81)</f>
        <v>0</v>
      </c>
      <c r="AD81" s="183">
        <f>SUMIFS(Dataset!$AA:$AA,Dataset!$F:$F,'credito latam'!$D$11,Dataset!$AN:$AN,"B-",Dataset!$J:$J,"&lt;"&amp;$D81,Dataset!$J:$J,"&gt;="&amp;$C81)+SUMIFS(Dataset!$AA:$AA,Dataset!$F:$F,'credito latam'!$D$11,Dataset!$AN:$AN,"B",Dataset!$J:$J,"&lt;"&amp;$D81,Dataset!$J:$J,"&gt;="&amp;$C81)+SUMIFS(Dataset!$AA:$AA,Dataset!$F:$F,'credito latam'!$D$11,Dataset!$AN:$AN,"B+",Dataset!$J:$J,"&lt;"&amp;$D81,Dataset!$J:$J,"&gt;="&amp;$C81)</f>
        <v>0</v>
      </c>
      <c r="AE81" s="194">
        <f>SUMIFS(Dataset!$AA:$AA,Dataset!$F:$F,'credito latam'!$D$11,Dataset!$AN:$AN,AE$65,Dataset!$J:$J,"&lt;"&amp;$D81,Dataset!$J:$J,"&gt;="&amp;$C81)</f>
        <v>0</v>
      </c>
      <c r="AF81" s="166">
        <f t="shared" si="8"/>
        <v>0.18791709471309417</v>
      </c>
    </row>
    <row r="82" spans="2:32" ht="33" customHeight="1" x14ac:dyDescent="0.2">
      <c r="C82" s="240"/>
      <c r="D82" s="241"/>
      <c r="E82" s="153">
        <f>SUM(E66:E81)</f>
        <v>0</v>
      </c>
      <c r="F82" s="153">
        <f t="shared" ref="F82:L82" si="9">SUM(F66:F81)</f>
        <v>0</v>
      </c>
      <c r="G82" s="153">
        <f t="shared" si="9"/>
        <v>8.1843053777581973E-3</v>
      </c>
      <c r="H82" s="153">
        <f t="shared" si="9"/>
        <v>-1.0319799469033634E-2</v>
      </c>
      <c r="I82" s="153">
        <f t="shared" si="9"/>
        <v>-6.4274781018043098E-2</v>
      </c>
      <c r="J82" s="153">
        <f t="shared" si="9"/>
        <v>3.1685588763104393E-2</v>
      </c>
      <c r="K82" s="153">
        <f t="shared" si="9"/>
        <v>-8.3591775919552705E-2</v>
      </c>
      <c r="L82" s="153">
        <f t="shared" si="9"/>
        <v>3.3100669370096938E-2</v>
      </c>
      <c r="M82" s="153">
        <f>SUM(M66:M81)</f>
        <v>6.0199831173482973E-3</v>
      </c>
      <c r="N82" s="153">
        <f>SUM(N66:N81)</f>
        <v>9.870084471379735E-3</v>
      </c>
      <c r="O82" s="153">
        <f>SUM(O66:O81)</f>
        <v>3.5951632208494726E-2</v>
      </c>
      <c r="P82" s="153">
        <f>SUM(P66:P81)</f>
        <v>3.3374093098446973E-2</v>
      </c>
      <c r="Q82" s="198">
        <f>SUM(Q66:Q81)</f>
        <v>0</v>
      </c>
      <c r="R82" s="160">
        <f t="shared" si="7"/>
        <v>-1.6653345369377348E-16</v>
      </c>
      <c r="S82" s="153">
        <f>SUM(S66:S81)</f>
        <v>0</v>
      </c>
      <c r="T82" s="153">
        <f t="shared" ref="T82:Z82" si="10">SUM(T66:T81)</f>
        <v>0</v>
      </c>
      <c r="U82" s="153">
        <f t="shared" si="10"/>
        <v>-3.5817792586728618E-2</v>
      </c>
      <c r="V82" s="153">
        <f t="shared" si="10"/>
        <v>5.4872707715500624E-3</v>
      </c>
      <c r="W82" s="153">
        <f t="shared" si="10"/>
        <v>0.28054129086374846</v>
      </c>
      <c r="X82" s="153">
        <f t="shared" si="10"/>
        <v>0.14812984590550904</v>
      </c>
      <c r="Y82" s="153">
        <f t="shared" si="10"/>
        <v>0.24143222484274682</v>
      </c>
      <c r="Z82" s="153">
        <f t="shared" si="10"/>
        <v>0.37784900204346122</v>
      </c>
      <c r="AA82" s="153">
        <f>SUM(AA66:AA81)</f>
        <v>1.2350845584897369E-2</v>
      </c>
      <c r="AB82" s="153">
        <f>SUM(AB66:AB81)</f>
        <v>-1.2790258512661093E-2</v>
      </c>
      <c r="AC82" s="153">
        <f>SUM(AC66:AC81)</f>
        <v>-1.7607375515003156E-2</v>
      </c>
      <c r="AD82" s="153">
        <f>SUM(AD66:AD81)</f>
        <v>4.2494660247903134E-4</v>
      </c>
      <c r="AE82" s="198">
        <f>SUM(AE66:AE81)</f>
        <v>0</v>
      </c>
      <c r="AF82" s="160">
        <f t="shared" si="8"/>
        <v>0.999999999999999</v>
      </c>
    </row>
    <row r="84" spans="2:32" ht="48" customHeight="1" x14ac:dyDescent="0.2">
      <c r="E84" s="231" t="s">
        <v>1756</v>
      </c>
      <c r="F84" s="231"/>
      <c r="G84" s="231"/>
      <c r="H84" s="231"/>
      <c r="I84" s="231"/>
      <c r="J84" s="231"/>
      <c r="K84" s="231"/>
      <c r="M84" s="231" t="s">
        <v>1757</v>
      </c>
      <c r="N84" s="231"/>
      <c r="O84" s="231"/>
      <c r="P84" s="231"/>
      <c r="Q84" s="231"/>
      <c r="R84" s="231"/>
      <c r="S84" s="231"/>
      <c r="T84" s="17"/>
      <c r="W84" s="16"/>
    </row>
    <row r="85" spans="2:32" ht="27" customHeight="1" x14ac:dyDescent="0.2">
      <c r="E85" s="11"/>
      <c r="F85" s="11"/>
      <c r="G85" s="11"/>
      <c r="H85" s="11"/>
      <c r="I85" s="11"/>
      <c r="J85" s="11"/>
      <c r="K85" s="11"/>
      <c r="L85" s="11"/>
      <c r="M85" s="11"/>
      <c r="O85" s="11"/>
      <c r="P85" s="11"/>
      <c r="Q85" s="11"/>
      <c r="R85" s="11"/>
      <c r="S85" s="11"/>
      <c r="T85" s="11"/>
      <c r="U85" s="11"/>
      <c r="V85" s="11"/>
    </row>
    <row r="86" spans="2:32" ht="33" customHeight="1" x14ac:dyDescent="0.2">
      <c r="C86" s="234" t="s">
        <v>72</v>
      </c>
      <c r="D86" s="234"/>
      <c r="E86" s="60" t="s">
        <v>31</v>
      </c>
      <c r="F86" s="60" t="s">
        <v>145</v>
      </c>
      <c r="G86" s="60" t="s">
        <v>143</v>
      </c>
      <c r="H86" s="60" t="s">
        <v>147</v>
      </c>
      <c r="I86" s="60" t="s">
        <v>157</v>
      </c>
      <c r="J86" s="60" t="s">
        <v>158</v>
      </c>
      <c r="K86" s="60" t="s">
        <v>83</v>
      </c>
      <c r="L86" s="60"/>
      <c r="M86" s="60" t="s">
        <v>31</v>
      </c>
      <c r="N86" s="60" t="s">
        <v>145</v>
      </c>
      <c r="O86" s="60" t="s">
        <v>143</v>
      </c>
      <c r="P86" s="60" t="s">
        <v>147</v>
      </c>
      <c r="Q86" s="60" t="s">
        <v>157</v>
      </c>
      <c r="R86" s="60" t="s">
        <v>158</v>
      </c>
      <c r="S86" s="60" t="s">
        <v>83</v>
      </c>
      <c r="T86" s="60" t="s">
        <v>1758</v>
      </c>
    </row>
    <row r="87" spans="2:32" ht="33" customHeight="1" x14ac:dyDescent="0.2">
      <c r="C87" s="59">
        <v>0</v>
      </c>
      <c r="D87" s="58">
        <v>0.5</v>
      </c>
      <c r="E87" s="176">
        <f>SUMIFS(Dataset!$AJ:$AJ,Dataset!$F:$F,'credito latam'!$D$11,Dataset!$Z:$Z,E$86,Dataset!$J:$J,"&lt;"&amp;$D87,Dataset!$J:$J,"&gt;="&amp;$C87)</f>
        <v>2.4065408366152289E-2</v>
      </c>
      <c r="F87" s="177">
        <f>SUMIFS(Dataset!$AJ:$AJ,Dataset!$F:$F,'credito latam'!$D$11,Dataset!$Z:$Z,F$86,Dataset!$J:$J,"&lt;"&amp;$D87,Dataset!$J:$J,"&gt;="&amp;$C87)</f>
        <v>0</v>
      </c>
      <c r="G87" s="177">
        <f>SUMIFS(Dataset!$AJ:$AJ,Dataset!$F:$F,'credito latam'!$D$11,Dataset!$Z:$Z,G$86,Dataset!$J:$J,"&lt;"&amp;$D87,Dataset!$J:$J,"&gt;="&amp;$C87)</f>
        <v>-2.5279496463568498E-3</v>
      </c>
      <c r="H87" s="177">
        <f>SUMIFS(Dataset!$AJ:$AJ,Dataset!$F:$F,'credito latam'!$D$11,Dataset!$Z:$Z,H$86,Dataset!$J:$J,"&lt;"&amp;$D87,Dataset!$J:$J,"&gt;="&amp;$C87)</f>
        <v>0</v>
      </c>
      <c r="I87" s="177">
        <f>SUMIFS(Dataset!$AJ:$AJ,Dataset!$F:$F,'credito latam'!$D$11,Dataset!$Z:$Z,I$86,Dataset!$J:$J,"&lt;"&amp;$D87,Dataset!$J:$J,"&gt;="&amp;$C87)</f>
        <v>-2.431777672091811E-3</v>
      </c>
      <c r="J87" s="177">
        <f>SUMIFS(Dataset!$AJ:$AJ,Dataset!$F:$F,'credito latam'!$D$11,Dataset!$Z:$Z,J$86,Dataset!$J:$J,"&lt;"&amp;$D87,Dataset!$J:$J,"&gt;="&amp;$C87)</f>
        <v>0</v>
      </c>
      <c r="K87" s="178">
        <f>SUMIFS(Dataset!$AK:$AK,Dataset!$F:$F,'credito latam'!$D$11,Dataset!$J:$J,"&lt;"&amp;$D87,Dataset!J:J,"&gt;="&amp;$C87,Dataset!$Z:$Z,"&lt;&gt;CL",Dataset!$Z:$Z,"&lt;&gt;MX",Dataset!$Z:$Z,"&lt;&gt;CO",Dataset!$Z:$Z,"&lt;&gt;PE",Dataset!$Z:$Z,"&lt;&gt;BR",Dataset!$Z:$Z,"&lt;&gt;PA")</f>
        <v>0</v>
      </c>
      <c r="L87" s="160">
        <f t="shared" ref="L87:L103" si="11">SUM(E87:K87)</f>
        <v>1.9105681047703629E-2</v>
      </c>
      <c r="M87" s="176">
        <f>SUMIFS(Dataset!$AA:$AA,Dataset!$F:$F,'credito latam'!$D$11,Dataset!$Z:$Z,M$86,Dataset!$J:$J,"&lt;"&amp;$D87,Dataset!$J:$J,"&gt;="&amp;$C87)</f>
        <v>8.9124350256592649E-4</v>
      </c>
      <c r="N87" s="177">
        <f>SUMIFS(Dataset!$AA:$AA,Dataset!$F:$F,'credito latam'!$D$11,Dataset!$Z:$Z,N$86,Dataset!$J:$J,"&lt;"&amp;$D87,Dataset!$J:$J,"&gt;="&amp;$C87)</f>
        <v>0</v>
      </c>
      <c r="O87" s="177">
        <f>SUMIFS(Dataset!$AA:$AA,Dataset!$F:$F,'credito latam'!$D$11,Dataset!$Z:$Z,O$86,Dataset!$J:$J,"&lt;"&amp;$D87,Dataset!$J:$J,"&gt;="&amp;$C87)</f>
        <v>2.6670030211357089E-3</v>
      </c>
      <c r="P87" s="177">
        <f>SUMIFS(Dataset!$AA:$AA,Dataset!$F:$F,'credito latam'!$D$11,Dataset!$Z:$Z,P$86,Dataset!$J:$J,"&lt;"&amp;$D87,Dataset!$J:$J,"&gt;="&amp;$C87)</f>
        <v>0</v>
      </c>
      <c r="Q87" s="177">
        <f>SUMIFS(Dataset!$AA:$AA,Dataset!$F:$F,'credito latam'!$D$11,Dataset!$Z:$Z,Q$86,Dataset!$J:$J,"&lt;"&amp;$D87,Dataset!$J:$J,"&gt;="&amp;$C87)</f>
        <v>3.3198136719489609E-3</v>
      </c>
      <c r="R87" s="177">
        <f>SUMIFS(Dataset!$AA:$AA,Dataset!$F:$F,'credito latam'!$D$11,Dataset!$Z:$Z,R$86,Dataset!$J:$J,"&lt;"&amp;$D87,Dataset!$J:$J,"&gt;="&amp;$C87)</f>
        <v>0</v>
      </c>
      <c r="S87" s="178">
        <f>SUMIFS(Dataset!$AA:$AA,Dataset!$F:$F,'credito latam'!$D$11,Dataset!$J:$J,"&lt;"&amp;$D87,Dataset!J:J,"&gt;="&amp;$C87,Dataset!$Z:$Z,"&lt;&gt;CL",Dataset!$Z:$Z,"&lt;&gt;MX",Dataset!$Z:$Z,"&lt;&gt;CO",Dataset!$Z:$Z,"&lt;&gt;PE",Dataset!$Z:$Z,"&lt;&gt;BR",Dataset!$Z:$Z,"&lt;&gt;PA")</f>
        <v>0</v>
      </c>
      <c r="T87" s="160">
        <f t="shared" ref="T87:T103" si="12">SUM(M87:S87)</f>
        <v>6.8780601956505965E-3</v>
      </c>
    </row>
    <row r="88" spans="2:32" ht="33" customHeight="1" x14ac:dyDescent="0.2">
      <c r="C88" s="57">
        <v>0.5</v>
      </c>
      <c r="D88" s="61">
        <v>1.5</v>
      </c>
      <c r="E88" s="182">
        <f>SUMIFS(Dataset!$AJ:$AJ,Dataset!$F:$F,'credito latam'!$D$11,Dataset!$Z:$Z,E$86,Dataset!$J:$J,"&lt;"&amp;$D88,Dataset!$J:$J,"&gt;="&amp;$C88)</f>
        <v>0</v>
      </c>
      <c r="F88" s="183">
        <f>SUMIFS(Dataset!$AJ:$AJ,Dataset!$F:$F,'credito latam'!$D$11,Dataset!$Z:$Z,F$86,Dataset!$J:$J,"&lt;"&amp;$D88,Dataset!$J:$J,"&gt;="&amp;$C88)</f>
        <v>-1.0466329790643126E-2</v>
      </c>
      <c r="G88" s="183">
        <f>SUMIFS(Dataset!$AJ:$AJ,Dataset!$F:$F,'credito latam'!$D$11,Dataset!$Z:$Z,G$86,Dataset!$J:$J,"&lt;"&amp;$D88,Dataset!$J:$J,"&gt;="&amp;$C88)</f>
        <v>0</v>
      </c>
      <c r="H88" s="183">
        <f>SUMIFS(Dataset!$AJ:$AJ,Dataset!$F:$F,'credito latam'!$D$11,Dataset!$Z:$Z,H$86,Dataset!$J:$J,"&lt;"&amp;$D88,Dataset!$J:$J,"&gt;="&amp;$C88)</f>
        <v>0</v>
      </c>
      <c r="I88" s="183">
        <f>SUMIFS(Dataset!$AJ:$AJ,Dataset!$F:$F,'credito latam'!$D$11,Dataset!$Z:$Z,I$86,Dataset!$J:$J,"&lt;"&amp;$D88,Dataset!$J:$J,"&gt;="&amp;$C88)</f>
        <v>0</v>
      </c>
      <c r="J88" s="183">
        <f>SUMIFS(Dataset!$AJ:$AJ,Dataset!$F:$F,'credito latam'!$D$11,Dataset!$Z:$Z,J$86,Dataset!$J:$J,"&lt;"&amp;$D88,Dataset!$J:$J,"&gt;="&amp;$C88)</f>
        <v>0</v>
      </c>
      <c r="K88" s="184">
        <f>SUMIFS(Dataset!$AK:$AK,Dataset!$F:$F,'credito latam'!$D$11,Dataset!$J:$J,"&lt;"&amp;$D88,Dataset!J:J,"&gt;="&amp;$C88,Dataset!$Z:$Z,"&lt;&gt;CL",Dataset!$Z:$Z,"&lt;&gt;MX",Dataset!$Z:$Z,"&lt;&gt;CO",Dataset!$Z:$Z,"&lt;&gt;PE",Dataset!$Z:$Z,"&lt;&gt;BR",Dataset!$Z:$Z,"&lt;&gt;PA")</f>
        <v>0</v>
      </c>
      <c r="L88" s="160">
        <f t="shared" si="11"/>
        <v>-1.0466329790643126E-2</v>
      </c>
      <c r="M88" s="182">
        <f>SUMIFS(Dataset!$AA:$AA,Dataset!$F:$F,'credito latam'!$D$11,Dataset!$Z:$Z,M$86,Dataset!$J:$J,"&lt;"&amp;$D88,Dataset!$J:$J,"&gt;="&amp;$C88)</f>
        <v>0</v>
      </c>
      <c r="N88" s="183">
        <f>SUMIFS(Dataset!$AA:$AA,Dataset!$F:$F,'credito latam'!$D$11,Dataset!$Z:$Z,N$86,Dataset!$J:$J,"&lt;"&amp;$D88,Dataset!$J:$J,"&gt;="&amp;$C88)</f>
        <v>-5.1054978804569826E-4</v>
      </c>
      <c r="O88" s="183">
        <f>SUMIFS(Dataset!$AA:$AA,Dataset!$F:$F,'credito latam'!$D$11,Dataset!$Z:$Z,O$86,Dataset!$J:$J,"&lt;"&amp;$D88,Dataset!$J:$J,"&gt;="&amp;$C88)</f>
        <v>0</v>
      </c>
      <c r="P88" s="183">
        <f>SUMIFS(Dataset!$AA:$AA,Dataset!$F:$F,'credito latam'!$D$11,Dataset!$Z:$Z,P$86,Dataset!$J:$J,"&lt;"&amp;$D88,Dataset!$J:$J,"&gt;="&amp;$C88)</f>
        <v>0</v>
      </c>
      <c r="Q88" s="183">
        <f>SUMIFS(Dataset!$AA:$AA,Dataset!$F:$F,'credito latam'!$D$11,Dataset!$Z:$Z,Q$86,Dataset!$J:$J,"&lt;"&amp;$D88,Dataset!$J:$J,"&gt;="&amp;$C88)</f>
        <v>0</v>
      </c>
      <c r="R88" s="183">
        <f>SUMIFS(Dataset!$AA:$AA,Dataset!$F:$F,'credito latam'!$D$11,Dataset!$Z:$Z,R$86,Dataset!$J:$J,"&lt;"&amp;$D88,Dataset!$J:$J,"&gt;="&amp;$C88)</f>
        <v>0</v>
      </c>
      <c r="S88" s="184">
        <f>SUMIFS(Dataset!$AA:$AA,Dataset!$F:$F,'credito latam'!$D$11,Dataset!$J:$J,"&lt;"&amp;$D88,Dataset!J:J,"&gt;="&amp;$C88,Dataset!$Z:$Z,"&lt;&gt;CL",Dataset!$Z:$Z,"&lt;&gt;MX",Dataset!$Z:$Z,"&lt;&gt;CO",Dataset!$Z:$Z,"&lt;&gt;PE",Dataset!$Z:$Z,"&lt;&gt;BR",Dataset!$Z:$Z,"&lt;&gt;PA")</f>
        <v>0</v>
      </c>
      <c r="T88" s="160">
        <f t="shared" si="12"/>
        <v>-5.1054978804569826E-4</v>
      </c>
    </row>
    <row r="89" spans="2:32" ht="33" customHeight="1" x14ac:dyDescent="0.2">
      <c r="C89" s="57">
        <v>1.5</v>
      </c>
      <c r="D89" s="61">
        <v>2.5</v>
      </c>
      <c r="E89" s="182">
        <f>SUMIFS(Dataset!$AJ:$AJ,Dataset!$F:$F,'credito latam'!$D$11,Dataset!$Z:$Z,E$86,Dataset!$J:$J,"&lt;"&amp;$D89,Dataset!$J:$J,"&gt;="&amp;$C89)</f>
        <v>-1.9462533340492805E-2</v>
      </c>
      <c r="F89" s="188">
        <f>SUMIFS(Dataset!$AJ:$AJ,Dataset!$F:$F,'credito latam'!$D$11,Dataset!$Z:$Z,F$86,Dataset!$J:$J,"&lt;"&amp;$D89,Dataset!$J:$J,"&gt;="&amp;$C89)</f>
        <v>-8.912546599978281E-3</v>
      </c>
      <c r="G89" s="188">
        <f>SUMIFS(Dataset!$AJ:$AJ,Dataset!$F:$F,'credito latam'!$D$11,Dataset!$Z:$Z,G$86,Dataset!$J:$J,"&lt;"&amp;$D89,Dataset!$J:$J,"&gt;="&amp;$C89)</f>
        <v>-1.5716818245071467E-2</v>
      </c>
      <c r="H89" s="188">
        <f>SUMIFS(Dataset!$AJ:$AJ,Dataset!$F:$F,'credito latam'!$D$11,Dataset!$Z:$Z,H$86,Dataset!$J:$J,"&lt;"&amp;$D89,Dataset!$J:$J,"&gt;="&amp;$C89)</f>
        <v>-2.5359852560857513E-3</v>
      </c>
      <c r="I89" s="188">
        <f>SUMIFS(Dataset!$AJ:$AJ,Dataset!$F:$F,'credito latam'!$D$11,Dataset!$Z:$Z,I$86,Dataset!$J:$J,"&lt;"&amp;$D89,Dataset!$J:$J,"&gt;="&amp;$C89)</f>
        <v>-3.945880879651982E-3</v>
      </c>
      <c r="J89" s="188">
        <f>SUMIFS(Dataset!$AJ:$AJ,Dataset!$F:$F,'credito latam'!$D$11,Dataset!$Z:$Z,J$86,Dataset!$J:$J,"&lt;"&amp;$D89,Dataset!$J:$J,"&gt;="&amp;$C89)</f>
        <v>-1.2210687594180914E-2</v>
      </c>
      <c r="K89" s="189">
        <f>SUMIFS(Dataset!$AK:$AK,Dataset!$F:$F,'credito latam'!$D$11,Dataset!$J:$J,"&lt;"&amp;$D89,Dataset!J:J,"&gt;="&amp;$C89,Dataset!$Z:$Z,"&lt;&gt;CL",Dataset!$Z:$Z,"&lt;&gt;MX",Dataset!$Z:$Z,"&lt;&gt;CO",Dataset!$Z:$Z,"&lt;&gt;PE",Dataset!$Z:$Z,"&lt;&gt;BR",Dataset!$Z:$Z,"&lt;&gt;PA")</f>
        <v>0</v>
      </c>
      <c r="L89" s="160">
        <f t="shared" si="11"/>
        <v>-6.2784451915461212E-2</v>
      </c>
      <c r="M89" s="182">
        <f>SUMIFS(Dataset!$AA:$AA,Dataset!$F:$F,'credito latam'!$D$11,Dataset!$Z:$Z,M$86,Dataset!$J:$J,"&lt;"&amp;$D89,Dataset!$J:$J,"&gt;="&amp;$C89)</f>
        <v>5.7947611798524166E-3</v>
      </c>
      <c r="N89" s="188">
        <f>SUMIFS(Dataset!$AA:$AA,Dataset!$F:$F,'credito latam'!$D$11,Dataset!$Z:$Z,N$86,Dataset!$J:$J,"&lt;"&amp;$D89,Dataset!$J:$J,"&gt;="&amp;$C89)</f>
        <v>1.2782111780438879E-2</v>
      </c>
      <c r="O89" s="188">
        <f>SUMIFS(Dataset!$AA:$AA,Dataset!$F:$F,'credito latam'!$D$11,Dataset!$Z:$Z,O$86,Dataset!$J:$J,"&lt;"&amp;$D89,Dataset!$J:$J,"&gt;="&amp;$C89)</f>
        <v>7.362202431316061E-3</v>
      </c>
      <c r="P89" s="188">
        <f>SUMIFS(Dataset!$AA:$AA,Dataset!$F:$F,'credito latam'!$D$11,Dataset!$Z:$Z,P$86,Dataset!$J:$J,"&lt;"&amp;$D89,Dataset!$J:$J,"&gt;="&amp;$C89)</f>
        <v>1.7796486593293628E-3</v>
      </c>
      <c r="Q89" s="188">
        <f>SUMIFS(Dataset!$AA:$AA,Dataset!$F:$F,'credito latam'!$D$11,Dataset!$Z:$Z,Q$86,Dataset!$J:$J,"&lt;"&amp;$D89,Dataset!$J:$J,"&gt;="&amp;$C89)</f>
        <v>2.3487832932135412E-3</v>
      </c>
      <c r="R89" s="188">
        <f>SUMIFS(Dataset!$AA:$AA,Dataset!$F:$F,'credito latam'!$D$11,Dataset!$Z:$Z,R$86,Dataset!$J:$J,"&lt;"&amp;$D89,Dataset!$J:$J,"&gt;="&amp;$C89)</f>
        <v>5.468620236829212E-3</v>
      </c>
      <c r="S89" s="189">
        <f>SUMIFS(Dataset!$AA:$AA,Dataset!$F:$F,'credito latam'!$D$11,Dataset!$J:$J,"&lt;"&amp;$D89,Dataset!J:J,"&gt;="&amp;$C89,Dataset!$Z:$Z,"&lt;&gt;CL",Dataset!$Z:$Z,"&lt;&gt;MX",Dataset!$Z:$Z,"&lt;&gt;CO",Dataset!$Z:$Z,"&lt;&gt;PE",Dataset!$Z:$Z,"&lt;&gt;BR",Dataset!$Z:$Z,"&lt;&gt;PA")</f>
        <v>0</v>
      </c>
      <c r="T89" s="160">
        <f t="shared" si="12"/>
        <v>3.5536127580979474E-2</v>
      </c>
    </row>
    <row r="90" spans="2:32" ht="27" customHeight="1" x14ac:dyDescent="0.2">
      <c r="C90" s="57">
        <v>2.5</v>
      </c>
      <c r="D90" s="61">
        <v>3.5</v>
      </c>
      <c r="E90" s="182">
        <f>SUMIFS(Dataset!$AJ:$AJ,Dataset!$F:$F,'credito latam'!$D$11,Dataset!$Z:$Z,E$86,Dataset!$J:$J,"&lt;"&amp;$D90,Dataset!$J:$J,"&gt;="&amp;$C90)</f>
        <v>-1.5274307088249396E-2</v>
      </c>
      <c r="F90" s="183">
        <f>SUMIFS(Dataset!$AJ:$AJ,Dataset!$F:$F,'credito latam'!$D$11,Dataset!$Z:$Z,F$86,Dataset!$J:$J,"&lt;"&amp;$D90,Dataset!$J:$J,"&gt;="&amp;$C90)</f>
        <v>-1.2918251120605025E-2</v>
      </c>
      <c r="G90" s="183">
        <f>SUMIFS(Dataset!$AJ:$AJ,Dataset!$F:$F,'credito latam'!$D$11,Dataset!$Z:$Z,G$86,Dataset!$J:$J,"&lt;"&amp;$D90,Dataset!$J:$J,"&gt;="&amp;$C90)</f>
        <v>-2.6782127874074987E-3</v>
      </c>
      <c r="H90" s="183">
        <f>SUMIFS(Dataset!$AJ:$AJ,Dataset!$F:$F,'credito latam'!$D$11,Dataset!$Z:$Z,H$86,Dataset!$J:$J,"&lt;"&amp;$D90,Dataset!$J:$J,"&gt;="&amp;$C90)</f>
        <v>-1.8488595966345191E-2</v>
      </c>
      <c r="I90" s="183">
        <f>SUMIFS(Dataset!$AJ:$AJ,Dataset!$F:$F,'credito latam'!$D$11,Dataset!$Z:$Z,I$86,Dataset!$J:$J,"&lt;"&amp;$D90,Dataset!$J:$J,"&gt;="&amp;$C90)</f>
        <v>1.0969171027395289E-3</v>
      </c>
      <c r="J90" s="183">
        <f>SUMIFS(Dataset!$AJ:$AJ,Dataset!$F:$F,'credito latam'!$D$11,Dataset!$Z:$Z,J$86,Dataset!$J:$J,"&lt;"&amp;$D90,Dataset!$J:$J,"&gt;="&amp;$C90)</f>
        <v>0</v>
      </c>
      <c r="K90" s="184">
        <f>SUMIFS(Dataset!$AK:$AK,Dataset!$F:$F,'credito latam'!$D$11,Dataset!$J:$J,"&lt;"&amp;$D90,Dataset!J:J,"&gt;="&amp;$C90,Dataset!$Z:$Z,"&lt;&gt;CL",Dataset!$Z:$Z,"&lt;&gt;MX",Dataset!$Z:$Z,"&lt;&gt;CO",Dataset!$Z:$Z,"&lt;&gt;PE",Dataset!$Z:$Z,"&lt;&gt;BR",Dataset!$Z:$Z,"&lt;&gt;PA")</f>
        <v>0</v>
      </c>
      <c r="L90" s="160">
        <f t="shared" si="11"/>
        <v>-4.8262449859867579E-2</v>
      </c>
      <c r="M90" s="182">
        <f>SUMIFS(Dataset!$AA:$AA,Dataset!$F:$F,'credito latam'!$D$11,Dataset!$Z:$Z,M$86,Dataset!$J:$J,"&lt;"&amp;$D90,Dataset!$J:$J,"&gt;="&amp;$C90)</f>
        <v>1.1310327254131749E-2</v>
      </c>
      <c r="N90" s="183">
        <f>SUMIFS(Dataset!$AA:$AA,Dataset!$F:$F,'credito latam'!$D$11,Dataset!$Z:$Z,N$86,Dataset!$J:$J,"&lt;"&amp;$D90,Dataset!$J:$J,"&gt;="&amp;$C90)</f>
        <v>-3.1624153269279066E-3</v>
      </c>
      <c r="O90" s="183">
        <f>SUMIFS(Dataset!$AA:$AA,Dataset!$F:$F,'credito latam'!$D$11,Dataset!$Z:$Z,O$86,Dataset!$J:$J,"&lt;"&amp;$D90,Dataset!$J:$J,"&gt;="&amp;$C90)</f>
        <v>-2.0619041170046254E-5</v>
      </c>
      <c r="P90" s="183">
        <f>SUMIFS(Dataset!$AA:$AA,Dataset!$F:$F,'credito latam'!$D$11,Dataset!$Z:$Z,P$86,Dataset!$J:$J,"&lt;"&amp;$D90,Dataset!$J:$J,"&gt;="&amp;$C90)</f>
        <v>7.5808406500658398E-3</v>
      </c>
      <c r="Q90" s="183">
        <f>SUMIFS(Dataset!$AA:$AA,Dataset!$F:$F,'credito latam'!$D$11,Dataset!$Z:$Z,Q$86,Dataset!$J:$J,"&lt;"&amp;$D90,Dataset!$J:$J,"&gt;="&amp;$C90)</f>
        <v>1.1367407424695478E-2</v>
      </c>
      <c r="R90" s="183">
        <f>SUMIFS(Dataset!$AA:$AA,Dataset!$F:$F,'credito latam'!$D$11,Dataset!$Z:$Z,R$86,Dataset!$J:$J,"&lt;"&amp;$D90,Dataset!$J:$J,"&gt;="&amp;$C90)</f>
        <v>0</v>
      </c>
      <c r="S90" s="184">
        <f>SUMIFS(Dataset!$AA:$AA,Dataset!$F:$F,'credito latam'!$D$11,Dataset!$J:$J,"&lt;"&amp;$D90,Dataset!J:J,"&gt;="&amp;$C90,Dataset!$Z:$Z,"&lt;&gt;CL",Dataset!$Z:$Z,"&lt;&gt;MX",Dataset!$Z:$Z,"&lt;&gt;CO",Dataset!$Z:$Z,"&lt;&gt;PE",Dataset!$Z:$Z,"&lt;&gt;BR",Dataset!$Z:$Z,"&lt;&gt;PA")</f>
        <v>0</v>
      </c>
      <c r="T90" s="160">
        <f t="shared" si="12"/>
        <v>2.7075540960795112E-2</v>
      </c>
    </row>
    <row r="91" spans="2:32" ht="27" customHeight="1" x14ac:dyDescent="0.2">
      <c r="C91" s="57">
        <v>3.5</v>
      </c>
      <c r="D91" s="61">
        <v>4.5</v>
      </c>
      <c r="E91" s="182">
        <f>SUMIFS(Dataset!$AJ:$AJ,Dataset!$F:$F,'credito latam'!$D$11,Dataset!$Z:$Z,E$86,Dataset!$J:$J,"&lt;"&amp;$D91,Dataset!$J:$J,"&gt;="&amp;$C91)</f>
        <v>-1.4615954674283282E-2</v>
      </c>
      <c r="F91" s="188">
        <f>SUMIFS(Dataset!$AJ:$AJ,Dataset!$F:$F,'credito latam'!$D$11,Dataset!$Z:$Z,F$86,Dataset!$J:$J,"&lt;"&amp;$D91,Dataset!$J:$J,"&gt;="&amp;$C91)</f>
        <v>-1.368459078499272E-4</v>
      </c>
      <c r="G91" s="188">
        <f>SUMIFS(Dataset!$AJ:$AJ,Dataset!$F:$F,'credito latam'!$D$11,Dataset!$Z:$Z,G$86,Dataset!$J:$J,"&lt;"&amp;$D91,Dataset!$J:$J,"&gt;="&amp;$C91)</f>
        <v>1.0456085176531819E-2</v>
      </c>
      <c r="H91" s="188">
        <f>SUMIFS(Dataset!$AJ:$AJ,Dataset!$F:$F,'credito latam'!$D$11,Dataset!$Z:$Z,H$86,Dataset!$J:$J,"&lt;"&amp;$D91,Dataset!$J:$J,"&gt;="&amp;$C91)</f>
        <v>-9.6834563600148478E-4</v>
      </c>
      <c r="I91" s="188">
        <f>SUMIFS(Dataset!$AJ:$AJ,Dataset!$F:$F,'credito latam'!$D$11,Dataset!$Z:$Z,I$86,Dataset!$J:$J,"&lt;"&amp;$D91,Dataset!$J:$J,"&gt;="&amp;$C91)</f>
        <v>-1.2872759943025834E-2</v>
      </c>
      <c r="J91" s="188">
        <f>SUMIFS(Dataset!$AJ:$AJ,Dataset!$F:$F,'credito latam'!$D$11,Dataset!$Z:$Z,J$86,Dataset!$J:$J,"&lt;"&amp;$D91,Dataset!$J:$J,"&gt;="&amp;$C91)</f>
        <v>8.6673530320733275E-3</v>
      </c>
      <c r="K91" s="189">
        <f>SUMIFS(Dataset!$AK:$AK,Dataset!$F:$F,'credito latam'!$D$11,Dataset!$J:$J,"&lt;"&amp;$D91,Dataset!J:J,"&gt;="&amp;$C91,Dataset!$Z:$Z,"&lt;&gt;CL",Dataset!$Z:$Z,"&lt;&gt;MX",Dataset!$Z:$Z,"&lt;&gt;CO",Dataset!$Z:$Z,"&lt;&gt;PE",Dataset!$Z:$Z,"&lt;&gt;BR",Dataset!$Z:$Z,"&lt;&gt;PA")</f>
        <v>0</v>
      </c>
      <c r="L91" s="160">
        <f t="shared" si="11"/>
        <v>-9.4704679525553833E-3</v>
      </c>
      <c r="M91" s="182">
        <f>SUMIFS(Dataset!$AA:$AA,Dataset!$F:$F,'credito latam'!$D$11,Dataset!$Z:$Z,M$86,Dataset!$J:$J,"&lt;"&amp;$D91,Dataset!$J:$J,"&gt;="&amp;$C91)</f>
        <v>1.4795657166682411E-2</v>
      </c>
      <c r="N91" s="188">
        <f>SUMIFS(Dataset!$AA:$AA,Dataset!$F:$F,'credito latam'!$D$11,Dataset!$Z:$Z,N$86,Dataset!$J:$J,"&lt;"&amp;$D91,Dataset!$J:$J,"&gt;="&amp;$C91)</f>
        <v>5.7039571148358677E-2</v>
      </c>
      <c r="O91" s="188">
        <f>SUMIFS(Dataset!$AA:$AA,Dataset!$F:$F,'credito latam'!$D$11,Dataset!$Z:$Z,O$86,Dataset!$J:$J,"&lt;"&amp;$D91,Dataset!$J:$J,"&gt;="&amp;$C91)</f>
        <v>-1.4231821331071866E-3</v>
      </c>
      <c r="P91" s="188">
        <f>SUMIFS(Dataset!$AA:$AA,Dataset!$F:$F,'credito latam'!$D$11,Dataset!$Z:$Z,P$86,Dataset!$J:$J,"&lt;"&amp;$D91,Dataset!$J:$J,"&gt;="&amp;$C91)</f>
        <v>4.6394718791253889E-3</v>
      </c>
      <c r="Q91" s="188">
        <f>SUMIFS(Dataset!$AA:$AA,Dataset!$F:$F,'credito latam'!$D$11,Dataset!$Z:$Z,Q$86,Dataset!$J:$J,"&lt;"&amp;$D91,Dataset!$J:$J,"&gt;="&amp;$C91)</f>
        <v>2.5893649903111712E-2</v>
      </c>
      <c r="R91" s="188">
        <f>SUMIFS(Dataset!$AA:$AA,Dataset!$F:$F,'credito latam'!$D$11,Dataset!$Z:$Z,R$86,Dataset!$J:$J,"&lt;"&amp;$D91,Dataset!$J:$J,"&gt;="&amp;$C91)</f>
        <v>-4.4564689386549497E-3</v>
      </c>
      <c r="S91" s="189">
        <f>SUMIFS(Dataset!$AA:$AA,Dataset!$F:$F,'credito latam'!$D$11,Dataset!$J:$J,"&lt;"&amp;$D91,Dataset!J:J,"&gt;="&amp;$C91,Dataset!$Z:$Z,"&lt;&gt;CL",Dataset!$Z:$Z,"&lt;&gt;MX",Dataset!$Z:$Z,"&lt;&gt;CO",Dataset!$Z:$Z,"&lt;&gt;PE",Dataset!$Z:$Z,"&lt;&gt;BR",Dataset!$Z:$Z,"&lt;&gt;PA")</f>
        <v>0</v>
      </c>
      <c r="T91" s="160">
        <f t="shared" si="12"/>
        <v>9.6488699025516059E-2</v>
      </c>
    </row>
    <row r="92" spans="2:32" ht="36" customHeight="1" x14ac:dyDescent="0.4">
      <c r="B92" s="9"/>
      <c r="C92" s="57">
        <v>4.5</v>
      </c>
      <c r="D92" s="61">
        <v>5.5</v>
      </c>
      <c r="E92" s="182">
        <f>SUMIFS(Dataset!$AJ:$AJ,Dataset!$F:$F,'credito latam'!$D$11,Dataset!$Z:$Z,E$86,Dataset!$J:$J,"&lt;"&amp;$D92,Dataset!$J:$J,"&gt;="&amp;$C92)</f>
        <v>-4.627998274007801E-2</v>
      </c>
      <c r="F92" s="183">
        <f>SUMIFS(Dataset!$AJ:$AJ,Dataset!$F:$F,'credito latam'!$D$11,Dataset!$Z:$Z,F$86,Dataset!$J:$J,"&lt;"&amp;$D92,Dataset!$J:$J,"&gt;="&amp;$C92)</f>
        <v>7.373101332086518E-3</v>
      </c>
      <c r="G92" s="183">
        <f>SUMIFS(Dataset!$AJ:$AJ,Dataset!$F:$F,'credito latam'!$D$11,Dataset!$Z:$Z,G$86,Dataset!$J:$J,"&lt;"&amp;$D92,Dataset!$J:$J,"&gt;="&amp;$C92)</f>
        <v>-1.702603798851372E-2</v>
      </c>
      <c r="H92" s="183">
        <f>SUMIFS(Dataset!$AJ:$AJ,Dataset!$F:$F,'credito latam'!$D$11,Dataset!$Z:$Z,H$86,Dataset!$J:$J,"&lt;"&amp;$D92,Dataset!$J:$J,"&gt;="&amp;$C92)</f>
        <v>2.2762334516229863E-2</v>
      </c>
      <c r="I92" s="183">
        <f>SUMIFS(Dataset!$AJ:$AJ,Dataset!$F:$F,'credito latam'!$D$11,Dataset!$Z:$Z,I$86,Dataset!$J:$J,"&lt;"&amp;$D92,Dataset!$J:$J,"&gt;="&amp;$C92)</f>
        <v>-7.8896070357885092E-3</v>
      </c>
      <c r="J92" s="183">
        <f>SUMIFS(Dataset!$AJ:$AJ,Dataset!$F:$F,'credito latam'!$D$11,Dataset!$Z:$Z,J$86,Dataset!$J:$J,"&lt;"&amp;$D92,Dataset!$J:$J,"&gt;="&amp;$C92)</f>
        <v>1.0239164255155879E-2</v>
      </c>
      <c r="K92" s="184">
        <f>SUMIFS(Dataset!$AK:$AK,Dataset!$F:$F,'credito latam'!$D$11,Dataset!$J:$J,"&lt;"&amp;$D92,Dataset!J:J,"&gt;="&amp;$C92,Dataset!$Z:$Z,"&lt;&gt;CL",Dataset!$Z:$Z,"&lt;&gt;MX",Dataset!$Z:$Z,"&lt;&gt;CO",Dataset!$Z:$Z,"&lt;&gt;PE",Dataset!$Z:$Z,"&lt;&gt;BR",Dataset!$Z:$Z,"&lt;&gt;PA")</f>
        <v>8.1843053777581973E-3</v>
      </c>
      <c r="L92" s="160">
        <f t="shared" si="11"/>
        <v>-2.2636722283149793E-2</v>
      </c>
      <c r="M92" s="182">
        <f>SUMIFS(Dataset!$AA:$AA,Dataset!$F:$F,'credito latam'!$D$11,Dataset!$Z:$Z,M$86,Dataset!$J:$J,"&lt;"&amp;$D92,Dataset!$J:$J,"&gt;="&amp;$C92)</f>
        <v>3.7441142999281037E-2</v>
      </c>
      <c r="N92" s="183">
        <f>SUMIFS(Dataset!$AA:$AA,Dataset!$F:$F,'credito latam'!$D$11,Dataset!$Z:$Z,N$86,Dataset!$J:$J,"&lt;"&amp;$D92,Dataset!$J:$J,"&gt;="&amp;$C92)</f>
        <v>1.0512582805250408E-2</v>
      </c>
      <c r="O92" s="183">
        <f>SUMIFS(Dataset!$AA:$AA,Dataset!$F:$F,'credito latam'!$D$11,Dataset!$Z:$Z,O$86,Dataset!$J:$J,"&lt;"&amp;$D92,Dataset!$J:$J,"&gt;="&amp;$C92)</f>
        <v>2.4834977535631176E-2</v>
      </c>
      <c r="P92" s="183">
        <f>SUMIFS(Dataset!$AA:$AA,Dataset!$F:$F,'credito latam'!$D$11,Dataset!$Z:$Z,P$86,Dataset!$J:$J,"&lt;"&amp;$D92,Dataset!$J:$J,"&gt;="&amp;$C92)</f>
        <v>-2.5699485407945068E-2</v>
      </c>
      <c r="Q92" s="183">
        <f>SUMIFS(Dataset!$AA:$AA,Dataset!$F:$F,'credito latam'!$D$11,Dataset!$Z:$Z,Q$86,Dataset!$J:$J,"&lt;"&amp;$D92,Dataset!$J:$J,"&gt;="&amp;$C92)</f>
        <v>2.3422812745824199E-2</v>
      </c>
      <c r="R92" s="183">
        <f>SUMIFS(Dataset!$AA:$AA,Dataset!$F:$F,'credito latam'!$D$11,Dataset!$Z:$Z,R$86,Dataset!$J:$J,"&lt;"&amp;$D92,Dataset!$J:$J,"&gt;="&amp;$C92)</f>
        <v>-3.0803206264892437E-4</v>
      </c>
      <c r="S92" s="184">
        <f>SUMIFS(Dataset!$AA:$AA,Dataset!$F:$F,'credito latam'!$D$11,Dataset!$J:$J,"&lt;"&amp;$D92,Dataset!J:J,"&gt;="&amp;$C92,Dataset!$Z:$Z,"&lt;&gt;CL",Dataset!$Z:$Z,"&lt;&gt;MX",Dataset!$Z:$Z,"&lt;&gt;CO",Dataset!$Z:$Z,"&lt;&gt;PE",Dataset!$Z:$Z,"&lt;&gt;BR",Dataset!$Z:$Z,"&lt;&gt;PA")</f>
        <v>-3.5817792586728618E-2</v>
      </c>
      <c r="T92" s="160">
        <f t="shared" si="12"/>
        <v>3.4386206028664205E-2</v>
      </c>
    </row>
    <row r="93" spans="2:32" ht="36" customHeight="1" x14ac:dyDescent="0.25">
      <c r="B93" s="3"/>
      <c r="C93" s="57">
        <v>5.5</v>
      </c>
      <c r="D93" s="61">
        <v>6.5</v>
      </c>
      <c r="E93" s="182">
        <f>SUMIFS(Dataset!$AJ:$AJ,Dataset!$F:$F,'credito latam'!$D$11,Dataset!$Z:$Z,E$86,Dataset!$J:$J,"&lt;"&amp;$D93,Dataset!$J:$J,"&gt;="&amp;$C93)</f>
        <v>-2.9151893171343743E-2</v>
      </c>
      <c r="F93" s="188">
        <f>SUMIFS(Dataset!$AJ:$AJ,Dataset!$F:$F,'credito latam'!$D$11,Dataset!$Z:$Z,F$86,Dataset!$J:$J,"&lt;"&amp;$D93,Dataset!$J:$J,"&gt;="&amp;$C93)</f>
        <v>-1.4790746205849341E-2</v>
      </c>
      <c r="G93" s="188">
        <f>SUMIFS(Dataset!$AJ:$AJ,Dataset!$F:$F,'credito latam'!$D$11,Dataset!$Z:$Z,G$86,Dataset!$J:$J,"&lt;"&amp;$D93,Dataset!$J:$J,"&gt;="&amp;$C93)</f>
        <v>1.3442576037574691E-3</v>
      </c>
      <c r="H93" s="188">
        <f>SUMIFS(Dataset!$AJ:$AJ,Dataset!$F:$F,'credito latam'!$D$11,Dataset!$Z:$Z,H$86,Dataset!$J:$J,"&lt;"&amp;$D93,Dataset!$J:$J,"&gt;="&amp;$C93)</f>
        <v>-3.0430960776076888E-3</v>
      </c>
      <c r="I93" s="188">
        <f>SUMIFS(Dataset!$AJ:$AJ,Dataset!$F:$F,'credito latam'!$D$11,Dataset!$Z:$Z,I$86,Dataset!$J:$J,"&lt;"&amp;$D93,Dataset!$J:$J,"&gt;="&amp;$C93)</f>
        <v>-7.5175549622061256E-3</v>
      </c>
      <c r="J93" s="188">
        <f>SUMIFS(Dataset!$AJ:$AJ,Dataset!$F:$F,'credito latam'!$D$11,Dataset!$Z:$Z,J$86,Dataset!$J:$J,"&lt;"&amp;$D93,Dataset!$J:$J,"&gt;="&amp;$C93)</f>
        <v>0</v>
      </c>
      <c r="K93" s="189">
        <f>SUMIFS(Dataset!$AK:$AK,Dataset!$F:$F,'credito latam'!$D$11,Dataset!$J:$J,"&lt;"&amp;$D93,Dataset!J:J,"&gt;="&amp;$C93,Dataset!$Z:$Z,"&lt;&gt;CL",Dataset!$Z:$Z,"&lt;&gt;MX",Dataset!$Z:$Z,"&lt;&gt;CO",Dataset!$Z:$Z,"&lt;&gt;PE",Dataset!$Z:$Z,"&lt;&gt;BR",Dataset!$Z:$Z,"&lt;&gt;PA")</f>
        <v>0</v>
      </c>
      <c r="L93" s="160">
        <f t="shared" si="11"/>
        <v>-5.3159032813249428E-2</v>
      </c>
      <c r="M93" s="182">
        <f>SUMIFS(Dataset!$AA:$AA,Dataset!$F:$F,'credito latam'!$D$11,Dataset!$Z:$Z,M$86,Dataset!$J:$J,"&lt;"&amp;$D93,Dataset!$J:$J,"&gt;="&amp;$C93)</f>
        <v>3.0884432382609996E-2</v>
      </c>
      <c r="N93" s="188">
        <f>SUMIFS(Dataset!$AA:$AA,Dataset!$F:$F,'credito latam'!$D$11,Dataset!$Z:$Z,N$86,Dataset!$J:$J,"&lt;"&amp;$D93,Dataset!$J:$J,"&gt;="&amp;$C93)</f>
        <v>3.6225057436462413E-2</v>
      </c>
      <c r="O93" s="188">
        <f>SUMIFS(Dataset!$AA:$AA,Dataset!$F:$F,'credito latam'!$D$11,Dataset!$Z:$Z,O$86,Dataset!$J:$J,"&lt;"&amp;$D93,Dataset!$J:$J,"&gt;="&amp;$C93)</f>
        <v>4.3234840069275263E-2</v>
      </c>
      <c r="P93" s="188">
        <f>SUMIFS(Dataset!$AA:$AA,Dataset!$F:$F,'credito latam'!$D$11,Dataset!$Z:$Z,P$86,Dataset!$J:$J,"&lt;"&amp;$D93,Dataset!$J:$J,"&gt;="&amp;$C93)</f>
        <v>6.1751993544585312E-3</v>
      </c>
      <c r="Q93" s="188">
        <f>SUMIFS(Dataset!$AA:$AA,Dataset!$F:$F,'credito latam'!$D$11,Dataset!$Z:$Z,Q$86,Dataset!$J:$J,"&lt;"&amp;$D93,Dataset!$J:$J,"&gt;="&amp;$C93)</f>
        <v>9.6697702337956801E-3</v>
      </c>
      <c r="R93" s="188">
        <f>SUMIFS(Dataset!$AA:$AA,Dataset!$F:$F,'credito latam'!$D$11,Dataset!$Z:$Z,R$86,Dataset!$J:$J,"&lt;"&amp;$D93,Dataset!$J:$J,"&gt;="&amp;$C93)</f>
        <v>0</v>
      </c>
      <c r="S93" s="189">
        <f>SUMIFS(Dataset!$AA:$AA,Dataset!$F:$F,'credito latam'!$D$11,Dataset!$J:$J,"&lt;"&amp;$D93,Dataset!J:J,"&gt;="&amp;$C93,Dataset!$Z:$Z,"&lt;&gt;CL",Dataset!$Z:$Z,"&lt;&gt;MX",Dataset!$Z:$Z,"&lt;&gt;CO",Dataset!$Z:$Z,"&lt;&gt;PE",Dataset!$Z:$Z,"&lt;&gt;BR",Dataset!$Z:$Z,"&lt;&gt;PA")</f>
        <v>0</v>
      </c>
      <c r="T93" s="160">
        <f t="shared" si="12"/>
        <v>0.12618929947660187</v>
      </c>
    </row>
    <row r="94" spans="2:32" ht="27" customHeight="1" x14ac:dyDescent="0.2">
      <c r="C94" s="57">
        <v>6.5</v>
      </c>
      <c r="D94" s="61">
        <v>7.5</v>
      </c>
      <c r="E94" s="182">
        <f>SUMIFS(Dataset!$AJ:$AJ,Dataset!$F:$F,'credito latam'!$D$11,Dataset!$Z:$Z,E$86,Dataset!$J:$J,"&lt;"&amp;$D94,Dataset!$J:$J,"&gt;="&amp;$C94)</f>
        <v>-5.9707582907073901E-3</v>
      </c>
      <c r="F94" s="183">
        <f>SUMIFS(Dataset!$AJ:$AJ,Dataset!$F:$F,'credito latam'!$D$11,Dataset!$Z:$Z,F$86,Dataset!$J:$J,"&lt;"&amp;$D94,Dataset!$J:$J,"&gt;="&amp;$C94)</f>
        <v>2.7770204741446616E-2</v>
      </c>
      <c r="G94" s="183">
        <f>SUMIFS(Dataset!$AJ:$AJ,Dataset!$F:$F,'credito latam'!$D$11,Dataset!$Z:$Z,G$86,Dataset!$J:$J,"&lt;"&amp;$D94,Dataset!$J:$J,"&gt;="&amp;$C94)</f>
        <v>1.4106692844085165E-2</v>
      </c>
      <c r="H94" s="183">
        <f>SUMIFS(Dataset!$AJ:$AJ,Dataset!$F:$F,'credito latam'!$D$11,Dataset!$Z:$Z,H$86,Dataset!$J:$J,"&lt;"&amp;$D94,Dataset!$J:$J,"&gt;="&amp;$C94)</f>
        <v>4.4713118148907022E-3</v>
      </c>
      <c r="I94" s="183">
        <f>SUMIFS(Dataset!$AJ:$AJ,Dataset!$F:$F,'credito latam'!$D$11,Dataset!$Z:$Z,I$86,Dataset!$J:$J,"&lt;"&amp;$D94,Dataset!$J:$J,"&gt;="&amp;$C94)</f>
        <v>6.5553577660703563E-2</v>
      </c>
      <c r="J94" s="183">
        <f>SUMIFS(Dataset!$AJ:$AJ,Dataset!$F:$F,'credito latam'!$D$11,Dataset!$Z:$Z,J$86,Dataset!$J:$J,"&lt;"&amp;$D94,Dataset!$J:$J,"&gt;="&amp;$C94)</f>
        <v>0</v>
      </c>
      <c r="K94" s="184">
        <f>SUMIFS(Dataset!$AK:$AK,Dataset!$F:$F,'credito latam'!$D$11,Dataset!$J:$J,"&lt;"&amp;$D94,Dataset!J:J,"&gt;="&amp;$C94,Dataset!$Z:$Z,"&lt;&gt;CL",Dataset!$Z:$Z,"&lt;&gt;MX",Dataset!$Z:$Z,"&lt;&gt;CO",Dataset!$Z:$Z,"&lt;&gt;PE",Dataset!$Z:$Z,"&lt;&gt;BR",Dataset!$Z:$Z,"&lt;&gt;PA")</f>
        <v>2.0254297436144073E-2</v>
      </c>
      <c r="L94" s="160">
        <f t="shared" si="11"/>
        <v>0.12618532620656273</v>
      </c>
      <c r="M94" s="182">
        <f>SUMIFS(Dataset!$AA:$AA,Dataset!$F:$F,'credito latam'!$D$11,Dataset!$Z:$Z,M$86,Dataset!$J:$J,"&lt;"&amp;$D94,Dataset!$J:$J,"&gt;="&amp;$C94)</f>
        <v>3.1547763293452518E-3</v>
      </c>
      <c r="N94" s="183">
        <f>SUMIFS(Dataset!$AA:$AA,Dataset!$F:$F,'credito latam'!$D$11,Dataset!$Z:$Z,N$86,Dataset!$J:$J,"&lt;"&amp;$D94,Dataset!$J:$J,"&gt;="&amp;$C94)</f>
        <v>2.1151666752294272E-2</v>
      </c>
      <c r="O94" s="183">
        <f>SUMIFS(Dataset!$AA:$AA,Dataset!$F:$F,'credito latam'!$D$11,Dataset!$Z:$Z,O$86,Dataset!$J:$J,"&lt;"&amp;$D94,Dataset!$J:$J,"&gt;="&amp;$C94)</f>
        <v>-1.5478738626463876E-2</v>
      </c>
      <c r="P94" s="183">
        <f>SUMIFS(Dataset!$AA:$AA,Dataset!$F:$F,'credito latam'!$D$11,Dataset!$Z:$Z,P$86,Dataset!$J:$J,"&lt;"&amp;$D94,Dataset!$J:$J,"&gt;="&amp;$C94)</f>
        <v>-4.3384618307546708E-3</v>
      </c>
      <c r="Q94" s="183">
        <f>SUMIFS(Dataset!$AA:$AA,Dataset!$F:$F,'credito latam'!$D$11,Dataset!$Z:$Z,Q$86,Dataset!$J:$J,"&lt;"&amp;$D94,Dataset!$J:$J,"&gt;="&amp;$C94)</f>
        <v>-7.631967711764244E-2</v>
      </c>
      <c r="R94" s="183">
        <f>SUMIFS(Dataset!$AA:$AA,Dataset!$F:$F,'credito latam'!$D$11,Dataset!$Z:$Z,R$86,Dataset!$J:$J,"&lt;"&amp;$D94,Dataset!$J:$J,"&gt;="&amp;$C94)</f>
        <v>0</v>
      </c>
      <c r="S94" s="184">
        <f>SUMIFS(Dataset!$AA:$AA,Dataset!$F:$F,'credito latam'!$D$11,Dataset!$J:$J,"&lt;"&amp;$D94,Dataset!J:J,"&gt;="&amp;$C94,Dataset!$Z:$Z,"&lt;&gt;CL",Dataset!$Z:$Z,"&lt;&gt;MX",Dataset!$Z:$Z,"&lt;&gt;CO",Dataset!$Z:$Z,"&lt;&gt;PE",Dataset!$Z:$Z,"&lt;&gt;BR",Dataset!$Z:$Z,"&lt;&gt;PA")</f>
        <v>-1.9855326979457581E-2</v>
      </c>
      <c r="T94" s="160">
        <f t="shared" si="12"/>
        <v>-9.1685761472679039E-2</v>
      </c>
    </row>
    <row r="95" spans="2:32" ht="27" customHeight="1" x14ac:dyDescent="0.2">
      <c r="C95" s="57">
        <v>7.5</v>
      </c>
      <c r="D95" s="61">
        <v>8.5</v>
      </c>
      <c r="E95" s="182">
        <f>SUMIFS(Dataset!$AJ:$AJ,Dataset!$F:$F,'credito latam'!$D$11,Dataset!$Z:$Z,E$86,Dataset!$J:$J,"&lt;"&amp;$D95,Dataset!$J:$J,"&gt;="&amp;$C95)</f>
        <v>2.2389766317968754E-2</v>
      </c>
      <c r="F95" s="188">
        <f>SUMIFS(Dataset!$AJ:$AJ,Dataset!$F:$F,'credito latam'!$D$11,Dataset!$Z:$Z,F$86,Dataset!$J:$J,"&lt;"&amp;$D95,Dataset!$J:$J,"&gt;="&amp;$C95)</f>
        <v>3.911170055869076E-2</v>
      </c>
      <c r="G95" s="188">
        <f>SUMIFS(Dataset!$AJ:$AJ,Dataset!$F:$F,'credito latam'!$D$11,Dataset!$Z:$Z,G$86,Dataset!$J:$J,"&lt;"&amp;$D95,Dataset!$J:$J,"&gt;="&amp;$C95)</f>
        <v>2.247169586026598E-2</v>
      </c>
      <c r="H95" s="188">
        <f>SUMIFS(Dataset!$AJ:$AJ,Dataset!$F:$F,'credito latam'!$D$11,Dataset!$Z:$Z,H$86,Dataset!$J:$J,"&lt;"&amp;$D95,Dataset!$J:$J,"&gt;="&amp;$C95)</f>
        <v>3.7668337565927537E-2</v>
      </c>
      <c r="I95" s="188">
        <f>SUMIFS(Dataset!$AJ:$AJ,Dataset!$F:$F,'credito latam'!$D$11,Dataset!$Z:$Z,I$86,Dataset!$J:$J,"&lt;"&amp;$D95,Dataset!$J:$J,"&gt;="&amp;$C95)</f>
        <v>3.270846338119477E-2</v>
      </c>
      <c r="J95" s="188">
        <f>SUMIFS(Dataset!$AJ:$AJ,Dataset!$F:$F,'credito latam'!$D$11,Dataset!$Z:$Z,J$86,Dataset!$J:$J,"&lt;"&amp;$D95,Dataset!$J:$J,"&gt;="&amp;$C95)</f>
        <v>7.7976266107123021E-3</v>
      </c>
      <c r="K95" s="189">
        <f>SUMIFS(Dataset!$AK:$AK,Dataset!$F:$F,'credito latam'!$D$11,Dataset!$J:$J,"&lt;"&amp;$D95,Dataset!J:J,"&gt;="&amp;$C95,Dataset!$Z:$Z,"&lt;&gt;CL",Dataset!$Z:$Z,"&lt;&gt;MX",Dataset!$Z:$Z,"&lt;&gt;CO",Dataset!$Z:$Z,"&lt;&gt;PE",Dataset!$Z:$Z,"&lt;&gt;BR",Dataset!$Z:$Z,"&lt;&gt;PA")</f>
        <v>0</v>
      </c>
      <c r="L95" s="160">
        <f t="shared" si="11"/>
        <v>0.16214759029476011</v>
      </c>
      <c r="M95" s="182">
        <f>SUMIFS(Dataset!$AA:$AA,Dataset!$F:$F,'credito latam'!$D$11,Dataset!$Z:$Z,M$86,Dataset!$J:$J,"&lt;"&amp;$D95,Dataset!$J:$J,"&gt;="&amp;$C95)</f>
        <v>-5.673586390850755E-3</v>
      </c>
      <c r="N95" s="188">
        <f>SUMIFS(Dataset!$AA:$AA,Dataset!$F:$F,'credito latam'!$D$11,Dataset!$Z:$Z,N$86,Dataset!$J:$J,"&lt;"&amp;$D95,Dataset!$J:$J,"&gt;="&amp;$C95)</f>
        <v>-2.5277421985528115E-2</v>
      </c>
      <c r="O95" s="188">
        <f>SUMIFS(Dataset!$AA:$AA,Dataset!$F:$F,'credito latam'!$D$11,Dataset!$Z:$Z,O$86,Dataset!$J:$J,"&lt;"&amp;$D95,Dataset!$J:$J,"&gt;="&amp;$C95)</f>
        <v>-4.3766484262726807E-3</v>
      </c>
      <c r="P95" s="188">
        <f>SUMIFS(Dataset!$AA:$AA,Dataset!$F:$F,'credito latam'!$D$11,Dataset!$Z:$Z,P$86,Dataset!$J:$J,"&lt;"&amp;$D95,Dataset!$J:$J,"&gt;="&amp;$C95)</f>
        <v>-1.6518960052816493E-2</v>
      </c>
      <c r="Q95" s="188">
        <f>SUMIFS(Dataset!$AA:$AA,Dataset!$F:$F,'credito latam'!$D$11,Dataset!$Z:$Z,Q$86,Dataset!$J:$J,"&lt;"&amp;$D95,Dataset!$J:$J,"&gt;="&amp;$C95)</f>
        <v>-1.1831864487324963E-2</v>
      </c>
      <c r="R95" s="188">
        <f>SUMIFS(Dataset!$AA:$AA,Dataset!$F:$F,'credito latam'!$D$11,Dataset!$Z:$Z,R$86,Dataset!$J:$J,"&lt;"&amp;$D95,Dataset!$J:$J,"&gt;="&amp;$C95)</f>
        <v>-2.9347888873001511E-3</v>
      </c>
      <c r="S95" s="189">
        <f>SUMIFS(Dataset!$AA:$AA,Dataset!$F:$F,'credito latam'!$D$11,Dataset!$J:$J,"&lt;"&amp;$D95,Dataset!J:J,"&gt;="&amp;$C95,Dataset!$Z:$Z,"&lt;&gt;CL",Dataset!$Z:$Z,"&lt;&gt;MX",Dataset!$Z:$Z,"&lt;&gt;CO",Dataset!$Z:$Z,"&lt;&gt;PE",Dataset!$Z:$Z,"&lt;&gt;BR",Dataset!$Z:$Z,"&lt;&gt;PA")</f>
        <v>0</v>
      </c>
      <c r="T95" s="160">
        <f t="shared" si="12"/>
        <v>-6.6613270230093169E-2</v>
      </c>
    </row>
    <row r="96" spans="2:32" ht="27" customHeight="1" x14ac:dyDescent="0.2">
      <c r="C96" s="57">
        <v>8.5</v>
      </c>
      <c r="D96" s="61">
        <v>9.5</v>
      </c>
      <c r="E96" s="182">
        <f>SUMIFS(Dataset!$AJ:$AJ,Dataset!$F:$F,'credito latam'!$D$11,Dataset!$Z:$Z,E$86,Dataset!$J:$J,"&lt;"&amp;$D96,Dataset!$J:$J,"&gt;="&amp;$C96)</f>
        <v>2.2734644012187945E-3</v>
      </c>
      <c r="F96" s="183">
        <f>SUMIFS(Dataset!$AJ:$AJ,Dataset!$F:$F,'credito latam'!$D$11,Dataset!$Z:$Z,F$86,Dataset!$J:$J,"&lt;"&amp;$D96,Dataset!$J:$J,"&gt;="&amp;$C96)</f>
        <v>1.7418152143542612E-3</v>
      </c>
      <c r="G96" s="183">
        <f>SUMIFS(Dataset!$AJ:$AJ,Dataset!$F:$F,'credito latam'!$D$11,Dataset!$Z:$Z,G$86,Dataset!$J:$J,"&lt;"&amp;$D96,Dataset!$J:$J,"&gt;="&amp;$C96)</f>
        <v>0</v>
      </c>
      <c r="H96" s="183">
        <f>SUMIFS(Dataset!$AJ:$AJ,Dataset!$F:$F,'credito latam'!$D$11,Dataset!$Z:$Z,H$86,Dataset!$J:$J,"&lt;"&amp;$D96,Dataset!$J:$J,"&gt;="&amp;$C96)</f>
        <v>1.8547202934721709E-2</v>
      </c>
      <c r="I96" s="183">
        <f>SUMIFS(Dataset!$AJ:$AJ,Dataset!$F:$F,'credito latam'!$D$11,Dataset!$Z:$Z,I$86,Dataset!$J:$J,"&lt;"&amp;$D96,Dataset!$J:$J,"&gt;="&amp;$C96)</f>
        <v>0</v>
      </c>
      <c r="J96" s="183">
        <f>SUMIFS(Dataset!$AJ:$AJ,Dataset!$F:$F,'credito latam'!$D$11,Dataset!$Z:$Z,J$86,Dataset!$J:$J,"&lt;"&amp;$D96,Dataset!$J:$J,"&gt;="&amp;$C96)</f>
        <v>0</v>
      </c>
      <c r="K96" s="184">
        <f>SUMIFS(Dataset!$AK:$AK,Dataset!$F:$F,'credito latam'!$D$11,Dataset!$J:$J,"&lt;"&amp;$D96,Dataset!J:J,"&gt;="&amp;$C96,Dataset!$Z:$Z,"&lt;&gt;CL",Dataset!$Z:$Z,"&lt;&gt;MX",Dataset!$Z:$Z,"&lt;&gt;CO",Dataset!$Z:$Z,"&lt;&gt;PE",Dataset!$Z:$Z,"&lt;&gt;BR",Dataset!$Z:$Z,"&lt;&gt;PA")</f>
        <v>0</v>
      </c>
      <c r="L96" s="160">
        <f t="shared" si="11"/>
        <v>2.2562482550294763E-2</v>
      </c>
      <c r="M96" s="182">
        <f>SUMIFS(Dataset!$AA:$AA,Dataset!$F:$F,'credito latam'!$D$11,Dataset!$Z:$Z,M$86,Dataset!$J:$J,"&lt;"&amp;$D96,Dataset!$J:$J,"&gt;="&amp;$C96)</f>
        <v>-1.0214677139610016E-2</v>
      </c>
      <c r="N96" s="183">
        <f>SUMIFS(Dataset!$AA:$AA,Dataset!$F:$F,'credito latam'!$D$11,Dataset!$Z:$Z,N$86,Dataset!$J:$J,"&lt;"&amp;$D96,Dataset!$J:$J,"&gt;="&amp;$C96)</f>
        <v>7.2215876567588693E-3</v>
      </c>
      <c r="O96" s="183">
        <f>SUMIFS(Dataset!$AA:$AA,Dataset!$F:$F,'credito latam'!$D$11,Dataset!$Z:$Z,O$86,Dataset!$J:$J,"&lt;"&amp;$D96,Dataset!$J:$J,"&gt;="&amp;$C96)</f>
        <v>0</v>
      </c>
      <c r="P96" s="183">
        <f>SUMIFS(Dataset!$AA:$AA,Dataset!$F:$F,'credito latam'!$D$11,Dataset!$Z:$Z,P$86,Dataset!$J:$J,"&lt;"&amp;$D96,Dataset!$J:$J,"&gt;="&amp;$C96)</f>
        <v>-1.0302184755716554E-2</v>
      </c>
      <c r="Q96" s="183">
        <f>SUMIFS(Dataset!$AA:$AA,Dataset!$F:$F,'credito latam'!$D$11,Dataset!$Z:$Z,Q$86,Dataset!$J:$J,"&lt;"&amp;$D96,Dataset!$J:$J,"&gt;="&amp;$C96)</f>
        <v>0</v>
      </c>
      <c r="R96" s="183">
        <f>SUMIFS(Dataset!$AA:$AA,Dataset!$F:$F,'credito latam'!$D$11,Dataset!$Z:$Z,R$86,Dataset!$J:$J,"&lt;"&amp;$D96,Dataset!$J:$J,"&gt;="&amp;$C96)</f>
        <v>0</v>
      </c>
      <c r="S96" s="184">
        <f>SUMIFS(Dataset!$AA:$AA,Dataset!$F:$F,'credito latam'!$D$11,Dataset!$J:$J,"&lt;"&amp;$D96,Dataset!J:J,"&gt;="&amp;$C96,Dataset!$Z:$Z,"&lt;&gt;CL",Dataset!$Z:$Z,"&lt;&gt;MX",Dataset!$Z:$Z,"&lt;&gt;CO",Dataset!$Z:$Z,"&lt;&gt;PE",Dataset!$Z:$Z,"&lt;&gt;BR",Dataset!$Z:$Z,"&lt;&gt;PA")</f>
        <v>0</v>
      </c>
      <c r="T96" s="160">
        <f t="shared" si="12"/>
        <v>-1.3295274238567701E-2</v>
      </c>
    </row>
    <row r="97" spans="3:20" ht="27" customHeight="1" x14ac:dyDescent="0.2">
      <c r="C97" s="57">
        <v>9.5</v>
      </c>
      <c r="D97" s="61">
        <v>10.5</v>
      </c>
      <c r="E97" s="182">
        <f>SUMIFS(Dataset!$AJ:$AJ,Dataset!$F:$F,'credito latam'!$D$11,Dataset!$Z:$Z,E$86,Dataset!$J:$J,"&lt;"&amp;$D97,Dataset!$J:$J,"&gt;="&amp;$C97)</f>
        <v>0</v>
      </c>
      <c r="F97" s="188">
        <f>SUMIFS(Dataset!$AJ:$AJ,Dataset!$F:$F,'credito latam'!$D$11,Dataset!$Z:$Z,F$86,Dataset!$J:$J,"&lt;"&amp;$D97,Dataset!$J:$J,"&gt;="&amp;$C97)</f>
        <v>7.3315446863459885E-3</v>
      </c>
      <c r="G97" s="188">
        <f>SUMIFS(Dataset!$AJ:$AJ,Dataset!$F:$F,'credito latam'!$D$11,Dataset!$Z:$Z,G$86,Dataset!$J:$J,"&lt;"&amp;$D97,Dataset!$J:$J,"&gt;="&amp;$C97)</f>
        <v>0</v>
      </c>
      <c r="H97" s="188">
        <f>SUMIFS(Dataset!$AJ:$AJ,Dataset!$F:$F,'credito latam'!$D$11,Dataset!$Z:$Z,H$86,Dataset!$J:$J,"&lt;"&amp;$D97,Dataset!$J:$J,"&gt;="&amp;$C97)</f>
        <v>-7.5640788907861212E-3</v>
      </c>
      <c r="I97" s="188">
        <f>SUMIFS(Dataset!$AJ:$AJ,Dataset!$F:$F,'credito latam'!$D$11,Dataset!$Z:$Z,I$86,Dataset!$J:$J,"&lt;"&amp;$D97,Dataset!$J:$J,"&gt;="&amp;$C97)</f>
        <v>-3.5175499087449187E-3</v>
      </c>
      <c r="J97" s="188">
        <f>SUMIFS(Dataset!$AJ:$AJ,Dataset!$F:$F,'credito latam'!$D$11,Dataset!$Z:$Z,J$86,Dataset!$J:$J,"&lt;"&amp;$D97,Dataset!$J:$J,"&gt;="&amp;$C97)</f>
        <v>0</v>
      </c>
      <c r="K97" s="189">
        <f>SUMIFS(Dataset!$AK:$AK,Dataset!$F:$F,'credito latam'!$D$11,Dataset!$J:$J,"&lt;"&amp;$D97,Dataset!J:J,"&gt;="&amp;$C97,Dataset!$Z:$Z,"&lt;&gt;CL",Dataset!$Z:$Z,"&lt;&gt;MX",Dataset!$Z:$Z,"&lt;&gt;CO",Dataset!$Z:$Z,"&lt;&gt;PE",Dataset!$Z:$Z,"&lt;&gt;BR",Dataset!$Z:$Z,"&lt;&gt;PA")</f>
        <v>0</v>
      </c>
      <c r="L97" s="160">
        <f t="shared" si="11"/>
        <v>-3.7500841131850515E-3</v>
      </c>
      <c r="M97" s="182">
        <f>SUMIFS(Dataset!$AA:$AA,Dataset!$F:$F,'credito latam'!$D$11,Dataset!$Z:$Z,M$86,Dataset!$J:$J,"&lt;"&amp;$D97,Dataset!$J:$J,"&gt;="&amp;$C97)</f>
        <v>0</v>
      </c>
      <c r="N97" s="188">
        <f>SUMIFS(Dataset!$AA:$AA,Dataset!$F:$F,'credito latam'!$D$11,Dataset!$Z:$Z,N$86,Dataset!$J:$J,"&lt;"&amp;$D97,Dataset!$J:$J,"&gt;="&amp;$C97)</f>
        <v>-1.2181217528493412E-2</v>
      </c>
      <c r="O97" s="188">
        <f>SUMIFS(Dataset!$AA:$AA,Dataset!$F:$F,'credito latam'!$D$11,Dataset!$Z:$Z,O$86,Dataset!$J:$J,"&lt;"&amp;$D97,Dataset!$J:$J,"&gt;="&amp;$C97)</f>
        <v>0</v>
      </c>
      <c r="P97" s="188">
        <f>SUMIFS(Dataset!$AA:$AA,Dataset!$F:$F,'credito latam'!$D$11,Dataset!$Z:$Z,P$86,Dataset!$J:$J,"&lt;"&amp;$D97,Dataset!$J:$J,"&gt;="&amp;$C97)</f>
        <v>-4.3159952073832898E-3</v>
      </c>
      <c r="Q97" s="188">
        <f>SUMIFS(Dataset!$AA:$AA,Dataset!$F:$F,'credito latam'!$D$11,Dataset!$Z:$Z,Q$86,Dataset!$J:$J,"&lt;"&amp;$D97,Dataset!$J:$J,"&gt;="&amp;$C97)</f>
        <v>1.9217938268418881E-2</v>
      </c>
      <c r="R97" s="188">
        <f>SUMIFS(Dataset!$AA:$AA,Dataset!$F:$F,'credito latam'!$D$11,Dataset!$Z:$Z,R$86,Dataset!$J:$J,"&lt;"&amp;$D97,Dataset!$J:$J,"&gt;="&amp;$C97)</f>
        <v>0</v>
      </c>
      <c r="S97" s="189">
        <f>SUMIFS(Dataset!$AA:$AA,Dataset!$F:$F,'credito latam'!$D$11,Dataset!$J:$J,"&lt;"&amp;$D97,Dataset!J:J,"&gt;="&amp;$C97,Dataset!$Z:$Z,"&lt;&gt;CL",Dataset!$Z:$Z,"&lt;&gt;MX",Dataset!$Z:$Z,"&lt;&gt;CO",Dataset!$Z:$Z,"&lt;&gt;PE",Dataset!$Z:$Z,"&lt;&gt;BR",Dataset!$Z:$Z,"&lt;&gt;PA")</f>
        <v>0</v>
      </c>
      <c r="T97" s="160">
        <f t="shared" si="12"/>
        <v>2.7207255325421807E-3</v>
      </c>
    </row>
    <row r="98" spans="3:20" ht="27" customHeight="1" x14ac:dyDescent="0.2">
      <c r="C98" s="57">
        <v>10.5</v>
      </c>
      <c r="D98" s="61">
        <v>11.5</v>
      </c>
      <c r="E98" s="182">
        <f>SUMIFS(Dataset!$AJ:$AJ,Dataset!$F:$F,'credito latam'!$D$11,Dataset!$Z:$Z,E$86,Dataset!$J:$J,"&lt;"&amp;$D98,Dataset!$J:$J,"&gt;="&amp;$C98)</f>
        <v>0</v>
      </c>
      <c r="F98" s="183">
        <f>SUMIFS(Dataset!$AJ:$AJ,Dataset!$F:$F,'credito latam'!$D$11,Dataset!$Z:$Z,F$86,Dataset!$J:$J,"&lt;"&amp;$D98,Dataset!$J:$J,"&gt;="&amp;$C98)</f>
        <v>-7.233247635722132E-3</v>
      </c>
      <c r="G98" s="183">
        <f>SUMIFS(Dataset!$AJ:$AJ,Dataset!$F:$F,'credito latam'!$D$11,Dataset!$Z:$Z,G$86,Dataset!$J:$J,"&lt;"&amp;$D98,Dataset!$J:$J,"&gt;="&amp;$C98)</f>
        <v>0</v>
      </c>
      <c r="H98" s="183">
        <f>SUMIFS(Dataset!$AJ:$AJ,Dataset!$F:$F,'credito latam'!$D$11,Dataset!$Z:$Z,H$86,Dataset!$J:$J,"&lt;"&amp;$D98,Dataset!$J:$J,"&gt;="&amp;$C98)</f>
        <v>-7.5280136152072056E-3</v>
      </c>
      <c r="I98" s="183">
        <f>SUMIFS(Dataset!$AJ:$AJ,Dataset!$F:$F,'credito latam'!$D$11,Dataset!$Z:$Z,I$86,Dataset!$J:$J,"&lt;"&amp;$D98,Dataset!$J:$J,"&gt;="&amp;$C98)</f>
        <v>-1.0173339334385363E-2</v>
      </c>
      <c r="J98" s="183">
        <f>SUMIFS(Dataset!$AJ:$AJ,Dataset!$F:$F,'credito latam'!$D$11,Dataset!$Z:$Z,J$86,Dataset!$J:$J,"&lt;"&amp;$D98,Dataset!$J:$J,"&gt;="&amp;$C98)</f>
        <v>0</v>
      </c>
      <c r="K98" s="184">
        <f>SUMIFS(Dataset!$AK:$AK,Dataset!$F:$F,'credito latam'!$D$11,Dataset!$J:$J,"&lt;"&amp;$D98,Dataset!J:J,"&gt;="&amp;$C98,Dataset!$Z:$Z,"&lt;&gt;CL",Dataset!$Z:$Z,"&lt;&gt;MX",Dataset!$Z:$Z,"&lt;&gt;CO",Dataset!$Z:$Z,"&lt;&gt;PE",Dataset!$Z:$Z,"&lt;&gt;BR",Dataset!$Z:$Z,"&lt;&gt;PA")</f>
        <v>0</v>
      </c>
      <c r="L98" s="160">
        <f t="shared" si="11"/>
        <v>-2.4934600585314701E-2</v>
      </c>
      <c r="M98" s="182">
        <f>SUMIFS(Dataset!$AA:$AA,Dataset!$F:$F,'credito latam'!$D$11,Dataset!$Z:$Z,M$86,Dataset!$J:$J,"&lt;"&amp;$D98,Dataset!$J:$J,"&gt;="&amp;$C98)</f>
        <v>0</v>
      </c>
      <c r="N98" s="183">
        <f>SUMIFS(Dataset!$AA:$AA,Dataset!$F:$F,'credito latam'!$D$11,Dataset!$Z:$Z,N$86,Dataset!$J:$J,"&lt;"&amp;$D98,Dataset!$J:$J,"&gt;="&amp;$C98)</f>
        <v>6.2256845581772267E-2</v>
      </c>
      <c r="O98" s="183">
        <f>SUMIFS(Dataset!$AA:$AA,Dataset!$F:$F,'credito latam'!$D$11,Dataset!$Z:$Z,O$86,Dataset!$J:$J,"&lt;"&amp;$D98,Dataset!$J:$J,"&gt;="&amp;$C98)</f>
        <v>0</v>
      </c>
      <c r="P98" s="183">
        <f>SUMIFS(Dataset!$AA:$AA,Dataset!$F:$F,'credito latam'!$D$11,Dataset!$Z:$Z,P$86,Dataset!$J:$J,"&lt;"&amp;$D98,Dataset!$J:$J,"&gt;="&amp;$C98)</f>
        <v>3.1954666022174484E-2</v>
      </c>
      <c r="Q98" s="183">
        <f>SUMIFS(Dataset!$AA:$AA,Dataset!$F:$F,'credito latam'!$D$11,Dataset!$Z:$Z,Q$86,Dataset!$J:$J,"&lt;"&amp;$D98,Dataset!$J:$J,"&gt;="&amp;$C98)</f>
        <v>7.0657823566854835E-2</v>
      </c>
      <c r="R98" s="183">
        <f>SUMIFS(Dataset!$AA:$AA,Dataset!$F:$F,'credito latam'!$D$11,Dataset!$Z:$Z,R$86,Dataset!$J:$J,"&lt;"&amp;$D98,Dataset!$J:$J,"&gt;="&amp;$C98)</f>
        <v>0</v>
      </c>
      <c r="S98" s="184">
        <f>SUMIFS(Dataset!$AA:$AA,Dataset!$F:$F,'credito latam'!$D$11,Dataset!$J:$J,"&lt;"&amp;$D98,Dataset!J:J,"&gt;="&amp;$C98,Dataset!$Z:$Z,"&lt;&gt;CL",Dataset!$Z:$Z,"&lt;&gt;MX",Dataset!$Z:$Z,"&lt;&gt;CO",Dataset!$Z:$Z,"&lt;&gt;PE",Dataset!$Z:$Z,"&lt;&gt;BR",Dataset!$Z:$Z,"&lt;&gt;PA")</f>
        <v>0</v>
      </c>
      <c r="T98" s="160">
        <f t="shared" si="12"/>
        <v>0.1648693351708016</v>
      </c>
    </row>
    <row r="99" spans="3:20" ht="27" customHeight="1" x14ac:dyDescent="0.2">
      <c r="C99" s="57">
        <v>11.5</v>
      </c>
      <c r="D99" s="61">
        <v>12.5</v>
      </c>
      <c r="E99" s="182">
        <f>SUMIFS(Dataset!$AJ:$AJ,Dataset!$F:$F,'credito latam'!$D$11,Dataset!$Z:$Z,E$86,Dataset!$J:$J,"&lt;"&amp;$D99,Dataset!$J:$J,"&gt;="&amp;$C99)</f>
        <v>0</v>
      </c>
      <c r="F99" s="188">
        <f>SUMIFS(Dataset!$AJ:$AJ,Dataset!$F:$F,'credito latam'!$D$11,Dataset!$Z:$Z,F$86,Dataset!$J:$J,"&lt;"&amp;$D99,Dataset!$J:$J,"&gt;="&amp;$C99)</f>
        <v>1.1977688128572077E-2</v>
      </c>
      <c r="G99" s="188">
        <f>SUMIFS(Dataset!$AJ:$AJ,Dataset!$F:$F,'credito latam'!$D$11,Dataset!$Z:$Z,G$86,Dataset!$J:$J,"&lt;"&amp;$D99,Dataset!$J:$J,"&gt;="&amp;$C99)</f>
        <v>0</v>
      </c>
      <c r="H99" s="188">
        <f>SUMIFS(Dataset!$AJ:$AJ,Dataset!$F:$F,'credito latam'!$D$11,Dataset!$Z:$Z,H$86,Dataset!$J:$J,"&lt;"&amp;$D99,Dataset!$J:$J,"&gt;="&amp;$C99)</f>
        <v>0</v>
      </c>
      <c r="I99" s="188">
        <f>SUMIFS(Dataset!$AJ:$AJ,Dataset!$F:$F,'credito latam'!$D$11,Dataset!$Z:$Z,I$86,Dataset!$J:$J,"&lt;"&amp;$D99,Dataset!$J:$J,"&gt;="&amp;$C99)</f>
        <v>-1.2046980264148428E-2</v>
      </c>
      <c r="J99" s="188">
        <f>SUMIFS(Dataset!$AJ:$AJ,Dataset!$F:$F,'credito latam'!$D$11,Dataset!$Z:$Z,J$86,Dataset!$J:$J,"&lt;"&amp;$D99,Dataset!$J:$J,"&gt;="&amp;$C99)</f>
        <v>0</v>
      </c>
      <c r="K99" s="189">
        <f>SUMIFS(Dataset!$AK:$AK,Dataset!$F:$F,'credito latam'!$D$11,Dataset!$J:$J,"&lt;"&amp;$D99,Dataset!J:J,"&gt;="&amp;$C99,Dataset!$Z:$Z,"&lt;&gt;CL",Dataset!$Z:$Z,"&lt;&gt;MX",Dataset!$Z:$Z,"&lt;&gt;CO",Dataset!$Z:$Z,"&lt;&gt;PE",Dataset!$Z:$Z,"&lt;&gt;BR",Dataset!$Z:$Z,"&lt;&gt;PA")</f>
        <v>0</v>
      </c>
      <c r="L99" s="160">
        <f t="shared" si="11"/>
        <v>-6.9292135576350805E-5</v>
      </c>
      <c r="M99" s="182">
        <f>SUMIFS(Dataset!$AA:$AA,Dataset!$F:$F,'credito latam'!$D$11,Dataset!$Z:$Z,M$86,Dataset!$J:$J,"&lt;"&amp;$D99,Dataset!$J:$J,"&gt;="&amp;$C99)</f>
        <v>0</v>
      </c>
      <c r="N99" s="188">
        <f>SUMIFS(Dataset!$AA:$AA,Dataset!$F:$F,'credito latam'!$D$11,Dataset!$Z:$Z,N$86,Dataset!$J:$J,"&lt;"&amp;$D99,Dataset!$J:$J,"&gt;="&amp;$C99)</f>
        <v>5.5039565945886965E-2</v>
      </c>
      <c r="O99" s="188">
        <f>SUMIFS(Dataset!$AA:$AA,Dataset!$F:$F,'credito latam'!$D$11,Dataset!$Z:$Z,O$86,Dataset!$J:$J,"&lt;"&amp;$D99,Dataset!$J:$J,"&gt;="&amp;$C99)</f>
        <v>0</v>
      </c>
      <c r="P99" s="188">
        <f>SUMIFS(Dataset!$AA:$AA,Dataset!$F:$F,'credito latam'!$D$11,Dataset!$Z:$Z,P$86,Dataset!$J:$J,"&lt;"&amp;$D99,Dataset!$J:$J,"&gt;="&amp;$C99)</f>
        <v>0</v>
      </c>
      <c r="Q99" s="188">
        <f>SUMIFS(Dataset!$AA:$AA,Dataset!$F:$F,'credito latam'!$D$11,Dataset!$Z:$Z,Q$86,Dataset!$J:$J,"&lt;"&amp;$D99,Dataset!$J:$J,"&gt;="&amp;$C99)</f>
        <v>7.0798078832292249E-2</v>
      </c>
      <c r="R99" s="188">
        <f>SUMIFS(Dataset!$AA:$AA,Dataset!$F:$F,'credito latam'!$D$11,Dataset!$Z:$Z,R$86,Dataset!$J:$J,"&lt;"&amp;$D99,Dataset!$J:$J,"&gt;="&amp;$C99)</f>
        <v>0</v>
      </c>
      <c r="S99" s="189">
        <f>SUMIFS(Dataset!$AA:$AA,Dataset!$F:$F,'credito latam'!$D$11,Dataset!$J:$J,"&lt;"&amp;$D99,Dataset!J:J,"&gt;="&amp;$C99,Dataset!$Z:$Z,"&lt;&gt;CL",Dataset!$Z:$Z,"&lt;&gt;MX",Dataset!$Z:$Z,"&lt;&gt;CO",Dataset!$Z:$Z,"&lt;&gt;PE",Dataset!$Z:$Z,"&lt;&gt;BR",Dataset!$Z:$Z,"&lt;&gt;PA")</f>
        <v>0</v>
      </c>
      <c r="T99" s="160">
        <f t="shared" si="12"/>
        <v>0.12583764477817921</v>
      </c>
    </row>
    <row r="100" spans="3:20" ht="27" customHeight="1" x14ac:dyDescent="0.2">
      <c r="C100" s="57">
        <v>12.5</v>
      </c>
      <c r="D100" s="61">
        <v>13.5</v>
      </c>
      <c r="E100" s="182">
        <f>SUMIFS(Dataset!$AJ:$AJ,Dataset!$F:$F,'credito latam'!$D$11,Dataset!$Z:$Z,E$86,Dataset!$J:$J,"&lt;"&amp;$D100,Dataset!$J:$J,"&gt;="&amp;$C100)</f>
        <v>-4.5096325788783129E-3</v>
      </c>
      <c r="F100" s="183">
        <f>SUMIFS(Dataset!$AJ:$AJ,Dataset!$F:$F,'credito latam'!$D$11,Dataset!$Z:$Z,F$86,Dataset!$J:$J,"&lt;"&amp;$D100,Dataset!$J:$J,"&gt;="&amp;$C100)</f>
        <v>-2.0061269053636126E-3</v>
      </c>
      <c r="G100" s="183">
        <f>SUMIFS(Dataset!$AJ:$AJ,Dataset!$F:$F,'credito latam'!$D$11,Dataset!$Z:$Z,G$86,Dataset!$J:$J,"&lt;"&amp;$D100,Dataset!$J:$J,"&gt;="&amp;$C100)</f>
        <v>-8.0709852554206648E-3</v>
      </c>
      <c r="H100" s="183">
        <f>SUMIFS(Dataset!$AJ:$AJ,Dataset!$F:$F,'credito latam'!$D$11,Dataset!$Z:$Z,H$86,Dataset!$J:$J,"&lt;"&amp;$D100,Dataset!$J:$J,"&gt;="&amp;$C100)</f>
        <v>-8.1057417506456998E-3</v>
      </c>
      <c r="I100" s="183">
        <f>SUMIFS(Dataset!$AJ:$AJ,Dataset!$F:$F,'credito latam'!$D$11,Dataset!$Z:$Z,I$86,Dataset!$J:$J,"&lt;"&amp;$D100,Dataset!$J:$J,"&gt;="&amp;$C100)</f>
        <v>0</v>
      </c>
      <c r="J100" s="183">
        <f>SUMIFS(Dataset!$AJ:$AJ,Dataset!$F:$F,'credito latam'!$D$11,Dataset!$Z:$Z,J$86,Dataset!$J:$J,"&lt;"&amp;$D100,Dataset!$J:$J,"&gt;="&amp;$C100)</f>
        <v>0</v>
      </c>
      <c r="K100" s="184">
        <f>SUMIFS(Dataset!$AK:$AK,Dataset!$F:$F,'credito latam'!$D$11,Dataset!$J:$J,"&lt;"&amp;$D100,Dataset!J:J,"&gt;="&amp;$C100,Dataset!$Z:$Z,"&lt;&gt;CL",Dataset!$Z:$Z,"&lt;&gt;MX",Dataset!$Z:$Z,"&lt;&gt;CO",Dataset!$Z:$Z,"&lt;&gt;PE",Dataset!$Z:$Z,"&lt;&gt;BR",Dataset!$Z:$Z,"&lt;&gt;PA")</f>
        <v>1.7161354315141365E-2</v>
      </c>
      <c r="L100" s="160">
        <f t="shared" si="11"/>
        <v>-5.5311321751669272E-3</v>
      </c>
      <c r="M100" s="182">
        <f>SUMIFS(Dataset!$AA:$AA,Dataset!$F:$F,'credito latam'!$D$11,Dataset!$Z:$Z,M$86,Dataset!$J:$J,"&lt;"&amp;$D100,Dataset!$J:$J,"&gt;="&amp;$C100)</f>
        <v>1.0153438148937266E-2</v>
      </c>
      <c r="N100" s="183">
        <f>SUMIFS(Dataset!$AA:$AA,Dataset!$F:$F,'credito latam'!$D$11,Dataset!$Z:$Z,N$86,Dataset!$J:$J,"&lt;"&amp;$D100,Dataset!$J:$J,"&gt;="&amp;$C100)</f>
        <v>-3.9647714706466101E-2</v>
      </c>
      <c r="O100" s="183">
        <f>SUMIFS(Dataset!$AA:$AA,Dataset!$F:$F,'credito latam'!$D$11,Dataset!$Z:$Z,O$86,Dataset!$J:$J,"&lt;"&amp;$D100,Dataset!$J:$J,"&gt;="&amp;$C100)</f>
        <v>2.8118207668428926E-2</v>
      </c>
      <c r="P100" s="183">
        <f>SUMIFS(Dataset!$AA:$AA,Dataset!$F:$F,'credito latam'!$D$11,Dataset!$Z:$Z,P$86,Dataset!$J:$J,"&lt;"&amp;$D100,Dataset!$J:$J,"&gt;="&amp;$C100)</f>
        <v>3.253881238671278E-2</v>
      </c>
      <c r="Q100" s="183">
        <f>SUMIFS(Dataset!$AA:$AA,Dataset!$F:$F,'credito latam'!$D$11,Dataset!$Z:$Z,Q$86,Dataset!$J:$J,"&lt;"&amp;$D100,Dataset!$J:$J,"&gt;="&amp;$C100)</f>
        <v>0</v>
      </c>
      <c r="R100" s="183">
        <f>SUMIFS(Dataset!$AA:$AA,Dataset!$F:$F,'credito latam'!$D$11,Dataset!$Z:$Z,R$86,Dataset!$J:$J,"&lt;"&amp;$D100,Dataset!$J:$J,"&gt;="&amp;$C100)</f>
        <v>0</v>
      </c>
      <c r="S100" s="184">
        <f>SUMIFS(Dataset!$AA:$AA,Dataset!$F:$F,'credito latam'!$D$11,Dataset!$J:$J,"&lt;"&amp;$D100,Dataset!J:J,"&gt;="&amp;$C100,Dataset!$Z:$Z,"&lt;&gt;CL",Dataset!$Z:$Z,"&lt;&gt;MX",Dataset!$Z:$Z,"&lt;&gt;CO",Dataset!$Z:$Z,"&lt;&gt;PE",Dataset!$Z:$Z,"&lt;&gt;BR",Dataset!$Z:$Z,"&lt;&gt;PA")</f>
        <v>-3.2235415529113021E-2</v>
      </c>
      <c r="T100" s="160">
        <f t="shared" si="12"/>
        <v>-1.0726720315001499E-3</v>
      </c>
    </row>
    <row r="101" spans="3:20" ht="27" customHeight="1" x14ac:dyDescent="0.2">
      <c r="C101" s="57">
        <v>13.5</v>
      </c>
      <c r="D101" s="61">
        <v>14.5</v>
      </c>
      <c r="E101" s="182">
        <f>SUMIFS(Dataset!$AJ:$AJ,Dataset!$F:$F,'credito latam'!$D$11,Dataset!$Z:$Z,E$86,Dataset!$J:$J,"&lt;"&amp;$D101,Dataset!$J:$J,"&gt;="&amp;$C101)</f>
        <v>0</v>
      </c>
      <c r="F101" s="188">
        <f>SUMIFS(Dataset!$AJ:$AJ,Dataset!$F:$F,'credito latam'!$D$11,Dataset!$Z:$Z,F$86,Dataset!$J:$J,"&lt;"&amp;$D101,Dataset!$J:$J,"&gt;="&amp;$C101)</f>
        <v>-1.6423257616709083E-2</v>
      </c>
      <c r="G101" s="188">
        <f>SUMIFS(Dataset!$AJ:$AJ,Dataset!$F:$F,'credito latam'!$D$11,Dataset!$Z:$Z,G$86,Dataset!$J:$J,"&lt;"&amp;$D101,Dataset!$J:$J,"&gt;="&amp;$C101)</f>
        <v>-1.7916844013885436E-2</v>
      </c>
      <c r="H101" s="188">
        <f>SUMIFS(Dataset!$AJ:$AJ,Dataset!$F:$F,'credito latam'!$D$11,Dataset!$Z:$Z,H$86,Dataset!$J:$J,"&lt;"&amp;$D101,Dataset!$J:$J,"&gt;="&amp;$C101)</f>
        <v>-1.7911371595200433E-2</v>
      </c>
      <c r="I101" s="188">
        <f>SUMIFS(Dataset!$AJ:$AJ,Dataset!$F:$F,'credito latam'!$D$11,Dataset!$Z:$Z,I$86,Dataset!$J:$J,"&lt;"&amp;$D101,Dataset!$J:$J,"&gt;="&amp;$C101)</f>
        <v>-5.2792025285273913E-3</v>
      </c>
      <c r="J101" s="188">
        <f>SUMIFS(Dataset!$AJ:$AJ,Dataset!$F:$F,'credito latam'!$D$11,Dataset!$Z:$Z,J$86,Dataset!$J:$J,"&lt;"&amp;$D101,Dataset!$J:$J,"&gt;="&amp;$C101)</f>
        <v>0</v>
      </c>
      <c r="K101" s="189">
        <f>SUMIFS(Dataset!$AK:$AK,Dataset!$F:$F,'credito latam'!$D$11,Dataset!$J:$J,"&lt;"&amp;$D101,Dataset!J:J,"&gt;="&amp;$C101,Dataset!$Z:$Z,"&lt;&gt;CL",Dataset!$Z:$Z,"&lt;&gt;MX",Dataset!$Z:$Z,"&lt;&gt;CO",Dataset!$Z:$Z,"&lt;&gt;PE",Dataset!$Z:$Z,"&lt;&gt;BR",Dataset!$Z:$Z,"&lt;&gt;PA")</f>
        <v>0</v>
      </c>
      <c r="L101" s="160">
        <f t="shared" si="11"/>
        <v>-5.7530675754322344E-2</v>
      </c>
      <c r="M101" s="182">
        <f>SUMIFS(Dataset!$AA:$AA,Dataset!$F:$F,'credito latam'!$D$11,Dataset!$Z:$Z,M$86,Dataset!$J:$J,"&lt;"&amp;$D101,Dataset!$J:$J,"&gt;="&amp;$C101)</f>
        <v>0</v>
      </c>
      <c r="N101" s="188">
        <f>SUMIFS(Dataset!$AA:$AA,Dataset!$F:$F,'credito latam'!$D$11,Dataset!$Z:$Z,N$86,Dataset!$J:$J,"&lt;"&amp;$D101,Dataset!$J:$J,"&gt;="&amp;$C101)</f>
        <v>0.12238238676326137</v>
      </c>
      <c r="O101" s="188">
        <f>SUMIFS(Dataset!$AA:$AA,Dataset!$F:$F,'credito latam'!$D$11,Dataset!$Z:$Z,O$86,Dataset!$J:$J,"&lt;"&amp;$D101,Dataset!$J:$J,"&gt;="&amp;$C101)</f>
        <v>0.10591424654051597</v>
      </c>
      <c r="P101" s="188">
        <f>SUMIFS(Dataset!$AA:$AA,Dataset!$F:$F,'credito latam'!$D$11,Dataset!$Z:$Z,P$86,Dataset!$J:$J,"&lt;"&amp;$D101,Dataset!$J:$J,"&gt;="&amp;$C101)</f>
        <v>9.8192693226057892E-2</v>
      </c>
      <c r="Q101" s="188">
        <f>SUMIFS(Dataset!$AA:$AA,Dataset!$F:$F,'credito latam'!$D$11,Dataset!$Z:$Z,Q$86,Dataset!$J:$J,"&lt;"&amp;$D101,Dataset!$J:$J,"&gt;="&amp;$C101)</f>
        <v>3.8789467768225214E-2</v>
      </c>
      <c r="R101" s="188">
        <f>SUMIFS(Dataset!$AA:$AA,Dataset!$F:$F,'credito latam'!$D$11,Dataset!$Z:$Z,R$86,Dataset!$J:$J,"&lt;"&amp;$D101,Dataset!$J:$J,"&gt;="&amp;$C101)</f>
        <v>0</v>
      </c>
      <c r="S101" s="189">
        <f>SUMIFS(Dataset!$AA:$AA,Dataset!$F:$F,'credito latam'!$D$11,Dataset!$J:$J,"&lt;"&amp;$D101,Dataset!J:J,"&gt;="&amp;$C101,Dataset!$Z:$Z,"&lt;&gt;CL",Dataset!$Z:$Z,"&lt;&gt;MX",Dataset!$Z:$Z,"&lt;&gt;CO",Dataset!$Z:$Z,"&lt;&gt;PE",Dataset!$Z:$Z,"&lt;&gt;BR",Dataset!$Z:$Z,"&lt;&gt;PA")</f>
        <v>0</v>
      </c>
      <c r="T101" s="160">
        <f t="shared" si="12"/>
        <v>0.36527879429806043</v>
      </c>
    </row>
    <row r="102" spans="3:20" ht="27" customHeight="1" x14ac:dyDescent="0.2">
      <c r="C102" s="57">
        <v>14.5</v>
      </c>
      <c r="D102" s="61">
        <v>100</v>
      </c>
      <c r="E102" s="192">
        <f>SUMIFS(Dataset!$AJ:$AJ,Dataset!$F:$F,'credito latam'!$D$11,Dataset!$Z:$Z,E$86,Dataset!$J:$J,"&lt;"&amp;$D102,Dataset!$J:$J,"&gt;="&amp;$C102)</f>
        <v>-2.4669622400907243E-3</v>
      </c>
      <c r="F102" s="193">
        <f>SUMIFS(Dataset!$AJ:$AJ,Dataset!$F:$F,'credito latam'!$D$11,Dataset!$Z:$Z,F$86,Dataset!$J:$J,"&lt;"&amp;$D102,Dataset!$J:$J,"&gt;="&amp;$C102)</f>
        <v>-1.483461811615E-2</v>
      </c>
      <c r="G102" s="193">
        <f>SUMIFS(Dataset!$AJ:$AJ,Dataset!$F:$F,'credito latam'!$D$11,Dataset!$Z:$Z,G$86,Dataset!$J:$J,"&lt;"&amp;$D102,Dataset!$J:$J,"&gt;="&amp;$C102)</f>
        <v>0</v>
      </c>
      <c r="H102" s="193">
        <f>SUMIFS(Dataset!$AJ:$AJ,Dataset!$F:$F,'credito latam'!$D$11,Dataset!$Z:$Z,H$86,Dataset!$J:$J,"&lt;"&amp;$D102,Dataset!$J:$J,"&gt;="&amp;$C102)</f>
        <v>0</v>
      </c>
      <c r="I102" s="193">
        <f>SUMIFS(Dataset!$AJ:$AJ,Dataset!$F:$F,'credito latam'!$D$11,Dataset!$Z:$Z,I$86,Dataset!$J:$J,"&lt;"&amp;$D102,Dataset!$J:$J,"&gt;="&amp;$C102)</f>
        <v>0</v>
      </c>
      <c r="J102" s="193">
        <f>SUMIFS(Dataset!$AJ:$AJ,Dataset!$F:$F,'credito latam'!$D$11,Dataset!$Z:$Z,J$86,Dataset!$J:$J,"&lt;"&amp;$D102,Dataset!$J:$J,"&gt;="&amp;$C102)</f>
        <v>0</v>
      </c>
      <c r="K102" s="194">
        <f>SUMIFS(Dataset!$AK:$AK,Dataset!$F:$F,'credito latam'!$D$11,Dataset!$J:$J,"&lt;"&amp;$D102,Dataset!J:J,"&gt;="&amp;$C102,Dataset!$Z:$Z,"&lt;&gt;CL",Dataset!$Z:$Z,"&lt;&gt;MX",Dataset!$Z:$Z,"&lt;&gt;CO",Dataset!$Z:$Z,"&lt;&gt;PE",Dataset!$Z:$Z,"&lt;&gt;BR",Dataset!$Z:$Z,"&lt;&gt;PA")</f>
        <v>0</v>
      </c>
      <c r="L102" s="166">
        <f t="shared" si="11"/>
        <v>-1.7301580356240725E-2</v>
      </c>
      <c r="M102" s="192">
        <f>SUMIFS(Dataset!$AA:$AA,Dataset!$F:$F,'credito latam'!$D$11,Dataset!$Z:$Z,M$86,Dataset!$J:$J,"&lt;"&amp;$D102,Dataset!$J:$J,"&gt;="&amp;$C102)</f>
        <v>1.7706922329750535E-3</v>
      </c>
      <c r="N102" s="193">
        <f>SUMIFS(Dataset!$AA:$AA,Dataset!$F:$F,'credito latam'!$D$11,Dataset!$Z:$Z,N$86,Dataset!$J:$J,"&lt;"&amp;$D102,Dataset!$J:$J,"&gt;="&amp;$C102)</f>
        <v>0.18614640248011913</v>
      </c>
      <c r="O102" s="193">
        <f>SUMIFS(Dataset!$AA:$AA,Dataset!$F:$F,'credito latam'!$D$11,Dataset!$Z:$Z,O$86,Dataset!$J:$J,"&lt;"&amp;$D102,Dataset!$J:$J,"&gt;="&amp;$C102)</f>
        <v>0</v>
      </c>
      <c r="P102" s="193">
        <f>SUMIFS(Dataset!$AA:$AA,Dataset!$F:$F,'credito latam'!$D$11,Dataset!$Z:$Z,P$86,Dataset!$J:$J,"&lt;"&amp;$D102,Dataset!$J:$J,"&gt;="&amp;$C102)</f>
        <v>0</v>
      </c>
      <c r="Q102" s="193">
        <f>SUMIFS(Dataset!$AA:$AA,Dataset!$F:$F,'credito latam'!$D$11,Dataset!$Z:$Z,Q$86,Dataset!$J:$J,"&lt;"&amp;$D102,Dataset!$J:$J,"&gt;="&amp;$C102)</f>
        <v>0</v>
      </c>
      <c r="R102" s="193">
        <f>SUMIFS(Dataset!$AA:$AA,Dataset!$F:$F,'credito latam'!$D$11,Dataset!$Z:$Z,R$86,Dataset!$J:$J,"&lt;"&amp;$D102,Dataset!$J:$J,"&gt;="&amp;$C102)</f>
        <v>0</v>
      </c>
      <c r="S102" s="194">
        <f>SUMIFS(Dataset!$AA:$AA,Dataset!$F:$F,'credito latam'!$D$11,Dataset!$J:$J,"&lt;"&amp;$D102,Dataset!J:J,"&gt;="&amp;$C102,Dataset!$Z:$Z,"&lt;&gt;CL",Dataset!$Z:$Z,"&lt;&gt;MX",Dataset!$Z:$Z,"&lt;&gt;CO",Dataset!$Z:$Z,"&lt;&gt;PE",Dataset!$Z:$Z,"&lt;&gt;BR",Dataset!$Z:$Z,"&lt;&gt;PA")</f>
        <v>0</v>
      </c>
      <c r="T102" s="166">
        <f t="shared" si="12"/>
        <v>0.18791709471309417</v>
      </c>
    </row>
    <row r="103" spans="3:20" ht="27" customHeight="1" x14ac:dyDescent="0.2">
      <c r="C103" s="240"/>
      <c r="D103" s="241"/>
      <c r="E103" s="153">
        <f t="shared" ref="E103:K103" si="13">SUM(E87:E102)</f>
        <v>-8.9003385038783842E-2</v>
      </c>
      <c r="F103" s="153">
        <f t="shared" si="13"/>
        <v>7.5840847626256827E-3</v>
      </c>
      <c r="G103" s="153">
        <f t="shared" si="13"/>
        <v>-1.5558116452015203E-2</v>
      </c>
      <c r="H103" s="153">
        <f t="shared" si="13"/>
        <v>1.730395804389024E-2</v>
      </c>
      <c r="I103" s="153">
        <f t="shared" si="13"/>
        <v>3.3684305616067493E-2</v>
      </c>
      <c r="J103" s="153">
        <f t="shared" si="13"/>
        <v>1.4493456303760595E-2</v>
      </c>
      <c r="K103" s="198">
        <f t="shared" si="13"/>
        <v>4.5599957129043633E-2</v>
      </c>
      <c r="L103" s="160">
        <f t="shared" si="11"/>
        <v>1.4104260364588617E-2</v>
      </c>
      <c r="M103" s="153">
        <f t="shared" ref="M103:S103" si="14">SUM(M87:M102)</f>
        <v>0.10030820766592034</v>
      </c>
      <c r="N103" s="153">
        <f t="shared" si="14"/>
        <v>0.48997845901514203</v>
      </c>
      <c r="O103" s="153">
        <f t="shared" si="14"/>
        <v>0.19083228903928934</v>
      </c>
      <c r="P103" s="153">
        <f t="shared" si="14"/>
        <v>0.12168624492330821</v>
      </c>
      <c r="Q103" s="153">
        <f t="shared" si="14"/>
        <v>0.18733400410341333</v>
      </c>
      <c r="R103" s="153">
        <f t="shared" si="14"/>
        <v>-2.2306696517748132E-3</v>
      </c>
      <c r="S103" s="198">
        <f t="shared" si="14"/>
        <v>-8.7908535095299223E-2</v>
      </c>
      <c r="T103" s="160">
        <f t="shared" si="12"/>
        <v>0.99999999999999911</v>
      </c>
    </row>
    <row r="106" spans="3:20" ht="44.25" customHeight="1" x14ac:dyDescent="0.2"/>
    <row r="114" ht="48" customHeight="1" x14ac:dyDescent="0.2"/>
    <row r="130" spans="3:34" ht="27" customHeight="1" x14ac:dyDescent="0.2"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</row>
    <row r="131" spans="3:34" ht="45" customHeight="1" x14ac:dyDescent="0.5">
      <c r="C131" s="73" t="s">
        <v>74</v>
      </c>
      <c r="D131" s="34"/>
      <c r="E131" s="34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</row>
    <row r="132" spans="3:34" ht="27" customHeight="1" x14ac:dyDescent="0.2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</row>
  </sheetData>
  <mergeCells count="19">
    <mergeCell ref="AA42:AG42"/>
    <mergeCell ref="E63:Q63"/>
    <mergeCell ref="S63:AE63"/>
    <mergeCell ref="C3:AH3"/>
    <mergeCell ref="C4:AH4"/>
    <mergeCell ref="C14:I14"/>
    <mergeCell ref="K14:R14"/>
    <mergeCell ref="C103:D103"/>
    <mergeCell ref="C61:D61"/>
    <mergeCell ref="C86:D86"/>
    <mergeCell ref="C44:D44"/>
    <mergeCell ref="C65:D65"/>
    <mergeCell ref="C82:D82"/>
    <mergeCell ref="M84:S84"/>
    <mergeCell ref="E42:K42"/>
    <mergeCell ref="E84:K84"/>
    <mergeCell ref="C29:H29"/>
    <mergeCell ref="K29:R29"/>
    <mergeCell ref="M42:Y42"/>
  </mergeCells>
  <conditionalFormatting sqref="E45:K60">
    <cfRule type="colorScale" priority="947">
      <colorScale>
        <cfvo type="min"/>
        <cfvo type="max"/>
        <color theme="0"/>
        <color theme="4" tint="0.39997558519241921"/>
      </colorScale>
    </cfRule>
  </conditionalFormatting>
  <conditionalFormatting sqref="AA45:AG60">
    <cfRule type="colorScale" priority="15">
      <colorScale>
        <cfvo type="min"/>
        <cfvo type="max"/>
        <color theme="0"/>
        <color theme="4" tint="0.39997558519241921"/>
      </colorScale>
    </cfRule>
  </conditionalFormatting>
  <conditionalFormatting sqref="M45:R60">
    <cfRule type="colorScale" priority="14">
      <colorScale>
        <cfvo type="min"/>
        <cfvo type="max"/>
        <color theme="0"/>
        <color theme="4" tint="0.39997558519241921"/>
      </colorScale>
    </cfRule>
  </conditionalFormatting>
  <conditionalFormatting sqref="S45:T60">
    <cfRule type="colorScale" priority="13">
      <colorScale>
        <cfvo type="min"/>
        <cfvo type="max"/>
        <color theme="0"/>
        <color theme="4" tint="0.39997558519241921"/>
      </colorScale>
    </cfRule>
  </conditionalFormatting>
  <conditionalFormatting sqref="U45:V60">
    <cfRule type="colorScale" priority="12">
      <colorScale>
        <cfvo type="min"/>
        <cfvo type="max"/>
        <color theme="0"/>
        <color theme="4" tint="0.39997558519241921"/>
      </colorScale>
    </cfRule>
  </conditionalFormatting>
  <conditionalFormatting sqref="W45:Y60">
    <cfRule type="colorScale" priority="10">
      <colorScale>
        <cfvo type="min"/>
        <cfvo type="max"/>
        <color theme="0"/>
        <color theme="4" tint="0.39997558519241921"/>
      </colorScale>
    </cfRule>
  </conditionalFormatting>
  <conditionalFormatting sqref="E66:Q81">
    <cfRule type="colorScale" priority="5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S66:AE81">
    <cfRule type="colorScale" priority="4">
      <colorScale>
        <cfvo type="min"/>
        <cfvo type="percentile" val="50"/>
        <cfvo type="max"/>
        <color theme="6" tint="0.59999389629810485"/>
        <color theme="0"/>
        <color theme="5" tint="0.59999389629810485"/>
      </colorScale>
    </cfRule>
  </conditionalFormatting>
  <conditionalFormatting sqref="E87:K102">
    <cfRule type="colorScale" priority="3">
      <colorScale>
        <cfvo type="min"/>
        <cfvo type="percentile" val="50"/>
        <cfvo type="max"/>
        <color theme="6" tint="0.59999389629810485"/>
        <color theme="0"/>
        <color theme="4" tint="0.39997558519241921"/>
      </colorScale>
    </cfRule>
  </conditionalFormatting>
  <conditionalFormatting sqref="M87:S102">
    <cfRule type="colorScale" priority="1">
      <colorScale>
        <cfvo type="min"/>
        <cfvo type="percentile" val="50"/>
        <cfvo type="max"/>
        <color theme="6" tint="0.59999389629810485"/>
        <color theme="0"/>
        <color theme="4" tint="0.39997558519241921"/>
      </colorScale>
    </cfRule>
  </conditionalFormatting>
  <printOptions horizontalCentered="1"/>
  <pageMargins left="0" right="0" top="0" bottom="0" header="0" footer="0"/>
  <pageSetup scale="13" orientation="landscape" r:id="rId1"/>
  <ignoredErrors>
    <ignoredError sqref="X45:X60 P66:P81 AD66:AD81 R82 Z61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2" tint="0.249977111117893"/>
    <pageSetUpPr fitToPage="1"/>
  </sheetPr>
  <dimension ref="A1:AF107"/>
  <sheetViews>
    <sheetView showGridLines="0" showZeros="0" view="pageBreakPreview" topLeftCell="H5" zoomScale="40" zoomScaleNormal="25" zoomScaleSheetLayoutView="40" zoomScalePageLayoutView="10" workbookViewId="0">
      <selection activeCell="M17" sqref="M17"/>
    </sheetView>
  </sheetViews>
  <sheetFormatPr baseColWidth="10" defaultRowHeight="27" customHeight="1" x14ac:dyDescent="0.2"/>
  <cols>
    <col min="1" max="1" width="11" style="111" customWidth="1"/>
    <col min="2" max="2" width="9.75" style="111" customWidth="1"/>
    <col min="3" max="3" width="73.5" style="111" customWidth="1"/>
    <col min="4" max="4" width="81.125" style="111" customWidth="1"/>
    <col min="5" max="5" width="59" style="111" customWidth="1"/>
    <col min="6" max="6" width="39.625" style="111" customWidth="1"/>
    <col min="7" max="7" width="40.875" style="111" customWidth="1"/>
    <col min="8" max="8" width="35" style="111" customWidth="1"/>
    <col min="9" max="9" width="34.25" style="111" customWidth="1"/>
    <col min="10" max="10" width="13.875" style="111" customWidth="1"/>
    <col min="11" max="11" width="42.375" style="111" customWidth="1"/>
    <col min="12" max="12" width="116.625" style="111" customWidth="1"/>
    <col min="13" max="13" width="39.625" style="111" customWidth="1"/>
    <col min="14" max="14" width="28.75" style="111" customWidth="1"/>
    <col min="15" max="15" width="27.875" style="111" customWidth="1"/>
    <col min="16" max="16" width="44.75" style="111" customWidth="1"/>
    <col min="17" max="17" width="19.625" style="111" customWidth="1"/>
    <col min="18" max="18" width="25.25" style="111" customWidth="1"/>
    <col min="19" max="19" width="29" style="111" customWidth="1"/>
    <col min="20" max="20" width="30.375" style="111" customWidth="1"/>
    <col min="21" max="21" width="30.25" style="111" customWidth="1"/>
    <col min="22" max="22" width="32.875" style="111" customWidth="1"/>
    <col min="23" max="23" width="25.125" style="111" customWidth="1"/>
    <col min="24" max="24" width="30.625" style="111" customWidth="1"/>
    <col min="25" max="25" width="32.625" style="111" customWidth="1"/>
    <col min="26" max="26" width="31.75" style="111" customWidth="1"/>
    <col min="27" max="27" width="41.5" style="111" customWidth="1"/>
    <col min="28" max="28" width="38.625" style="111" customWidth="1"/>
    <col min="29" max="29" width="42" style="111" customWidth="1"/>
    <col min="30" max="30" width="38.5" style="111" customWidth="1"/>
    <col min="31" max="31" width="37.625" style="111" customWidth="1"/>
    <col min="32" max="32" width="40.25" style="111" customWidth="1"/>
    <col min="33" max="16384" width="11" style="111"/>
  </cols>
  <sheetData>
    <row r="1" spans="1:32" ht="27" customHeight="1" x14ac:dyDescent="0.2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</row>
    <row r="2" spans="1:32" ht="27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</row>
    <row r="3" spans="1:32" ht="127.5" customHeight="1" x14ac:dyDescent="0.25">
      <c r="A3" s="110"/>
      <c r="B3" s="110"/>
      <c r="C3" s="247" t="s">
        <v>1740</v>
      </c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  <c r="AA3" s="247"/>
      <c r="AB3" s="247"/>
      <c r="AC3" s="247"/>
      <c r="AD3" s="247"/>
      <c r="AE3" s="247"/>
      <c r="AF3" s="247"/>
    </row>
    <row r="4" spans="1:32" ht="99" customHeight="1" x14ac:dyDescent="0.25">
      <c r="A4" s="110"/>
      <c r="B4" s="110"/>
      <c r="C4" s="248" t="str">
        <f>TEXT(Historical!H2," mmmm dd, aaaa")</f>
        <v xml:space="preserve"> October 16, Monday</v>
      </c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  <c r="AA4" s="248"/>
      <c r="AB4" s="248"/>
      <c r="AC4" s="248"/>
      <c r="AD4" s="248"/>
      <c r="AE4" s="248"/>
      <c r="AF4" s="248"/>
    </row>
    <row r="6" spans="1:32" ht="27" customHeight="1" x14ac:dyDescent="0.2">
      <c r="L6" s="112"/>
    </row>
    <row r="10" spans="1:32" ht="27" customHeight="1" x14ac:dyDescent="0.2">
      <c r="F10" s="113"/>
    </row>
    <row r="11" spans="1:32" ht="90" customHeight="1" x14ac:dyDescent="1.35">
      <c r="D11" s="114" t="s">
        <v>116</v>
      </c>
      <c r="AC11" s="115"/>
      <c r="AF11" s="115"/>
    </row>
    <row r="12" spans="1:32" ht="27" customHeight="1" x14ac:dyDescent="0.2">
      <c r="O12" s="116"/>
      <c r="P12" s="116"/>
      <c r="Q12" s="116"/>
      <c r="R12" s="116"/>
      <c r="S12" s="116"/>
    </row>
    <row r="13" spans="1:32" ht="51" customHeight="1" x14ac:dyDescent="0.2">
      <c r="J13" s="116"/>
    </row>
    <row r="14" spans="1:32" ht="95.25" customHeight="1" x14ac:dyDescent="0.2">
      <c r="C14" s="243" t="s">
        <v>112</v>
      </c>
      <c r="D14" s="243"/>
      <c r="E14" s="243"/>
      <c r="F14" s="243"/>
      <c r="G14" s="243"/>
      <c r="H14" s="243"/>
      <c r="I14" s="243"/>
      <c r="K14" s="243" t="s">
        <v>1743</v>
      </c>
      <c r="L14" s="243"/>
      <c r="M14" s="243"/>
      <c r="N14" s="243"/>
      <c r="O14" s="243"/>
      <c r="P14" s="243"/>
      <c r="R14" s="243" t="s">
        <v>1748</v>
      </c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</row>
    <row r="15" spans="1:32" ht="35.25" customHeight="1" x14ac:dyDescent="0.2">
      <c r="R15" s="117"/>
    </row>
    <row r="16" spans="1:32" ht="62.25" customHeight="1" x14ac:dyDescent="0.9">
      <c r="C16" s="118"/>
      <c r="D16" s="119" t="s">
        <v>70</v>
      </c>
      <c r="E16" s="119" t="s">
        <v>75</v>
      </c>
      <c r="F16" s="119" t="s">
        <v>5</v>
      </c>
      <c r="G16" s="119" t="s">
        <v>168</v>
      </c>
      <c r="H16" s="119" t="s">
        <v>6</v>
      </c>
      <c r="I16" s="119" t="s">
        <v>21</v>
      </c>
      <c r="K16" s="119" t="s">
        <v>85</v>
      </c>
      <c r="L16" s="119" t="s">
        <v>86</v>
      </c>
      <c r="M16" s="119" t="s">
        <v>70</v>
      </c>
      <c r="N16" s="119" t="s">
        <v>6</v>
      </c>
      <c r="O16" s="119" t="s">
        <v>21</v>
      </c>
      <c r="P16" s="119" t="s">
        <v>72</v>
      </c>
      <c r="R16" s="246" t="s">
        <v>72</v>
      </c>
      <c r="S16" s="246"/>
      <c r="T16" s="119" t="s">
        <v>76</v>
      </c>
      <c r="U16" s="119" t="s">
        <v>77</v>
      </c>
      <c r="V16" s="119" t="s">
        <v>90</v>
      </c>
      <c r="W16" s="119" t="s">
        <v>78</v>
      </c>
      <c r="X16" s="119" t="s">
        <v>79</v>
      </c>
      <c r="Y16" s="119" t="s">
        <v>120</v>
      </c>
      <c r="Z16" s="119" t="s">
        <v>80</v>
      </c>
      <c r="AA16" s="119" t="s">
        <v>81</v>
      </c>
      <c r="AB16" s="119" t="s">
        <v>82</v>
      </c>
      <c r="AC16" s="119" t="s">
        <v>83</v>
      </c>
      <c r="AD16" s="119" t="s">
        <v>84</v>
      </c>
      <c r="AE16" s="119" t="s">
        <v>168</v>
      </c>
      <c r="AF16" s="119" t="s">
        <v>169</v>
      </c>
    </row>
    <row r="17" spans="3:32" ht="62.25" customHeight="1" x14ac:dyDescent="0.9">
      <c r="C17" s="120" t="s">
        <v>95</v>
      </c>
      <c r="D17" s="121">
        <f>SUMIFS(Dataset!AK:AK,Dataset!F:F,'renta fija'!D11,Dataset!AH:AH,"deposito", Dataset!T:T,"$")</f>
        <v>0.57682148276212164</v>
      </c>
      <c r="E17" s="122">
        <f>SUMIFS(Dataset!V:V,Dataset!F:F,'renta fija'!D11,Dataset!AH:AH,"deposito", Dataset!T:T,"$")/1000000</f>
        <v>22.6514696612</v>
      </c>
      <c r="F17" s="123">
        <f>SUMIFS(Dataset!H:H,Dataset!F:F,'renta fija'!D11,Dataset!AH:AH,"deposito", Dataset!T:T,"$")*365</f>
        <v>13.639739605402536</v>
      </c>
      <c r="G17" s="121">
        <f>SUMIFS(Dataset!AQ:AQ,Dataset!F:F,'renta fija'!D11,Dataset!AH:AH,"deposito", Dataset!T:T,"$")</f>
        <v>1.5331318996101961E-2</v>
      </c>
      <c r="H17" s="121">
        <f>SUMIFS(Dataset!I:I,Dataset!F:F,'renta fija'!D11,Dataset!AH:AH,"deposito", Dataset!T:T,"$")</f>
        <v>6.3343699993251778E-5</v>
      </c>
      <c r="I17" s="121">
        <f>SUMIFS(Dataset!AA:AA,Dataset!F:F,'renta fija'!D11,Dataset!AH:AH,"deposito", Dataset!T:T,"$")</f>
        <v>1.4007952208023322E-3</v>
      </c>
      <c r="K17" s="124">
        <v>1</v>
      </c>
      <c r="L17" s="121" t="str">
        <f>IFERROR(INDEX(Dataset!X:X,MATCH(_xlfn.AGGREGATE(14,6,Dataset!I:I/(Dataset!F:F=$D$11),K17),Dataset!I:I,0),1),"-")</f>
        <v>Forward  Banco BBVA long leg</v>
      </c>
      <c r="M17" s="121">
        <f>IFERROR(INDEX(Dataset!AK:AK,MATCH(_xlfn.AGGREGATE(14,6,Dataset!I:I/(Dataset!F:F=$D$11),K17),Dataset!I:I,0),1),"-")</f>
        <v>0.10957137459710048</v>
      </c>
      <c r="N17" s="121">
        <f>IFERROR(INDEX(Dataset!I:I,MATCH(_xlfn.AGGREGATE(14,6,Dataset!I:I/(Dataset!F:F=$D$11),K17),Dataset!I:I,0),1),"-")</f>
        <v>8.604726829937839E-3</v>
      </c>
      <c r="O17" s="121">
        <f>IFERROR(INDEX(Dataset!AA:AA,MATCH(_xlfn.AGGREGATE(14,6,Dataset!I:I/(Dataset!F:F=$D$11),K17),Dataset!I:I,0),1),"-")</f>
        <v>0.19028664604326273</v>
      </c>
      <c r="P17" s="123">
        <f>IFERROR(INDEX(Dataset!J:J,MATCH(_xlfn.AGGREGATE(14,6,Dataset!I:I/(Dataset!F:F=$D$11),K17),Dataset!I:I,0),1),"-")</f>
        <v>0</v>
      </c>
      <c r="R17" s="125">
        <v>0</v>
      </c>
      <c r="S17" s="126">
        <v>15</v>
      </c>
      <c r="T17" s="127">
        <f>SUMIFS(Dataset!AJ:AJ,Dataset!F:F,'renta fija'!$D$11,Dataset!AH:AH,"deposito",Dataset!T:T,"$",Dataset!J:J,"&lt;"&amp;$S17/365,Dataset!J:J,"&gt;="&amp;$R17/365)</f>
        <v>0.22845072840056108</v>
      </c>
      <c r="U17" s="127">
        <f>SUMIFS(Dataset!AJ:AJ,Dataset!F:F,'renta fija'!$D$11,Dataset!AH:AH,"deposito",Dataset!T:T,"uf",Dataset!J:J,"&lt;"&amp;$S17/365,Dataset!J:J,"&gt;="&amp;$R17/365)</f>
        <v>0</v>
      </c>
      <c r="V17" s="127">
        <f>SUMIFS(Dataset!AJ:AJ,Dataset!F:F,'renta fija'!$D$11,Dataset!AH:AH,"deposito",Dataset!T:T,"us$",Dataset!J:J,"&lt;"&amp;$S17/365,Dataset!J:J,"&gt;="&amp;$R17/365)</f>
        <v>8.6957890466210358E-2</v>
      </c>
      <c r="W17" s="127">
        <f>SUMIFS(Dataset!AJ:AJ,Dataset!F:F,'renta fija'!$D$11,Dataset!AH:AH,"bono de gobierno",Dataset!T:T,"$",Dataset!J:J,"&lt;"&amp;$S17/365,Dataset!J:J,"&gt;="&amp;$R17/365)</f>
        <v>0</v>
      </c>
      <c r="X17" s="127">
        <f>SUMIFS(Dataset!AJ:AJ,Dataset!F:F,'renta fija'!$D$11,Dataset!AH:AH,"bono de gobierno",Dataset!T:T,"UF",Dataset!J:J,"&lt;"&amp;$S17/365,Dataset!J:J,"&gt;="&amp;$R17/365)</f>
        <v>0</v>
      </c>
      <c r="Y17" s="127">
        <f>SUMIFS(Dataset!AJ:AJ,Dataset!F:F,'renta fija'!$D$11,Dataset!AH:AH,"bono de gobierno",Dataset!T:T,"US$",Dataset!J:J,"&lt;"&amp;$S17/365,Dataset!J:J,"&gt;="&amp;$R17/365)</f>
        <v>0</v>
      </c>
      <c r="Z17" s="127">
        <f>SUMIFS(Dataset!AJ:AJ,Dataset!F:F,'renta fija'!$D$11,Dataset!AH:AH,"bono corporativo",Dataset!T:T,"$",Dataset!J:J,"&lt;"&amp;$S17/365,Dataset!J:J,"&gt;="&amp;$R17/365)</f>
        <v>0</v>
      </c>
      <c r="AA17" s="127">
        <f>SUMIFS(Dataset!AJ:AJ,Dataset!F:F,'renta fija'!$D$11,Dataset!AH:AH,"bono corporativo",Dataset!T:T,"UF",Dataset!J:J,"&lt;"&amp;$S17/365,Dataset!J:J,"&gt;="&amp;$R17/365)</f>
        <v>0</v>
      </c>
      <c r="AB17" s="127">
        <f>SUMIFS(Dataset!AJ:AJ,Dataset!F:F,'renta fija'!$D$11,Dataset!AH:AH,"bono corporativo",Dataset!T:T,"US$",Dataset!J:J,"&lt;"&amp;$S17/365,Dataset!J:J,"&gt;="&amp;$R17/365)</f>
        <v>0</v>
      </c>
      <c r="AC17" s="127">
        <f>SUMIFS(Dataset!AJ:AJ,Dataset!F:F,'renta fija'!$D$11,Dataset!AH:AH,"&lt;&gt;letra hipotecaria",Dataset!AH:AH,"&lt;&gt;bono corporativo",Dataset!AH:AH,"&lt;&gt;deposito",Dataset!AH:AH,"&lt;&gt;bono de gobierno",Dataset!J:J,"&lt;"&amp;$S17/365,Dataset!J:J,"&gt;="&amp;$R17/365)</f>
        <v>5.0370260650862322E-2</v>
      </c>
      <c r="AD17" s="128">
        <f t="shared" ref="AD17:AD44" si="0">SUM(T17:AC17)</f>
        <v>0.36577887951763371</v>
      </c>
      <c r="AE17" s="128">
        <f>SUMIFS(Dataset!AQ:AQ,Dataset!F:F,'renta fija'!$D$11,Dataset!J:J,"&lt;"&amp;$S17/365,Dataset!J:J,"&gt;="&amp;$R17/365)</f>
        <v>7.303213257444663E-3</v>
      </c>
      <c r="AF17" s="129">
        <f>IFERROR(SUMIFS(Dataset!AQ:AQ,Dataset!F:F,'renta fija'!$D$11,Dataset!J:J,"&lt;"&amp;$S17/365,Dataset!J:J,"&gt;="&amp;$R17/365)/AD17,0)</f>
        <v>1.9966197247571218E-2</v>
      </c>
    </row>
    <row r="18" spans="3:32" ht="62.25" customHeight="1" x14ac:dyDescent="0.9">
      <c r="C18" s="120" t="s">
        <v>64</v>
      </c>
      <c r="D18" s="121">
        <f>SUMIFS(Dataset!AK:AK,Dataset!F:F,'renta fija'!D11,Dataset!AH:AH,"deposito", Dataset!T:T,"uf")</f>
        <v>0</v>
      </c>
      <c r="E18" s="122">
        <f>SUMIFS(Dataset!V:V,Dataset!F:F,'renta fija'!D11,Dataset!AH:AH,"deposito", Dataset!T:T,"uf")/1000000</f>
        <v>0</v>
      </c>
      <c r="F18" s="123">
        <f>SUMIFS(Dataset!H:H,Dataset!F:F,'renta fija'!D11,Dataset!AH:AH,"deposito", Dataset!T:T,"uf")*265</f>
        <v>0</v>
      </c>
      <c r="G18" s="121">
        <f>SUMIFS(Dataset!AQ:AQ,Dataset!F:F,'renta fija'!D11,Dataset!AH:AH,"deposito", Dataset!T:T,"uf")</f>
        <v>0</v>
      </c>
      <c r="H18" s="121">
        <f>SUMIFS(Dataset!I:I,Dataset!F:F,'renta fija'!D11,Dataset!AH:AH,"deposito", Dataset!T:T,"uf")</f>
        <v>0</v>
      </c>
      <c r="I18" s="121">
        <f>SUMIFS(Dataset!AA:AA,Dataset!F:F,'renta fija'!D11,Dataset!AH:AH,"deposito", Dataset!T:T,"uf")</f>
        <v>0</v>
      </c>
      <c r="K18" s="124">
        <v>2</v>
      </c>
      <c r="L18" s="121" t="str">
        <f>IFERROR(INDEX(Dataset!X:X,MATCH(_xlfn.AGGREGATE(14,6,Dataset!I:I/(Dataset!F:F=$D$11),K18),Dataset!I:I,0),1),"-")</f>
        <v>Forward  Banco BBVA long leg</v>
      </c>
      <c r="M18" s="121">
        <f>IFERROR(INDEX(Dataset!AK:AK,MATCH(_xlfn.AGGREGATE(14,6,Dataset!I:I/(Dataset!F:F=$D$11),K18),Dataset!I:I,0),1),"-")</f>
        <v>8.1579624102017065E-2</v>
      </c>
      <c r="N18" s="121">
        <f>IFERROR(INDEX(Dataset!I:I,MATCH(_xlfn.AGGREGATE(14,6,Dataset!I:I/(Dataset!F:F=$D$11),K18),Dataset!I:I,0),1),"-")</f>
        <v>6.4065124935052667E-3</v>
      </c>
      <c r="O18" s="121">
        <f>IFERROR(INDEX(Dataset!AA:AA,MATCH(_xlfn.AGGREGATE(14,6,Dataset!I:I/(Dataset!F:F=$D$11),K18),Dataset!I:I,0),1),"-")</f>
        <v>0.14167489559133209</v>
      </c>
      <c r="P18" s="123">
        <f>IFERROR(INDEX(Dataset!J:J,MATCH(_xlfn.AGGREGATE(14,6,Dataset!I:I/(Dataset!F:F=$D$11),K18),Dataset!I:I,0),1),"-")</f>
        <v>0</v>
      </c>
      <c r="R18" s="124">
        <v>15</v>
      </c>
      <c r="S18" s="130">
        <v>30</v>
      </c>
      <c r="T18" s="127">
        <f>SUMIFS(Dataset!AJ:AJ,Dataset!F:F,'renta fija'!$D$11,Dataset!AH:AH,"deposito",Dataset!T:T,"$",Dataset!J:J,"&lt;"&amp;$S18/365,Dataset!J:J,"&gt;="&amp;$R18/365)</f>
        <v>0.2666774061212191</v>
      </c>
      <c r="U18" s="127">
        <f>SUMIFS(Dataset!AJ:AJ,Dataset!F:F,'renta fija'!$D$11,Dataset!AH:AH,"deposito",Dataset!T:T,"uf",Dataset!J:J,"&lt;"&amp;$S18/365,Dataset!J:J,"&gt;="&amp;$R18/365)</f>
        <v>0</v>
      </c>
      <c r="V18" s="127">
        <f>SUMIFS(Dataset!AJ:AJ,Dataset!F:F,'renta fija'!$D$11,Dataset!AH:AH,"deposito",Dataset!T:T,"us$",Dataset!J:J,"&lt;"&amp;$S18/365,Dataset!J:J,"&gt;="&amp;$R18/365)</f>
        <v>0.16308916601253667</v>
      </c>
      <c r="W18" s="127">
        <f>SUMIFS(Dataset!AJ:AJ,Dataset!F:F,'renta fija'!$D$11,Dataset!AH:AH,"bono de gobierno",Dataset!T:T,"$",Dataset!J:J,"&lt;"&amp;$S18/365,Dataset!J:J,"&gt;="&amp;$R18/365)</f>
        <v>0</v>
      </c>
      <c r="X18" s="127">
        <f>SUMIFS(Dataset!AJ:AJ,Dataset!F:F,'renta fija'!$D$11,Dataset!AH:AH,"bono de gobierno",Dataset!T:T,"UF",Dataset!J:J,"&lt;"&amp;$S18/365,Dataset!J:J,"&gt;="&amp;$R18/365)</f>
        <v>0</v>
      </c>
      <c r="Y18" s="127">
        <f>SUMIFS(Dataset!AJ:AJ,Dataset!F:F,'renta fija'!$D$11,Dataset!AH:AH,"bono de gobierno",Dataset!T:T,"US$",Dataset!J:J,"&lt;"&amp;$S18/365,Dataset!J:J,"&gt;="&amp;$R18/365)</f>
        <v>0</v>
      </c>
      <c r="Z18" s="127">
        <f>SUMIFS(Dataset!AJ:AJ,Dataset!F:F,'renta fija'!$D$11,Dataset!AH:AH,"bono corporativo",Dataset!T:T,"$",Dataset!J:J,"&lt;"&amp;$S18/365,Dataset!J:J,"&gt;="&amp;$R18/365)</f>
        <v>0</v>
      </c>
      <c r="AA18" s="127">
        <f>SUMIFS(Dataset!AJ:AJ,Dataset!F:F,'renta fija'!$D$11,Dataset!AH:AH,"bono corporativo",Dataset!T:T,"UF",Dataset!J:J,"&lt;"&amp;$S18/365,Dataset!J:J,"&gt;="&amp;$R18/365)</f>
        <v>0</v>
      </c>
      <c r="AB18" s="127">
        <f>SUMIFS(Dataset!AJ:AJ,Dataset!F:F,'renta fija'!$D$11,Dataset!AH:AH,"bono corporativo",Dataset!T:T,"US$",Dataset!J:J,"&lt;"&amp;$S18/365,Dataset!J:J,"&gt;="&amp;$R18/365)</f>
        <v>0</v>
      </c>
      <c r="AC18" s="127">
        <f>SUMIFS(Dataset!AJ:AJ,Dataset!F:F,'renta fija'!$D$11,Dataset!AH:AH,"&lt;&gt;letra hipotecaria",Dataset!AH:AH,"&lt;&gt;bono corporativo",Dataset!AH:AH,"&lt;&gt;deposito",Dataset!AH:AH,"&lt;&gt;bono de gobierno",Dataset!J:J,"&lt;"&amp;$S18/365,Dataset!J:J,"&gt;="&amp;$R18/365)</f>
        <v>0</v>
      </c>
      <c r="AD18" s="131">
        <f t="shared" si="0"/>
        <v>0.4297665721337558</v>
      </c>
      <c r="AE18" s="131">
        <f>SUMIFS(Dataset!AQ:AQ,Dataset!F:F,'renta fija'!$D$11,Dataset!J:J,"&lt;"&amp;$S18/365,Dataset!J:J,"&gt;="&amp;$R18/365)</f>
        <v>9.6673642555868983E-3</v>
      </c>
      <c r="AF18" s="132">
        <f>IFERROR(SUMIFS(Dataset!AQ:AQ,Dataset!F:F,'renta fija'!$D$11,Dataset!J:J,"&lt;"&amp;$S18/365,Dataset!J:J,"&gt;="&amp;$R18/365)/AD18,0)</f>
        <v>2.2494453692824986E-2</v>
      </c>
    </row>
    <row r="19" spans="3:32" ht="62.25" customHeight="1" x14ac:dyDescent="0.9">
      <c r="C19" s="120" t="s">
        <v>117</v>
      </c>
      <c r="D19" s="121">
        <f>SUMIFS(Dataset!AK:AK,Dataset!F:F,'renta fija'!D11,Dataset!AH:AH,"deposito", Dataset!T:T,"us$")</f>
        <v>0.3466688825984911</v>
      </c>
      <c r="E19" s="122">
        <f>SUMIFS(Dataset!V:V,Dataset!F:F,'renta fija'!D11,Dataset!AH:AH,"deposito", Dataset!T:T,"us$")/1000000</f>
        <v>13.61350073</v>
      </c>
      <c r="F19" s="123">
        <f>SUMIFS(Dataset!H:H,Dataset!F:F,'renta fija'!D11,Dataset!AH:AH,"deposito", Dataset!T:T,"us$")*365</f>
        <v>9.1241240592417299</v>
      </c>
      <c r="G19" s="121">
        <f>SUMIFS(Dataset!AQ:AQ,Dataset!F:F,'renta fija'!D11,Dataset!AH:AH,"deposito", Dataset!T:T,"us$")</f>
        <v>5.490198469108378E-3</v>
      </c>
      <c r="H19" s="121">
        <f>SUMIFS(Dataset!I:I,Dataset!F:F,'renta fija'!D11,Dataset!AH:AH,"deposito", Dataset!T:T,"us$")</f>
        <v>3.8724209679306406E-5</v>
      </c>
      <c r="I19" s="121">
        <f>SUMIFS(Dataset!AA:AA,Dataset!F:F,'renta fija'!D11,Dataset!AH:AH,"deposito", Dataset!T:T,"us$")</f>
        <v>8.5635489960167606E-4</v>
      </c>
      <c r="K19" s="124">
        <v>3</v>
      </c>
      <c r="L19" s="121" t="str">
        <f>IFERROR(INDEX(Dataset!X:X,MATCH(_xlfn.AGGREGATE(14,6,Dataset!I:I/(Dataset!F:F=$D$11),K19),Dataset!I:I,0),1),"-")</f>
        <v>Forward  Banco BBVA long leg</v>
      </c>
      <c r="M19" s="121">
        <f>IFERROR(INDEX(Dataset!AK:AK,MATCH(_xlfn.AGGREGATE(14,6,Dataset!I:I/(Dataset!F:F=$D$11),K19),Dataset!I:I,0),1),"-")</f>
        <v>7.1647275302638827E-2</v>
      </c>
      <c r="N19" s="121">
        <f>IFERROR(INDEX(Dataset!I:I,MATCH(_xlfn.AGGREGATE(14,6,Dataset!I:I/(Dataset!F:F=$D$11),K19),Dataset!I:I,0),1),"-")</f>
        <v>5.6265172756614591E-3</v>
      </c>
      <c r="O19" s="121">
        <f>IFERROR(INDEX(Dataset!AA:AA,MATCH(_xlfn.AGGREGATE(14,6,Dataset!I:I/(Dataset!F:F=$D$11),K19),Dataset!I:I,0),1),"-")</f>
        <v>0.12442592570923364</v>
      </c>
      <c r="P19" s="123">
        <f>IFERROR(INDEX(Dataset!J:J,MATCH(_xlfn.AGGREGATE(14,6,Dataset!I:I/(Dataset!F:F=$D$11),K19),Dataset!I:I,0),1),"-")</f>
        <v>0</v>
      </c>
      <c r="R19" s="124">
        <v>30</v>
      </c>
      <c r="S19" s="130">
        <v>45</v>
      </c>
      <c r="T19" s="127">
        <f>SUMIFS(Dataset!AJ:AJ,Dataset!F:F,'renta fija'!$D$11,Dataset!AH:AH,"deposito",Dataset!T:T,"$",Dataset!J:J,"&lt;"&amp;$S19/365,Dataset!J:J,"&gt;="&amp;$R19/365)</f>
        <v>0</v>
      </c>
      <c r="U19" s="127">
        <f>SUMIFS(Dataset!AJ:AJ,Dataset!F:F,'renta fija'!$D$11,Dataset!AH:AH,"deposito",Dataset!T:T,"uf",Dataset!J:J,"&lt;"&amp;$S19/365,Dataset!J:J,"&gt;="&amp;$R19/365)</f>
        <v>0</v>
      </c>
      <c r="V19" s="127">
        <f>SUMIFS(Dataset!AJ:AJ,Dataset!F:F,'renta fija'!$D$11,Dataset!AH:AH,"deposito",Dataset!T:T,"us$",Dataset!J:J,"&lt;"&amp;$S19/365,Dataset!J:J,"&gt;="&amp;$R19/365)</f>
        <v>4.8288898116399095E-2</v>
      </c>
      <c r="W19" s="127">
        <f>SUMIFS(Dataset!AJ:AJ,Dataset!F:F,'renta fija'!$D$11,Dataset!AH:AH,"bono de gobierno",Dataset!T:T,"$",Dataset!J:J,"&lt;"&amp;$S19/365,Dataset!J:J,"&gt;="&amp;$R19/365)</f>
        <v>0</v>
      </c>
      <c r="X19" s="127">
        <f>SUMIFS(Dataset!AJ:AJ,Dataset!F:F,'renta fija'!$D$11,Dataset!AH:AH,"bono de gobierno",Dataset!T:T,"UF",Dataset!J:J,"&lt;"&amp;$S19/365,Dataset!J:J,"&gt;="&amp;$R19/365)</f>
        <v>0</v>
      </c>
      <c r="Y19" s="127">
        <f>SUMIFS(Dataset!AJ:AJ,Dataset!F:F,'renta fija'!$D$11,Dataset!AH:AH,"bono de gobierno",Dataset!T:T,"US$",Dataset!J:J,"&lt;"&amp;$S19/365,Dataset!J:J,"&gt;="&amp;$R19/365)</f>
        <v>0</v>
      </c>
      <c r="Z19" s="127">
        <f>SUMIFS(Dataset!AJ:AJ,Dataset!F:F,'renta fija'!$D$11,Dataset!AH:AH,"bono corporativo",Dataset!T:T,"$",Dataset!J:J,"&lt;"&amp;$S19/365,Dataset!J:J,"&gt;="&amp;$R19/365)</f>
        <v>0</v>
      </c>
      <c r="AA19" s="127">
        <f>SUMIFS(Dataset!AJ:AJ,Dataset!F:F,'renta fija'!$D$11,Dataset!AH:AH,"bono corporativo",Dataset!T:T,"UF",Dataset!J:J,"&lt;"&amp;$S19/365,Dataset!J:J,"&gt;="&amp;$R19/365)</f>
        <v>0</v>
      </c>
      <c r="AB19" s="127">
        <f>SUMIFS(Dataset!AJ:AJ,Dataset!F:F,'renta fija'!$D$11,Dataset!AH:AH,"bono corporativo",Dataset!T:T,"US$",Dataset!J:J,"&lt;"&amp;$S19/365,Dataset!J:J,"&gt;="&amp;$R19/365)</f>
        <v>0</v>
      </c>
      <c r="AC19" s="127">
        <f>SUMIFS(Dataset!AJ:AJ,Dataset!F:F,'renta fija'!$D$11,Dataset!AH:AH,"&lt;&gt;letra hipotecaria",Dataset!AH:AH,"&lt;&gt;bono corporativo",Dataset!AH:AH,"&lt;&gt;deposito",Dataset!AH:AH,"&lt;&gt;bono de gobierno",Dataset!J:J,"&lt;"&amp;$S19/365,Dataset!J:J,"&gt;="&amp;$R19/365)</f>
        <v>0</v>
      </c>
      <c r="AD19" s="131">
        <f t="shared" si="0"/>
        <v>4.8288898116399095E-2</v>
      </c>
      <c r="AE19" s="131">
        <f>SUMIFS(Dataset!AQ:AQ,Dataset!F:F,'renta fija'!$D$11,Dataset!J:J,"&lt;"&amp;$S19/365,Dataset!J:J,"&gt;="&amp;$R19/365)</f>
        <v>8.5950745938331754E-4</v>
      </c>
      <c r="AF19" s="132">
        <f>IFERROR(SUMIFS(Dataset!AQ:AQ,Dataset!F:F,'renta fija'!$D$11,Dataset!J:J,"&lt;"&amp;$S19/365,Dataset!J:J,"&gt;="&amp;$R19/365)/AD19,0)</f>
        <v>1.779927670562078E-2</v>
      </c>
    </row>
    <row r="20" spans="3:32" ht="62.25" customHeight="1" x14ac:dyDescent="0.9">
      <c r="C20" s="120" t="s">
        <v>96</v>
      </c>
      <c r="D20" s="121">
        <f>SUMIFS(Dataset!AK:AK,Dataset!F:F,'renta fija'!D11,Dataset!AH:AH,"bono de gobierno", Dataset!T:T,"$")</f>
        <v>0</v>
      </c>
      <c r="E20" s="122">
        <f>SUMIFS(Dataset!V:V,Dataset!F:F,'renta fija'!D11,Dataset!AH:AH,"bono de gobierno", Dataset!T:T,"$")/1000000</f>
        <v>0</v>
      </c>
      <c r="F20" s="123">
        <f>SUMIFS(Dataset!H:H,Dataset!F:F,'renta fija'!D11,Dataset!AH:AH,"bono de gobierno", Dataset!T:T,"$")*365</f>
        <v>0</v>
      </c>
      <c r="G20" s="121">
        <f>SUMIFS(Dataset!AQ:AQ,Dataset!F:F,'renta fija'!D11,Dataset!AH:AH,"bono de gobierno", Dataset!T:T,"$")</f>
        <v>0</v>
      </c>
      <c r="H20" s="121">
        <f>SUMIFS(Dataset!I:I,Dataset!F:F,'renta fija'!D11,Dataset!AH:AH,"bono de gobierno", Dataset!T:T,"$")</f>
        <v>0</v>
      </c>
      <c r="I20" s="121">
        <f>SUMIFS(Dataset!AA:AA,Dataset!F:F,'renta fija'!D11,Dataset!AH:AH,"bono de gobierno", Dataset!T:T,"$")</f>
        <v>0</v>
      </c>
      <c r="K20" s="124">
        <v>4</v>
      </c>
      <c r="L20" s="121" t="str">
        <f>IFERROR(INDEX(Dataset!X:X,MATCH(_xlfn.AGGREGATE(14,6,Dataset!I:I/(Dataset!F:F=$D$11),K20),Dataset!I:I,0),1),"-")</f>
        <v>Forward  Banco BBVA long leg</v>
      </c>
      <c r="M20" s="121">
        <f>IFERROR(INDEX(Dataset!AK:AK,MATCH(_xlfn.AGGREGATE(14,6,Dataset!I:I/(Dataset!F:F=$D$11),K20),Dataset!I:I,0),1),"-")</f>
        <v>6.4950545009144114E-2</v>
      </c>
      <c r="N20" s="121">
        <f>IFERROR(INDEX(Dataset!I:I,MATCH(_xlfn.AGGREGATE(14,6,Dataset!I:I/(Dataset!F:F=$D$11),K20),Dataset!I:I,0),1),"-")</f>
        <v>5.1006177417624267E-3</v>
      </c>
      <c r="O20" s="121">
        <f>IFERROR(INDEX(Dataset!AA:AA,MATCH(_xlfn.AGGREGATE(14,6,Dataset!I:I/(Dataset!F:F=$D$11),K20),Dataset!I:I,0),1),"-")</f>
        <v>0.11279607848233626</v>
      </c>
      <c r="P20" s="123">
        <f>IFERROR(INDEX(Dataset!J:J,MATCH(_xlfn.AGGREGATE(14,6,Dataset!I:I/(Dataset!F:F=$D$11),K20),Dataset!I:I,0),1),"-")</f>
        <v>0</v>
      </c>
      <c r="R20" s="124">
        <v>45</v>
      </c>
      <c r="S20" s="130">
        <v>60</v>
      </c>
      <c r="T20" s="127">
        <f>SUMIFS(Dataset!AJ:AJ,Dataset!F:F,'renta fija'!$D$11,Dataset!AH:AH,"deposito",Dataset!T:T,"$",Dataset!J:J,"&lt;"&amp;$S20/365,Dataset!J:J,"&gt;="&amp;$R20/365)</f>
        <v>0</v>
      </c>
      <c r="U20" s="127">
        <f>SUMIFS(Dataset!AJ:AJ,Dataset!F:F,'renta fija'!$D$11,Dataset!AH:AH,"deposito",Dataset!T:T,"uf",Dataset!J:J,"&lt;"&amp;$S20/365,Dataset!J:J,"&gt;="&amp;$R20/365)</f>
        <v>0</v>
      </c>
      <c r="V20" s="127">
        <f>SUMIFS(Dataset!AJ:AJ,Dataset!F:F,'renta fija'!$D$11,Dataset!AH:AH,"deposito",Dataset!T:T,"us$",Dataset!J:J,"&lt;"&amp;$S20/365,Dataset!J:J,"&gt;="&amp;$R20/365)</f>
        <v>2.5502254243951989E-2</v>
      </c>
      <c r="W20" s="127">
        <f>SUMIFS(Dataset!AJ:AJ,Dataset!F:F,'renta fija'!$D$11,Dataset!AH:AH,"bono de gobierno",Dataset!T:T,"$",Dataset!J:J,"&lt;"&amp;$S20/365,Dataset!J:J,"&gt;="&amp;$R20/365)</f>
        <v>0</v>
      </c>
      <c r="X20" s="127">
        <f>SUMIFS(Dataset!AJ:AJ,Dataset!F:F,'renta fija'!$D$11,Dataset!AH:AH,"bono de gobierno",Dataset!T:T,"UF",Dataset!J:J,"&lt;"&amp;$S20/365,Dataset!J:J,"&gt;="&amp;$R20/365)</f>
        <v>0</v>
      </c>
      <c r="Y20" s="127">
        <f>SUMIFS(Dataset!AJ:AJ,Dataset!F:F,'renta fija'!$D$11,Dataset!AH:AH,"bono de gobierno",Dataset!T:T,"US$",Dataset!J:J,"&lt;"&amp;$S20/365,Dataset!J:J,"&gt;="&amp;$R20/365)</f>
        <v>0</v>
      </c>
      <c r="Z20" s="127">
        <f>SUMIFS(Dataset!AJ:AJ,Dataset!F:F,'renta fija'!$D$11,Dataset!AH:AH,"bono corporativo",Dataset!T:T,"$",Dataset!J:J,"&lt;"&amp;$S20/365,Dataset!J:J,"&gt;="&amp;$R20/365)</f>
        <v>0</v>
      </c>
      <c r="AA20" s="127">
        <f>SUMIFS(Dataset!AJ:AJ,Dataset!F:F,'renta fija'!$D$11,Dataset!AH:AH,"bono corporativo",Dataset!T:T,"UF",Dataset!J:J,"&lt;"&amp;$S20/365,Dataset!J:J,"&gt;="&amp;$R20/365)</f>
        <v>0</v>
      </c>
      <c r="AB20" s="127">
        <f>SUMIFS(Dataset!AJ:AJ,Dataset!F:F,'renta fija'!$D$11,Dataset!AH:AH,"bono corporativo",Dataset!T:T,"US$",Dataset!J:J,"&lt;"&amp;$S20/365,Dataset!J:J,"&gt;="&amp;$R20/365)</f>
        <v>0</v>
      </c>
      <c r="AC20" s="127">
        <f>SUMIFS(Dataset!AJ:AJ,Dataset!F:F,'renta fija'!$D$11,Dataset!AH:AH,"&lt;&gt;letra hipotecaria",Dataset!AH:AH,"&lt;&gt;bono corporativo",Dataset!AH:AH,"&lt;&gt;deposito",Dataset!AH:AH,"&lt;&gt;bono de gobierno",Dataset!J:J,"&lt;"&amp;$S20/365,Dataset!J:J,"&gt;="&amp;$R20/365)</f>
        <v>0</v>
      </c>
      <c r="AD20" s="131">
        <f t="shared" si="0"/>
        <v>2.5502254243951989E-2</v>
      </c>
      <c r="AE20" s="131">
        <f>SUMIFS(Dataset!AQ:AQ,Dataset!F:F,'renta fija'!$D$11,Dataset!J:J,"&lt;"&amp;$S20/365,Dataset!J:J,"&gt;="&amp;$R20/365)</f>
        <v>4.3353832214718384E-4</v>
      </c>
      <c r="AF20" s="132">
        <f>IFERROR(SUMIFS(Dataset!AQ:AQ,Dataset!F:F,'renta fija'!$D$11,Dataset!J:J,"&lt;"&amp;$S20/365,Dataset!J:J,"&gt;="&amp;$R20/365)/AD20,0)</f>
        <v>1.7000000000000001E-2</v>
      </c>
    </row>
    <row r="21" spans="3:32" ht="62.25" customHeight="1" x14ac:dyDescent="0.9">
      <c r="C21" s="120" t="s">
        <v>67</v>
      </c>
      <c r="D21" s="121">
        <f>SUMIFS(Dataset!AK:AK,Dataset!F:F,'renta fija'!D11,Dataset!AH:AH,"bono de gobierno", Dataset!T:T,"uf")</f>
        <v>0</v>
      </c>
      <c r="E21" s="122">
        <f>SUMIFS(Dataset!V:V,Dataset!F:F,'renta fija'!D11,Dataset!AH:AH,"bono de gobierno", Dataset!T:T,"uf")/1000000</f>
        <v>0</v>
      </c>
      <c r="F21" s="123">
        <f>SUMIFS(Dataset!H:H,Dataset!F:F,'renta fija'!D11,Dataset!AH:AH,"bono de gobierno", Dataset!T:T,"uf")*365</f>
        <v>0</v>
      </c>
      <c r="G21" s="121">
        <f>SUMIFS(Dataset!AQ:AQ,Dataset!F:F,'renta fija'!D11,Dataset!AH:AH,"bono de gobierno", Dataset!T:T,"uf")</f>
        <v>0</v>
      </c>
      <c r="H21" s="121">
        <f>SUMIFS(Dataset!I:I,Dataset!F:F,'renta fija'!D11,Dataset!AH:AH,"bono de gobierno", Dataset!T:T,"uf")</f>
        <v>0</v>
      </c>
      <c r="I21" s="121">
        <f>SUMIFS(Dataset!AA:AA,Dataset!F:F,'renta fija'!D11,Dataset!AH:AH,"bono de gobierno", Dataset!T:T,"uf")</f>
        <v>0</v>
      </c>
      <c r="K21" s="124">
        <v>5</v>
      </c>
      <c r="L21" s="121" t="str">
        <f>IFERROR(INDEX(Dataset!X:X,MATCH(_xlfn.AGGREGATE(14,6,Dataset!I:I/(Dataset!F:F=$D$11),K21),Dataset!I:I,0),1),"-")</f>
        <v>Forward  JP Morgan long leg</v>
      </c>
      <c r="M21" s="121">
        <f>IFERROR(INDEX(Dataset!AK:AK,MATCH(_xlfn.AGGREGATE(14,6,Dataset!I:I/(Dataset!F:F=$D$11),K21),Dataset!I:I,0),1),"-")</f>
        <v>5.9553507825320422E-2</v>
      </c>
      <c r="N21" s="121">
        <f>IFERROR(INDEX(Dataset!I:I,MATCH(_xlfn.AGGREGATE(14,6,Dataset!I:I/(Dataset!F:F=$D$11),K21),Dataset!I:I,0),1),"-")</f>
        <v>4.6767841371500697E-3</v>
      </c>
      <c r="O21" s="121">
        <f>IFERROR(INDEX(Dataset!AA:AA,MATCH(_xlfn.AGGREGATE(14,6,Dataset!I:I/(Dataset!F:F=$D$11),K21),Dataset!I:I,0),1),"-")</f>
        <v>0.10342333758119433</v>
      </c>
      <c r="P21" s="123">
        <f>IFERROR(INDEX(Dataset!J:J,MATCH(_xlfn.AGGREGATE(14,6,Dataset!I:I/(Dataset!F:F=$D$11),K21),Dataset!I:I,0),1),"-")</f>
        <v>0</v>
      </c>
      <c r="R21" s="124">
        <v>60</v>
      </c>
      <c r="S21" s="130">
        <v>75</v>
      </c>
      <c r="T21" s="127">
        <f>SUMIFS(Dataset!AJ:AJ,Dataset!F:F,'renta fija'!$D$11,Dataset!AH:AH,"deposito",Dataset!T:T,"$",Dataset!J:J,"&lt;"&amp;$S21/365,Dataset!J:J,"&gt;="&amp;$R21/365)</f>
        <v>0</v>
      </c>
      <c r="U21" s="127">
        <f>SUMIFS(Dataset!AJ:AJ,Dataset!F:F,'renta fija'!$D$11,Dataset!AH:AH,"deposito",Dataset!T:T,"uf",Dataset!J:J,"&lt;"&amp;$S21/365,Dataset!J:J,"&gt;="&amp;$R21/365)</f>
        <v>0</v>
      </c>
      <c r="V21" s="127">
        <f>SUMIFS(Dataset!AJ:AJ,Dataset!F:F,'renta fija'!$D$11,Dataset!AH:AH,"deposito",Dataset!T:T,"us$",Dataset!J:J,"&lt;"&amp;$S21/365,Dataset!J:J,"&gt;="&amp;$R21/365)</f>
        <v>0</v>
      </c>
      <c r="W21" s="127">
        <f>SUMIFS(Dataset!AJ:AJ,Dataset!F:F,'renta fija'!$D$11,Dataset!AH:AH,"bono de gobierno",Dataset!T:T,"$",Dataset!J:J,"&lt;"&amp;$S21/365,Dataset!J:J,"&gt;="&amp;$R21/365)</f>
        <v>0</v>
      </c>
      <c r="X21" s="127">
        <f>SUMIFS(Dataset!AJ:AJ,Dataset!F:F,'renta fija'!$D$11,Dataset!AH:AH,"bono de gobierno",Dataset!T:T,"UF",Dataset!J:J,"&lt;"&amp;$S21/365,Dataset!J:J,"&gt;="&amp;$R21/365)</f>
        <v>0</v>
      </c>
      <c r="Y21" s="127">
        <f>SUMIFS(Dataset!AJ:AJ,Dataset!F:F,'renta fija'!$D$11,Dataset!AH:AH,"bono de gobierno",Dataset!T:T,"US$",Dataset!J:J,"&lt;"&amp;$S21/365,Dataset!J:J,"&gt;="&amp;$R21/365)</f>
        <v>0</v>
      </c>
      <c r="Z21" s="127">
        <f>SUMIFS(Dataset!AJ:AJ,Dataset!F:F,'renta fija'!$D$11,Dataset!AH:AH,"bono corporativo",Dataset!T:T,"$",Dataset!J:J,"&lt;"&amp;$S21/365,Dataset!J:J,"&gt;="&amp;$R21/365)</f>
        <v>0</v>
      </c>
      <c r="AA21" s="127">
        <f>SUMIFS(Dataset!AJ:AJ,Dataset!F:F,'renta fija'!$D$11,Dataset!AH:AH,"bono corporativo",Dataset!T:T,"UF",Dataset!J:J,"&lt;"&amp;$S21/365,Dataset!J:J,"&gt;="&amp;$R21/365)</f>
        <v>0</v>
      </c>
      <c r="AB21" s="127">
        <f>SUMIFS(Dataset!AJ:AJ,Dataset!F:F,'renta fija'!$D$11,Dataset!AH:AH,"bono corporativo",Dataset!T:T,"US$",Dataset!J:J,"&lt;"&amp;$S21/365,Dataset!J:J,"&gt;="&amp;$R21/365)</f>
        <v>0</v>
      </c>
      <c r="AC21" s="127">
        <f>SUMIFS(Dataset!AJ:AJ,Dataset!F:F,'renta fija'!$D$11,Dataset!AH:AH,"&lt;&gt;letra hipotecaria",Dataset!AH:AH,"&lt;&gt;bono corporativo",Dataset!AH:AH,"&lt;&gt;deposito",Dataset!AH:AH,"&lt;&gt;bono de gobierno",Dataset!J:J,"&lt;"&amp;$S21/365,Dataset!J:J,"&gt;="&amp;$R21/365)</f>
        <v>0</v>
      </c>
      <c r="AD21" s="131">
        <f t="shared" si="0"/>
        <v>0</v>
      </c>
      <c r="AE21" s="131">
        <f>SUMIFS(Dataset!AQ:AQ,Dataset!F:F,'renta fija'!$D$11,Dataset!J:J,"&lt;"&amp;$S21/365,Dataset!J:J,"&gt;="&amp;$R21/365)</f>
        <v>0</v>
      </c>
      <c r="AF21" s="132">
        <f>IFERROR(SUMIFS(Dataset!AQ:AQ,Dataset!F:F,'renta fija'!$D$11,Dataset!J:J,"&lt;"&amp;$S21/365,Dataset!J:J,"&gt;="&amp;$R21/365)/AD21,0)</f>
        <v>0</v>
      </c>
    </row>
    <row r="22" spans="3:32" ht="62.25" customHeight="1" x14ac:dyDescent="0.9">
      <c r="C22" s="120" t="s">
        <v>118</v>
      </c>
      <c r="D22" s="121">
        <f>SUMIFS(Dataset!AK:AK,Dataset!F:F,'renta fija'!D11,Dataset!AH:AH,"bono de gobierno", Dataset!T:T,"us$")</f>
        <v>0</v>
      </c>
      <c r="E22" s="122">
        <f>SUMIFS(Dataset!V:V,Dataset!F:F,'renta fija'!D11,Dataset!AH:AH,"bono de gobierno", Dataset!T:T,"us$")/1000000</f>
        <v>0</v>
      </c>
      <c r="F22" s="123">
        <f>SUMIFS(Dataset!H:H,Dataset!F:F,'renta fija'!D11,Dataset!AH:AH,"bono de gobierno", Dataset!T:T,"us$")*365</f>
        <v>0</v>
      </c>
      <c r="G22" s="121">
        <f>SUMIFS(Dataset!AQ:AQ,Dataset!F:F,'renta fija'!D11,Dataset!AH:AH,"bono de gobierno", Dataset!T:T,"us$")</f>
        <v>0</v>
      </c>
      <c r="H22" s="121">
        <f>SUMIFS(Dataset!I:I,Dataset!F:F,'renta fija'!D11,Dataset!AH:AH,"bono de gobierno", Dataset!T:T,"us$")</f>
        <v>0</v>
      </c>
      <c r="I22" s="121">
        <f>SUMIFS(Dataset!AA:AA,Dataset!F:F,'renta fija'!D11,Dataset!AH:AH,"bono de gobierno", Dataset!T:T,"us$")</f>
        <v>0</v>
      </c>
      <c r="K22" s="124">
        <v>6</v>
      </c>
      <c r="L22" s="121" t="str">
        <f>IFERROR(INDEX(Dataset!X:X,MATCH(_xlfn.AGGREGATE(14,6,Dataset!I:I/(Dataset!F:F=$D$11),K22),Dataset!I:I,0),1),"-")</f>
        <v>Forward  JP Morgan long leg</v>
      </c>
      <c r="M22" s="121">
        <f>IFERROR(INDEX(Dataset!AK:AK,MATCH(_xlfn.AGGREGATE(14,6,Dataset!I:I/(Dataset!F:F=$D$11),K22),Dataset!I:I,0),1),"-")</f>
        <v>4.0585680788107439E-2</v>
      </c>
      <c r="N22" s="121">
        <f>IFERROR(INDEX(Dataset!I:I,MATCH(_xlfn.AGGREGATE(14,6,Dataset!I:I/(Dataset!F:F=$D$11),K22),Dataset!I:I,0),1),"-")</f>
        <v>3.1872256570007673E-3</v>
      </c>
      <c r="O22" s="121">
        <f>IFERROR(INDEX(Dataset!AA:AA,MATCH(_xlfn.AGGREGATE(14,6,Dataset!I:I/(Dataset!F:F=$D$11),K22),Dataset!I:I,0),1),"-")</f>
        <v>7.0482944135263362E-2</v>
      </c>
      <c r="P22" s="123">
        <f>IFERROR(INDEX(Dataset!J:J,MATCH(_xlfn.AGGREGATE(14,6,Dataset!I:I/(Dataset!F:F=$D$11),K22),Dataset!I:I,0),1),"-")</f>
        <v>0</v>
      </c>
      <c r="R22" s="124">
        <v>75</v>
      </c>
      <c r="S22" s="130">
        <v>90</v>
      </c>
      <c r="T22" s="127">
        <f>SUMIFS(Dataset!AJ:AJ,Dataset!F:F,'renta fija'!$D$11,Dataset!AH:AH,"deposito",Dataset!T:T,"$",Dataset!J:J,"&lt;"&amp;$S22/365,Dataset!J:J,"&gt;="&amp;$R22/365)</f>
        <v>6.1290298179279196E-2</v>
      </c>
      <c r="U22" s="127">
        <f>SUMIFS(Dataset!AJ:AJ,Dataset!F:F,'renta fija'!$D$11,Dataset!AH:AH,"deposito",Dataset!T:T,"uf",Dataset!J:J,"&lt;"&amp;$S22/365,Dataset!J:J,"&gt;="&amp;$R22/365)</f>
        <v>0</v>
      </c>
      <c r="V22" s="127">
        <f>SUMIFS(Dataset!AJ:AJ,Dataset!F:F,'renta fija'!$D$11,Dataset!AH:AH,"deposito",Dataset!T:T,"us$",Dataset!J:J,"&lt;"&amp;$S22/365,Dataset!J:J,"&gt;="&amp;$R22/365)</f>
        <v>2.2830673759392964E-2</v>
      </c>
      <c r="W22" s="127">
        <f>SUMIFS(Dataset!AJ:AJ,Dataset!F:F,'renta fija'!$D$11,Dataset!AH:AH,"bono de gobierno",Dataset!T:T,"$",Dataset!J:J,"&lt;"&amp;$S22/365,Dataset!J:J,"&gt;="&amp;$R22/365)</f>
        <v>0</v>
      </c>
      <c r="X22" s="127">
        <f>SUMIFS(Dataset!AJ:AJ,Dataset!F:F,'renta fija'!$D$11,Dataset!AH:AH,"bono de gobierno",Dataset!T:T,"UF",Dataset!J:J,"&lt;"&amp;$S22/365,Dataset!J:J,"&gt;="&amp;$R22/365)</f>
        <v>0</v>
      </c>
      <c r="Y22" s="127">
        <f>SUMIFS(Dataset!AJ:AJ,Dataset!F:F,'renta fija'!$D$11,Dataset!AH:AH,"bono de gobierno",Dataset!T:T,"US$",Dataset!J:J,"&lt;"&amp;$S22/365,Dataset!J:J,"&gt;="&amp;$R22/365)</f>
        <v>0</v>
      </c>
      <c r="Z22" s="127">
        <f>SUMIFS(Dataset!AJ:AJ,Dataset!F:F,'renta fija'!$D$11,Dataset!AH:AH,"bono corporativo",Dataset!T:T,"$",Dataset!J:J,"&lt;"&amp;$S22/365,Dataset!J:J,"&gt;="&amp;$R22/365)</f>
        <v>0</v>
      </c>
      <c r="AA22" s="127">
        <f>SUMIFS(Dataset!AJ:AJ,Dataset!F:F,'renta fija'!$D$11,Dataset!AH:AH,"bono corporativo",Dataset!T:T,"UF",Dataset!J:J,"&lt;"&amp;$S22/365,Dataset!J:J,"&gt;="&amp;$R22/365)</f>
        <v>0</v>
      </c>
      <c r="AB22" s="127">
        <f>SUMIFS(Dataset!AJ:AJ,Dataset!F:F,'renta fija'!$D$11,Dataset!AH:AH,"bono corporativo",Dataset!T:T,"US$",Dataset!J:J,"&lt;"&amp;$S22/365,Dataset!J:J,"&gt;="&amp;$R22/365)</f>
        <v>0</v>
      </c>
      <c r="AC22" s="127">
        <f>SUMIFS(Dataset!AJ:AJ,Dataset!F:F,'renta fija'!$D$11,Dataset!AH:AH,"&lt;&gt;letra hipotecaria",Dataset!AH:AH,"&lt;&gt;bono corporativo",Dataset!AH:AH,"&lt;&gt;deposito",Dataset!AH:AH,"&lt;&gt;bono de gobierno",Dataset!J:J,"&lt;"&amp;$S22/365,Dataset!J:J,"&gt;="&amp;$R22/365)</f>
        <v>0</v>
      </c>
      <c r="AD22" s="131">
        <f t="shared" si="0"/>
        <v>8.4120971938672157E-2</v>
      </c>
      <c r="AE22" s="131">
        <f>SUMIFS(Dataset!AQ:AQ,Dataset!F:F,'renta fija'!$D$11,Dataset!J:J,"&lt;"&amp;$S22/365,Dataset!J:J,"&gt;="&amp;$R22/365)</f>
        <v>1.9947699889629549E-3</v>
      </c>
      <c r="AF22" s="132">
        <f>IFERROR(SUMIFS(Dataset!AQ:AQ,Dataset!F:F,'renta fija'!$D$11,Dataset!J:J,"&lt;"&amp;$S22/365,Dataset!J:J,"&gt;="&amp;$R22/365)/AD22,0)</f>
        <v>2.3713111522501534E-2</v>
      </c>
    </row>
    <row r="23" spans="3:32" ht="62.25" customHeight="1" x14ac:dyDescent="0.9">
      <c r="C23" s="120" t="s">
        <v>98</v>
      </c>
      <c r="D23" s="121">
        <f>SUMIFS(Dataset!AK:AK,Dataset!F:F,'renta fija'!D11,Dataset!AH:AH,"bono corporativo", Dataset!T:T,"$")</f>
        <v>0</v>
      </c>
      <c r="E23" s="122">
        <f>SUMIFS(Dataset!V:V,Dataset!F:F,'renta fija'!D11,Dataset!AH:AH,"bono corporativo", Dataset!T:T,"$")/1000000</f>
        <v>0</v>
      </c>
      <c r="F23" s="123">
        <f>SUMIFS(Dataset!H:H,Dataset!F:F,'renta fija'!D11,Dataset!AH:AH,"bono corporativo", Dataset!T:T,"$")*365</f>
        <v>0</v>
      </c>
      <c r="G23" s="121">
        <f>SUMIFS(Dataset!AQ:AQ,Dataset!F:F,'renta fija'!D11,Dataset!AH:AH,"bono corporativo", Dataset!T:T,"$")</f>
        <v>0</v>
      </c>
      <c r="H23" s="121">
        <f>SUMIFS(Dataset!I:I,Dataset!F:F,'renta fija'!D11,Dataset!AH:AH,"bono corporativo", Dataset!T:T,"$")</f>
        <v>0</v>
      </c>
      <c r="I23" s="121">
        <f>SUMIFS(Dataset!AA:AA,Dataset!F:F,'renta fija'!D11,Dataset!AH:AH,"bono corporativo", Dataset!T:T,"$")</f>
        <v>0</v>
      </c>
      <c r="K23" s="124">
        <v>7</v>
      </c>
      <c r="L23" s="121" t="str">
        <f>IFERROR(INDEX(Dataset!X:X,MATCH(_xlfn.AGGREGATE(14,6,Dataset!I:I/(Dataset!F:F=$D$11),K23),Dataset!I:I,0),1),"-")</f>
        <v>Forward  JP Morgan long leg</v>
      </c>
      <c r="M23" s="121">
        <f>IFERROR(INDEX(Dataset!AK:AK,MATCH(_xlfn.AGGREGATE(14,6,Dataset!I:I/(Dataset!F:F=$D$11),K23),Dataset!I:I,0),1),"-")</f>
        <v>3.2138675079628379E-2</v>
      </c>
      <c r="N23" s="121">
        <f>IFERROR(INDEX(Dataset!I:I,MATCH(_xlfn.AGGREGATE(14,6,Dataset!I:I/(Dataset!F:F=$D$11),K23),Dataset!I:I,0),1),"-")</f>
        <v>2.5238756085081636E-3</v>
      </c>
      <c r="O23" s="121">
        <f>IFERROR(INDEX(Dataset!AA:AA,MATCH(_xlfn.AGGREGATE(14,6,Dataset!I:I/(Dataset!F:F=$D$11),K23),Dataset!I:I,0),1),"-")</f>
        <v>5.5813488802745261E-2</v>
      </c>
      <c r="P23" s="123">
        <f>IFERROR(INDEX(Dataset!J:J,MATCH(_xlfn.AGGREGATE(14,6,Dataset!I:I/(Dataset!F:F=$D$11),K23),Dataset!I:I,0),1),"-")</f>
        <v>0</v>
      </c>
      <c r="R23" s="124">
        <v>90</v>
      </c>
      <c r="S23" s="130">
        <v>105</v>
      </c>
      <c r="T23" s="127">
        <f>SUMIFS(Dataset!AJ:AJ,Dataset!F:F,'renta fija'!$D$11,Dataset!AH:AH,"deposito",Dataset!T:T,"$",Dataset!J:J,"&lt;"&amp;$S23/365,Dataset!J:J,"&gt;="&amp;$R23/365)</f>
        <v>2.0403050061062317E-2</v>
      </c>
      <c r="U23" s="127">
        <f>SUMIFS(Dataset!AJ:AJ,Dataset!F:F,'renta fija'!$D$11,Dataset!AH:AH,"deposito",Dataset!T:T,"uf",Dataset!J:J,"&lt;"&amp;$S23/365,Dataset!J:J,"&gt;="&amp;$R23/365)</f>
        <v>0</v>
      </c>
      <c r="V23" s="127">
        <f>SUMIFS(Dataset!AJ:AJ,Dataset!F:F,'renta fija'!$D$11,Dataset!AH:AH,"deposito",Dataset!T:T,"us$",Dataset!J:J,"&lt;"&amp;$S23/365,Dataset!J:J,"&gt;="&amp;$R23/365)</f>
        <v>0</v>
      </c>
      <c r="W23" s="127">
        <f>SUMIFS(Dataset!AJ:AJ,Dataset!F:F,'renta fija'!$D$11,Dataset!AH:AH,"bono de gobierno",Dataset!T:T,"$",Dataset!J:J,"&lt;"&amp;$S23/365,Dataset!J:J,"&gt;="&amp;$R23/365)</f>
        <v>0</v>
      </c>
      <c r="X23" s="127">
        <f>SUMIFS(Dataset!AJ:AJ,Dataset!F:F,'renta fija'!$D$11,Dataset!AH:AH,"bono de gobierno",Dataset!T:T,"UF",Dataset!J:J,"&lt;"&amp;$S23/365,Dataset!J:J,"&gt;="&amp;$R23/365)</f>
        <v>0</v>
      </c>
      <c r="Y23" s="127">
        <f>SUMIFS(Dataset!AJ:AJ,Dataset!F:F,'renta fija'!$D$11,Dataset!AH:AH,"bono de gobierno",Dataset!T:T,"US$",Dataset!J:J,"&lt;"&amp;$S23/365,Dataset!J:J,"&gt;="&amp;$R23/365)</f>
        <v>0</v>
      </c>
      <c r="Z23" s="127">
        <f>SUMIFS(Dataset!AJ:AJ,Dataset!F:F,'renta fija'!$D$11,Dataset!AH:AH,"bono corporativo",Dataset!T:T,"$",Dataset!J:J,"&lt;"&amp;$S23/365,Dataset!J:J,"&gt;="&amp;$R23/365)</f>
        <v>0</v>
      </c>
      <c r="AA23" s="127">
        <f>SUMIFS(Dataset!AJ:AJ,Dataset!F:F,'renta fija'!$D$11,Dataset!AH:AH,"bono corporativo",Dataset!T:T,"UF",Dataset!J:J,"&lt;"&amp;$S23/365,Dataset!J:J,"&gt;="&amp;$R23/365)</f>
        <v>0</v>
      </c>
      <c r="AB23" s="127">
        <f>SUMIFS(Dataset!AJ:AJ,Dataset!F:F,'renta fija'!$D$11,Dataset!AH:AH,"bono corporativo",Dataset!T:T,"US$",Dataset!J:J,"&lt;"&amp;$S23/365,Dataset!J:J,"&gt;="&amp;$R23/365)</f>
        <v>2.6139373988524887E-2</v>
      </c>
      <c r="AC23" s="127">
        <f>SUMIFS(Dataset!AJ:AJ,Dataset!F:F,'renta fija'!$D$11,Dataset!AH:AH,"&lt;&gt;letra hipotecaria",Dataset!AH:AH,"&lt;&gt;bono corporativo",Dataset!AH:AH,"&lt;&gt;deposito",Dataset!AH:AH,"&lt;&gt;bono de gobierno",Dataset!J:J,"&lt;"&amp;$S23/365,Dataset!J:J,"&gt;="&amp;$R23/365)</f>
        <v>0</v>
      </c>
      <c r="AD23" s="131">
        <f t="shared" si="0"/>
        <v>4.6542424049587208E-2</v>
      </c>
      <c r="AE23" s="131">
        <f>SUMIFS(Dataset!AQ:AQ,Dataset!F:F,'renta fija'!$D$11,Dataset!J:J,"&lt;"&amp;$S23/365,Dataset!J:J,"&gt;="&amp;$R23/365)</f>
        <v>5.6312418168531992E-4</v>
      </c>
      <c r="AF23" s="132">
        <f>IFERROR(SUMIFS(Dataset!AQ:AQ,Dataset!F:F,'renta fija'!$D$11,Dataset!J:J,"&lt;"&amp;$S23/365,Dataset!J:J,"&gt;="&amp;$R23/365)/AD23,0)</f>
        <v>1.2099158846676237E-2</v>
      </c>
    </row>
    <row r="24" spans="3:32" ht="62.25" customHeight="1" x14ac:dyDescent="0.9">
      <c r="C24" s="120" t="s">
        <v>73</v>
      </c>
      <c r="D24" s="121">
        <f>SUMIFS(Dataset!AK:AK,Dataset!F:F,'renta fija'!D11,Dataset!AH:AH,"bono corporativo", Dataset!T:T,"uf")</f>
        <v>0</v>
      </c>
      <c r="E24" s="122">
        <f>SUMIFS(Dataset!V:V,Dataset!F:F,'renta fija'!D11,Dataset!AH:AH,"bono corporativo", Dataset!T:T,"uf")/1000000</f>
        <v>0</v>
      </c>
      <c r="F24" s="123">
        <f>SUMIFS(Dataset!H:H,Dataset!F:F,'renta fija'!D11,Dataset!AH:AH,"bono corporativo", Dataset!T:T,"uf")*365</f>
        <v>0</v>
      </c>
      <c r="G24" s="121">
        <f>SUMIFS(Dataset!AQ:AQ,Dataset!F:F,'renta fija'!D11,Dataset!AH:AH,"bono corporativo", Dataset!T:T,"uf")</f>
        <v>0</v>
      </c>
      <c r="H24" s="121">
        <f>SUMIFS(Dataset!I:I,Dataset!F:F,'renta fija'!D11,Dataset!AH:AH,"bono corporativo", Dataset!T:T,"uf")</f>
        <v>0</v>
      </c>
      <c r="I24" s="121">
        <f>SUMIFS(Dataset!AA:AA,Dataset!F:F,'renta fija'!D11,Dataset!AH:AH,"bono corporativo", Dataset!T:T,"uf")</f>
        <v>0</v>
      </c>
      <c r="K24" s="124">
        <v>8</v>
      </c>
      <c r="L24" s="121" t="str">
        <f>IFERROR(INDEX(Dataset!X:X,MATCH(_xlfn.AGGREGATE(14,6,Dataset!I:I/(Dataset!F:F=$D$11),K24),Dataset!I:I,0),1),"-")</f>
        <v>Forward  Banco BBVA long leg</v>
      </c>
      <c r="M24" s="121">
        <f>IFERROR(INDEX(Dataset!AK:AK,MATCH(_xlfn.AGGREGATE(14,6,Dataset!I:I/(Dataset!F:F=$D$11),K24),Dataset!I:I,0),1),"-")</f>
        <v>2.4813719675625304E-2</v>
      </c>
      <c r="N24" s="121">
        <f>IFERROR(INDEX(Dataset!I:I,MATCH(_xlfn.AGGREGATE(14,6,Dataset!I:I/(Dataset!F:F=$D$11),K24),Dataset!I:I,0),1),"-")</f>
        <v>1.9486410591134412E-3</v>
      </c>
      <c r="O24" s="121">
        <f>IFERROR(INDEX(Dataset!AA:AA,MATCH(_xlfn.AGGREGATE(14,6,Dataset!I:I/(Dataset!F:F=$D$11),K24),Dataset!I:I,0),1),"-")</f>
        <v>4.3092637199217944E-2</v>
      </c>
      <c r="P24" s="123">
        <f>IFERROR(INDEX(Dataset!J:J,MATCH(_xlfn.AGGREGATE(14,6,Dataset!I:I/(Dataset!F:F=$D$11),K24),Dataset!I:I,0),1),"-")</f>
        <v>0</v>
      </c>
      <c r="R24" s="124">
        <v>105</v>
      </c>
      <c r="S24" s="130">
        <v>120</v>
      </c>
      <c r="T24" s="127">
        <f>SUMIFS(Dataset!AJ:AJ,Dataset!F:F,'renta fija'!$D$11,Dataset!AH:AH,"deposito",Dataset!T:T,"$",Dataset!J:J,"&lt;"&amp;$S24/365,Dataset!J:J,"&gt;="&amp;$R24/365)</f>
        <v>0</v>
      </c>
      <c r="U24" s="127">
        <f>SUMIFS(Dataset!AJ:AJ,Dataset!F:F,'renta fija'!$D$11,Dataset!AH:AH,"deposito",Dataset!T:T,"uf",Dataset!J:J,"&lt;"&amp;$S24/365,Dataset!J:J,"&gt;="&amp;$R24/365)</f>
        <v>0</v>
      </c>
      <c r="V24" s="127">
        <f>SUMIFS(Dataset!AJ:AJ,Dataset!F:F,'renta fija'!$D$11,Dataset!AH:AH,"deposito",Dataset!T:T,"us$",Dataset!J:J,"&lt;"&amp;$S24/365,Dataset!J:J,"&gt;="&amp;$R24/365)</f>
        <v>0</v>
      </c>
      <c r="W24" s="127">
        <f>SUMIFS(Dataset!AJ:AJ,Dataset!F:F,'renta fija'!$D$11,Dataset!AH:AH,"bono de gobierno",Dataset!T:T,"$",Dataset!J:J,"&lt;"&amp;$S24/365,Dataset!J:J,"&gt;="&amp;$R24/365)</f>
        <v>0</v>
      </c>
      <c r="X24" s="127">
        <f>SUMIFS(Dataset!AJ:AJ,Dataset!F:F,'renta fija'!$D$11,Dataset!AH:AH,"bono de gobierno",Dataset!T:T,"UF",Dataset!J:J,"&lt;"&amp;$S24/365,Dataset!J:J,"&gt;="&amp;$R24/365)</f>
        <v>0</v>
      </c>
      <c r="Y24" s="127">
        <f>SUMIFS(Dataset!AJ:AJ,Dataset!F:F,'renta fija'!$D$11,Dataset!AH:AH,"bono de gobierno",Dataset!T:T,"US$",Dataset!J:J,"&lt;"&amp;$S24/365,Dataset!J:J,"&gt;="&amp;$R24/365)</f>
        <v>0</v>
      </c>
      <c r="Z24" s="127">
        <f>SUMIFS(Dataset!AJ:AJ,Dataset!F:F,'renta fija'!$D$11,Dataset!AH:AH,"bono corporativo",Dataset!T:T,"$",Dataset!J:J,"&lt;"&amp;$S24/365,Dataset!J:J,"&gt;="&amp;$R24/365)</f>
        <v>0</v>
      </c>
      <c r="AA24" s="127">
        <f>SUMIFS(Dataset!AJ:AJ,Dataset!F:F,'renta fija'!$D$11,Dataset!AH:AH,"bono corporativo",Dataset!T:T,"UF",Dataset!J:J,"&lt;"&amp;$S24/365,Dataset!J:J,"&gt;="&amp;$R24/365)</f>
        <v>0</v>
      </c>
      <c r="AB24" s="127">
        <f>SUMIFS(Dataset!AJ:AJ,Dataset!F:F,'renta fija'!$D$11,Dataset!AH:AH,"bono corporativo",Dataset!T:T,"US$",Dataset!J:J,"&lt;"&amp;$S24/365,Dataset!J:J,"&gt;="&amp;$R24/365)</f>
        <v>0</v>
      </c>
      <c r="AC24" s="127">
        <f>SUMIFS(Dataset!AJ:AJ,Dataset!F:F,'renta fija'!$D$11,Dataset!AH:AH,"&lt;&gt;letra hipotecaria",Dataset!AH:AH,"&lt;&gt;bono corporativo",Dataset!AH:AH,"&lt;&gt;deposito",Dataset!AH:AH,"&lt;&gt;bono de gobierno",Dataset!J:J,"&lt;"&amp;$S24/365,Dataset!J:J,"&gt;="&amp;$R24/365)</f>
        <v>0</v>
      </c>
      <c r="AD24" s="131">
        <f t="shared" si="0"/>
        <v>0</v>
      </c>
      <c r="AE24" s="131">
        <f>SUMIFS(Dataset!AQ:AQ,Dataset!F:F,'renta fija'!$D$11,Dataset!J:J,"&lt;"&amp;$S24/365,Dataset!J:J,"&gt;="&amp;$R24/365)</f>
        <v>0</v>
      </c>
      <c r="AF24" s="132">
        <f>IFERROR(SUMIFS(Dataset!AQ:AQ,Dataset!F:F,'renta fija'!$D$11,Dataset!J:J,"&lt;"&amp;$S24/365,Dataset!J:J,"&gt;="&amp;$R24/365)/AD24,0)</f>
        <v>0</v>
      </c>
    </row>
    <row r="25" spans="3:32" ht="62.25" customHeight="1" x14ac:dyDescent="0.9">
      <c r="C25" s="120" t="s">
        <v>97</v>
      </c>
      <c r="D25" s="121">
        <f>SUMIFS(Dataset!AK:AK,Dataset!F:F,'renta fija'!D11,Dataset!AH:AH,"bono corporativo", Dataset!T:T,"us$")</f>
        <v>2.6139373988524887E-2</v>
      </c>
      <c r="E25" s="122">
        <f>SUMIFS(Dataset!V:V,Dataset!F:F,'renta fija'!D11,Dataset!AH:AH,"bono corporativo", Dataset!T:T,"us$")/1000000</f>
        <v>1.02647917</v>
      </c>
      <c r="F25" s="123">
        <f>SUMIFS(Dataset!H:H,Dataset!F:F,'renta fija'!D11,Dataset!AH:AH,"bono corporativo", Dataset!T:T,"us$")*365</f>
        <v>2.4806265915110117</v>
      </c>
      <c r="G25" s="121">
        <f>SUMIFS(Dataset!AQ:AQ,Dataset!F:F,'renta fija'!D11,Dataset!AH:AH,"bono corporativo", Dataset!T:T,"us$")</f>
        <v>0</v>
      </c>
      <c r="H25" s="121">
        <f>SUMIFS(Dataset!I:I,Dataset!F:F,'renta fija'!D11,Dataset!AH:AH,"bono corporativo", Dataset!T:T,"us$")</f>
        <v>-1.8842757224501303E-5</v>
      </c>
      <c r="I25" s="121">
        <f>SUMIFS(Dataset!AA:AA,Dataset!F:F,'renta fija'!D11,Dataset!AH:AH,"bono corporativo", Dataset!T:T,"us$")</f>
        <v>-4.1669249301243809E-4</v>
      </c>
      <c r="K25" s="124">
        <v>9</v>
      </c>
      <c r="L25" s="121" t="str">
        <f>IFERROR(INDEX(Dataset!X:X,MATCH(_xlfn.AGGREGATE(14,6,Dataset!I:I/(Dataset!F:F=$D$11),K25),Dataset!I:I,0),1),"-")</f>
        <v>Forward  Banco BBVA long leg</v>
      </c>
      <c r="M25" s="121">
        <f>IFERROR(INDEX(Dataset!AK:AK,MATCH(_xlfn.AGGREGATE(14,6,Dataset!I:I/(Dataset!F:F=$D$11),K25),Dataset!I:I,0),1),"-")</f>
        <v>2.4813719675625304E-2</v>
      </c>
      <c r="N25" s="121">
        <f>IFERROR(INDEX(Dataset!I:I,MATCH(_xlfn.AGGREGATE(14,6,Dataset!I:I/(Dataset!F:F=$D$11),K25),Dataset!I:I,0),1),"-")</f>
        <v>1.9486410591134412E-3</v>
      </c>
      <c r="O25" s="121">
        <f>IFERROR(INDEX(Dataset!AA:AA,MATCH(_xlfn.AGGREGATE(14,6,Dataset!I:I/(Dataset!F:F=$D$11),K25),Dataset!I:I,0),1),"-")</f>
        <v>4.3092637199217944E-2</v>
      </c>
      <c r="P25" s="123">
        <f>IFERROR(INDEX(Dataset!J:J,MATCH(_xlfn.AGGREGATE(14,6,Dataset!I:I/(Dataset!F:F=$D$11),K25),Dataset!I:I,0),1),"-")</f>
        <v>0</v>
      </c>
      <c r="R25" s="124">
        <v>120</v>
      </c>
      <c r="S25" s="130">
        <v>135</v>
      </c>
      <c r="T25" s="127">
        <f>SUMIFS(Dataset!AJ:AJ,Dataset!F:F,'renta fija'!$D$11,Dataset!AH:AH,"deposito",Dataset!T:T,"$",Dataset!J:J,"&lt;"&amp;$S25/365,Dataset!J:J,"&gt;="&amp;$R25/365)</f>
        <v>0</v>
      </c>
      <c r="U25" s="127">
        <f>SUMIFS(Dataset!AJ:AJ,Dataset!F:F,'renta fija'!$D$11,Dataset!AH:AH,"deposito",Dataset!T:T,"uf",Dataset!J:J,"&lt;"&amp;$S25/365,Dataset!J:J,"&gt;="&amp;$R25/365)</f>
        <v>0</v>
      </c>
      <c r="V25" s="127">
        <f>SUMIFS(Dataset!AJ:AJ,Dataset!F:F,'renta fija'!$D$11,Dataset!AH:AH,"deposito",Dataset!T:T,"us$",Dataset!J:J,"&lt;"&amp;$S25/365,Dataset!J:J,"&gt;="&amp;$R25/365)</f>
        <v>0</v>
      </c>
      <c r="W25" s="127">
        <f>SUMIFS(Dataset!AJ:AJ,Dataset!F:F,'renta fija'!$D$11,Dataset!AH:AH,"bono de gobierno",Dataset!T:T,"$",Dataset!J:J,"&lt;"&amp;$S25/365,Dataset!J:J,"&gt;="&amp;$R25/365)</f>
        <v>0</v>
      </c>
      <c r="X25" s="127">
        <f>SUMIFS(Dataset!AJ:AJ,Dataset!F:F,'renta fija'!$D$11,Dataset!AH:AH,"bono de gobierno",Dataset!T:T,"UF",Dataset!J:J,"&lt;"&amp;$S25/365,Dataset!J:J,"&gt;="&amp;$R25/365)</f>
        <v>0</v>
      </c>
      <c r="Y25" s="127">
        <f>SUMIFS(Dataset!AJ:AJ,Dataset!F:F,'renta fija'!$D$11,Dataset!AH:AH,"bono de gobierno",Dataset!T:T,"US$",Dataset!J:J,"&lt;"&amp;$S25/365,Dataset!J:J,"&gt;="&amp;$R25/365)</f>
        <v>0</v>
      </c>
      <c r="Z25" s="127">
        <f>SUMIFS(Dataset!AJ:AJ,Dataset!F:F,'renta fija'!$D$11,Dataset!AH:AH,"bono corporativo",Dataset!T:T,"$",Dataset!J:J,"&lt;"&amp;$S25/365,Dataset!J:J,"&gt;="&amp;$R25/365)</f>
        <v>0</v>
      </c>
      <c r="AA25" s="127">
        <f>SUMIFS(Dataset!AJ:AJ,Dataset!F:F,'renta fija'!$D$11,Dataset!AH:AH,"bono corporativo",Dataset!T:T,"UF",Dataset!J:J,"&lt;"&amp;$S25/365,Dataset!J:J,"&gt;="&amp;$R25/365)</f>
        <v>0</v>
      </c>
      <c r="AB25" s="127">
        <f>SUMIFS(Dataset!AJ:AJ,Dataset!F:F,'renta fija'!$D$11,Dataset!AH:AH,"bono corporativo",Dataset!T:T,"US$",Dataset!J:J,"&lt;"&amp;$S25/365,Dataset!J:J,"&gt;="&amp;$R25/365)</f>
        <v>0</v>
      </c>
      <c r="AC25" s="127">
        <f>SUMIFS(Dataset!AJ:AJ,Dataset!F:F,'renta fija'!$D$11,Dataset!AH:AH,"&lt;&gt;letra hipotecaria",Dataset!AH:AH,"&lt;&gt;bono corporativo",Dataset!AH:AH,"&lt;&gt;deposito",Dataset!AH:AH,"&lt;&gt;bono de gobierno",Dataset!J:J,"&lt;"&amp;$S25/365,Dataset!J:J,"&gt;="&amp;$R25/365)</f>
        <v>0</v>
      </c>
      <c r="AD25" s="131">
        <f t="shared" si="0"/>
        <v>0</v>
      </c>
      <c r="AE25" s="131">
        <f>SUMIFS(Dataset!AQ:AQ,Dataset!F:F,'renta fija'!$D$11,Dataset!J:J,"&lt;"&amp;$S25/365,Dataset!J:J,"&gt;="&amp;$R25/365)</f>
        <v>0</v>
      </c>
      <c r="AF25" s="132">
        <f>IFERROR(SUMIFS(Dataset!AQ:AQ,Dataset!F:F,'renta fija'!$D$11,Dataset!J:J,"&lt;"&amp;$S25/365,Dataset!J:J,"&gt;="&amp;$R25/365)/AD25,0)</f>
        <v>0</v>
      </c>
    </row>
    <row r="26" spans="3:32" ht="62.25" customHeight="1" x14ac:dyDescent="0.9">
      <c r="C26" s="120" t="s">
        <v>65</v>
      </c>
      <c r="D26" s="121">
        <f>SUMIFS(Dataset!AK:AK,Dataset!F:F,'renta fija'!D11,Dataset!AH:AH,"factura")</f>
        <v>0</v>
      </c>
      <c r="E26" s="122">
        <f>SUMIFS(Dataset!V:V,Dataset!F:F,'renta fija'!D11,Dataset!AH:AH,"factura")/1000000</f>
        <v>0</v>
      </c>
      <c r="F26" s="123">
        <f>SUMIFS(Dataset!H:H,Dataset!F:F,'renta fija'!D11,Dataset!AH:AH,"factura")*365</f>
        <v>0</v>
      </c>
      <c r="G26" s="121">
        <f>SUMIFS(Dataset!AQ:AQ,Dataset!F:F,'renta fija'!D11,Dataset!AH:AH,"factura")</f>
        <v>0</v>
      </c>
      <c r="H26" s="121">
        <f>SUMIFS(Dataset!I:I,Dataset!F:F,'renta fija'!D11,Dataset!AH:AH,"factura")</f>
        <v>0</v>
      </c>
      <c r="I26" s="121">
        <f>SUMIFS(Dataset!AA:AA,Dataset!F:F,'renta fija'!D11,Dataset!AH:AH,"factura")</f>
        <v>0</v>
      </c>
      <c r="K26" s="124">
        <v>10</v>
      </c>
      <c r="L26" s="121" t="str">
        <f>IFERROR(INDEX(Dataset!X:X,MATCH(_xlfn.AGGREGATE(14,6,Dataset!I:I/(Dataset!F:F=$D$11),K26),Dataset!I:I,0),1),"-")</f>
        <v>Forward  Banco Santander long leg</v>
      </c>
      <c r="M26" s="121">
        <f>IFERROR(INDEX(Dataset!AK:AK,MATCH(_xlfn.AGGREGATE(14,6,Dataset!I:I/(Dataset!F:F=$D$11),K26),Dataset!I:I,0),1),"-")</f>
        <v>2.4676262357939734E-2</v>
      </c>
      <c r="N26" s="121">
        <f>IFERROR(INDEX(Dataset!I:I,MATCH(_xlfn.AGGREGATE(14,6,Dataset!I:I/(Dataset!F:F=$D$11),K26),Dataset!I:I,0),1),"-")</f>
        <v>1.937846427086514E-3</v>
      </c>
      <c r="O26" s="121">
        <f>IFERROR(INDEX(Dataset!AA:AA,MATCH(_xlfn.AGGREGATE(14,6,Dataset!I:I/(Dataset!F:F=$D$11),K26),Dataset!I:I,0),1),"-")</f>
        <v>4.2853922552690341E-2</v>
      </c>
      <c r="P26" s="123">
        <f>IFERROR(INDEX(Dataset!J:J,MATCH(_xlfn.AGGREGATE(14,6,Dataset!I:I/(Dataset!F:F=$D$11),K26),Dataset!I:I,0),1),"-")</f>
        <v>0</v>
      </c>
      <c r="R26" s="124">
        <v>135</v>
      </c>
      <c r="S26" s="130">
        <v>150</v>
      </c>
      <c r="T26" s="127">
        <f>SUMIFS(Dataset!AJ:AJ,Dataset!F:F,'renta fija'!$D$11,Dataset!AH:AH,"deposito",Dataset!T:T,"$",Dataset!J:J,"&lt;"&amp;$S26/365,Dataset!J:J,"&gt;="&amp;$R26/365)</f>
        <v>0</v>
      </c>
      <c r="U26" s="127">
        <f>SUMIFS(Dataset!AJ:AJ,Dataset!F:F,'renta fija'!$D$11,Dataset!AH:AH,"deposito",Dataset!T:T,"uf",Dataset!J:J,"&lt;"&amp;$S26/365,Dataset!J:J,"&gt;="&amp;$R26/365)</f>
        <v>0</v>
      </c>
      <c r="V26" s="127">
        <f>SUMIFS(Dataset!AJ:AJ,Dataset!F:F,'renta fija'!$D$11,Dataset!AH:AH,"deposito",Dataset!T:T,"us$",Dataset!J:J,"&lt;"&amp;$S26/365,Dataset!J:J,"&gt;="&amp;$R26/365)</f>
        <v>0</v>
      </c>
      <c r="W26" s="127">
        <f>SUMIFS(Dataset!AJ:AJ,Dataset!F:F,'renta fija'!$D$11,Dataset!AH:AH,"bono de gobierno",Dataset!T:T,"$",Dataset!J:J,"&lt;"&amp;$S26/365,Dataset!J:J,"&gt;="&amp;$R26/365)</f>
        <v>0</v>
      </c>
      <c r="X26" s="127">
        <f>SUMIFS(Dataset!AJ:AJ,Dataset!F:F,'renta fija'!$D$11,Dataset!AH:AH,"bono de gobierno",Dataset!T:T,"UF",Dataset!J:J,"&lt;"&amp;$S26/365,Dataset!J:J,"&gt;="&amp;$R26/365)</f>
        <v>0</v>
      </c>
      <c r="Y26" s="127">
        <f>SUMIFS(Dataset!AJ:AJ,Dataset!F:F,'renta fija'!$D$11,Dataset!AH:AH,"bono de gobierno",Dataset!T:T,"US$",Dataset!J:J,"&lt;"&amp;$S26/365,Dataset!J:J,"&gt;="&amp;$R26/365)</f>
        <v>0</v>
      </c>
      <c r="Z26" s="127">
        <f>SUMIFS(Dataset!AJ:AJ,Dataset!F:F,'renta fija'!$D$11,Dataset!AH:AH,"bono corporativo",Dataset!T:T,"$",Dataset!J:J,"&lt;"&amp;$S26/365,Dataset!J:J,"&gt;="&amp;$R26/365)</f>
        <v>0</v>
      </c>
      <c r="AA26" s="127">
        <f>SUMIFS(Dataset!AJ:AJ,Dataset!F:F,'renta fija'!$D$11,Dataset!AH:AH,"bono corporativo",Dataset!T:T,"UF",Dataset!J:J,"&lt;"&amp;$S26/365,Dataset!J:J,"&gt;="&amp;$R26/365)</f>
        <v>0</v>
      </c>
      <c r="AB26" s="127">
        <f>SUMIFS(Dataset!AJ:AJ,Dataset!F:F,'renta fija'!$D$11,Dataset!AH:AH,"bono corporativo",Dataset!T:T,"US$",Dataset!J:J,"&lt;"&amp;$S26/365,Dataset!J:J,"&gt;="&amp;$R26/365)</f>
        <v>0</v>
      </c>
      <c r="AC26" s="127">
        <f>SUMIFS(Dataset!AJ:AJ,Dataset!F:F,'renta fija'!$D$11,Dataset!AH:AH,"&lt;&gt;letra hipotecaria",Dataset!AH:AH,"&lt;&gt;bono corporativo",Dataset!AH:AH,"&lt;&gt;deposito",Dataset!AH:AH,"&lt;&gt;bono de gobierno",Dataset!J:J,"&lt;"&amp;$S26/365,Dataset!J:J,"&gt;="&amp;$R26/365)</f>
        <v>0</v>
      </c>
      <c r="AD26" s="131">
        <f t="shared" si="0"/>
        <v>0</v>
      </c>
      <c r="AE26" s="131">
        <f>SUMIFS(Dataset!AQ:AQ,Dataset!F:F,'renta fija'!$D$11,Dataset!J:J,"&lt;"&amp;$S26/365,Dataset!J:J,"&gt;="&amp;$R26/365)</f>
        <v>0</v>
      </c>
      <c r="AF26" s="132">
        <f>IFERROR(SUMIFS(Dataset!AQ:AQ,Dataset!F:F,'renta fija'!$D$11,Dataset!J:J,"&lt;"&amp;$S26/365,Dataset!J:J,"&gt;="&amp;$R26/365)/AD26,0)</f>
        <v>0</v>
      </c>
    </row>
    <row r="27" spans="3:32" ht="62.25" customHeight="1" x14ac:dyDescent="0.9">
      <c r="C27" s="120" t="s">
        <v>99</v>
      </c>
      <c r="D27" s="121">
        <f>SUMIFS(Dataset!AK:AK,Dataset!F:F,'renta fija'!D11,Dataset!AH:AH,"fx forward", Dataset!T:T,"$")</f>
        <v>-0.52439268461705524</v>
      </c>
      <c r="E27" s="122">
        <f>SUMIFS(Dataset!V:V,Dataset!F:F,'renta fija'!D11,Dataset!AH:AH,"fx forward", Dataset!T:T,"$")/1000000</f>
        <v>-20.592618931734524</v>
      </c>
      <c r="F27" s="123">
        <f>SUMIFS(Dataset!H:H,Dataset!F:F,'renta fija'!D11,Dataset!AH:AH,"fx forward", Dataset!T:T,"$")*365</f>
        <v>0</v>
      </c>
      <c r="G27" s="121">
        <f>SUMIFS(Dataset!AQ:AQ,Dataset!F:F,'renta fija'!D11,Dataset!AH:AH,"fx forward", Dataset!T:T,"$")</f>
        <v>0</v>
      </c>
      <c r="H27" s="121">
        <f>SUMIFS(Dataset!I:I,Dataset!F:F,'renta fija'!D11,Dataset!AH:AH,"fx forward", Dataset!T:T,"$")</f>
        <v>0</v>
      </c>
      <c r="I27" s="121">
        <f>SUMIFS(Dataset!AA:AA,Dataset!F:F,'renta fija'!D11,Dataset!AH:AH,"fx forward", Dataset!T:T,"$")</f>
        <v>0</v>
      </c>
      <c r="R27" s="124">
        <v>150</v>
      </c>
      <c r="S27" s="130">
        <v>165</v>
      </c>
      <c r="T27" s="127">
        <f>SUMIFS(Dataset!AJ:AJ,Dataset!F:F,'renta fija'!$D$11,Dataset!AH:AH,"deposito",Dataset!T:T,"$",Dataset!J:J,"&lt;"&amp;$S27/365,Dataset!J:J,"&gt;="&amp;$R27/365)</f>
        <v>0</v>
      </c>
      <c r="U27" s="127">
        <f>SUMIFS(Dataset!AJ:AJ,Dataset!F:F,'renta fija'!$D$11,Dataset!AH:AH,"deposito",Dataset!T:T,"uf",Dataset!J:J,"&lt;"&amp;$S27/365,Dataset!J:J,"&gt;="&amp;$R27/365)</f>
        <v>0</v>
      </c>
      <c r="V27" s="127">
        <f>SUMIFS(Dataset!AJ:AJ,Dataset!F:F,'renta fija'!$D$11,Dataset!AH:AH,"deposito",Dataset!T:T,"us$",Dataset!J:J,"&lt;"&amp;$S27/365,Dataset!J:J,"&gt;="&amp;$R27/365)</f>
        <v>0</v>
      </c>
      <c r="W27" s="127">
        <f>SUMIFS(Dataset!AJ:AJ,Dataset!F:F,'renta fija'!$D$11,Dataset!AH:AH,"bono de gobierno",Dataset!T:T,"$",Dataset!J:J,"&lt;"&amp;$S27/365,Dataset!J:J,"&gt;="&amp;$R27/365)</f>
        <v>0</v>
      </c>
      <c r="X27" s="127">
        <f>SUMIFS(Dataset!AJ:AJ,Dataset!F:F,'renta fija'!$D$11,Dataset!AH:AH,"bono de gobierno",Dataset!T:T,"UF",Dataset!J:J,"&lt;"&amp;$S27/365,Dataset!J:J,"&gt;="&amp;$R27/365)</f>
        <v>0</v>
      </c>
      <c r="Y27" s="127">
        <f>SUMIFS(Dataset!AJ:AJ,Dataset!F:F,'renta fija'!$D$11,Dataset!AH:AH,"bono de gobierno",Dataset!T:T,"US$",Dataset!J:J,"&lt;"&amp;$S27/365,Dataset!J:J,"&gt;="&amp;$R27/365)</f>
        <v>0</v>
      </c>
      <c r="Z27" s="127">
        <f>SUMIFS(Dataset!AJ:AJ,Dataset!F:F,'renta fija'!$D$11,Dataset!AH:AH,"bono corporativo",Dataset!T:T,"$",Dataset!J:J,"&lt;"&amp;$S27/365,Dataset!J:J,"&gt;="&amp;$R27/365)</f>
        <v>0</v>
      </c>
      <c r="AA27" s="127">
        <f>SUMIFS(Dataset!AJ:AJ,Dataset!F:F,'renta fija'!$D$11,Dataset!AH:AH,"bono corporativo",Dataset!T:T,"UF",Dataset!J:J,"&lt;"&amp;$S27/365,Dataset!J:J,"&gt;="&amp;$R27/365)</f>
        <v>0</v>
      </c>
      <c r="AB27" s="127">
        <f>SUMIFS(Dataset!AJ:AJ,Dataset!F:F,'renta fija'!$D$11,Dataset!AH:AH,"bono corporativo",Dataset!T:T,"US$",Dataset!J:J,"&lt;"&amp;$S27/365,Dataset!J:J,"&gt;="&amp;$R27/365)</f>
        <v>0</v>
      </c>
      <c r="AC27" s="127">
        <f>SUMIFS(Dataset!AJ:AJ,Dataset!F:F,'renta fija'!$D$11,Dataset!AH:AH,"&lt;&gt;letra hipotecaria",Dataset!AH:AH,"&lt;&gt;bono corporativo",Dataset!AH:AH,"&lt;&gt;deposito",Dataset!AH:AH,"&lt;&gt;bono de gobierno",Dataset!J:J,"&lt;"&amp;$S27/365,Dataset!J:J,"&gt;="&amp;$R27/365)</f>
        <v>0</v>
      </c>
      <c r="AD27" s="131">
        <f t="shared" si="0"/>
        <v>0</v>
      </c>
      <c r="AE27" s="131">
        <f>SUMIFS(Dataset!AQ:AQ,Dataset!F:F,'renta fija'!$D$11,Dataset!J:J,"&lt;"&amp;$S27/365,Dataset!J:J,"&gt;="&amp;$R27/365)</f>
        <v>0</v>
      </c>
      <c r="AF27" s="132">
        <f>IFERROR(SUMIFS(Dataset!AQ:AQ,Dataset!F:F,'renta fija'!$D$11,Dataset!J:J,"&lt;"&amp;$S27/365,Dataset!J:J,"&gt;="&amp;$R27/365)/AD27,0)</f>
        <v>0</v>
      </c>
    </row>
    <row r="28" spans="3:32" ht="62.25" customHeight="1" x14ac:dyDescent="0.9">
      <c r="C28" s="120" t="s">
        <v>119</v>
      </c>
      <c r="D28" s="121">
        <f>SUMIFS(Dataset!AK:AK,Dataset!F:F,'renta fija'!D11,Dataset!AH:AH,"fx forward", Dataset!T:T,"uf")</f>
        <v>0</v>
      </c>
      <c r="E28" s="122">
        <f>SUMIFS(Dataset!V:V,Dataset!F:F,'renta fija'!D11,Dataset!AH:AH,"fx forward", Dataset!T:T,"uf")/1000000</f>
        <v>0</v>
      </c>
      <c r="F28" s="123">
        <f>SUMIFS(Dataset!H:H,Dataset!F:F,'renta fija'!D11,Dataset!AH:AH,"fx forward", Dataset!T:T,"uf")*365</f>
        <v>0</v>
      </c>
      <c r="G28" s="121">
        <f>SUMIFS(Dataset!AQ:AQ,Dataset!F:F,'renta fija'!D11,Dataset!AH:AH,"fx forward", Dataset!T:T,"uf")</f>
        <v>0</v>
      </c>
      <c r="H28" s="121">
        <f>SUMIFS(Dataset!I:I,Dataset!F:F,'renta fija'!D11,Dataset!AH:AH,"fx forward", Dataset!T:T,"uf")</f>
        <v>0</v>
      </c>
      <c r="I28" s="121">
        <f>SUMIFS(Dataset!AA:AA,Dataset!F:F,'renta fija'!D11,Dataset!AH:AH,"fx forward", Dataset!T:T,"uf")</f>
        <v>0</v>
      </c>
      <c r="R28" s="124">
        <v>165</v>
      </c>
      <c r="S28" s="130">
        <v>180</v>
      </c>
      <c r="T28" s="127">
        <f>SUMIFS(Dataset!AJ:AJ,Dataset!F:F,'renta fija'!$D$11,Dataset!AH:AH,"deposito",Dataset!T:T,"$",Dataset!J:J,"&lt;"&amp;$S28/365,Dataset!J:J,"&gt;="&amp;$R28/365)</f>
        <v>0</v>
      </c>
      <c r="U28" s="127">
        <f>SUMIFS(Dataset!AJ:AJ,Dataset!F:F,'renta fija'!$D$11,Dataset!AH:AH,"deposito",Dataset!T:T,"uf",Dataset!J:J,"&lt;"&amp;$S28/365,Dataset!J:J,"&gt;="&amp;$R28/365)</f>
        <v>0</v>
      </c>
      <c r="V28" s="127">
        <f>SUMIFS(Dataset!AJ:AJ,Dataset!F:F,'renta fija'!$D$11,Dataset!AH:AH,"deposito",Dataset!T:T,"us$",Dataset!J:J,"&lt;"&amp;$S28/365,Dataset!J:J,"&gt;="&amp;$R28/365)</f>
        <v>0</v>
      </c>
      <c r="W28" s="127">
        <f>SUMIFS(Dataset!AJ:AJ,Dataset!F:F,'renta fija'!$D$11,Dataset!AH:AH,"bono de gobierno",Dataset!T:T,"$",Dataset!J:J,"&lt;"&amp;$S28/365,Dataset!J:J,"&gt;="&amp;$R28/365)</f>
        <v>0</v>
      </c>
      <c r="X28" s="127">
        <f>SUMIFS(Dataset!AJ:AJ,Dataset!F:F,'renta fija'!$D$11,Dataset!AH:AH,"bono de gobierno",Dataset!T:T,"UF",Dataset!J:J,"&lt;"&amp;$S28/365,Dataset!J:J,"&gt;="&amp;$R28/365)</f>
        <v>0</v>
      </c>
      <c r="Y28" s="127">
        <f>SUMIFS(Dataset!AJ:AJ,Dataset!F:F,'renta fija'!$D$11,Dataset!AH:AH,"bono de gobierno",Dataset!T:T,"US$",Dataset!J:J,"&lt;"&amp;$S28/365,Dataset!J:J,"&gt;="&amp;$R28/365)</f>
        <v>0</v>
      </c>
      <c r="Z28" s="127">
        <f>SUMIFS(Dataset!AJ:AJ,Dataset!F:F,'renta fija'!$D$11,Dataset!AH:AH,"bono corporativo",Dataset!T:T,"$",Dataset!J:J,"&lt;"&amp;$S28/365,Dataset!J:J,"&gt;="&amp;$R28/365)</f>
        <v>0</v>
      </c>
      <c r="AA28" s="127">
        <f>SUMIFS(Dataset!AJ:AJ,Dataset!F:F,'renta fija'!$D$11,Dataset!AH:AH,"bono corporativo",Dataset!T:T,"UF",Dataset!J:J,"&lt;"&amp;$S28/365,Dataset!J:J,"&gt;="&amp;$R28/365)</f>
        <v>0</v>
      </c>
      <c r="AB28" s="127">
        <f>SUMIFS(Dataset!AJ:AJ,Dataset!F:F,'renta fija'!$D$11,Dataset!AH:AH,"bono corporativo",Dataset!T:T,"US$",Dataset!J:J,"&lt;"&amp;$S28/365,Dataset!J:J,"&gt;="&amp;$R28/365)</f>
        <v>0</v>
      </c>
      <c r="AC28" s="127">
        <f>SUMIFS(Dataset!AJ:AJ,Dataset!F:F,'renta fija'!$D$11,Dataset!AH:AH,"&lt;&gt;letra hipotecaria",Dataset!AH:AH,"&lt;&gt;bono corporativo",Dataset!AH:AH,"&lt;&gt;deposito",Dataset!AH:AH,"&lt;&gt;bono de gobierno",Dataset!J:J,"&lt;"&amp;$S28/365,Dataset!J:J,"&gt;="&amp;$R28/365)</f>
        <v>0</v>
      </c>
      <c r="AD28" s="131">
        <f t="shared" si="0"/>
        <v>0</v>
      </c>
      <c r="AE28" s="131">
        <f>SUMIFS(Dataset!AQ:AQ,Dataset!F:F,'renta fija'!$D$11,Dataset!J:J,"&lt;"&amp;$S28/365,Dataset!J:J,"&gt;="&amp;$R28/365)</f>
        <v>0</v>
      </c>
      <c r="AF28" s="132">
        <f>IFERROR(SUMIFS(Dataset!AQ:AQ,Dataset!F:F,'renta fija'!$D$11,Dataset!J:J,"&lt;"&amp;$S28/365,Dataset!J:J,"&gt;="&amp;$R28/365)/AD28,0)</f>
        <v>0</v>
      </c>
    </row>
    <row r="29" spans="3:32" ht="89.25" customHeight="1" x14ac:dyDescent="0.9">
      <c r="C29" s="120" t="s">
        <v>100</v>
      </c>
      <c r="D29" s="121">
        <f>SUMIFS(Dataset!AK:AK,Dataset!F:F,'renta fija'!D11,Dataset!AH:AH,"fx forward", Dataset!T:T,"us$")</f>
        <v>0.57476294526791749</v>
      </c>
      <c r="E29" s="122">
        <f>SUMIFS(Dataset!V:V,Dataset!F:F,'renta fija'!D11,Dataset!AH:AH,"fx forward", Dataset!T:T,"us$")/1000000</f>
        <v>22.570632</v>
      </c>
      <c r="F29" s="123">
        <f>SUMIFS(Dataset!H:H,Dataset!F:F,'renta fija'!D11,Dataset!AH:AH,"fx forward", Dataset!T:T,"us$")*365</f>
        <v>0</v>
      </c>
      <c r="G29" s="121">
        <f>SUMIFS(Dataset!AQ:AQ,Dataset!F:F,'renta fija'!D11,Dataset!AH:AH,"fx forward", Dataset!T:T,"us$")</f>
        <v>0</v>
      </c>
      <c r="H29" s="121">
        <f>SUMIFS(Dataset!I:I,Dataset!F:F,'renta fija'!D11,Dataset!AH:AH,"fx forward", Dataset!T:T,"us$")</f>
        <v>4.5136589316201015E-2</v>
      </c>
      <c r="I29" s="121">
        <f>SUMIFS(Dataset!AA:AA,Dataset!F:F,'renta fija'!D11,Dataset!AH:AH,"fx forward", Dataset!T:T,"us$")</f>
        <v>0.99815954237260807</v>
      </c>
      <c r="K29" s="243" t="s">
        <v>1743</v>
      </c>
      <c r="L29" s="243"/>
      <c r="M29" s="243"/>
      <c r="N29" s="243"/>
      <c r="O29" s="243"/>
      <c r="P29" s="243"/>
      <c r="R29" s="124">
        <v>180</v>
      </c>
      <c r="S29" s="130">
        <v>195</v>
      </c>
      <c r="T29" s="127">
        <f>SUMIFS(Dataset!AJ:AJ,Dataset!F:F,'renta fija'!$D$11,Dataset!AH:AH,"deposito",Dataset!T:T,"$",Dataset!J:J,"&lt;"&amp;$S29/365,Dataset!J:J,"&gt;="&amp;$R29/365)</f>
        <v>0</v>
      </c>
      <c r="U29" s="127">
        <f>SUMIFS(Dataset!AJ:AJ,Dataset!F:F,'renta fija'!$D$11,Dataset!AH:AH,"deposito",Dataset!T:T,"uf",Dataset!J:J,"&lt;"&amp;$S29/365,Dataset!J:J,"&gt;="&amp;$R29/365)</f>
        <v>0</v>
      </c>
      <c r="V29" s="127">
        <f>SUMIFS(Dataset!AJ:AJ,Dataset!F:F,'renta fija'!$D$11,Dataset!AH:AH,"deposito",Dataset!T:T,"us$",Dataset!J:J,"&lt;"&amp;$S29/365,Dataset!J:J,"&gt;="&amp;$R29/365)</f>
        <v>0</v>
      </c>
      <c r="W29" s="127">
        <f>SUMIFS(Dataset!AJ:AJ,Dataset!F:F,'renta fija'!$D$11,Dataset!AH:AH,"bono de gobierno",Dataset!T:T,"$",Dataset!J:J,"&lt;"&amp;$S29/365,Dataset!J:J,"&gt;="&amp;$R29/365)</f>
        <v>0</v>
      </c>
      <c r="X29" s="127">
        <f>SUMIFS(Dataset!AJ:AJ,Dataset!F:F,'renta fija'!$D$11,Dataset!AH:AH,"bono de gobierno",Dataset!T:T,"UF",Dataset!J:J,"&lt;"&amp;$S29/365,Dataset!J:J,"&gt;="&amp;$R29/365)</f>
        <v>0</v>
      </c>
      <c r="Y29" s="127">
        <f>SUMIFS(Dataset!AJ:AJ,Dataset!F:F,'renta fija'!$D$11,Dataset!AH:AH,"bono de gobierno",Dataset!T:T,"US$",Dataset!J:J,"&lt;"&amp;$S29/365,Dataset!J:J,"&gt;="&amp;$R29/365)</f>
        <v>0</v>
      </c>
      <c r="Z29" s="127">
        <f>SUMIFS(Dataset!AJ:AJ,Dataset!F:F,'renta fija'!$D$11,Dataset!AH:AH,"bono corporativo",Dataset!T:T,"$",Dataset!J:J,"&lt;"&amp;$S29/365,Dataset!J:J,"&gt;="&amp;$R29/365)</f>
        <v>0</v>
      </c>
      <c r="AA29" s="127">
        <f>SUMIFS(Dataset!AJ:AJ,Dataset!F:F,'renta fija'!$D$11,Dataset!AH:AH,"bono corporativo",Dataset!T:T,"UF",Dataset!J:J,"&lt;"&amp;$S29/365,Dataset!J:J,"&gt;="&amp;$R29/365)</f>
        <v>0</v>
      </c>
      <c r="AB29" s="127">
        <f>SUMIFS(Dataset!AJ:AJ,Dataset!F:F,'renta fija'!$D$11,Dataset!AH:AH,"bono corporativo",Dataset!T:T,"US$",Dataset!J:J,"&lt;"&amp;$S29/365,Dataset!J:J,"&gt;="&amp;$R29/365)</f>
        <v>0</v>
      </c>
      <c r="AC29" s="127">
        <f>SUMIFS(Dataset!AJ:AJ,Dataset!F:F,'renta fija'!$D$11,Dataset!AH:AH,"&lt;&gt;letra hipotecaria",Dataset!AH:AH,"&lt;&gt;bono corporativo",Dataset!AH:AH,"&lt;&gt;deposito",Dataset!AH:AH,"&lt;&gt;bono de gobierno",Dataset!J:J,"&lt;"&amp;$S29/365,Dataset!J:J,"&gt;="&amp;$R29/365)</f>
        <v>0</v>
      </c>
      <c r="AD29" s="131">
        <f t="shared" si="0"/>
        <v>0</v>
      </c>
      <c r="AE29" s="131">
        <f>SUMIFS(Dataset!AQ:AQ,Dataset!F:F,'renta fija'!$D$11,Dataset!J:J,"&lt;"&amp;$S29/365,Dataset!J:J,"&gt;="&amp;$R29/365)</f>
        <v>0</v>
      </c>
      <c r="AF29" s="132">
        <f>IFERROR(SUMIFS(Dataset!AQ:AQ,Dataset!F:F,'renta fija'!$D$11,Dataset!J:J,"&lt;"&amp;$S29/365,Dataset!J:J,"&gt;="&amp;$R29/365)/AD29,0)</f>
        <v>0</v>
      </c>
    </row>
    <row r="30" spans="3:32" ht="62.25" customHeight="1" x14ac:dyDescent="0.9">
      <c r="C30" s="120" t="s">
        <v>101</v>
      </c>
      <c r="D30" s="121">
        <f>SUMIFS(Dataset!AK:AK,Dataset!F:F,'renta fija'!D11,Dataset!AH:AH,"fx", Dataset!T:T,"$")</f>
        <v>0</v>
      </c>
      <c r="E30" s="122">
        <f>SUMIFS(Dataset!V:V,Dataset!F:F,'renta fija'!D11,Dataset!AH:AH,"fx", Dataset!T:T,"$")/1000000</f>
        <v>0</v>
      </c>
      <c r="F30" s="123">
        <f>SUMIFS(Dataset!H:H,Dataset!F:F,'renta fija'!D11,Dataset!AH:AH,"fx", Dataset!T:T,"$")*365</f>
        <v>0</v>
      </c>
      <c r="G30" s="121">
        <f>SUMIFS(Dataset!AQ:AQ,Dataset!F:F,'renta fija'!D11,Dataset!AH:AH,"fx", Dataset!T:T,"$")</f>
        <v>0</v>
      </c>
      <c r="H30" s="121">
        <f>SUMIFS(Dataset!I:I,Dataset!F:F,'renta fija'!D11,Dataset!AH:AH,"fx", Dataset!T:T,"$")</f>
        <v>0</v>
      </c>
      <c r="I30" s="121">
        <f>SUMIFS(Dataset!AA:AA,Dataset!F:F,'renta fija'!D11,Dataset!AH:AH,"fx", Dataset!T:T,"$")</f>
        <v>0</v>
      </c>
      <c r="R30" s="124">
        <v>195</v>
      </c>
      <c r="S30" s="130">
        <v>210</v>
      </c>
      <c r="T30" s="127">
        <f>SUMIFS(Dataset!AJ:AJ,Dataset!F:F,'renta fija'!$D$11,Dataset!AH:AH,"deposito",Dataset!T:T,"$",Dataset!J:J,"&lt;"&amp;$S30/365,Dataset!J:J,"&gt;="&amp;$R30/365)</f>
        <v>0</v>
      </c>
      <c r="U30" s="127">
        <f>SUMIFS(Dataset!AJ:AJ,Dataset!F:F,'renta fija'!$D$11,Dataset!AH:AH,"deposito",Dataset!T:T,"uf",Dataset!J:J,"&lt;"&amp;$S30/365,Dataset!J:J,"&gt;="&amp;$R30/365)</f>
        <v>0</v>
      </c>
      <c r="V30" s="127">
        <f>SUMIFS(Dataset!AJ:AJ,Dataset!F:F,'renta fija'!$D$11,Dataset!AH:AH,"deposito",Dataset!T:T,"us$",Dataset!J:J,"&lt;"&amp;$S30/365,Dataset!J:J,"&gt;="&amp;$R30/365)</f>
        <v>0</v>
      </c>
      <c r="W30" s="127">
        <f>SUMIFS(Dataset!AJ:AJ,Dataset!F:F,'renta fija'!$D$11,Dataset!AH:AH,"bono de gobierno",Dataset!T:T,"$",Dataset!J:J,"&lt;"&amp;$S30/365,Dataset!J:J,"&gt;="&amp;$R30/365)</f>
        <v>0</v>
      </c>
      <c r="X30" s="127">
        <f>SUMIFS(Dataset!AJ:AJ,Dataset!F:F,'renta fija'!$D$11,Dataset!AH:AH,"bono de gobierno",Dataset!T:T,"UF",Dataset!J:J,"&lt;"&amp;$S30/365,Dataset!J:J,"&gt;="&amp;$R30/365)</f>
        <v>0</v>
      </c>
      <c r="Y30" s="127">
        <f>SUMIFS(Dataset!AJ:AJ,Dataset!F:F,'renta fija'!$D$11,Dataset!AH:AH,"bono de gobierno",Dataset!T:T,"US$",Dataset!J:J,"&lt;"&amp;$S30/365,Dataset!J:J,"&gt;="&amp;$R30/365)</f>
        <v>0</v>
      </c>
      <c r="Z30" s="127">
        <f>SUMIFS(Dataset!AJ:AJ,Dataset!F:F,'renta fija'!$D$11,Dataset!AH:AH,"bono corporativo",Dataset!T:T,"$",Dataset!J:J,"&lt;"&amp;$S30/365,Dataset!J:J,"&gt;="&amp;$R30/365)</f>
        <v>0</v>
      </c>
      <c r="AA30" s="127">
        <f>SUMIFS(Dataset!AJ:AJ,Dataset!F:F,'renta fija'!$D$11,Dataset!AH:AH,"bono corporativo",Dataset!T:T,"UF",Dataset!J:J,"&lt;"&amp;$S30/365,Dataset!J:J,"&gt;="&amp;$R30/365)</f>
        <v>0</v>
      </c>
      <c r="AB30" s="127">
        <f>SUMIFS(Dataset!AJ:AJ,Dataset!F:F,'renta fija'!$D$11,Dataset!AH:AH,"bono corporativo",Dataset!T:T,"US$",Dataset!J:J,"&lt;"&amp;$S30/365,Dataset!J:J,"&gt;="&amp;$R30/365)</f>
        <v>0</v>
      </c>
      <c r="AC30" s="127">
        <f>SUMIFS(Dataset!AJ:AJ,Dataset!F:F,'renta fija'!$D$11,Dataset!AH:AH,"&lt;&gt;letra hipotecaria",Dataset!AH:AH,"&lt;&gt;bono corporativo",Dataset!AH:AH,"&lt;&gt;deposito",Dataset!AH:AH,"&lt;&gt;bono de gobierno",Dataset!J:J,"&lt;"&amp;$S30/365,Dataset!J:J,"&gt;="&amp;$R30/365)</f>
        <v>0</v>
      </c>
      <c r="AD30" s="131">
        <f t="shared" si="0"/>
        <v>0</v>
      </c>
      <c r="AE30" s="131">
        <f>SUMIFS(Dataset!AQ:AQ,Dataset!F:F,'renta fija'!$D$11,Dataset!J:J,"&lt;"&amp;$S30/365,Dataset!J:J,"&gt;="&amp;$R30/365)</f>
        <v>0</v>
      </c>
      <c r="AF30" s="132">
        <f>IFERROR(SUMIFS(Dataset!AQ:AQ,Dataset!F:F,'renta fija'!$D$11,Dataset!J:J,"&lt;"&amp;$S30/365,Dataset!J:J,"&gt;="&amp;$R30/365)/AD30,0)</f>
        <v>0</v>
      </c>
    </row>
    <row r="31" spans="3:32" ht="62.25" customHeight="1" x14ac:dyDescent="0.9">
      <c r="C31" s="120" t="s">
        <v>102</v>
      </c>
      <c r="D31" s="121">
        <f>SUMIFS(Dataset!AK:AK,Dataset!F:F,'renta fija'!D11,Dataset!AH:AH,"fx", Dataset!T:T,"us$")</f>
        <v>0</v>
      </c>
      <c r="E31" s="122">
        <f>SUMIFS(Dataset!V:V,Dataset!F:F,'renta fija'!D11,Dataset!AH:AH,"fx", Dataset!T:T,"us$")/1000000</f>
        <v>0</v>
      </c>
      <c r="F31" s="123">
        <f>SUMIFS(Dataset!H:H,Dataset!F:F,'renta fija'!D11,Dataset!AH:AH,"fx", Dataset!T:T,"us$")*365</f>
        <v>0</v>
      </c>
      <c r="G31" s="121">
        <f>SUMIFS(Dataset!AQ:AQ,Dataset!F:F,'renta fija'!D11,Dataset!AH:AH,"fx", Dataset!T:T,"us$")</f>
        <v>0</v>
      </c>
      <c r="H31" s="121">
        <f>SUMIFS(Dataset!I:I,Dataset!F:F,'renta fija'!D11,Dataset!AH:AH,"fx", Dataset!T:T,"us$")</f>
        <v>0</v>
      </c>
      <c r="I31" s="121">
        <f>SUMIFS(Dataset!AA:AA,Dataset!F:F,'renta fija'!D11,Dataset!AH:AH,"fx", Dataset!T:T,"us$")</f>
        <v>0</v>
      </c>
      <c r="K31" s="119" t="s">
        <v>85</v>
      </c>
      <c r="L31" s="119" t="s">
        <v>86</v>
      </c>
      <c r="M31" s="119" t="s">
        <v>70</v>
      </c>
      <c r="N31" s="119" t="s">
        <v>6</v>
      </c>
      <c r="O31" s="119" t="s">
        <v>21</v>
      </c>
      <c r="P31" s="119" t="s">
        <v>72</v>
      </c>
      <c r="R31" s="124">
        <v>210</v>
      </c>
      <c r="S31" s="130">
        <v>225</v>
      </c>
      <c r="T31" s="127">
        <f>SUMIFS(Dataset!AJ:AJ,Dataset!F:F,'renta fija'!$D$11,Dataset!AH:AH,"deposito",Dataset!T:T,"$",Dataset!J:J,"&lt;"&amp;$S31/365,Dataset!J:J,"&gt;="&amp;$R31/365)</f>
        <v>0</v>
      </c>
      <c r="U31" s="127">
        <f>SUMIFS(Dataset!AJ:AJ,Dataset!F:F,'renta fija'!$D$11,Dataset!AH:AH,"deposito",Dataset!T:T,"uf",Dataset!J:J,"&lt;"&amp;$S31/365,Dataset!J:J,"&gt;="&amp;$R31/365)</f>
        <v>0</v>
      </c>
      <c r="V31" s="127">
        <f>SUMIFS(Dataset!AJ:AJ,Dataset!F:F,'renta fija'!$D$11,Dataset!AH:AH,"deposito",Dataset!T:T,"us$",Dataset!J:J,"&lt;"&amp;$S31/365,Dataset!J:J,"&gt;="&amp;$R31/365)</f>
        <v>0</v>
      </c>
      <c r="W31" s="127">
        <f>SUMIFS(Dataset!AJ:AJ,Dataset!F:F,'renta fija'!$D$11,Dataset!AH:AH,"bono de gobierno",Dataset!T:T,"$",Dataset!J:J,"&lt;"&amp;$S31/365,Dataset!J:J,"&gt;="&amp;$R31/365)</f>
        <v>0</v>
      </c>
      <c r="X31" s="127">
        <f>SUMIFS(Dataset!AJ:AJ,Dataset!F:F,'renta fija'!$D$11,Dataset!AH:AH,"bono de gobierno",Dataset!T:T,"UF",Dataset!J:J,"&lt;"&amp;$S31/365,Dataset!J:J,"&gt;="&amp;$R31/365)</f>
        <v>0</v>
      </c>
      <c r="Y31" s="127">
        <f>SUMIFS(Dataset!AJ:AJ,Dataset!F:F,'renta fija'!$D$11,Dataset!AH:AH,"bono de gobierno",Dataset!T:T,"US$",Dataset!J:J,"&lt;"&amp;$S31/365,Dataset!J:J,"&gt;="&amp;$R31/365)</f>
        <v>0</v>
      </c>
      <c r="Z31" s="127">
        <f>SUMIFS(Dataset!AJ:AJ,Dataset!F:F,'renta fija'!$D$11,Dataset!AH:AH,"bono corporativo",Dataset!T:T,"$",Dataset!J:J,"&lt;"&amp;$S31/365,Dataset!J:J,"&gt;="&amp;$R31/365)</f>
        <v>0</v>
      </c>
      <c r="AA31" s="127">
        <f>SUMIFS(Dataset!AJ:AJ,Dataset!F:F,'renta fija'!$D$11,Dataset!AH:AH,"bono corporativo",Dataset!T:T,"UF",Dataset!J:J,"&lt;"&amp;$S31/365,Dataset!J:J,"&gt;="&amp;$R31/365)</f>
        <v>0</v>
      </c>
      <c r="AB31" s="127">
        <f>SUMIFS(Dataset!AJ:AJ,Dataset!F:F,'renta fija'!$D$11,Dataset!AH:AH,"bono corporativo",Dataset!T:T,"US$",Dataset!J:J,"&lt;"&amp;$S31/365,Dataset!J:J,"&gt;="&amp;$R31/365)</f>
        <v>0</v>
      </c>
      <c r="AC31" s="127">
        <f>SUMIFS(Dataset!AJ:AJ,Dataset!F:F,'renta fija'!$D$11,Dataset!AH:AH,"&lt;&gt;letra hipotecaria",Dataset!AH:AH,"&lt;&gt;bono corporativo",Dataset!AH:AH,"&lt;&gt;deposito",Dataset!AH:AH,"&lt;&gt;bono de gobierno",Dataset!J:J,"&lt;"&amp;$S31/365,Dataset!J:J,"&gt;="&amp;$R31/365)</f>
        <v>0</v>
      </c>
      <c r="AD31" s="131">
        <f t="shared" si="0"/>
        <v>0</v>
      </c>
      <c r="AE31" s="131">
        <f>SUMIFS(Dataset!AQ:AQ,Dataset!F:F,'renta fija'!$D$11,Dataset!J:J,"&lt;"&amp;$S31/365,Dataset!J:J,"&gt;="&amp;$R31/365)</f>
        <v>0</v>
      </c>
      <c r="AF31" s="132">
        <f>IFERROR(SUMIFS(Dataset!AQ:AQ,Dataset!F:F,'renta fija'!$D$11,Dataset!J:J,"&lt;"&amp;$S31/365,Dataset!J:J,"&gt;="&amp;$R31/365)/AD31,0)</f>
        <v>0</v>
      </c>
    </row>
    <row r="32" spans="3:32" ht="62.25" customHeight="1" x14ac:dyDescent="0.9">
      <c r="C32" s="120" t="s">
        <v>37</v>
      </c>
      <c r="D32" s="121">
        <f>SUMIFS(Dataset!AK:AK,Dataset!F:F,'renta fija'!D11,Dataset!AH:AH,"&lt;&gt;deposito",Dataset!AH:AH,"&lt;&gt;bono de gobierno",Dataset!AH:AH,"&lt;&gt;bono corporativo",Dataset!AH:AH,"&lt;&gt;factura",Dataset!AH:AH,"&lt;&gt;fx",Dataset!AH:AH,"&lt;&gt;fx forward")</f>
        <v>0</v>
      </c>
      <c r="E32" s="122">
        <f>SUMIFS(Dataset!V:V,Dataset!F:F,'renta fija'!D11,Dataset!AH:AH,"&lt;&gt;deposito",Dataset!AH:AH,"&lt;&gt;bono de gobierno",Dataset!AH:AH,"&lt;&gt;bono corporativo",Dataset!AH:AH,"&lt;&gt;factura",Dataset!AH:AH,"&lt;&gt;fx",Dataset!AH:AH,"&lt;&gt;fx forward")/1000000</f>
        <v>0</v>
      </c>
      <c r="F32" s="123">
        <f>SUMIFS(Dataset!H:H,Dataset!F:F,'renta fija'!D11,Dataset!AH:AH,"&lt;&gt;deposito",Dataset!AH:AH,"&lt;&gt;bono de gobierno",Dataset!AH:AH,"&lt;&gt;bono corporativo",Dataset!AH:AH,"&lt;&gt;factura",Dataset!AH:AH,"&lt;&gt;fx",Dataset!AH:AH,"&lt;&gt;fx forward")*365</f>
        <v>0</v>
      </c>
      <c r="G32" s="121">
        <f>SUMIFS(Dataset!AQ:AQ,Dataset!F:F,'renta fija'!D11,Dataset!AH:AH,"&lt;&gt;deposito",Dataset!AH:AH,"&lt;&gt;bono de gobierno",Dataset!AH:AH,"&lt;&gt;bono corporativo",Dataset!AH:AH,"&lt;&gt;factura",Dataset!AH:AH,"&lt;&gt;fx",Dataset!AH:AH,"&lt;&gt;fx forward")</f>
        <v>0</v>
      </c>
      <c r="H32" s="121">
        <f>SUMIFS(Dataset!I:I,Dataset!F:F,'renta fija'!D11,Dataset!AH:AH,"&lt;&gt;deposito",Dataset!AH:AH,"&lt;&gt;bono de gobierno",Dataset!AH:AH,"&lt;&gt;bono corporativo",Dataset!AH:AH,"&lt;&gt;factura",Dataset!AH:AH,"&lt;&gt;fx",Dataset!AH:AH,"&lt;&gt;fx forward")</f>
        <v>0</v>
      </c>
      <c r="I32" s="121">
        <f>SUMIFS(Dataset!AA:AA,Dataset!F:F,'renta fija'!D11,Dataset!AH:AH,"&lt;&gt;deposito",Dataset!AH:AH,"&lt;&gt;bono de gobierno",Dataset!AH:AH,"&lt;&gt;bono corporativo",Dataset!AH:AH,"&lt;&gt;factura",Dataset!AH:AH,"&lt;&gt;fx",Dataset!AH:AH,"&lt;&gt;fx forward")</f>
        <v>0</v>
      </c>
      <c r="K32" s="124">
        <v>1</v>
      </c>
      <c r="L32" s="121" t="str">
        <f>IFERROR(INDEX(Dataset!X:X,MATCH(_xlfn.AGGREGATE(14,6,Dataset!AK:AK/(Dataset!F:F=$D$11),K32),Dataset!AK:AK,0),1),"-")</f>
        <v>Deposito Banco Chile</v>
      </c>
      <c r="M32" s="121">
        <f>IFERROR(INDEX(Dataset!AK:AK,MATCH(_xlfn.AGGREGATE(14,6,Dataset!AK:AK/(Dataset!F:F=$D$11),K32),Dataset!AK:AK,0),1),"-")</f>
        <v>0.11135204109003924</v>
      </c>
      <c r="N32" s="121">
        <f>IFERROR(INDEX(Dataset!I:I,MATCH(_xlfn.AGGREGATE(14,6,Dataset!AK:AK/(Dataset!F:F=$D$11),K32),Dataset!AK:AK,0),1),"-")</f>
        <v>1.0856290855633158E-5</v>
      </c>
      <c r="O32" s="121">
        <f>IFERROR(INDEX(Dataset!AA:AA,MATCH(_xlfn.AGGREGATE(14,6,Dataset!AK:AK/(Dataset!F:F=$D$11),K32),Dataset!AK:AK,0),1),"-")</f>
        <v>2.4007818216856749E-4</v>
      </c>
      <c r="P32" s="123">
        <f>IFERROR(INDEX(Dataset!J:J,MATCH(_xlfn.AGGREGATE(14,6,Dataset!AK:AK/(Dataset!F:F=$D$11),K32),Dataset!AK:AK,0),1),"-")</f>
        <v>0.02</v>
      </c>
      <c r="R32" s="124">
        <v>225</v>
      </c>
      <c r="S32" s="130">
        <v>240</v>
      </c>
      <c r="T32" s="127">
        <f>SUMIFS(Dataset!AJ:AJ,Dataset!F:F,'renta fija'!$D$11,Dataset!AH:AH,"deposito",Dataset!T:T,"$",Dataset!J:J,"&lt;"&amp;$S32/365,Dataset!J:J,"&gt;="&amp;$R32/365)</f>
        <v>0</v>
      </c>
      <c r="U32" s="127">
        <f>SUMIFS(Dataset!AJ:AJ,Dataset!F:F,'renta fija'!$D$11,Dataset!AH:AH,"deposito",Dataset!T:T,"uf",Dataset!J:J,"&lt;"&amp;$S32/365,Dataset!J:J,"&gt;="&amp;$R32/365)</f>
        <v>0</v>
      </c>
      <c r="V32" s="127">
        <f>SUMIFS(Dataset!AJ:AJ,Dataset!F:F,'renta fija'!$D$11,Dataset!AH:AH,"deposito",Dataset!T:T,"us$",Dataset!J:J,"&lt;"&amp;$S32/365,Dataset!J:J,"&gt;="&amp;$R32/365)</f>
        <v>0</v>
      </c>
      <c r="W32" s="127">
        <f>SUMIFS(Dataset!AJ:AJ,Dataset!F:F,'renta fija'!$D$11,Dataset!AH:AH,"bono de gobierno",Dataset!T:T,"$",Dataset!J:J,"&lt;"&amp;$S32/365,Dataset!J:J,"&gt;="&amp;$R32/365)</f>
        <v>0</v>
      </c>
      <c r="X32" s="127">
        <f>SUMIFS(Dataset!AJ:AJ,Dataset!F:F,'renta fija'!$D$11,Dataset!AH:AH,"bono de gobierno",Dataset!T:T,"UF",Dataset!J:J,"&lt;"&amp;$S32/365,Dataset!J:J,"&gt;="&amp;$R32/365)</f>
        <v>0</v>
      </c>
      <c r="Y32" s="127">
        <f>SUMIFS(Dataset!AJ:AJ,Dataset!F:F,'renta fija'!$D$11,Dataset!AH:AH,"bono de gobierno",Dataset!T:T,"US$",Dataset!J:J,"&lt;"&amp;$S32/365,Dataset!J:J,"&gt;="&amp;$R32/365)</f>
        <v>0</v>
      </c>
      <c r="Z32" s="127">
        <f>SUMIFS(Dataset!AJ:AJ,Dataset!F:F,'renta fija'!$D$11,Dataset!AH:AH,"bono corporativo",Dataset!T:T,"$",Dataset!J:J,"&lt;"&amp;$S32/365,Dataset!J:J,"&gt;="&amp;$R32/365)</f>
        <v>0</v>
      </c>
      <c r="AA32" s="127">
        <f>SUMIFS(Dataset!AJ:AJ,Dataset!F:F,'renta fija'!$D$11,Dataset!AH:AH,"bono corporativo",Dataset!T:T,"UF",Dataset!J:J,"&lt;"&amp;$S32/365,Dataset!J:J,"&gt;="&amp;$R32/365)</f>
        <v>0</v>
      </c>
      <c r="AB32" s="127">
        <f>SUMIFS(Dataset!AJ:AJ,Dataset!F:F,'renta fija'!$D$11,Dataset!AH:AH,"bono corporativo",Dataset!T:T,"US$",Dataset!J:J,"&lt;"&amp;$S32/365,Dataset!J:J,"&gt;="&amp;$R32/365)</f>
        <v>0</v>
      </c>
      <c r="AC32" s="127">
        <f>SUMIFS(Dataset!AJ:AJ,Dataset!F:F,'renta fija'!$D$11,Dataset!AH:AH,"&lt;&gt;letra hipotecaria",Dataset!AH:AH,"&lt;&gt;bono corporativo",Dataset!AH:AH,"&lt;&gt;deposito",Dataset!AH:AH,"&lt;&gt;bono de gobierno",Dataset!J:J,"&lt;"&amp;$S32/365,Dataset!J:J,"&gt;="&amp;$R32/365)</f>
        <v>0</v>
      </c>
      <c r="AD32" s="131">
        <f t="shared" si="0"/>
        <v>0</v>
      </c>
      <c r="AE32" s="131">
        <f>SUMIFS(Dataset!AQ:AQ,Dataset!F:F,'renta fija'!$D$11,Dataset!J:J,"&lt;"&amp;$S32/365,Dataset!J:J,"&gt;="&amp;$R32/365)</f>
        <v>0</v>
      </c>
      <c r="AF32" s="132">
        <f>IFERROR(SUMIFS(Dataset!AQ:AQ,Dataset!F:F,'renta fija'!$D$11,Dataset!J:J,"&lt;"&amp;$S32/365,Dataset!J:J,"&gt;="&amp;$R32/365)/AD32,0)</f>
        <v>0</v>
      </c>
    </row>
    <row r="33" spans="3:32" ht="62.25" customHeight="1" x14ac:dyDescent="0.9">
      <c r="C33" s="133" t="s">
        <v>66</v>
      </c>
      <c r="D33" s="134">
        <f t="shared" ref="D33:I33" si="1">SUM(D17:D32)</f>
        <v>0.99999999999999989</v>
      </c>
      <c r="E33" s="135">
        <f t="shared" si="1"/>
        <v>39.26946262946548</v>
      </c>
      <c r="F33" s="136">
        <f t="shared" si="1"/>
        <v>25.244490256155277</v>
      </c>
      <c r="G33" s="134">
        <f t="shared" si="1"/>
        <v>2.082151746521034E-2</v>
      </c>
      <c r="H33" s="134">
        <f t="shared" si="1"/>
        <v>4.5219814468649068E-2</v>
      </c>
      <c r="I33" s="134">
        <f t="shared" si="1"/>
        <v>0.99999999999999967</v>
      </c>
      <c r="K33" s="124">
        <v>2</v>
      </c>
      <c r="L33" s="121" t="str">
        <f>IFERROR(INDEX(Dataset!X:X,MATCH(_xlfn.AGGREGATE(14,6,Dataset!AK:AK/(Dataset!F:F=$D$11),K33),Dataset!AK:AK,0),1),"-")</f>
        <v>Forward  Banco BBVA long leg</v>
      </c>
      <c r="M33" s="121">
        <f>IFERROR(INDEX(Dataset!AK:AK,MATCH(_xlfn.AGGREGATE(14,6,Dataset!AK:AK/(Dataset!F:F=$D$11),K33),Dataset!AK:AK,0),1),"-")</f>
        <v>0.10957137459710048</v>
      </c>
      <c r="N33" s="121">
        <f>IFERROR(INDEX(Dataset!I:I,MATCH(_xlfn.AGGREGATE(14,6,Dataset!AK:AK/(Dataset!F:F=$D$11),K33),Dataset!AK:AK,0),1),"-")</f>
        <v>8.604726829937839E-3</v>
      </c>
      <c r="O33" s="121">
        <f>IFERROR(INDEX(Dataset!AA:AA,MATCH(_xlfn.AGGREGATE(14,6,Dataset!AK:AK/(Dataset!F:F=$D$11),K33),Dataset!AK:AK,0),1),"-")</f>
        <v>0.19028664604326273</v>
      </c>
      <c r="P33" s="123">
        <f>IFERROR(INDEX(Dataset!J:J,MATCH(_xlfn.AGGREGATE(14,6,Dataset!AK:AK/(Dataset!F:F=$D$11),K33),Dataset!AK:AK,0),1),"-")</f>
        <v>0</v>
      </c>
      <c r="R33" s="124">
        <v>240</v>
      </c>
      <c r="S33" s="130">
        <v>255</v>
      </c>
      <c r="T33" s="127">
        <f>SUMIFS(Dataset!AJ:AJ,Dataset!F:F,'renta fija'!$D$11,Dataset!AH:AH,"deposito",Dataset!T:T,"$",Dataset!J:J,"&lt;"&amp;$S33/365,Dataset!J:J,"&gt;="&amp;$R33/365)</f>
        <v>0</v>
      </c>
      <c r="U33" s="127">
        <f>SUMIFS(Dataset!AJ:AJ,Dataset!F:F,'renta fija'!$D$11,Dataset!AH:AH,"deposito",Dataset!T:T,"uf",Dataset!J:J,"&lt;"&amp;$S33/365,Dataset!J:J,"&gt;="&amp;$R33/365)</f>
        <v>0</v>
      </c>
      <c r="V33" s="127">
        <f>SUMIFS(Dataset!AJ:AJ,Dataset!F:F,'renta fija'!$D$11,Dataset!AH:AH,"deposito",Dataset!T:T,"us$",Dataset!J:J,"&lt;"&amp;$S33/365,Dataset!J:J,"&gt;="&amp;$R33/365)</f>
        <v>0</v>
      </c>
      <c r="W33" s="127">
        <f>SUMIFS(Dataset!AJ:AJ,Dataset!F:F,'renta fija'!$D$11,Dataset!AH:AH,"bono de gobierno",Dataset!T:T,"$",Dataset!J:J,"&lt;"&amp;$S33/365,Dataset!J:J,"&gt;="&amp;$R33/365)</f>
        <v>0</v>
      </c>
      <c r="X33" s="127">
        <f>SUMIFS(Dataset!AJ:AJ,Dataset!F:F,'renta fija'!$D$11,Dataset!AH:AH,"bono de gobierno",Dataset!T:T,"UF",Dataset!J:J,"&lt;"&amp;$S33/365,Dataset!J:J,"&gt;="&amp;$R33/365)</f>
        <v>0</v>
      </c>
      <c r="Y33" s="127">
        <f>SUMIFS(Dataset!AJ:AJ,Dataset!F:F,'renta fija'!$D$11,Dataset!AH:AH,"bono de gobierno",Dataset!T:T,"US$",Dataset!J:J,"&lt;"&amp;$S33/365,Dataset!J:J,"&gt;="&amp;$R33/365)</f>
        <v>0</v>
      </c>
      <c r="Z33" s="127">
        <f>SUMIFS(Dataset!AJ:AJ,Dataset!F:F,'renta fija'!$D$11,Dataset!AH:AH,"bono corporativo",Dataset!T:T,"$",Dataset!J:J,"&lt;"&amp;$S33/365,Dataset!J:J,"&gt;="&amp;$R33/365)</f>
        <v>0</v>
      </c>
      <c r="AA33" s="127">
        <f>SUMIFS(Dataset!AJ:AJ,Dataset!F:F,'renta fija'!$D$11,Dataset!AH:AH,"bono corporativo",Dataset!T:T,"UF",Dataset!J:J,"&lt;"&amp;$S33/365,Dataset!J:J,"&gt;="&amp;$R33/365)</f>
        <v>0</v>
      </c>
      <c r="AB33" s="127">
        <f>SUMIFS(Dataset!AJ:AJ,Dataset!F:F,'renta fija'!$D$11,Dataset!AH:AH,"bono corporativo",Dataset!T:T,"US$",Dataset!J:J,"&lt;"&amp;$S33/365,Dataset!J:J,"&gt;="&amp;$R33/365)</f>
        <v>0</v>
      </c>
      <c r="AC33" s="127">
        <f>SUMIFS(Dataset!AJ:AJ,Dataset!F:F,'renta fija'!$D$11,Dataset!AH:AH,"&lt;&gt;letra hipotecaria",Dataset!AH:AH,"&lt;&gt;bono corporativo",Dataset!AH:AH,"&lt;&gt;deposito",Dataset!AH:AH,"&lt;&gt;bono de gobierno",Dataset!J:J,"&lt;"&amp;$S33/365,Dataset!J:J,"&gt;="&amp;$R33/365)</f>
        <v>0</v>
      </c>
      <c r="AD33" s="131">
        <f t="shared" si="0"/>
        <v>0</v>
      </c>
      <c r="AE33" s="131">
        <f>SUMIFS(Dataset!AQ:AQ,Dataset!F:F,'renta fija'!$D$11,Dataset!J:J,"&lt;"&amp;$S33/365,Dataset!J:J,"&gt;="&amp;$R33/365)</f>
        <v>0</v>
      </c>
      <c r="AF33" s="132">
        <f>IFERROR(SUMIFS(Dataset!AQ:AQ,Dataset!F:F,'renta fija'!$D$11,Dataset!J:J,"&lt;"&amp;$S33/365,Dataset!J:J,"&gt;="&amp;$R33/365)/AD33,0)</f>
        <v>0</v>
      </c>
    </row>
    <row r="34" spans="3:32" ht="51" customHeight="1" x14ac:dyDescent="0.9">
      <c r="K34" s="124">
        <v>3</v>
      </c>
      <c r="L34" s="121" t="str">
        <f>IFERROR(INDEX(Dataset!X:X,MATCH(_xlfn.AGGREGATE(14,6,Dataset!AK:AK/(Dataset!F:F=$D$11),K34),Dataset!AK:AK,0),1),"-")</f>
        <v>Deposito Banco Scotiabank</v>
      </c>
      <c r="M34" s="121">
        <f>IFERROR(INDEX(Dataset!AK:AK,MATCH(_xlfn.AGGREGATE(14,6,Dataset!AK:AK/(Dataset!F:F=$D$11),K34),Dataset!AK:AK,0),1),"-")</f>
        <v>8.2049448213797921E-2</v>
      </c>
      <c r="N34" s="121">
        <f>IFERROR(INDEX(Dataset!I:I,MATCH(_xlfn.AGGREGATE(14,6,Dataset!AK:AK/(Dataset!F:F=$D$11),K34),Dataset!AK:AK,0),1),"-")</f>
        <v>7.9994283502440545E-6</v>
      </c>
      <c r="O34" s="121">
        <f>IFERROR(INDEX(Dataset!AA:AA,MATCH(_xlfn.AGGREGATE(14,6,Dataset!AK:AK/(Dataset!F:F=$D$11),K34),Dataset!AK:AK,0),1),"-")</f>
        <v>1.7690095468635904E-4</v>
      </c>
      <c r="P34" s="123">
        <f>IFERROR(INDEX(Dataset!J:J,MATCH(_xlfn.AGGREGATE(14,6,Dataset!AK:AK/(Dataset!F:F=$D$11),K34),Dataset!AK:AK,0),1),"-")</f>
        <v>0.06</v>
      </c>
      <c r="R34" s="124">
        <v>255</v>
      </c>
      <c r="S34" s="130">
        <v>270</v>
      </c>
      <c r="T34" s="127">
        <f>SUMIFS(Dataset!AJ:AJ,Dataset!F:F,'renta fija'!$D$11,Dataset!AH:AH,"deposito",Dataset!T:T,"$",Dataset!J:J,"&lt;"&amp;$S34/365,Dataset!J:J,"&gt;="&amp;$R34/365)</f>
        <v>0</v>
      </c>
      <c r="U34" s="127">
        <f>SUMIFS(Dataset!AJ:AJ,Dataset!F:F,'renta fija'!$D$11,Dataset!AH:AH,"deposito",Dataset!T:T,"uf",Dataset!J:J,"&lt;"&amp;$S34/365,Dataset!J:J,"&gt;="&amp;$R34/365)</f>
        <v>0</v>
      </c>
      <c r="V34" s="127">
        <f>SUMIFS(Dataset!AJ:AJ,Dataset!F:F,'renta fija'!$D$11,Dataset!AH:AH,"deposito",Dataset!T:T,"us$",Dataset!J:J,"&lt;"&amp;$S34/365,Dataset!J:J,"&gt;="&amp;$R34/365)</f>
        <v>0</v>
      </c>
      <c r="W34" s="127">
        <f>SUMIFS(Dataset!AJ:AJ,Dataset!F:F,'renta fija'!$D$11,Dataset!AH:AH,"bono de gobierno",Dataset!T:T,"$",Dataset!J:J,"&lt;"&amp;$S34/365,Dataset!J:J,"&gt;="&amp;$R34/365)</f>
        <v>0</v>
      </c>
      <c r="X34" s="127">
        <f>SUMIFS(Dataset!AJ:AJ,Dataset!F:F,'renta fija'!$D$11,Dataset!AH:AH,"bono de gobierno",Dataset!T:T,"UF",Dataset!J:J,"&lt;"&amp;$S34/365,Dataset!J:J,"&gt;="&amp;$R34/365)</f>
        <v>0</v>
      </c>
      <c r="Y34" s="127">
        <f>SUMIFS(Dataset!AJ:AJ,Dataset!F:F,'renta fija'!$D$11,Dataset!AH:AH,"bono de gobierno",Dataset!T:T,"US$",Dataset!J:J,"&lt;"&amp;$S34/365,Dataset!J:J,"&gt;="&amp;$R34/365)</f>
        <v>0</v>
      </c>
      <c r="Z34" s="127">
        <f>SUMIFS(Dataset!AJ:AJ,Dataset!F:F,'renta fija'!$D$11,Dataset!AH:AH,"bono corporativo",Dataset!T:T,"$",Dataset!J:J,"&lt;"&amp;$S34/365,Dataset!J:J,"&gt;="&amp;$R34/365)</f>
        <v>0</v>
      </c>
      <c r="AA34" s="127">
        <f>SUMIFS(Dataset!AJ:AJ,Dataset!F:F,'renta fija'!$D$11,Dataset!AH:AH,"bono corporativo",Dataset!T:T,"UF",Dataset!J:J,"&lt;"&amp;$S34/365,Dataset!J:J,"&gt;="&amp;$R34/365)</f>
        <v>0</v>
      </c>
      <c r="AB34" s="127">
        <f>SUMIFS(Dataset!AJ:AJ,Dataset!F:F,'renta fija'!$D$11,Dataset!AH:AH,"bono corporativo",Dataset!T:T,"US$",Dataset!J:J,"&lt;"&amp;$S34/365,Dataset!J:J,"&gt;="&amp;$R34/365)</f>
        <v>0</v>
      </c>
      <c r="AC34" s="127">
        <f>SUMIFS(Dataset!AJ:AJ,Dataset!F:F,'renta fija'!$D$11,Dataset!AH:AH,"&lt;&gt;letra hipotecaria",Dataset!AH:AH,"&lt;&gt;bono corporativo",Dataset!AH:AH,"&lt;&gt;deposito",Dataset!AH:AH,"&lt;&gt;bono de gobierno",Dataset!J:J,"&lt;"&amp;$S34/365,Dataset!J:J,"&gt;="&amp;$R34/365)</f>
        <v>0</v>
      </c>
      <c r="AD34" s="131">
        <f t="shared" si="0"/>
        <v>0</v>
      </c>
      <c r="AE34" s="131">
        <f>SUMIFS(Dataset!AQ:AQ,Dataset!F:F,'renta fija'!$D$11,Dataset!J:J,"&lt;"&amp;$S34/365,Dataset!J:J,"&gt;="&amp;$R34/365)</f>
        <v>0</v>
      </c>
      <c r="AF34" s="132">
        <f>IFERROR(SUMIFS(Dataset!AQ:AQ,Dataset!F:F,'renta fija'!$D$11,Dataset!J:J,"&lt;"&amp;$S34/365,Dataset!J:J,"&gt;="&amp;$R34/365)/AD34,0)</f>
        <v>0</v>
      </c>
    </row>
    <row r="35" spans="3:32" ht="105" customHeight="1" x14ac:dyDescent="0.9">
      <c r="C35" s="243" t="s">
        <v>1742</v>
      </c>
      <c r="D35" s="243"/>
      <c r="E35" s="243"/>
      <c r="F35" s="243"/>
      <c r="G35" s="243"/>
      <c r="H35" s="243"/>
      <c r="K35" s="124">
        <v>4</v>
      </c>
      <c r="L35" s="121" t="str">
        <f>IFERROR(INDEX(Dataset!X:X,MATCH(_xlfn.AGGREGATE(14,6,Dataset!AK:AK/(Dataset!F:F=$D$11),K35),Dataset!AK:AK,0),1),"-")</f>
        <v>Forward  Banco BBVA long leg</v>
      </c>
      <c r="M35" s="121">
        <f>IFERROR(INDEX(Dataset!AK:AK,MATCH(_xlfn.AGGREGATE(14,6,Dataset!AK:AK/(Dataset!F:F=$D$11),K35),Dataset!AK:AK,0),1),"-")</f>
        <v>8.1579624102017065E-2</v>
      </c>
      <c r="N35" s="121">
        <f>IFERROR(INDEX(Dataset!I:I,MATCH(_xlfn.AGGREGATE(14,6,Dataset!AK:AK/(Dataset!F:F=$D$11),K35),Dataset!AK:AK,0),1),"-")</f>
        <v>6.4065124935052667E-3</v>
      </c>
      <c r="O35" s="121">
        <f>IFERROR(INDEX(Dataset!AA:AA,MATCH(_xlfn.AGGREGATE(14,6,Dataset!AK:AK/(Dataset!F:F=$D$11),K35),Dataset!AK:AK,0),1),"-")</f>
        <v>0.14167489559133209</v>
      </c>
      <c r="P35" s="123">
        <f>IFERROR(INDEX(Dataset!J:J,MATCH(_xlfn.AGGREGATE(14,6,Dataset!AK:AK/(Dataset!F:F=$D$11),K35),Dataset!AK:AK,0),1),"-")</f>
        <v>0</v>
      </c>
      <c r="R35" s="124">
        <v>270</v>
      </c>
      <c r="S35" s="130">
        <v>285</v>
      </c>
      <c r="T35" s="127">
        <f>SUMIFS(Dataset!AJ:AJ,Dataset!F:F,'renta fija'!$D$11,Dataset!AH:AH,"deposito",Dataset!T:T,"$",Dataset!J:J,"&lt;"&amp;$S35/365,Dataset!J:J,"&gt;="&amp;$R35/365)</f>
        <v>0</v>
      </c>
      <c r="U35" s="127">
        <f>SUMIFS(Dataset!AJ:AJ,Dataset!F:F,'renta fija'!$D$11,Dataset!AH:AH,"deposito",Dataset!T:T,"uf",Dataset!J:J,"&lt;"&amp;$S35/365,Dataset!J:J,"&gt;="&amp;$R35/365)</f>
        <v>0</v>
      </c>
      <c r="V35" s="127">
        <f>SUMIFS(Dataset!AJ:AJ,Dataset!F:F,'renta fija'!$D$11,Dataset!AH:AH,"deposito",Dataset!T:T,"us$",Dataset!J:J,"&lt;"&amp;$S35/365,Dataset!J:J,"&gt;="&amp;$R35/365)</f>
        <v>0</v>
      </c>
      <c r="W35" s="127">
        <f>SUMIFS(Dataset!AJ:AJ,Dataset!F:F,'renta fija'!$D$11,Dataset!AH:AH,"bono de gobierno",Dataset!T:T,"$",Dataset!J:J,"&lt;"&amp;$S35/365,Dataset!J:J,"&gt;="&amp;$R35/365)</f>
        <v>0</v>
      </c>
      <c r="X35" s="127">
        <f>SUMIFS(Dataset!AJ:AJ,Dataset!F:F,'renta fija'!$D$11,Dataset!AH:AH,"bono de gobierno",Dataset!T:T,"UF",Dataset!J:J,"&lt;"&amp;$S35/365,Dataset!J:J,"&gt;="&amp;$R35/365)</f>
        <v>0</v>
      </c>
      <c r="Y35" s="127">
        <f>SUMIFS(Dataset!AJ:AJ,Dataset!F:F,'renta fija'!$D$11,Dataset!AH:AH,"bono de gobierno",Dataset!T:T,"US$",Dataset!J:J,"&lt;"&amp;$S35/365,Dataset!J:J,"&gt;="&amp;$R35/365)</f>
        <v>0</v>
      </c>
      <c r="Z35" s="127">
        <f>SUMIFS(Dataset!AJ:AJ,Dataset!F:F,'renta fija'!$D$11,Dataset!AH:AH,"bono corporativo",Dataset!T:T,"$",Dataset!J:J,"&lt;"&amp;$S35/365,Dataset!J:J,"&gt;="&amp;$R35/365)</f>
        <v>0</v>
      </c>
      <c r="AA35" s="127">
        <f>SUMIFS(Dataset!AJ:AJ,Dataset!F:F,'renta fija'!$D$11,Dataset!AH:AH,"bono corporativo",Dataset!T:T,"UF",Dataset!J:J,"&lt;"&amp;$S35/365,Dataset!J:J,"&gt;="&amp;$R35/365)</f>
        <v>0</v>
      </c>
      <c r="AB35" s="127">
        <f>SUMIFS(Dataset!AJ:AJ,Dataset!F:F,'renta fija'!$D$11,Dataset!AH:AH,"bono corporativo",Dataset!T:T,"US$",Dataset!J:J,"&lt;"&amp;$S35/365,Dataset!J:J,"&gt;="&amp;$R35/365)</f>
        <v>0</v>
      </c>
      <c r="AC35" s="127">
        <f>SUMIFS(Dataset!AJ:AJ,Dataset!F:F,'renta fija'!$D$11,Dataset!AH:AH,"&lt;&gt;letra hipotecaria",Dataset!AH:AH,"&lt;&gt;bono corporativo",Dataset!AH:AH,"&lt;&gt;deposito",Dataset!AH:AH,"&lt;&gt;bono de gobierno",Dataset!J:J,"&lt;"&amp;$S35/365,Dataset!J:J,"&gt;="&amp;$R35/365)</f>
        <v>0</v>
      </c>
      <c r="AD35" s="131">
        <f t="shared" si="0"/>
        <v>0</v>
      </c>
      <c r="AE35" s="131">
        <f>SUMIFS(Dataset!AQ:AQ,Dataset!F:F,'renta fija'!$D$11,Dataset!J:J,"&lt;"&amp;$S35/365,Dataset!J:J,"&gt;="&amp;$R35/365)</f>
        <v>0</v>
      </c>
      <c r="AF35" s="132">
        <f>IFERROR(SUMIFS(Dataset!AQ:AQ,Dataset!F:F,'renta fija'!$D$11,Dataset!J:J,"&lt;"&amp;$S35/365,Dataset!J:J,"&gt;="&amp;$R35/365)/AD35,0)</f>
        <v>0</v>
      </c>
    </row>
    <row r="36" spans="3:32" ht="66" customHeight="1" x14ac:dyDescent="0.9">
      <c r="K36" s="124">
        <v>5</v>
      </c>
      <c r="L36" s="121" t="str">
        <f>IFERROR(INDEX(Dataset!X:X,MATCH(_xlfn.AGGREGATE(14,6,Dataset!AK:AK/(Dataset!F:F=$D$11),K36),Dataset!AK:AK,0),1),"-")</f>
        <v>Deposito Banco Consorcio</v>
      </c>
      <c r="M36" s="121">
        <f>IFERROR(INDEX(Dataset!AK:AK,MATCH(_xlfn.AGGREGATE(14,6,Dataset!AK:AK/(Dataset!F:F=$D$11),K36),Dataset!AK:AK,0),1),"-")</f>
        <v>7.6483447923384074E-2</v>
      </c>
      <c r="N36" s="121">
        <f>IFERROR(INDEX(Dataset!I:I,MATCH(_xlfn.AGGREGATE(14,6,Dataset!AK:AK/(Dataset!F:F=$D$11),K36),Dataset!AK:AK,0),1),"-")</f>
        <v>7.4567699717917826E-6</v>
      </c>
      <c r="O36" s="121">
        <f>IFERROR(INDEX(Dataset!AA:AA,MATCH(_xlfn.AGGREGATE(14,6,Dataset!AK:AK/(Dataset!F:F=$D$11),K36),Dataset!AK:AK,0),1),"-")</f>
        <v>1.6490049902707064E-4</v>
      </c>
      <c r="P36" s="123">
        <f>IFERROR(INDEX(Dataset!J:J,MATCH(_xlfn.AGGREGATE(14,6,Dataset!AK:AK/(Dataset!F:F=$D$11),K36),Dataset!AK:AK,0),1),"-")</f>
        <v>0.05</v>
      </c>
      <c r="R36" s="124">
        <v>285</v>
      </c>
      <c r="S36" s="130">
        <v>300</v>
      </c>
      <c r="T36" s="127">
        <f>SUMIFS(Dataset!AJ:AJ,Dataset!F:F,'renta fija'!$D$11,Dataset!AH:AH,"deposito",Dataset!T:T,"$",Dataset!J:J,"&lt;"&amp;$S36/365,Dataset!J:J,"&gt;="&amp;$R36/365)</f>
        <v>0</v>
      </c>
      <c r="U36" s="127">
        <f>SUMIFS(Dataset!AJ:AJ,Dataset!F:F,'renta fija'!$D$11,Dataset!AH:AH,"deposito",Dataset!T:T,"uf",Dataset!J:J,"&lt;"&amp;$S36/365,Dataset!J:J,"&gt;="&amp;$R36/365)</f>
        <v>0</v>
      </c>
      <c r="V36" s="127">
        <f>SUMIFS(Dataset!AJ:AJ,Dataset!F:F,'renta fija'!$D$11,Dataset!AH:AH,"deposito",Dataset!T:T,"us$",Dataset!J:J,"&lt;"&amp;$S36/365,Dataset!J:J,"&gt;="&amp;$R36/365)</f>
        <v>0</v>
      </c>
      <c r="W36" s="127">
        <f>SUMIFS(Dataset!AJ:AJ,Dataset!F:F,'renta fija'!$D$11,Dataset!AH:AH,"bono de gobierno",Dataset!T:T,"$",Dataset!J:J,"&lt;"&amp;$S36/365,Dataset!J:J,"&gt;="&amp;$R36/365)</f>
        <v>0</v>
      </c>
      <c r="X36" s="127">
        <f>SUMIFS(Dataset!AJ:AJ,Dataset!F:F,'renta fija'!$D$11,Dataset!AH:AH,"bono de gobierno",Dataset!T:T,"UF",Dataset!J:J,"&lt;"&amp;$S36/365,Dataset!J:J,"&gt;="&amp;$R36/365)</f>
        <v>0</v>
      </c>
      <c r="Y36" s="127">
        <f>SUMIFS(Dataset!AJ:AJ,Dataset!F:F,'renta fija'!$D$11,Dataset!AH:AH,"bono de gobierno",Dataset!T:T,"US$",Dataset!J:J,"&lt;"&amp;$S36/365,Dataset!J:J,"&gt;="&amp;$R36/365)</f>
        <v>0</v>
      </c>
      <c r="Z36" s="127">
        <f>SUMIFS(Dataset!AJ:AJ,Dataset!F:F,'renta fija'!$D$11,Dataset!AH:AH,"bono corporativo",Dataset!T:T,"$",Dataset!J:J,"&lt;"&amp;$S36/365,Dataset!J:J,"&gt;="&amp;$R36/365)</f>
        <v>0</v>
      </c>
      <c r="AA36" s="127">
        <f>SUMIFS(Dataset!AJ:AJ,Dataset!F:F,'renta fija'!$D$11,Dataset!AH:AH,"bono corporativo",Dataset!T:T,"UF",Dataset!J:J,"&lt;"&amp;$S36/365,Dataset!J:J,"&gt;="&amp;$R36/365)</f>
        <v>0</v>
      </c>
      <c r="AB36" s="127">
        <f>SUMIFS(Dataset!AJ:AJ,Dataset!F:F,'renta fija'!$D$11,Dataset!AH:AH,"bono corporativo",Dataset!T:T,"US$",Dataset!J:J,"&lt;"&amp;$S36/365,Dataset!J:J,"&gt;="&amp;$R36/365)</f>
        <v>0</v>
      </c>
      <c r="AC36" s="127">
        <f>SUMIFS(Dataset!AJ:AJ,Dataset!F:F,'renta fija'!$D$11,Dataset!AH:AH,"&lt;&gt;letra hipotecaria",Dataset!AH:AH,"&lt;&gt;bono corporativo",Dataset!AH:AH,"&lt;&gt;deposito",Dataset!AH:AH,"&lt;&gt;bono de gobierno",Dataset!J:J,"&lt;"&amp;$S36/365,Dataset!J:J,"&gt;="&amp;$R36/365)</f>
        <v>0</v>
      </c>
      <c r="AD36" s="131">
        <f t="shared" si="0"/>
        <v>0</v>
      </c>
      <c r="AE36" s="131">
        <f>SUMIFS(Dataset!AQ:AQ,Dataset!F:F,'renta fija'!$D$11,Dataset!J:J,"&lt;"&amp;$S36/365,Dataset!J:J,"&gt;="&amp;$R36/365)</f>
        <v>0</v>
      </c>
      <c r="AF36" s="132">
        <f>IFERROR(SUMIFS(Dataset!AQ:AQ,Dataset!F:F,'renta fija'!$D$11,Dataset!J:J,"&lt;"&amp;$S36/365,Dataset!J:J,"&gt;="&amp;$R36/365)/AD36,0)</f>
        <v>0</v>
      </c>
    </row>
    <row r="37" spans="3:32" ht="72" customHeight="1" x14ac:dyDescent="0.9">
      <c r="C37" s="118" t="s">
        <v>110</v>
      </c>
      <c r="D37" s="119" t="s">
        <v>70</v>
      </c>
      <c r="E37" s="119" t="s">
        <v>75</v>
      </c>
      <c r="F37" s="119" t="s">
        <v>5</v>
      </c>
      <c r="G37" s="119" t="s">
        <v>6</v>
      </c>
      <c r="H37" s="119" t="s">
        <v>21</v>
      </c>
      <c r="K37" s="124">
        <v>6</v>
      </c>
      <c r="L37" s="121" t="str">
        <f>IFERROR(INDEX(Dataset!X:X,MATCH(_xlfn.AGGREGATE(14,6,Dataset!AK:AK/(Dataset!F:F=$D$11),K37),Dataset!AK:AK,0),1),"-")</f>
        <v>Deposito Banco Itaucorp</v>
      </c>
      <c r="M37" s="121">
        <f>IFERROR(INDEX(Dataset!AK:AK,MATCH(_xlfn.AGGREGATE(14,6,Dataset!AK:AK/(Dataset!F:F=$D$11),K37),Dataset!AK:AK,0),1),"-")</f>
        <v>7.1903812597153283E-2</v>
      </c>
      <c r="N37" s="121">
        <f>IFERROR(INDEX(Dataset!I:I,MATCH(_xlfn.AGGREGATE(14,6,Dataset!AK:AK/(Dataset!F:F=$D$11),K37),Dataset!AK:AK,0),1),"-")</f>
        <v>3.8271796973884374E-6</v>
      </c>
      <c r="O37" s="121">
        <f>IFERROR(INDEX(Dataset!AA:AA,MATCH(_xlfn.AGGREGATE(14,6,Dataset!AK:AK/(Dataset!F:F=$D$11),K37),Dataset!AK:AK,0),1),"-")</f>
        <v>8.4635015476275838E-5</v>
      </c>
      <c r="P37" s="123">
        <f>IFERROR(INDEX(Dataset!J:J,MATCH(_xlfn.AGGREGATE(14,6,Dataset!AK:AK/(Dataset!F:F=$D$11),K37),Dataset!AK:AK,0),1),"-")</f>
        <v>0.01</v>
      </c>
      <c r="R37" s="124">
        <v>300</v>
      </c>
      <c r="S37" s="130">
        <v>315</v>
      </c>
      <c r="T37" s="127">
        <f>SUMIFS(Dataset!AJ:AJ,Dataset!F:F,'renta fija'!$D$11,Dataset!AH:AH,"deposito",Dataset!T:T,"$",Dataset!J:J,"&lt;"&amp;$S37/365,Dataset!J:J,"&gt;="&amp;$R37/365)</f>
        <v>0</v>
      </c>
      <c r="U37" s="127">
        <f>SUMIFS(Dataset!AJ:AJ,Dataset!F:F,'renta fija'!$D$11,Dataset!AH:AH,"deposito",Dataset!T:T,"uf",Dataset!J:J,"&lt;"&amp;$S37/365,Dataset!J:J,"&gt;="&amp;$R37/365)</f>
        <v>0</v>
      </c>
      <c r="V37" s="127">
        <f>SUMIFS(Dataset!AJ:AJ,Dataset!F:F,'renta fija'!$D$11,Dataset!AH:AH,"deposito",Dataset!T:T,"us$",Dataset!J:J,"&lt;"&amp;$S37/365,Dataset!J:J,"&gt;="&amp;$R37/365)</f>
        <v>0</v>
      </c>
      <c r="W37" s="127">
        <f>SUMIFS(Dataset!AJ:AJ,Dataset!F:F,'renta fija'!$D$11,Dataset!AH:AH,"bono de gobierno",Dataset!T:T,"$",Dataset!J:J,"&lt;"&amp;$S37/365,Dataset!J:J,"&gt;="&amp;$R37/365)</f>
        <v>0</v>
      </c>
      <c r="X37" s="127">
        <f>SUMIFS(Dataset!AJ:AJ,Dataset!F:F,'renta fija'!$D$11,Dataset!AH:AH,"bono de gobierno",Dataset!T:T,"UF",Dataset!J:J,"&lt;"&amp;$S37/365,Dataset!J:J,"&gt;="&amp;$R37/365)</f>
        <v>0</v>
      </c>
      <c r="Y37" s="127">
        <f>SUMIFS(Dataset!AJ:AJ,Dataset!F:F,'renta fija'!$D$11,Dataset!AH:AH,"bono de gobierno",Dataset!T:T,"US$",Dataset!J:J,"&lt;"&amp;$S37/365,Dataset!J:J,"&gt;="&amp;$R37/365)</f>
        <v>0</v>
      </c>
      <c r="Z37" s="127">
        <f>SUMIFS(Dataset!AJ:AJ,Dataset!F:F,'renta fija'!$D$11,Dataset!AH:AH,"bono corporativo",Dataset!T:T,"$",Dataset!J:J,"&lt;"&amp;$S37/365,Dataset!J:J,"&gt;="&amp;$R37/365)</f>
        <v>0</v>
      </c>
      <c r="AA37" s="127">
        <f>SUMIFS(Dataset!AJ:AJ,Dataset!F:F,'renta fija'!$D$11,Dataset!AH:AH,"bono corporativo",Dataset!T:T,"UF",Dataset!J:J,"&lt;"&amp;$S37/365,Dataset!J:J,"&gt;="&amp;$R37/365)</f>
        <v>0</v>
      </c>
      <c r="AB37" s="127">
        <f>SUMIFS(Dataset!AJ:AJ,Dataset!F:F,'renta fija'!$D$11,Dataset!AH:AH,"bono corporativo",Dataset!T:T,"US$",Dataset!J:J,"&lt;"&amp;$S37/365,Dataset!J:J,"&gt;="&amp;$R37/365)</f>
        <v>0</v>
      </c>
      <c r="AC37" s="127">
        <f>SUMIFS(Dataset!AJ:AJ,Dataset!F:F,'renta fija'!$D$11,Dataset!AH:AH,"&lt;&gt;letra hipotecaria",Dataset!AH:AH,"&lt;&gt;bono corporativo",Dataset!AH:AH,"&lt;&gt;deposito",Dataset!AH:AH,"&lt;&gt;bono de gobierno",Dataset!J:J,"&lt;"&amp;$S37/365,Dataset!J:J,"&gt;="&amp;$R37/365)</f>
        <v>0</v>
      </c>
      <c r="AD37" s="131">
        <f t="shared" si="0"/>
        <v>0</v>
      </c>
      <c r="AE37" s="131">
        <f>SUMIFS(Dataset!AQ:AQ,Dataset!F:F,'renta fija'!$D$11,Dataset!J:J,"&lt;"&amp;$S37/365,Dataset!J:J,"&gt;="&amp;$R37/365)</f>
        <v>0</v>
      </c>
      <c r="AF37" s="132">
        <f>IFERROR(SUMIFS(Dataset!AQ:AQ,Dataset!F:F,'renta fija'!$D$11,Dataset!J:J,"&lt;"&amp;$S37/365,Dataset!J:J,"&gt;="&amp;$R37/365)/AD37,0)</f>
        <v>0</v>
      </c>
    </row>
    <row r="38" spans="3:32" ht="72" customHeight="1" x14ac:dyDescent="0.9">
      <c r="C38" s="120" t="s">
        <v>39</v>
      </c>
      <c r="D38" s="121">
        <f>SUMIFS(Dataset!AK:AK,Dataset!F:F,'renta fija'!$D$11,Dataset!T:T,$C38)</f>
        <v>5.242879814506636E-2</v>
      </c>
      <c r="E38" s="122">
        <f>SUMIFS(Dataset!V:V,Dataset!F:F,'renta fija'!$D$11,Dataset!T:T,$C38)/1000000</f>
        <v>2.058850729465477</v>
      </c>
      <c r="F38" s="123">
        <f>SUMIFS(Dataset!H:H,Dataset!F:F,'renta fija'!$D$11,Dataset!T:T,$C38)*365</f>
        <v>13.639739605402536</v>
      </c>
      <c r="G38" s="121">
        <f>SUMIFS(Dataset!I:I,Dataset!F:F,'renta fija'!$D$11,Dataset!T:T,$C38)</f>
        <v>6.3343699993251778E-5</v>
      </c>
      <c r="H38" s="121">
        <f>SUMIFS(Dataset!AA:AA,Dataset!F:F,'renta fija'!$D$11,Dataset!T:T,$C38)</f>
        <v>1.4007952208023322E-3</v>
      </c>
      <c r="K38" s="124">
        <v>7</v>
      </c>
      <c r="L38" s="121" t="str">
        <f>IFERROR(INDEX(Dataset!X:X,MATCH(_xlfn.AGGREGATE(14,6,Dataset!AK:AK/(Dataset!F:F=$D$11),K38),Dataset!AK:AK,0),1),"-")</f>
        <v>Forward  Banco BBVA long leg</v>
      </c>
      <c r="M38" s="121">
        <f>IFERROR(INDEX(Dataset!AK:AK,MATCH(_xlfn.AGGREGATE(14,6,Dataset!AK:AK/(Dataset!F:F=$D$11),K38),Dataset!AK:AK,0),1),"-")</f>
        <v>7.1647275302638827E-2</v>
      </c>
      <c r="N38" s="121">
        <f>IFERROR(INDEX(Dataset!I:I,MATCH(_xlfn.AGGREGATE(14,6,Dataset!AK:AK/(Dataset!F:F=$D$11),K38),Dataset!AK:AK,0),1),"-")</f>
        <v>5.6265172756614591E-3</v>
      </c>
      <c r="O38" s="121">
        <f>IFERROR(INDEX(Dataset!AA:AA,MATCH(_xlfn.AGGREGATE(14,6,Dataset!AK:AK/(Dataset!F:F=$D$11),K38),Dataset!AK:AK,0),1),"-")</f>
        <v>0.12442592570923364</v>
      </c>
      <c r="P38" s="123">
        <f>IFERROR(INDEX(Dataset!J:J,MATCH(_xlfn.AGGREGATE(14,6,Dataset!AK:AK/(Dataset!F:F=$D$11),K38),Dataset!AK:AK,0),1),"-")</f>
        <v>0</v>
      </c>
      <c r="R38" s="124">
        <v>315</v>
      </c>
      <c r="S38" s="130">
        <v>330</v>
      </c>
      <c r="T38" s="127">
        <f>SUMIFS(Dataset!AJ:AJ,Dataset!F:F,'renta fija'!$D$11,Dataset!AH:AH,"deposito",Dataset!T:T,"$",Dataset!J:J,"&lt;"&amp;$S38/365,Dataset!J:J,"&gt;="&amp;$R38/365)</f>
        <v>0</v>
      </c>
      <c r="U38" s="127">
        <f>SUMIFS(Dataset!AJ:AJ,Dataset!F:F,'renta fija'!$D$11,Dataset!AH:AH,"deposito",Dataset!T:T,"uf",Dataset!J:J,"&lt;"&amp;$S38/365,Dataset!J:J,"&gt;="&amp;$R38/365)</f>
        <v>0</v>
      </c>
      <c r="V38" s="127">
        <f>SUMIFS(Dataset!AJ:AJ,Dataset!F:F,'renta fija'!$D$11,Dataset!AH:AH,"deposito",Dataset!T:T,"us$",Dataset!J:J,"&lt;"&amp;$S38/365,Dataset!J:J,"&gt;="&amp;$R38/365)</f>
        <v>0</v>
      </c>
      <c r="W38" s="127">
        <f>SUMIFS(Dataset!AJ:AJ,Dataset!F:F,'renta fija'!$D$11,Dataset!AH:AH,"bono de gobierno",Dataset!T:T,"$",Dataset!J:J,"&lt;"&amp;$S38/365,Dataset!J:J,"&gt;="&amp;$R38/365)</f>
        <v>0</v>
      </c>
      <c r="X38" s="127">
        <f>SUMIFS(Dataset!AJ:AJ,Dataset!F:F,'renta fija'!$D$11,Dataset!AH:AH,"bono de gobierno",Dataset!T:T,"UF",Dataset!J:J,"&lt;"&amp;$S38/365,Dataset!J:J,"&gt;="&amp;$R38/365)</f>
        <v>0</v>
      </c>
      <c r="Y38" s="127">
        <f>SUMIFS(Dataset!AJ:AJ,Dataset!F:F,'renta fija'!$D$11,Dataset!AH:AH,"bono de gobierno",Dataset!T:T,"US$",Dataset!J:J,"&lt;"&amp;$S38/365,Dataset!J:J,"&gt;="&amp;$R38/365)</f>
        <v>0</v>
      </c>
      <c r="Z38" s="127">
        <f>SUMIFS(Dataset!AJ:AJ,Dataset!F:F,'renta fija'!$D$11,Dataset!AH:AH,"bono corporativo",Dataset!T:T,"$",Dataset!J:J,"&lt;"&amp;$S38/365,Dataset!J:J,"&gt;="&amp;$R38/365)</f>
        <v>0</v>
      </c>
      <c r="AA38" s="127">
        <f>SUMIFS(Dataset!AJ:AJ,Dataset!F:F,'renta fija'!$D$11,Dataset!AH:AH,"bono corporativo",Dataset!T:T,"UF",Dataset!J:J,"&lt;"&amp;$S38/365,Dataset!J:J,"&gt;="&amp;$R38/365)</f>
        <v>0</v>
      </c>
      <c r="AB38" s="127">
        <f>SUMIFS(Dataset!AJ:AJ,Dataset!F:F,'renta fija'!$D$11,Dataset!AH:AH,"bono corporativo",Dataset!T:T,"US$",Dataset!J:J,"&lt;"&amp;$S38/365,Dataset!J:J,"&gt;="&amp;$R38/365)</f>
        <v>0</v>
      </c>
      <c r="AC38" s="127">
        <f>SUMIFS(Dataset!AJ:AJ,Dataset!F:F,'renta fija'!$D$11,Dataset!AH:AH,"&lt;&gt;letra hipotecaria",Dataset!AH:AH,"&lt;&gt;bono corporativo",Dataset!AH:AH,"&lt;&gt;deposito",Dataset!AH:AH,"&lt;&gt;bono de gobierno",Dataset!J:J,"&lt;"&amp;$S38/365,Dataset!J:J,"&gt;="&amp;$R38/365)</f>
        <v>0</v>
      </c>
      <c r="AD38" s="131">
        <f t="shared" si="0"/>
        <v>0</v>
      </c>
      <c r="AE38" s="131">
        <f>SUMIFS(Dataset!AQ:AQ,Dataset!F:F,'renta fija'!$D$11,Dataset!J:J,"&lt;"&amp;$S38/365,Dataset!J:J,"&gt;="&amp;$R38/365)</f>
        <v>0</v>
      </c>
      <c r="AF38" s="132">
        <f>IFERROR(SUMIFS(Dataset!AQ:AQ,Dataset!F:F,'renta fija'!$D$11,Dataset!J:J,"&lt;"&amp;$S38/365,Dataset!J:J,"&gt;="&amp;$R38/365)/AD38,0)</f>
        <v>0</v>
      </c>
    </row>
    <row r="39" spans="3:32" ht="63" customHeight="1" x14ac:dyDescent="0.9">
      <c r="C39" s="120" t="s">
        <v>32</v>
      </c>
      <c r="D39" s="121">
        <f>SUMIFS(Dataset!AK:AK,Dataset!F:F,'renta fija'!$D$11,Dataset!T:T,$C39)</f>
        <v>0</v>
      </c>
      <c r="E39" s="122">
        <f>SUMIFS(Dataset!V:V,Dataset!F:F,'renta fija'!$D$11,Dataset!T:T,$C39)/1000000</f>
        <v>0</v>
      </c>
      <c r="F39" s="123">
        <f>SUMIFS(Dataset!H:H,Dataset!F:F,'renta fija'!$D$11,Dataset!T:T,$C39)*365</f>
        <v>0</v>
      </c>
      <c r="G39" s="121">
        <f>SUMIFS(Dataset!I:I,Dataset!F:F,'renta fija'!$D$11,Dataset!T:T,$C39)</f>
        <v>0</v>
      </c>
      <c r="H39" s="121">
        <f>SUMIFS(Dataset!AA:AA,Dataset!F:F,'renta fija'!$D$11,Dataset!T:T,$C39)</f>
        <v>0</v>
      </c>
      <c r="K39" s="124">
        <v>8</v>
      </c>
      <c r="L39" s="121" t="str">
        <f>IFERROR(INDEX(Dataset!X:X,MATCH(_xlfn.AGGREGATE(14,6,Dataset!AK:AK/(Dataset!F:F=$D$11),K39),Dataset!AK:AK,0),1),"-")</f>
        <v>Deposito Banco Scotiabank</v>
      </c>
      <c r="M39" s="121">
        <f>IFERROR(INDEX(Dataset!AK:AK,MATCH(_xlfn.AGGREGATE(14,6,Dataset!AK:AK/(Dataset!F:F=$D$11),K39),Dataset!AK:AK,0),1),"-")</f>
        <v>6.5664687641158584E-2</v>
      </c>
      <c r="N39" s="121">
        <f>IFERROR(INDEX(Dataset!I:I,MATCH(_xlfn.AGGREGATE(14,6,Dataset!AK:AK/(Dataset!F:F=$D$11),K39),Dataset!AK:AK,0),1),"-")</f>
        <v>6.4019926442146397E-6</v>
      </c>
      <c r="O39" s="121">
        <f>IFERROR(INDEX(Dataset!AA:AA,MATCH(_xlfn.AGGREGATE(14,6,Dataset!AK:AK/(Dataset!F:F=$D$11),K39),Dataset!AK:AK,0),1),"-")</f>
        <v>1.4157494274226056E-4</v>
      </c>
      <c r="P39" s="123">
        <f>IFERROR(INDEX(Dataset!J:J,MATCH(_xlfn.AGGREGATE(14,6,Dataset!AK:AK/(Dataset!F:F=$D$11),K39),Dataset!AK:AK,0),1),"-")</f>
        <v>0.05</v>
      </c>
      <c r="R39" s="124">
        <v>330</v>
      </c>
      <c r="S39" s="130">
        <v>345</v>
      </c>
      <c r="T39" s="127">
        <f>SUMIFS(Dataset!AJ:AJ,Dataset!F:F,'renta fija'!$D$11,Dataset!AH:AH,"deposito",Dataset!T:T,"$",Dataset!J:J,"&lt;"&amp;$S39/365,Dataset!J:J,"&gt;="&amp;$R39/365)</f>
        <v>0</v>
      </c>
      <c r="U39" s="127">
        <f>SUMIFS(Dataset!AJ:AJ,Dataset!F:F,'renta fija'!$D$11,Dataset!AH:AH,"deposito",Dataset!T:T,"uf",Dataset!J:J,"&lt;"&amp;$S39/365,Dataset!J:J,"&gt;="&amp;$R39/365)</f>
        <v>0</v>
      </c>
      <c r="V39" s="127">
        <f>SUMIFS(Dataset!AJ:AJ,Dataset!F:F,'renta fija'!$D$11,Dataset!AH:AH,"deposito",Dataset!T:T,"us$",Dataset!J:J,"&lt;"&amp;$S39/365,Dataset!J:J,"&gt;="&amp;$R39/365)</f>
        <v>0</v>
      </c>
      <c r="W39" s="127">
        <f>SUMIFS(Dataset!AJ:AJ,Dataset!F:F,'renta fija'!$D$11,Dataset!AH:AH,"bono de gobierno",Dataset!T:T,"$",Dataset!J:J,"&lt;"&amp;$S39/365,Dataset!J:J,"&gt;="&amp;$R39/365)</f>
        <v>0</v>
      </c>
      <c r="X39" s="127">
        <f>SUMIFS(Dataset!AJ:AJ,Dataset!F:F,'renta fija'!$D$11,Dataset!AH:AH,"bono de gobierno",Dataset!T:T,"UF",Dataset!J:J,"&lt;"&amp;$S39/365,Dataset!J:J,"&gt;="&amp;$R39/365)</f>
        <v>0</v>
      </c>
      <c r="Y39" s="127">
        <f>SUMIFS(Dataset!AJ:AJ,Dataset!F:F,'renta fija'!$D$11,Dataset!AH:AH,"bono de gobierno",Dataset!T:T,"US$",Dataset!J:J,"&lt;"&amp;$S39/365,Dataset!J:J,"&gt;="&amp;$R39/365)</f>
        <v>0</v>
      </c>
      <c r="Z39" s="127">
        <f>SUMIFS(Dataset!AJ:AJ,Dataset!F:F,'renta fija'!$D$11,Dataset!AH:AH,"bono corporativo",Dataset!T:T,"$",Dataset!J:J,"&lt;"&amp;$S39/365,Dataset!J:J,"&gt;="&amp;$R39/365)</f>
        <v>0</v>
      </c>
      <c r="AA39" s="127">
        <f>SUMIFS(Dataset!AJ:AJ,Dataset!F:F,'renta fija'!$D$11,Dataset!AH:AH,"bono corporativo",Dataset!T:T,"UF",Dataset!J:J,"&lt;"&amp;$S39/365,Dataset!J:J,"&gt;="&amp;$R39/365)</f>
        <v>0</v>
      </c>
      <c r="AB39" s="127">
        <f>SUMIFS(Dataset!AJ:AJ,Dataset!F:F,'renta fija'!$D$11,Dataset!AH:AH,"bono corporativo",Dataset!T:T,"US$",Dataset!J:J,"&lt;"&amp;$S39/365,Dataset!J:J,"&gt;="&amp;$R39/365)</f>
        <v>0</v>
      </c>
      <c r="AC39" s="127">
        <f>SUMIFS(Dataset!AJ:AJ,Dataset!F:F,'renta fija'!$D$11,Dataset!AH:AH,"&lt;&gt;letra hipotecaria",Dataset!AH:AH,"&lt;&gt;bono corporativo",Dataset!AH:AH,"&lt;&gt;deposito",Dataset!AH:AH,"&lt;&gt;bono de gobierno",Dataset!J:J,"&lt;"&amp;$S39/365,Dataset!J:J,"&gt;="&amp;$R39/365)</f>
        <v>0</v>
      </c>
      <c r="AD39" s="131">
        <f t="shared" si="0"/>
        <v>0</v>
      </c>
      <c r="AE39" s="131">
        <f>SUMIFS(Dataset!AQ:AQ,Dataset!F:F,'renta fija'!$D$11,Dataset!J:J,"&lt;"&amp;$S39/365,Dataset!J:J,"&gt;="&amp;$R39/365)</f>
        <v>0</v>
      </c>
      <c r="AF39" s="132">
        <f>IFERROR(SUMIFS(Dataset!AQ:AQ,Dataset!F:F,'renta fija'!$D$11,Dataset!J:J,"&lt;"&amp;$S39/365,Dataset!J:J,"&gt;="&amp;$R39/365)/AD39,0)</f>
        <v>0</v>
      </c>
    </row>
    <row r="40" spans="3:32" ht="57" customHeight="1" x14ac:dyDescent="0.9">
      <c r="C40" s="120" t="s">
        <v>30</v>
      </c>
      <c r="D40" s="121">
        <f>SUMIFS(Dataset!AK:AK,Dataset!F:F,'renta fija'!$D$11,Dataset!T:T,$C40)</f>
        <v>0.9475712018549336</v>
      </c>
      <c r="E40" s="122">
        <f>SUMIFS(Dataset!V:V,Dataset!F:F,'renta fija'!$D$11,Dataset!T:T,$C40)/1000000</f>
        <v>37.210611899999996</v>
      </c>
      <c r="F40" s="123">
        <f>SUMIFS(Dataset!H:H,Dataset!F:F,'renta fija'!$D$11,Dataset!T:T,$C40)*365</f>
        <v>11.604750650752742</v>
      </c>
      <c r="G40" s="121">
        <f>SUMIFS(Dataset!I:I,Dataset!F:F,'renta fija'!$D$11,Dataset!T:T,$C40)</f>
        <v>4.5156470768655824E-2</v>
      </c>
      <c r="H40" s="121">
        <f>SUMIFS(Dataset!AA:AA,Dataset!F:F,'renta fija'!$D$11,Dataset!T:T,$C40)</f>
        <v>0.99859920477919717</v>
      </c>
      <c r="K40" s="124">
        <v>9</v>
      </c>
      <c r="L40" s="121" t="str">
        <f>IFERROR(INDEX(Dataset!X:X,MATCH(_xlfn.AGGREGATE(14,6,Dataset!AK:AK/(Dataset!F:F=$D$11),K40),Dataset!AK:AK,0),1),"-")</f>
        <v>Forward  Banco BBVA long leg</v>
      </c>
      <c r="M40" s="121">
        <f>IFERROR(INDEX(Dataset!AK:AK,MATCH(_xlfn.AGGREGATE(14,6,Dataset!AK:AK/(Dataset!F:F=$D$11),K40),Dataset!AK:AK,0),1),"-")</f>
        <v>6.4950545009144114E-2</v>
      </c>
      <c r="N40" s="121">
        <f>IFERROR(INDEX(Dataset!I:I,MATCH(_xlfn.AGGREGATE(14,6,Dataset!AK:AK/(Dataset!F:F=$D$11),K40),Dataset!AK:AK,0),1),"-")</f>
        <v>5.1006177417624267E-3</v>
      </c>
      <c r="O40" s="121">
        <f>IFERROR(INDEX(Dataset!AA:AA,MATCH(_xlfn.AGGREGATE(14,6,Dataset!AK:AK/(Dataset!F:F=$D$11),K40),Dataset!AK:AK,0),1),"-")</f>
        <v>0.11279607848233626</v>
      </c>
      <c r="P40" s="123">
        <f>IFERROR(INDEX(Dataset!J:J,MATCH(_xlfn.AGGREGATE(14,6,Dataset!AK:AK/(Dataset!F:F=$D$11),K40),Dataset!AK:AK,0),1),"-")</f>
        <v>0</v>
      </c>
      <c r="R40" s="124">
        <v>345</v>
      </c>
      <c r="S40" s="130">
        <v>360</v>
      </c>
      <c r="T40" s="127">
        <f>SUMIFS(Dataset!AJ:AJ,Dataset!F:F,'renta fija'!$D$11,Dataset!AH:AH,"deposito",Dataset!T:T,"$",Dataset!J:J,"&lt;"&amp;$S40/365,Dataset!J:J,"&gt;="&amp;$R40/365)</f>
        <v>0</v>
      </c>
      <c r="U40" s="127">
        <f>SUMIFS(Dataset!AJ:AJ,Dataset!F:F,'renta fija'!$D$11,Dataset!AH:AH,"deposito",Dataset!T:T,"uf",Dataset!J:J,"&lt;"&amp;$S40/365,Dataset!J:J,"&gt;="&amp;$R40/365)</f>
        <v>0</v>
      </c>
      <c r="V40" s="127">
        <f>SUMIFS(Dataset!AJ:AJ,Dataset!F:F,'renta fija'!$D$11,Dataset!AH:AH,"deposito",Dataset!T:T,"us$",Dataset!J:J,"&lt;"&amp;$S40/365,Dataset!J:J,"&gt;="&amp;$R40/365)</f>
        <v>0</v>
      </c>
      <c r="W40" s="127">
        <f>SUMIFS(Dataset!AJ:AJ,Dataset!F:F,'renta fija'!$D$11,Dataset!AH:AH,"bono de gobierno",Dataset!T:T,"$",Dataset!J:J,"&lt;"&amp;$S40/365,Dataset!J:J,"&gt;="&amp;$R40/365)</f>
        <v>0</v>
      </c>
      <c r="X40" s="127">
        <f>SUMIFS(Dataset!AJ:AJ,Dataset!F:F,'renta fija'!$D$11,Dataset!AH:AH,"bono de gobierno",Dataset!T:T,"UF",Dataset!J:J,"&lt;"&amp;$S40/365,Dataset!J:J,"&gt;="&amp;$R40/365)</f>
        <v>0</v>
      </c>
      <c r="Y40" s="127">
        <f>SUMIFS(Dataset!AJ:AJ,Dataset!F:F,'renta fija'!$D$11,Dataset!AH:AH,"bono de gobierno",Dataset!T:T,"US$",Dataset!J:J,"&lt;"&amp;$S40/365,Dataset!J:J,"&gt;="&amp;$R40/365)</f>
        <v>0</v>
      </c>
      <c r="Z40" s="127">
        <f>SUMIFS(Dataset!AJ:AJ,Dataset!F:F,'renta fija'!$D$11,Dataset!AH:AH,"bono corporativo",Dataset!T:T,"$",Dataset!J:J,"&lt;"&amp;$S40/365,Dataset!J:J,"&gt;="&amp;$R40/365)</f>
        <v>0</v>
      </c>
      <c r="AA40" s="127">
        <f>SUMIFS(Dataset!AJ:AJ,Dataset!F:F,'renta fija'!$D$11,Dataset!AH:AH,"bono corporativo",Dataset!T:T,"UF",Dataset!J:J,"&lt;"&amp;$S40/365,Dataset!J:J,"&gt;="&amp;$R40/365)</f>
        <v>0</v>
      </c>
      <c r="AB40" s="127">
        <f>SUMIFS(Dataset!AJ:AJ,Dataset!F:F,'renta fija'!$D$11,Dataset!AH:AH,"bono corporativo",Dataset!T:T,"US$",Dataset!J:J,"&lt;"&amp;$S40/365,Dataset!J:J,"&gt;="&amp;$R40/365)</f>
        <v>0</v>
      </c>
      <c r="AC40" s="127">
        <f>SUMIFS(Dataset!AJ:AJ,Dataset!F:F,'renta fija'!$D$11,Dataset!AH:AH,"&lt;&gt;letra hipotecaria",Dataset!AH:AH,"&lt;&gt;bono corporativo",Dataset!AH:AH,"&lt;&gt;deposito",Dataset!AH:AH,"&lt;&gt;bono de gobierno",Dataset!J:J,"&lt;"&amp;$S40/365,Dataset!J:J,"&gt;="&amp;$R40/365)</f>
        <v>0</v>
      </c>
      <c r="AD40" s="131">
        <f t="shared" si="0"/>
        <v>0</v>
      </c>
      <c r="AE40" s="131">
        <f>SUMIFS(Dataset!AQ:AQ,Dataset!F:F,'renta fija'!$D$11,Dataset!J:J,"&lt;"&amp;$S40/365,Dataset!J:J,"&gt;="&amp;$R40/365)</f>
        <v>0</v>
      </c>
      <c r="AF40" s="132">
        <f>IFERROR(SUMIFS(Dataset!AQ:AQ,Dataset!F:F,'renta fija'!$D$11,Dataset!J:J,"&lt;"&amp;$S40/365,Dataset!J:J,"&gt;="&amp;$R40/365)/AD40,0)</f>
        <v>0</v>
      </c>
    </row>
    <row r="41" spans="3:32" ht="63" customHeight="1" x14ac:dyDescent="0.9">
      <c r="C41" s="133" t="s">
        <v>66</v>
      </c>
      <c r="D41" s="134">
        <f>SUM(D38:D40)</f>
        <v>1</v>
      </c>
      <c r="E41" s="135">
        <f>SUM(E38:E40)</f>
        <v>39.269462629465473</v>
      </c>
      <c r="F41" s="136">
        <f>SUM(F38:F40)</f>
        <v>25.244490256155277</v>
      </c>
      <c r="G41" s="134">
        <f>SUM(G38:G40)</f>
        <v>4.5219814468649075E-2</v>
      </c>
      <c r="H41" s="134">
        <f>SUM(H38:H40)</f>
        <v>0.99999999999999956</v>
      </c>
      <c r="K41" s="124">
        <v>10</v>
      </c>
      <c r="L41" s="121" t="str">
        <f>IFERROR(INDEX(Dataset!X:X,MATCH(_xlfn.AGGREGATE(14,6,Dataset!AK:AK/(Dataset!F:F=$D$11),K41),Dataset!AK:AK,0),1),"-")</f>
        <v>Deposito Banco Estado</v>
      </c>
      <c r="M41" s="121">
        <f>IFERROR(INDEX(Dataset!AK:AK,MATCH(_xlfn.AGGREGATE(14,6,Dataset!AK:AK/(Dataset!F:F=$D$11),K41),Dataset!AK:AK,0),1),"-")</f>
        <v>6.1290298179279196E-2</v>
      </c>
      <c r="N41" s="121">
        <f>IFERROR(INDEX(Dataset!I:I,MATCH(_xlfn.AGGREGATE(14,6,Dataset!AK:AK/(Dataset!F:F=$D$11),K41),Dataset!AK:AK,0),1),"-")</f>
        <v>1.4275871038011192E-5</v>
      </c>
      <c r="O41" s="121">
        <f>IFERROR(INDEX(Dataset!AA:AA,MATCH(_xlfn.AGGREGATE(14,6,Dataset!AK:AK/(Dataset!F:F=$D$11),K41),Dataset!AK:AK,0),1),"-")</f>
        <v>3.1569946064039384E-4</v>
      </c>
      <c r="P41" s="123">
        <f>IFERROR(INDEX(Dataset!J:J,MATCH(_xlfn.AGGREGATE(14,6,Dataset!AK:AK/(Dataset!F:F=$D$11),K41),Dataset!AK:AK,0),1),"-")</f>
        <v>0.21</v>
      </c>
      <c r="R41" s="124">
        <v>360</v>
      </c>
      <c r="S41" s="130">
        <v>720</v>
      </c>
      <c r="T41" s="127">
        <f>SUMIFS(Dataset!AJ:AJ,Dataset!F:F,'renta fija'!$D$11,Dataset!AH:AH,"deposito",Dataset!T:T,"$",Dataset!J:J,"&lt;"&amp;$S41/365,Dataset!J:J,"&gt;="&amp;$R41/365)</f>
        <v>0</v>
      </c>
      <c r="U41" s="127">
        <f>SUMIFS(Dataset!AJ:AJ,Dataset!F:F,'renta fija'!$D$11,Dataset!AH:AH,"deposito",Dataset!T:T,"uf",Dataset!J:J,"&lt;"&amp;$S41/365,Dataset!J:J,"&gt;="&amp;$R41/365)</f>
        <v>0</v>
      </c>
      <c r="V41" s="127">
        <f>SUMIFS(Dataset!AJ:AJ,Dataset!F:F,'renta fija'!$D$11,Dataset!AH:AH,"deposito",Dataset!T:T,"us$",Dataset!J:J,"&lt;"&amp;$S41/365,Dataset!J:J,"&gt;="&amp;$R41/365)</f>
        <v>0</v>
      </c>
      <c r="W41" s="127">
        <f>SUMIFS(Dataset!AJ:AJ,Dataset!F:F,'renta fija'!$D$11,Dataset!AH:AH,"bono de gobierno",Dataset!T:T,"$",Dataset!J:J,"&lt;"&amp;$S41/365,Dataset!J:J,"&gt;="&amp;$R41/365)</f>
        <v>0</v>
      </c>
      <c r="X41" s="127">
        <f>SUMIFS(Dataset!AJ:AJ,Dataset!F:F,'renta fija'!$D$11,Dataset!AH:AH,"bono de gobierno",Dataset!T:T,"UF",Dataset!J:J,"&lt;"&amp;$S41/365,Dataset!J:J,"&gt;="&amp;$R41/365)</f>
        <v>0</v>
      </c>
      <c r="Y41" s="127">
        <f>SUMIFS(Dataset!AJ:AJ,Dataset!F:F,'renta fija'!$D$11,Dataset!AH:AH,"bono de gobierno",Dataset!T:T,"US$",Dataset!J:J,"&lt;"&amp;$S41/365,Dataset!J:J,"&gt;="&amp;$R41/365)</f>
        <v>0</v>
      </c>
      <c r="Z41" s="127">
        <f>SUMIFS(Dataset!AJ:AJ,Dataset!F:F,'renta fija'!$D$11,Dataset!AH:AH,"bono corporativo",Dataset!T:T,"$",Dataset!J:J,"&lt;"&amp;$S41/365,Dataset!J:J,"&gt;="&amp;$R41/365)</f>
        <v>0</v>
      </c>
      <c r="AA41" s="127">
        <f>SUMIFS(Dataset!AJ:AJ,Dataset!F:F,'renta fija'!$D$11,Dataset!AH:AH,"bono corporativo",Dataset!T:T,"UF",Dataset!J:J,"&lt;"&amp;$S41/365,Dataset!J:J,"&gt;="&amp;$R41/365)</f>
        <v>0</v>
      </c>
      <c r="AB41" s="127">
        <f>SUMIFS(Dataset!AJ:AJ,Dataset!F:F,'renta fija'!$D$11,Dataset!AH:AH,"bono corporativo",Dataset!T:T,"US$",Dataset!J:J,"&lt;"&amp;$S41/365,Dataset!J:J,"&gt;="&amp;$R41/365)</f>
        <v>0</v>
      </c>
      <c r="AC41" s="127">
        <f>SUMIFS(Dataset!AJ:AJ,Dataset!F:F,'renta fija'!$D$11,Dataset!AH:AH,"&lt;&gt;letra hipotecaria",Dataset!AH:AH,"&lt;&gt;bono corporativo",Dataset!AH:AH,"&lt;&gt;deposito",Dataset!AH:AH,"&lt;&gt;bono de gobierno",Dataset!J:J,"&lt;"&amp;$S41/365,Dataset!J:J,"&gt;="&amp;$R41/365)</f>
        <v>0</v>
      </c>
      <c r="AD41" s="131">
        <f t="shared" si="0"/>
        <v>0</v>
      </c>
      <c r="AE41" s="131">
        <f>SUMIFS(Dataset!AQ:AQ,Dataset!F:F,'renta fija'!$D$11,Dataset!J:J,"&lt;"&amp;$S41/365,Dataset!J:J,"&gt;="&amp;$R41/365)</f>
        <v>0</v>
      </c>
      <c r="AF41" s="132">
        <f>IFERROR(SUMIFS(Dataset!AQ:AQ,Dataset!F:F,'renta fija'!$D$11,Dataset!J:J,"&lt;"&amp;$S41/365,Dataset!J:J,"&gt;="&amp;$R41/365)/AD41,0)</f>
        <v>0</v>
      </c>
    </row>
    <row r="42" spans="3:32" ht="45" customHeight="1" x14ac:dyDescent="0.2">
      <c r="R42" s="124">
        <v>720</v>
      </c>
      <c r="S42" s="130">
        <v>1080</v>
      </c>
      <c r="T42" s="127">
        <f>SUMIFS(Dataset!AJ:AJ,Dataset!F:F,'renta fija'!$D$11,Dataset!AH:AH,"deposito",Dataset!T:T,"$",Dataset!J:J,"&lt;"&amp;$S42/365,Dataset!J:J,"&gt;="&amp;$R42/365)</f>
        <v>0</v>
      </c>
      <c r="U42" s="127">
        <f>SUMIFS(Dataset!AJ:AJ,Dataset!F:F,'renta fija'!$D$11,Dataset!AH:AH,"deposito",Dataset!T:T,"uf",Dataset!J:J,"&lt;"&amp;$S42/365,Dataset!J:J,"&gt;="&amp;$R42/365)</f>
        <v>0</v>
      </c>
      <c r="V42" s="127">
        <f>SUMIFS(Dataset!AJ:AJ,Dataset!F:F,'renta fija'!$D$11,Dataset!AH:AH,"deposito",Dataset!T:T,"us$",Dataset!J:J,"&lt;"&amp;$S42/365,Dataset!J:J,"&gt;="&amp;$R42/365)</f>
        <v>0</v>
      </c>
      <c r="W42" s="127">
        <f>SUMIFS(Dataset!AJ:AJ,Dataset!F:F,'renta fija'!$D$11,Dataset!AH:AH,"bono de gobierno",Dataset!T:T,"$",Dataset!J:J,"&lt;"&amp;$S42/365,Dataset!J:J,"&gt;="&amp;$R42/365)</f>
        <v>0</v>
      </c>
      <c r="X42" s="127">
        <f>SUMIFS(Dataset!AJ:AJ,Dataset!F:F,'renta fija'!$D$11,Dataset!AH:AH,"bono de gobierno",Dataset!T:T,"UF",Dataset!J:J,"&lt;"&amp;$S42/365,Dataset!J:J,"&gt;="&amp;$R42/365)</f>
        <v>0</v>
      </c>
      <c r="Y42" s="127">
        <f>SUMIFS(Dataset!AJ:AJ,Dataset!F:F,'renta fija'!$D$11,Dataset!AH:AH,"bono de gobierno",Dataset!T:T,"US$",Dataset!J:J,"&lt;"&amp;$S42/365,Dataset!J:J,"&gt;="&amp;$R42/365)</f>
        <v>0</v>
      </c>
      <c r="Z42" s="127">
        <f>SUMIFS(Dataset!AJ:AJ,Dataset!F:F,'renta fija'!$D$11,Dataset!AH:AH,"bono corporativo",Dataset!T:T,"$",Dataset!J:J,"&lt;"&amp;$S42/365,Dataset!J:J,"&gt;="&amp;$R42/365)</f>
        <v>0</v>
      </c>
      <c r="AA42" s="127">
        <f>SUMIFS(Dataset!AJ:AJ,Dataset!F:F,'renta fija'!$D$11,Dataset!AH:AH,"bono corporativo",Dataset!T:T,"UF",Dataset!J:J,"&lt;"&amp;$S42/365,Dataset!J:J,"&gt;="&amp;$R42/365)</f>
        <v>0</v>
      </c>
      <c r="AB42" s="127">
        <f>SUMIFS(Dataset!AJ:AJ,Dataset!F:F,'renta fija'!$D$11,Dataset!AH:AH,"bono corporativo",Dataset!T:T,"US$",Dataset!J:J,"&lt;"&amp;$S42/365,Dataset!J:J,"&gt;="&amp;$R42/365)</f>
        <v>0</v>
      </c>
      <c r="AC42" s="127">
        <f>SUMIFS(Dataset!AJ:AJ,Dataset!F:F,'renta fija'!$D$11,Dataset!AH:AH,"&lt;&gt;letra hipotecaria",Dataset!AH:AH,"&lt;&gt;bono corporativo",Dataset!AH:AH,"&lt;&gt;deposito",Dataset!AH:AH,"&lt;&gt;bono de gobierno",Dataset!J:J,"&lt;"&amp;$S42/365,Dataset!J:J,"&gt;="&amp;$R42/365)</f>
        <v>0</v>
      </c>
      <c r="AD42" s="131">
        <f t="shared" si="0"/>
        <v>0</v>
      </c>
      <c r="AE42" s="131">
        <f>SUMIFS(Dataset!AQ:AQ,Dataset!F:F,'renta fija'!$D$11,Dataset!J:J,"&lt;"&amp;$S42/365,Dataset!J:J,"&gt;="&amp;$R42/365)</f>
        <v>0</v>
      </c>
      <c r="AF42" s="132">
        <f>IFERROR(SUMIFS(Dataset!AQ:AQ,Dataset!F:F,'renta fija'!$D$11,Dataset!J:J,"&lt;"&amp;$S42/365,Dataset!J:J,"&gt;="&amp;$R42/365)/AD42,0)</f>
        <v>0</v>
      </c>
    </row>
    <row r="43" spans="3:32" ht="82.5" customHeight="1" x14ac:dyDescent="0.2">
      <c r="R43" s="124">
        <v>1080</v>
      </c>
      <c r="S43" s="130">
        <v>3600</v>
      </c>
      <c r="T43" s="127">
        <f>SUMIFS(Dataset!AJ:AJ,Dataset!F:F,'renta fija'!$D$11,Dataset!AH:AH,"deposito",Dataset!T:T,"$",Dataset!J:J,"&lt;"&amp;$S43/365,Dataset!J:J,"&gt;="&amp;$R43/365)</f>
        <v>0</v>
      </c>
      <c r="U43" s="127">
        <f>SUMIFS(Dataset!AJ:AJ,Dataset!F:F,'renta fija'!$D$11,Dataset!AH:AH,"deposito",Dataset!T:T,"uf",Dataset!J:J,"&lt;"&amp;$S43/365,Dataset!J:J,"&gt;="&amp;$R43/365)</f>
        <v>0</v>
      </c>
      <c r="V43" s="127">
        <f>SUMIFS(Dataset!AJ:AJ,Dataset!F:F,'renta fija'!$D$11,Dataset!AH:AH,"deposito",Dataset!T:T,"us$",Dataset!J:J,"&lt;"&amp;$S43/365,Dataset!J:J,"&gt;="&amp;$R43/365)</f>
        <v>0</v>
      </c>
      <c r="W43" s="127">
        <f>SUMIFS(Dataset!AJ:AJ,Dataset!F:F,'renta fija'!$D$11,Dataset!AH:AH,"bono de gobierno",Dataset!T:T,"$",Dataset!J:J,"&lt;"&amp;$S43/365,Dataset!J:J,"&gt;="&amp;$R43/365)</f>
        <v>0</v>
      </c>
      <c r="X43" s="127">
        <f>SUMIFS(Dataset!AJ:AJ,Dataset!F:F,'renta fija'!$D$11,Dataset!AH:AH,"bono de gobierno",Dataset!T:T,"UF",Dataset!J:J,"&lt;"&amp;$S43/365,Dataset!J:J,"&gt;="&amp;$R43/365)</f>
        <v>0</v>
      </c>
      <c r="Y43" s="127">
        <f>SUMIFS(Dataset!AJ:AJ,Dataset!F:F,'renta fija'!$D$11,Dataset!AH:AH,"bono de gobierno",Dataset!T:T,"US$",Dataset!J:J,"&lt;"&amp;$S43/365,Dataset!J:J,"&gt;="&amp;$R43/365)</f>
        <v>0</v>
      </c>
      <c r="Z43" s="127">
        <f>SUMIFS(Dataset!AJ:AJ,Dataset!F:F,'renta fija'!$D$11,Dataset!AH:AH,"bono corporativo",Dataset!T:T,"$",Dataset!J:J,"&lt;"&amp;$S43/365,Dataset!J:J,"&gt;="&amp;$R43/365)</f>
        <v>0</v>
      </c>
      <c r="AA43" s="127">
        <f>SUMIFS(Dataset!AJ:AJ,Dataset!F:F,'renta fija'!$D$11,Dataset!AH:AH,"bono corporativo",Dataset!T:T,"UF",Dataset!J:J,"&lt;"&amp;$S43/365,Dataset!J:J,"&gt;="&amp;$R43/365)</f>
        <v>0</v>
      </c>
      <c r="AB43" s="127">
        <f>SUMIFS(Dataset!AJ:AJ,Dataset!F:F,'renta fija'!$D$11,Dataset!AH:AH,"bono corporativo",Dataset!T:T,"US$",Dataset!J:J,"&lt;"&amp;$S43/365,Dataset!J:J,"&gt;="&amp;$R43/365)</f>
        <v>0</v>
      </c>
      <c r="AC43" s="127">
        <f>SUMIFS(Dataset!AJ:AJ,Dataset!F:F,'renta fija'!$D$11,Dataset!AH:AH,"&lt;&gt;letra hipotecaria",Dataset!AH:AH,"&lt;&gt;bono corporativo",Dataset!AH:AH,"&lt;&gt;deposito",Dataset!AH:AH,"&lt;&gt;bono de gobierno",Dataset!J:J,"&lt;"&amp;$S43/365,Dataset!J:J,"&gt;="&amp;$R43/365)</f>
        <v>0</v>
      </c>
      <c r="AD43" s="131">
        <f t="shared" si="0"/>
        <v>0</v>
      </c>
      <c r="AE43" s="131">
        <f>SUMIFS(Dataset!AQ:AQ,Dataset!F:F,'renta fija'!$D$11,Dataset!J:J,"&lt;"&amp;$S43/365,Dataset!J:J,"&gt;="&amp;$R43/365)</f>
        <v>0</v>
      </c>
      <c r="AF43" s="132">
        <f>IFERROR(SUMIFS(Dataset!AQ:AQ,Dataset!F:F,'renta fija'!$D$11,Dataset!J:J,"&lt;"&amp;$S43/365,Dataset!J:J,"&gt;="&amp;$R43/365)/AD43,0)</f>
        <v>0</v>
      </c>
    </row>
    <row r="44" spans="3:32" ht="48" customHeight="1" x14ac:dyDescent="0.2">
      <c r="R44" s="124">
        <v>3600</v>
      </c>
      <c r="S44" s="137">
        <v>10000</v>
      </c>
      <c r="T44" s="127">
        <f>SUMIFS(Dataset!AJ:AJ,Dataset!F:F,'renta fija'!$D$11,Dataset!AH:AH,"deposito",Dataset!T:T,"$",Dataset!J:J,"&lt;"&amp;$S44/365,Dataset!J:J,"&gt;="&amp;$R44/365)</f>
        <v>0</v>
      </c>
      <c r="U44" s="127">
        <f>SUMIFS(Dataset!AJ:AJ,Dataset!F:F,'renta fija'!$D$11,Dataset!AH:AH,"deposito",Dataset!T:T,"uf",Dataset!J:J,"&lt;"&amp;$S44/365,Dataset!J:J,"&gt;="&amp;$R44/365)</f>
        <v>0</v>
      </c>
      <c r="V44" s="127">
        <f>SUMIFS(Dataset!AJ:AJ,Dataset!F:F,'renta fija'!$D$11,Dataset!AH:AH,"deposito",Dataset!T:T,"us$",Dataset!J:J,"&lt;"&amp;$S44/365,Dataset!J:J,"&gt;="&amp;$R44/365)</f>
        <v>0</v>
      </c>
      <c r="W44" s="127">
        <f>SUMIFS(Dataset!AJ:AJ,Dataset!F:F,'renta fija'!$D$11,Dataset!AH:AH,"bono de gobierno",Dataset!T:T,"$",Dataset!J:J,"&lt;"&amp;$S44/365,Dataset!J:J,"&gt;="&amp;$R44/365)</f>
        <v>0</v>
      </c>
      <c r="X44" s="127">
        <f>SUMIFS(Dataset!AJ:AJ,Dataset!F:F,'renta fija'!$D$11,Dataset!AH:AH,"bono de gobierno",Dataset!T:T,"UF",Dataset!J:J,"&lt;"&amp;$S44/365,Dataset!J:J,"&gt;="&amp;$R44/365)</f>
        <v>0</v>
      </c>
      <c r="Y44" s="127">
        <f>SUMIFS(Dataset!AJ:AJ,Dataset!F:F,'renta fija'!$D$11,Dataset!AH:AH,"bono de gobierno",Dataset!T:T,"US$",Dataset!J:J,"&lt;"&amp;$S44/365,Dataset!J:J,"&gt;="&amp;$R44/365)</f>
        <v>0</v>
      </c>
      <c r="Z44" s="127">
        <f>SUMIFS(Dataset!AJ:AJ,Dataset!F:F,'renta fija'!$D$11,Dataset!AH:AH,"bono corporativo",Dataset!T:T,"$",Dataset!J:J,"&lt;"&amp;$S44/365,Dataset!J:J,"&gt;="&amp;$R44/365)</f>
        <v>0</v>
      </c>
      <c r="AA44" s="127">
        <f>SUMIFS(Dataset!AJ:AJ,Dataset!F:F,'renta fija'!$D$11,Dataset!AH:AH,"bono corporativo",Dataset!T:T,"UF",Dataset!J:J,"&lt;"&amp;$S44/365,Dataset!J:J,"&gt;="&amp;$R44/365)</f>
        <v>0</v>
      </c>
      <c r="AB44" s="127">
        <f>SUMIFS(Dataset!AJ:AJ,Dataset!F:F,'renta fija'!$D$11,Dataset!AH:AH,"bono corporativo",Dataset!T:T,"US$",Dataset!J:J,"&lt;"&amp;$S44/365,Dataset!J:J,"&gt;="&amp;$R44/365)</f>
        <v>0</v>
      </c>
      <c r="AC44" s="127">
        <f>SUMIFS(Dataset!AJ:AJ,Dataset!F:F,'renta fija'!$D$11,Dataset!AH:AH,"&lt;&gt;letra hipotecaria",Dataset!AH:AH,"&lt;&gt;bono corporativo",Dataset!AH:AH,"&lt;&gt;deposito",Dataset!AH:AH,"&lt;&gt;bono de gobierno",Dataset!J:J,"&lt;"&amp;$S44/365,Dataset!J:J,"&gt;="&amp;$R44/365)</f>
        <v>0</v>
      </c>
      <c r="AD44" s="138">
        <f t="shared" si="0"/>
        <v>0</v>
      </c>
      <c r="AE44" s="138">
        <f>SUMIFS(Dataset!AQ:AQ,Dataset!F:F,'renta fija'!$D$11,Dataset!J:J,"&lt;"&amp;$S44/365,Dataset!J:J,"&gt;="&amp;$R44/365)</f>
        <v>0</v>
      </c>
      <c r="AF44" s="139">
        <f>IFERROR(SUMIFS(Dataset!AQ:AQ,Dataset!F:F,'renta fija'!$D$11,Dataset!J:J,"&lt;"&amp;$S44/365,Dataset!J:J,"&gt;="&amp;$R44/365)/AD44,0)</f>
        <v>0</v>
      </c>
    </row>
    <row r="45" spans="3:32" ht="75" customHeight="1" x14ac:dyDescent="0.2">
      <c r="R45" s="244"/>
      <c r="S45" s="245"/>
      <c r="T45" s="140">
        <f>SUM(T17:T44)</f>
        <v>0.57682148276212175</v>
      </c>
      <c r="U45" s="140">
        <f>SUM(U17:U44)</f>
        <v>0</v>
      </c>
      <c r="V45" s="140">
        <f>SUM(V17:V44)</f>
        <v>0.34666888259849105</v>
      </c>
      <c r="W45" s="140">
        <f t="shared" ref="W45:AC45" si="2">SUM(W17:W44)</f>
        <v>0</v>
      </c>
      <c r="X45" s="140">
        <f t="shared" si="2"/>
        <v>0</v>
      </c>
      <c r="Y45" s="140">
        <f t="shared" si="2"/>
        <v>0</v>
      </c>
      <c r="Z45" s="140">
        <f t="shared" si="2"/>
        <v>0</v>
      </c>
      <c r="AA45" s="140">
        <f t="shared" si="2"/>
        <v>0</v>
      </c>
      <c r="AB45" s="140">
        <f t="shared" si="2"/>
        <v>2.6139373988524887E-2</v>
      </c>
      <c r="AC45" s="141">
        <f t="shared" si="2"/>
        <v>5.0370260650862322E-2</v>
      </c>
      <c r="AD45" s="142">
        <f>SUM(AD17:AD44)</f>
        <v>1.0000000000000002</v>
      </c>
      <c r="AE45" s="142">
        <f>SUM(AE17:AE44)</f>
        <v>2.082151746521034E-2</v>
      </c>
      <c r="AF45" s="142">
        <f>SUM(AF17:AF44)</f>
        <v>0.11307219801519477</v>
      </c>
    </row>
    <row r="46" spans="3:32" ht="75" customHeight="1" x14ac:dyDescent="0.2"/>
    <row r="47" spans="3:32" ht="75" customHeight="1" x14ac:dyDescent="0.2"/>
    <row r="48" spans="3:32" ht="75" customHeight="1" x14ac:dyDescent="0.2"/>
    <row r="49" ht="75" customHeight="1" x14ac:dyDescent="0.2"/>
    <row r="50" ht="75" customHeight="1" x14ac:dyDescent="0.2"/>
    <row r="51" ht="75" customHeight="1" x14ac:dyDescent="0.2"/>
    <row r="52" ht="75" customHeight="1" x14ac:dyDescent="0.2"/>
    <row r="53" ht="75" customHeight="1" x14ac:dyDescent="0.2"/>
    <row r="54" ht="75" customHeight="1" x14ac:dyDescent="0.2"/>
    <row r="55" ht="75" customHeight="1" x14ac:dyDescent="0.2"/>
    <row r="57" ht="33" customHeight="1" x14ac:dyDescent="0.2"/>
    <row r="58" ht="89.25" customHeight="1" x14ac:dyDescent="0.2"/>
    <row r="59" ht="33" customHeight="1" x14ac:dyDescent="0.2"/>
    <row r="60" ht="57" customHeight="1" x14ac:dyDescent="0.2"/>
    <row r="61" ht="57" customHeight="1" x14ac:dyDescent="0.2"/>
    <row r="62" ht="57" customHeight="1" x14ac:dyDescent="0.2"/>
    <row r="63" ht="57" customHeight="1" x14ac:dyDescent="0.2"/>
    <row r="64" ht="57" customHeight="1" x14ac:dyDescent="0.2"/>
    <row r="65" ht="57" customHeight="1" x14ac:dyDescent="0.2"/>
    <row r="66" ht="57" customHeight="1" x14ac:dyDescent="0.2"/>
    <row r="67" ht="57" customHeight="1" x14ac:dyDescent="0.2"/>
    <row r="68" ht="57" customHeight="1" x14ac:dyDescent="0.2"/>
    <row r="69" ht="57" customHeight="1" x14ac:dyDescent="0.2"/>
    <row r="70" ht="57" customHeight="1" x14ac:dyDescent="0.2"/>
    <row r="73" ht="94.5" customHeight="1" x14ac:dyDescent="0.2"/>
    <row r="74" ht="30" customHeight="1" x14ac:dyDescent="0.2"/>
    <row r="75" ht="48" customHeight="1" x14ac:dyDescent="0.2"/>
    <row r="76" ht="48" customHeight="1" x14ac:dyDescent="0.2"/>
    <row r="77" ht="48" customHeight="1" x14ac:dyDescent="0.2"/>
    <row r="78" ht="48" customHeight="1" x14ac:dyDescent="0.2"/>
    <row r="79" ht="48" customHeight="1" x14ac:dyDescent="0.2"/>
    <row r="80" ht="48" customHeight="1" x14ac:dyDescent="0.2"/>
    <row r="81" ht="48" customHeight="1" x14ac:dyDescent="0.2"/>
    <row r="82" ht="48" customHeight="1" x14ac:dyDescent="0.2"/>
    <row r="83" ht="48" customHeight="1" x14ac:dyDescent="0.2"/>
    <row r="84" ht="48" customHeight="1" x14ac:dyDescent="0.2"/>
    <row r="85" ht="48" customHeight="1" x14ac:dyDescent="0.2"/>
    <row r="86" ht="48" customHeight="1" x14ac:dyDescent="0.2"/>
    <row r="87" ht="48" customHeight="1" x14ac:dyDescent="0.2"/>
    <row r="88" ht="48" customHeight="1" x14ac:dyDescent="0.2"/>
    <row r="89" ht="48" customHeight="1" x14ac:dyDescent="0.2"/>
    <row r="90" ht="48" customHeight="1" x14ac:dyDescent="0.2"/>
    <row r="91" ht="48" customHeight="1" x14ac:dyDescent="0.2"/>
    <row r="92" ht="48" customHeight="1" x14ac:dyDescent="0.2"/>
    <row r="93" ht="48" customHeight="1" x14ac:dyDescent="0.2"/>
    <row r="94" ht="48" customHeight="1" x14ac:dyDescent="0.2"/>
    <row r="95" ht="48" customHeight="1" x14ac:dyDescent="0.2"/>
    <row r="96" ht="48" customHeight="1" x14ac:dyDescent="0.2"/>
    <row r="97" spans="3:32" ht="48" customHeight="1" x14ac:dyDescent="0.2"/>
    <row r="98" spans="3:32" ht="48" customHeight="1" x14ac:dyDescent="0.2"/>
    <row r="99" spans="3:32" ht="48" customHeight="1" x14ac:dyDescent="0.2"/>
    <row r="100" spans="3:32" ht="48" customHeight="1" x14ac:dyDescent="0.2"/>
    <row r="101" spans="3:32" ht="48" customHeight="1" x14ac:dyDescent="0.2"/>
    <row r="102" spans="3:32" ht="48" customHeight="1" x14ac:dyDescent="0.2"/>
    <row r="103" spans="3:32" ht="48" customHeight="1" x14ac:dyDescent="0.2"/>
    <row r="104" spans="3:32" ht="48" customHeight="1" x14ac:dyDescent="0.2"/>
    <row r="105" spans="3:32" ht="48" customHeight="1" x14ac:dyDescent="0.2"/>
    <row r="106" spans="3:32" ht="48" customHeight="1" x14ac:dyDescent="0.2">
      <c r="C106" s="143"/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</row>
    <row r="107" spans="3:32" ht="27" customHeight="1" x14ac:dyDescent="0.5">
      <c r="C107" s="144" t="s">
        <v>74</v>
      </c>
      <c r="D107" s="145"/>
      <c r="E107" s="145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  <c r="AA107" s="110"/>
      <c r="AB107" s="110"/>
      <c r="AC107" s="110"/>
      <c r="AD107" s="110"/>
      <c r="AE107" s="110"/>
      <c r="AF107" s="110"/>
    </row>
  </sheetData>
  <mergeCells count="9">
    <mergeCell ref="K29:P29"/>
    <mergeCell ref="C35:H35"/>
    <mergeCell ref="R45:S45"/>
    <mergeCell ref="R16:S16"/>
    <mergeCell ref="C3:AF3"/>
    <mergeCell ref="C4:AF4"/>
    <mergeCell ref="C14:I14"/>
    <mergeCell ref="K14:P14"/>
    <mergeCell ref="R14:AF14"/>
  </mergeCells>
  <conditionalFormatting sqref="T17:V44">
    <cfRule type="colorScale" priority="977">
      <colorScale>
        <cfvo type="min"/>
        <cfvo type="max"/>
        <color theme="0"/>
        <color theme="4" tint="0.59999389629810485"/>
      </colorScale>
    </cfRule>
  </conditionalFormatting>
  <conditionalFormatting sqref="T17:AC44">
    <cfRule type="colorScale" priority="978">
      <colorScale>
        <cfvo type="min"/>
        <cfvo type="max"/>
        <color theme="0"/>
        <color theme="5" tint="0.59999389629810485"/>
      </colorScale>
    </cfRule>
  </conditionalFormatting>
  <conditionalFormatting sqref="AD17:AD44">
    <cfRule type="colorScale" priority="5">
      <colorScale>
        <cfvo type="min"/>
        <cfvo type="max"/>
        <color theme="0"/>
        <color theme="5" tint="0.59999389629810485"/>
      </colorScale>
    </cfRule>
  </conditionalFormatting>
  <conditionalFormatting sqref="AE17:AE44">
    <cfRule type="colorScale" priority="2">
      <colorScale>
        <cfvo type="min"/>
        <cfvo type="max"/>
        <color theme="0"/>
        <color theme="5" tint="0.59999389629810485"/>
      </colorScale>
    </cfRule>
  </conditionalFormatting>
  <conditionalFormatting sqref="AF17:AF44">
    <cfRule type="colorScale" priority="1">
      <colorScale>
        <cfvo type="min"/>
        <cfvo type="max"/>
        <color theme="0"/>
        <color theme="5" tint="0.59999389629810485"/>
      </colorScale>
    </cfRule>
  </conditionalFormatting>
  <printOptions horizontalCentered="1"/>
  <pageMargins left="0" right="0" top="0" bottom="0" header="0" footer="0"/>
  <pageSetup scale="1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499984740745262"/>
    <pageSetUpPr fitToPage="1"/>
  </sheetPr>
  <dimension ref="A1:P114"/>
  <sheetViews>
    <sheetView showGridLines="0" zoomScale="25" zoomScaleNormal="25" workbookViewId="0">
      <selection activeCell="B5" sqref="B5"/>
    </sheetView>
  </sheetViews>
  <sheetFormatPr baseColWidth="10" defaultRowHeight="14.25" x14ac:dyDescent="0.2"/>
  <cols>
    <col min="1" max="1" width="11" customWidth="1"/>
    <col min="2" max="2" width="18.5" customWidth="1"/>
    <col min="3" max="3" width="44.125" customWidth="1"/>
    <col min="4" max="4" width="37.625" customWidth="1"/>
    <col min="5" max="5" width="28.125" customWidth="1"/>
    <col min="6" max="6" width="26.375" customWidth="1"/>
    <col min="7" max="7" width="27.625" customWidth="1"/>
    <col min="8" max="8" width="33.25" customWidth="1"/>
    <col min="10" max="10" width="17.875" customWidth="1"/>
    <col min="11" max="11" width="42.625" customWidth="1"/>
    <col min="12" max="12" width="23.625" customWidth="1"/>
    <col min="13" max="13" width="32.625" customWidth="1"/>
    <col min="14" max="14" width="28.875" customWidth="1"/>
    <col min="15" max="15" width="27.375" customWidth="1"/>
    <col min="16" max="16" width="28.25" customWidth="1"/>
  </cols>
  <sheetData>
    <row r="1" spans="1:16" ht="15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6" ht="15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6" ht="61.5" x14ac:dyDescent="0.25">
      <c r="A3" s="31"/>
      <c r="B3" s="249" t="s">
        <v>1740</v>
      </c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</row>
    <row r="4" spans="1:16" ht="36" x14ac:dyDescent="0.25">
      <c r="A4" s="31"/>
      <c r="B4" s="242" t="str">
        <f>TEXT(Historical!H2," mmmm dd, aaaa")</f>
        <v xml:space="preserve"> October 16, Monday</v>
      </c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</row>
    <row r="11" spans="1:16" ht="61.5" x14ac:dyDescent="0.9">
      <c r="D11" s="74" t="s">
        <v>104</v>
      </c>
    </row>
    <row r="14" spans="1:16" ht="21" customHeight="1" x14ac:dyDescent="0.2">
      <c r="I14" s="8"/>
      <c r="P14" s="8"/>
    </row>
    <row r="15" spans="1:16" ht="21" customHeight="1" x14ac:dyDescent="0.2"/>
    <row r="16" spans="1:16" ht="29.25" customHeight="1" x14ac:dyDescent="0.2"/>
    <row r="17" spans="2:16" ht="29.25" customHeight="1" x14ac:dyDescent="0.2">
      <c r="B17" s="231" t="s">
        <v>121</v>
      </c>
      <c r="C17" s="231"/>
      <c r="D17" s="231"/>
      <c r="E17" s="231"/>
      <c r="F17" s="231"/>
      <c r="G17" s="231"/>
      <c r="H17" s="231"/>
      <c r="J17" s="231" t="s">
        <v>1759</v>
      </c>
      <c r="K17" s="231"/>
      <c r="L17" s="231"/>
      <c r="M17" s="231"/>
      <c r="N17" s="231"/>
      <c r="O17" s="231"/>
      <c r="P17" s="231"/>
    </row>
    <row r="18" spans="2:16" ht="29.25" customHeight="1" x14ac:dyDescent="0.2"/>
    <row r="19" spans="2:16" ht="29.25" customHeight="1" x14ac:dyDescent="0.2">
      <c r="B19" s="56"/>
      <c r="C19" s="56" t="s">
        <v>86</v>
      </c>
      <c r="D19" s="56" t="s">
        <v>70</v>
      </c>
      <c r="E19" s="56" t="s">
        <v>6</v>
      </c>
      <c r="F19" s="56" t="s">
        <v>71</v>
      </c>
      <c r="G19" s="56" t="s">
        <v>21</v>
      </c>
      <c r="H19" s="56" t="s">
        <v>1741</v>
      </c>
      <c r="J19" s="56"/>
      <c r="K19" s="56" t="s">
        <v>86</v>
      </c>
      <c r="L19" s="56" t="s">
        <v>70</v>
      </c>
      <c r="M19" s="56" t="s">
        <v>6</v>
      </c>
      <c r="N19" s="56" t="s">
        <v>71</v>
      </c>
      <c r="O19" s="56" t="s">
        <v>21</v>
      </c>
      <c r="P19" s="56" t="s">
        <v>1741</v>
      </c>
    </row>
    <row r="20" spans="2:16" ht="29.25" customHeight="1" x14ac:dyDescent="0.5">
      <c r="B20" s="57">
        <v>1</v>
      </c>
      <c r="C20" s="146" t="str">
        <f>IFERROR(INDEX(Dataset!G:G,MATCH(_xlfn.AGGREGATE(14,6,Dataset!AK:AK/(Dataset!F:F=$D$11),B20),Dataset!AK:AK,0),1),"-")</f>
        <v>SMU</v>
      </c>
      <c r="D20" s="146">
        <f>IFERROR(INDEX(Dataset!AK:AK,MATCH(_xlfn.AGGREGATE(14,6,Dataset!AK:AK/(Dataset!F:F=$D$11),B20),Dataset!AK:AK,0),1),"-")</f>
        <v>9.2613993101707134E-2</v>
      </c>
      <c r="E20" s="146">
        <f>IFERROR(INDEX(Dataset!I:I,MATCH(_xlfn.AGGREGATE(14,6,Dataset!AK:AK/(Dataset!F:F=$D$11),B20),Dataset!AK:AK,0),1),"-")</f>
        <v>2.0884176416308144E-3</v>
      </c>
      <c r="F20" s="146">
        <f>IFERROR(INDEX(Dataset!R:R,MATCH(_xlfn.AGGREGATE(14,6,Dataset!AK:AK/(Dataset!F:F=$D$11),B20),Dataset!AK:AK,0),1),"-")/100</f>
        <v>2.2549698719256703E-4</v>
      </c>
      <c r="G20" s="146">
        <f>IFERROR(INDEX(Dataset!AA:AA,MATCH(_xlfn.AGGREGATE(14,6,Dataset!AK:AK/(Dataset!F:F=$D$11),B20),Dataset!AK:AK,0),1),"-")</f>
        <v>2.725436085700771E-2</v>
      </c>
      <c r="H20" s="148">
        <f>IFERROR(INDEX(Dataset!AJ:AJ,MATCH(_xlfn.AGGREGATE(14,6,Dataset!AK:AK/(Dataset!F:F=$D$11),B20),Dataset!AK:AK,0),1),"-")</f>
        <v>9.2613993101707134E-2</v>
      </c>
      <c r="J20" s="57">
        <v>1</v>
      </c>
      <c r="K20" s="146" t="str">
        <f>IFERROR(INDEX(Dataset!G:G,MATCH(_xlfn.AGGREGATE(14,6,Dataset!I:I/(Dataset!F:F=$D$11),J20),Dataset!I:I,0),1),"-")</f>
        <v>SALFACORP</v>
      </c>
      <c r="L20" s="146">
        <f>IFERROR(INDEX(Dataset!AK:AK,MATCH(_xlfn.AGGREGATE(14,6,Dataset!I:I/(Dataset!F:F=$D$11),J20),Dataset!I:I,0),1),"-")</f>
        <v>7.9645216697192614E-2</v>
      </c>
      <c r="M20" s="146">
        <f>IFERROR(INDEX(Dataset!I:I,MATCH(_xlfn.AGGREGATE(14,6,Dataset!I:I/(Dataset!F:F=$D$11),J20),Dataset!I:I,0),1),"-")</f>
        <v>1.3498407110912981E-2</v>
      </c>
      <c r="N20" s="146">
        <f>IFERROR(INDEX(Dataset!R:R,MATCH(_xlfn.AGGREGATE(14,6,Dataset!I:I/(Dataset!F:F=$D$11),J20),Dataset!I:I,0),1),"-")/100</f>
        <v>1.6948170487417083E-3</v>
      </c>
      <c r="O20" s="146">
        <f>IFERROR(INDEX(Dataset!AA:AA,MATCH(_xlfn.AGGREGATE(14,6,Dataset!I:I/(Dataset!F:F=$D$11),J20),Dataset!I:I,0),1),"-")</f>
        <v>0.17615751325886189</v>
      </c>
      <c r="P20" s="148">
        <f>IFERROR(INDEX(Dataset!AJ:AJ,MATCH(_xlfn.AGGREGATE(14,6,Dataset!I:I/(Dataset!F:F=$D$11),J20),Dataset!I:I,0),1),"-")</f>
        <v>7.9645216697192614E-2</v>
      </c>
    </row>
    <row r="21" spans="2:16" ht="29.25" customHeight="1" x14ac:dyDescent="0.5">
      <c r="B21" s="57">
        <v>2</v>
      </c>
      <c r="C21" s="146" t="str">
        <f>IFERROR(INDEX(Dataset!G:G,MATCH(_xlfn.AGGREGATE(14,6,Dataset!AK:AK/(Dataset!F:F=$D$11),B21),Dataset!AK:AK,0),1),"-")</f>
        <v>HITES</v>
      </c>
      <c r="D21" s="146">
        <f>IFERROR(INDEX(Dataset!AK:AK,MATCH(_xlfn.AGGREGATE(14,6,Dataset!AK:AK/(Dataset!F:F=$D$11),B21),Dataset!AK:AK,0),1),"-")</f>
        <v>8.8831975047731757E-2</v>
      </c>
      <c r="E21" s="146">
        <f>IFERROR(INDEX(Dataset!I:I,MATCH(_xlfn.AGGREGATE(14,6,Dataset!AK:AK/(Dataset!F:F=$D$11),B21),Dataset!AK:AK,0),1),"-")</f>
        <v>1.1843654910973257E-2</v>
      </c>
      <c r="F21" s="146">
        <f>IFERROR(INDEX(Dataset!R:R,MATCH(_xlfn.AGGREGATE(14,6,Dataset!AK:AK/(Dataset!F:F=$D$11),B21),Dataset!AK:AK,0),1),"-")/100</f>
        <v>1.333264841247687E-3</v>
      </c>
      <c r="G21" s="146">
        <f>IFERROR(INDEX(Dataset!AA:AA,MATCH(_xlfn.AGGREGATE(14,6,Dataset!AK:AK/(Dataset!F:F=$D$11),B21),Dataset!AK:AK,0),1),"-")</f>
        <v>0.15456259245036533</v>
      </c>
      <c r="H21" s="148">
        <f>IFERROR(INDEX(Dataset!AJ:AJ,MATCH(_xlfn.AGGREGATE(14,6,Dataset!AK:AK/(Dataset!F:F=$D$11),B21),Dataset!AK:AK,0),1),"-")</f>
        <v>8.8831975047731757E-2</v>
      </c>
      <c r="J21" s="57">
        <v>2</v>
      </c>
      <c r="K21" s="146" t="str">
        <f>IFERROR(INDEX(Dataset!G:G,MATCH(_xlfn.AGGREGATE(14,6,Dataset!I:I/(Dataset!F:F=$D$11),J21),Dataset!I:I,0),1),"-")</f>
        <v>HITES</v>
      </c>
      <c r="L21" s="146">
        <f>IFERROR(INDEX(Dataset!AK:AK,MATCH(_xlfn.AGGREGATE(14,6,Dataset!I:I/(Dataset!F:F=$D$11),J21),Dataset!I:I,0),1),"-")</f>
        <v>8.8831975047731757E-2</v>
      </c>
      <c r="M21" s="146">
        <f>IFERROR(INDEX(Dataset!I:I,MATCH(_xlfn.AGGREGATE(14,6,Dataset!I:I/(Dataset!F:F=$D$11),J21),Dataset!I:I,0),1),"-")</f>
        <v>1.1843654910973257E-2</v>
      </c>
      <c r="N21" s="146">
        <f>IFERROR(INDEX(Dataset!R:R,MATCH(_xlfn.AGGREGATE(14,6,Dataset!I:I/(Dataset!F:F=$D$11),J21),Dataset!I:I,0),1),"-")/100</f>
        <v>1.333264841247687E-3</v>
      </c>
      <c r="O21" s="146">
        <f>IFERROR(INDEX(Dataset!AA:AA,MATCH(_xlfn.AGGREGATE(14,6,Dataset!I:I/(Dataset!F:F=$D$11),J21),Dataset!I:I,0),1),"-")</f>
        <v>0.15456259245036533</v>
      </c>
      <c r="P21" s="148">
        <f>IFERROR(INDEX(Dataset!AJ:AJ,MATCH(_xlfn.AGGREGATE(14,6,Dataset!I:I/(Dataset!F:F=$D$11),J21),Dataset!I:I,0),1),"-")</f>
        <v>8.8831975047731757E-2</v>
      </c>
    </row>
    <row r="22" spans="2:16" ht="29.25" customHeight="1" x14ac:dyDescent="0.5">
      <c r="B22" s="57">
        <v>3</v>
      </c>
      <c r="C22" s="146" t="str">
        <f>IFERROR(INDEX(Dataset!G:G,MATCH(_xlfn.AGGREGATE(14,6,Dataset!AK:AK/(Dataset!F:F=$D$11),B22),Dataset!AK:AK,0),1),"-")</f>
        <v>SALFACORP</v>
      </c>
      <c r="D22" s="146">
        <f>IFERROR(INDEX(Dataset!AK:AK,MATCH(_xlfn.AGGREGATE(14,6,Dataset!AK:AK/(Dataset!F:F=$D$11),B22),Dataset!AK:AK,0),1),"-")</f>
        <v>7.9645216697192614E-2</v>
      </c>
      <c r="E22" s="146">
        <f>IFERROR(INDEX(Dataset!I:I,MATCH(_xlfn.AGGREGATE(14,6,Dataset!AK:AK/(Dataset!F:F=$D$11),B22),Dataset!AK:AK,0),1),"-")</f>
        <v>1.3498407110912981E-2</v>
      </c>
      <c r="F22" s="146">
        <f>IFERROR(INDEX(Dataset!R:R,MATCH(_xlfn.AGGREGATE(14,6,Dataset!AK:AK/(Dataset!F:F=$D$11),B22),Dataset!AK:AK,0),1),"-")/100</f>
        <v>1.6948170487417083E-3</v>
      </c>
      <c r="G22" s="146">
        <f>IFERROR(INDEX(Dataset!AA:AA,MATCH(_xlfn.AGGREGATE(14,6,Dataset!AK:AK/(Dataset!F:F=$D$11),B22),Dataset!AK:AK,0),1),"-")</f>
        <v>0.17615751325886189</v>
      </c>
      <c r="H22" s="148">
        <f>IFERROR(INDEX(Dataset!AJ:AJ,MATCH(_xlfn.AGGREGATE(14,6,Dataset!AK:AK/(Dataset!F:F=$D$11),B22),Dataset!AK:AK,0),1),"-")</f>
        <v>7.9645216697192614E-2</v>
      </c>
      <c r="J22" s="57">
        <v>3</v>
      </c>
      <c r="K22" s="146" t="str">
        <f>IFERROR(INDEX(Dataset!G:G,MATCH(_xlfn.AGGREGATE(14,6,Dataset!I:I/(Dataset!F:F=$D$11),J22),Dataset!I:I,0),1),"-")</f>
        <v>MULTIFOODS</v>
      </c>
      <c r="L22" s="146">
        <f>IFERROR(INDEX(Dataset!AK:AK,MATCH(_xlfn.AGGREGATE(14,6,Dataset!I:I/(Dataset!F:F=$D$11),J22),Dataset!I:I,0),1),"-")</f>
        <v>4.2339206734289737E-2</v>
      </c>
      <c r="M22" s="146">
        <f>IFERROR(INDEX(Dataset!I:I,MATCH(_xlfn.AGGREGATE(14,6,Dataset!I:I/(Dataset!F:F=$D$11),J22),Dataset!I:I,0),1),"-")</f>
        <v>7.8155426088214637E-3</v>
      </c>
      <c r="N22" s="146">
        <f>IFERROR(INDEX(Dataset!R:R,MATCH(_xlfn.AGGREGATE(14,6,Dataset!I:I/(Dataset!F:F=$D$11),J22),Dataset!I:I,0),1),"-")/100</f>
        <v>1.8459350591686454E-3</v>
      </c>
      <c r="O22" s="146">
        <f>IFERROR(INDEX(Dataset!AA:AA,MATCH(_xlfn.AGGREGATE(14,6,Dataset!I:I/(Dataset!F:F=$D$11),J22),Dataset!I:I,0),1),"-")</f>
        <v>0.10199474200371393</v>
      </c>
      <c r="P22" s="148">
        <f>IFERROR(INDEX(Dataset!AJ:AJ,MATCH(_xlfn.AGGREGATE(14,6,Dataset!I:I/(Dataset!F:F=$D$11),J22),Dataset!I:I,0),1),"-")</f>
        <v>4.2339206734289737E-2</v>
      </c>
    </row>
    <row r="23" spans="2:16" ht="29.25" customHeight="1" x14ac:dyDescent="0.5">
      <c r="B23" s="57">
        <v>4</v>
      </c>
      <c r="C23" s="146" t="str">
        <f>IFERROR(INDEX(Dataset!G:G,MATCH(_xlfn.AGGREGATE(14,6,Dataset!AK:AK/(Dataset!F:F=$D$11),B23),Dataset!AK:AK,0),1),"-")</f>
        <v>SMSAAM</v>
      </c>
      <c r="D23" s="146">
        <f>IFERROR(INDEX(Dataset!AK:AK,MATCH(_xlfn.AGGREGATE(14,6,Dataset!AK:AK/(Dataset!F:F=$D$11),B23),Dataset!AK:AK,0),1),"-")</f>
        <v>7.2209706391576894E-2</v>
      </c>
      <c r="E23" s="146">
        <f>IFERROR(INDEX(Dataset!I:I,MATCH(_xlfn.AGGREGATE(14,6,Dataset!AK:AK/(Dataset!F:F=$D$11),B23),Dataset!AK:AK,0),1),"-")</f>
        <v>2.8976321023967046E-3</v>
      </c>
      <c r="F23" s="146">
        <f>IFERROR(INDEX(Dataset!R:R,MATCH(_xlfn.AGGREGATE(14,6,Dataset!AK:AK/(Dataset!F:F=$D$11),B23),Dataset!AK:AK,0),1),"-")/100</f>
        <v>4.0128013908317277E-4</v>
      </c>
      <c r="G23" s="146">
        <f>IFERROR(INDEX(Dataset!AA:AA,MATCH(_xlfn.AGGREGATE(14,6,Dataset!AK:AK/(Dataset!F:F=$D$11),B23),Dataset!AK:AK,0),1),"-")</f>
        <v>3.7814807428987608E-2</v>
      </c>
      <c r="H23" s="148">
        <f>IFERROR(INDEX(Dataset!AJ:AJ,MATCH(_xlfn.AGGREGATE(14,6,Dataset!AK:AK/(Dataset!F:F=$D$11),B23),Dataset!AK:AK,0),1),"-")</f>
        <v>7.2209706391576894E-2</v>
      </c>
      <c r="J23" s="57">
        <v>4</v>
      </c>
      <c r="K23" s="146" t="str">
        <f>IFERROR(INDEX(Dataset!G:G,MATCH(_xlfn.AGGREGATE(14,6,Dataset!I:I/(Dataset!F:F=$D$11),J23),Dataset!I:I,0),1),"-")</f>
        <v>PAZ</v>
      </c>
      <c r="L23" s="146">
        <f>IFERROR(INDEX(Dataset!AK:AK,MATCH(_xlfn.AGGREGATE(14,6,Dataset!I:I/(Dataset!F:F=$D$11),J23),Dataset!I:I,0),1),"-")</f>
        <v>6.9475591836271333E-2</v>
      </c>
      <c r="M23" s="146">
        <f>IFERROR(INDEX(Dataset!I:I,MATCH(_xlfn.AGGREGATE(14,6,Dataset!I:I/(Dataset!F:F=$D$11),J23),Dataset!I:I,0),1),"-")</f>
        <v>7.1630142121833816E-3</v>
      </c>
      <c r="N23" s="146">
        <f>IFERROR(INDEX(Dataset!R:R,MATCH(_xlfn.AGGREGATE(14,6,Dataset!I:I/(Dataset!F:F=$D$11),J23),Dataset!I:I,0),1),"-")/100</f>
        <v>1.0310116147069315E-3</v>
      </c>
      <c r="O23" s="146">
        <f>IFERROR(INDEX(Dataset!AA:AA,MATCH(_xlfn.AGGREGATE(14,6,Dataset!I:I/(Dataset!F:F=$D$11),J23),Dataset!I:I,0),1),"-")</f>
        <v>9.3479086879515935E-2</v>
      </c>
      <c r="P23" s="148">
        <f>IFERROR(INDEX(Dataset!AJ:AJ,MATCH(_xlfn.AGGREGATE(14,6,Dataset!I:I/(Dataset!F:F=$D$11),J23),Dataset!I:I,0),1),"-")</f>
        <v>6.9475591836271333E-2</v>
      </c>
    </row>
    <row r="24" spans="2:16" ht="29.25" customHeight="1" x14ac:dyDescent="0.5">
      <c r="B24" s="57">
        <v>5</v>
      </c>
      <c r="C24" s="146" t="str">
        <f>IFERROR(INDEX(Dataset!G:G,MATCH(_xlfn.AGGREGATE(14,6,Dataset!AK:AK/(Dataset!F:F=$D$11),B24),Dataset!AK:AK,0),1),"-")</f>
        <v>SK</v>
      </c>
      <c r="D24" s="146">
        <f>IFERROR(INDEX(Dataset!AK:AK,MATCH(_xlfn.AGGREGATE(14,6,Dataset!AK:AK/(Dataset!F:F=$D$11),B24),Dataset!AK:AK,0),1),"-")</f>
        <v>7.0526701340026851E-2</v>
      </c>
      <c r="E24" s="146">
        <f>IFERROR(INDEX(Dataset!I:I,MATCH(_xlfn.AGGREGATE(14,6,Dataset!AK:AK/(Dataset!F:F=$D$11),B24),Dataset!AK:AK,0),1),"-")</f>
        <v>6.2938881414861432E-3</v>
      </c>
      <c r="F24" s="146">
        <f>IFERROR(INDEX(Dataset!R:R,MATCH(_xlfn.AGGREGATE(14,6,Dataset!AK:AK/(Dataset!F:F=$D$11),B24),Dataset!AK:AK,0),1),"-")/100</f>
        <v>8.9241209668118962E-4</v>
      </c>
      <c r="G24" s="146">
        <f>IFERROR(INDEX(Dataset!AA:AA,MATCH(_xlfn.AGGREGATE(14,6,Dataset!AK:AK/(Dataset!F:F=$D$11),B24),Dataset!AK:AK,0),1),"-")</f>
        <v>8.2136779149095437E-2</v>
      </c>
      <c r="H24" s="148">
        <f>IFERROR(INDEX(Dataset!AJ:AJ,MATCH(_xlfn.AGGREGATE(14,6,Dataset!AK:AK/(Dataset!F:F=$D$11),B24),Dataset!AK:AK,0),1),"-")</f>
        <v>7.0526701340026851E-2</v>
      </c>
      <c r="J24" s="57">
        <v>5</v>
      </c>
      <c r="K24" s="146" t="str">
        <f>IFERROR(INDEX(Dataset!G:G,MATCH(_xlfn.AGGREGATE(14,6,Dataset!I:I/(Dataset!F:F=$D$11),J24),Dataset!I:I,0),1),"-")</f>
        <v>SONDA</v>
      </c>
      <c r="L24" s="146">
        <f>IFERROR(INDEX(Dataset!AK:AK,MATCH(_xlfn.AGGREGATE(14,6,Dataset!I:I/(Dataset!F:F=$D$11),J24),Dataset!I:I,0),1),"-")</f>
        <v>6.0883223524171116E-2</v>
      </c>
      <c r="M24" s="146">
        <f>IFERROR(INDEX(Dataset!I:I,MATCH(_xlfn.AGGREGATE(14,6,Dataset!I:I/(Dataset!F:F=$D$11),J24),Dataset!I:I,0),1),"-")</f>
        <v>6.8061402220580157E-3</v>
      </c>
      <c r="N24" s="146">
        <f>IFERROR(INDEX(Dataset!R:R,MATCH(_xlfn.AGGREGATE(14,6,Dataset!I:I/(Dataset!F:F=$D$11),J24),Dataset!I:I,0),1),"-")/100</f>
        <v>1.1179007661044631E-3</v>
      </c>
      <c r="O24" s="146">
        <f>IFERROR(INDEX(Dataset!AA:AA,MATCH(_xlfn.AGGREGATE(14,6,Dataset!I:I/(Dataset!F:F=$D$11),J24),Dataset!I:I,0),1),"-")</f>
        <v>8.8821794050021469E-2</v>
      </c>
      <c r="P24" s="148">
        <f>IFERROR(INDEX(Dataset!AJ:AJ,MATCH(_xlfn.AGGREGATE(14,6,Dataset!I:I/(Dataset!F:F=$D$11),J24),Dataset!I:I,0),1),"-")</f>
        <v>6.0883223524171116E-2</v>
      </c>
    </row>
    <row r="25" spans="2:16" ht="29.25" customHeight="1" x14ac:dyDescent="0.5">
      <c r="B25" s="57">
        <v>6</v>
      </c>
      <c r="C25" s="146" t="str">
        <f>IFERROR(INDEX(Dataset!G:G,MATCH(_xlfn.AGGREGATE(14,6,Dataset!AK:AK/(Dataset!F:F=$D$11),B25),Dataset!AK:AK,0),1),"-")</f>
        <v>PAZ</v>
      </c>
      <c r="D25" s="146">
        <f>IFERROR(INDEX(Dataset!AK:AK,MATCH(_xlfn.AGGREGATE(14,6,Dataset!AK:AK/(Dataset!F:F=$D$11),B25),Dataset!AK:AK,0),1),"-")</f>
        <v>6.9475591836271333E-2</v>
      </c>
      <c r="E25" s="146">
        <f>IFERROR(INDEX(Dataset!I:I,MATCH(_xlfn.AGGREGATE(14,6,Dataset!AK:AK/(Dataset!F:F=$D$11),B25),Dataset!AK:AK,0),1),"-")</f>
        <v>7.1630142121833816E-3</v>
      </c>
      <c r="F25" s="146">
        <f>IFERROR(INDEX(Dataset!R:R,MATCH(_xlfn.AGGREGATE(14,6,Dataset!AK:AK/(Dataset!F:F=$D$11),B25),Dataset!AK:AK,0),1),"-")/100</f>
        <v>1.0310116147069315E-3</v>
      </c>
      <c r="G25" s="146">
        <f>IFERROR(INDEX(Dataset!AA:AA,MATCH(_xlfn.AGGREGATE(14,6,Dataset!AK:AK/(Dataset!F:F=$D$11),B25),Dataset!AK:AK,0),1),"-")</f>
        <v>9.3479086879515935E-2</v>
      </c>
      <c r="H25" s="148">
        <f>IFERROR(INDEX(Dataset!AJ:AJ,MATCH(_xlfn.AGGREGATE(14,6,Dataset!AK:AK/(Dataset!F:F=$D$11),B25),Dataset!AK:AK,0),1),"-")</f>
        <v>6.9475591836271333E-2</v>
      </c>
      <c r="J25" s="57">
        <v>6</v>
      </c>
      <c r="K25" s="146" t="str">
        <f>IFERROR(INDEX(Dataset!G:G,MATCH(_xlfn.AGGREGATE(14,6,Dataset!I:I/(Dataset!F:F=$D$11),J25),Dataset!I:I,0),1),"-")</f>
        <v>SK</v>
      </c>
      <c r="L25" s="146">
        <f>IFERROR(INDEX(Dataset!AK:AK,MATCH(_xlfn.AGGREGATE(14,6,Dataset!I:I/(Dataset!F:F=$D$11),J25),Dataset!I:I,0),1),"-")</f>
        <v>7.0526701340026851E-2</v>
      </c>
      <c r="M25" s="146">
        <f>IFERROR(INDEX(Dataset!I:I,MATCH(_xlfn.AGGREGATE(14,6,Dataset!I:I/(Dataset!F:F=$D$11),J25),Dataset!I:I,0),1),"-")</f>
        <v>6.2938881414861432E-3</v>
      </c>
      <c r="N25" s="146">
        <f>IFERROR(INDEX(Dataset!R:R,MATCH(_xlfn.AGGREGATE(14,6,Dataset!I:I/(Dataset!F:F=$D$11),J25),Dataset!I:I,0),1),"-")/100</f>
        <v>8.9241209668118962E-4</v>
      </c>
      <c r="O25" s="146">
        <f>IFERROR(INDEX(Dataset!AA:AA,MATCH(_xlfn.AGGREGATE(14,6,Dataset!I:I/(Dataset!F:F=$D$11),J25),Dataset!I:I,0),1),"-")</f>
        <v>8.2136779149095437E-2</v>
      </c>
      <c r="P25" s="148">
        <f>IFERROR(INDEX(Dataset!AJ:AJ,MATCH(_xlfn.AGGREGATE(14,6,Dataset!I:I/(Dataset!F:F=$D$11),J25),Dataset!I:I,0),1),"-")</f>
        <v>7.0526701340026851E-2</v>
      </c>
    </row>
    <row r="26" spans="2:16" ht="29.25" customHeight="1" x14ac:dyDescent="0.5">
      <c r="B26" s="57">
        <v>7</v>
      </c>
      <c r="C26" s="146" t="str">
        <f>IFERROR(INDEX(Dataset!G:G,MATCH(_xlfn.AGGREGATE(14,6,Dataset!AK:AK/(Dataset!F:F=$D$11),B26),Dataset!AK:AK,0),1),"-")</f>
        <v>CRISTALES</v>
      </c>
      <c r="D26" s="146">
        <f>IFERROR(INDEX(Dataset!AK:AK,MATCH(_xlfn.AGGREGATE(14,6,Dataset!AK:AK/(Dataset!F:F=$D$11),B26),Dataset!AK:AK,0),1),"-")</f>
        <v>6.6798932228022662E-2</v>
      </c>
      <c r="E26" s="146">
        <f>IFERROR(INDEX(Dataset!I:I,MATCH(_xlfn.AGGREGATE(14,6,Dataset!AK:AK/(Dataset!F:F=$D$11),B26),Dataset!AK:AK,0),1),"-")</f>
        <v>3.753829242862064E-3</v>
      </c>
      <c r="F26" s="146">
        <f>IFERROR(INDEX(Dataset!R:R,MATCH(_xlfn.AGGREGATE(14,6,Dataset!AK:AK/(Dataset!F:F=$D$11),B26),Dataset!AK:AK,0),1),"-")/100</f>
        <v>5.6195946816157407E-4</v>
      </c>
      <c r="G26" s="146">
        <f>IFERROR(INDEX(Dataset!AA:AA,MATCH(_xlfn.AGGREGATE(14,6,Dataset!AK:AK/(Dataset!F:F=$D$11),B26),Dataset!AK:AK,0),1),"-")</f>
        <v>4.8988389458661991E-2</v>
      </c>
      <c r="H26" s="148">
        <f>IFERROR(INDEX(Dataset!AJ:AJ,MATCH(_xlfn.AGGREGATE(14,6,Dataset!AK:AK/(Dataset!F:F=$D$11),B26),Dataset!AK:AK,0),1),"-")</f>
        <v>6.6798932228022662E-2</v>
      </c>
      <c r="J26" s="57">
        <v>7</v>
      </c>
      <c r="K26" s="146" t="str">
        <f>IFERROR(INDEX(Dataset!G:G,MATCH(_xlfn.AGGREGATE(14,6,Dataset!I:I/(Dataset!F:F=$D$11),J26),Dataset!I:I,0),1),"-")</f>
        <v>AQUACHILE</v>
      </c>
      <c r="L26" s="146">
        <f>IFERROR(INDEX(Dataset!AK:AK,MATCH(_xlfn.AGGREGATE(14,6,Dataset!I:I/(Dataset!F:F=$D$11),J26),Dataset!I:I,0),1),"-")</f>
        <v>1.9393201375512668E-2</v>
      </c>
      <c r="M26" s="146">
        <f>IFERROR(INDEX(Dataset!I:I,MATCH(_xlfn.AGGREGATE(14,6,Dataset!I:I/(Dataset!F:F=$D$11),J26),Dataset!I:I,0),1),"-")</f>
        <v>3.7907535270580539E-3</v>
      </c>
      <c r="N26" s="146">
        <f>IFERROR(INDEX(Dataset!R:R,MATCH(_xlfn.AGGREGATE(14,6,Dataset!I:I/(Dataset!F:F=$D$11),J26),Dataset!I:I,0),1),"-")/100</f>
        <v>1.9546816709924684E-3</v>
      </c>
      <c r="O26" s="146">
        <f>IFERROR(INDEX(Dataset!AA:AA,MATCH(_xlfn.AGGREGATE(14,6,Dataset!I:I/(Dataset!F:F=$D$11),J26),Dataset!I:I,0),1),"-")</f>
        <v>4.9470260395683176E-2</v>
      </c>
      <c r="P26" s="148">
        <f>IFERROR(INDEX(Dataset!AJ:AJ,MATCH(_xlfn.AGGREGATE(14,6,Dataset!I:I/(Dataset!F:F=$D$11),J26),Dataset!I:I,0),1),"-")</f>
        <v>1.9393201375512668E-2</v>
      </c>
    </row>
    <row r="27" spans="2:16" ht="29.25" customHeight="1" x14ac:dyDescent="0.5">
      <c r="B27" s="57">
        <v>8</v>
      </c>
      <c r="C27" s="146" t="str">
        <f>IFERROR(INDEX(Dataset!G:G,MATCH(_xlfn.AGGREGATE(14,6,Dataset!AK:AK/(Dataset!F:F=$D$11),B27),Dataset!AK:AK,0),1),"-")</f>
        <v>INDISA</v>
      </c>
      <c r="D27" s="146">
        <f>IFERROR(INDEX(Dataset!AK:AK,MATCH(_xlfn.AGGREGATE(14,6,Dataset!AK:AK/(Dataset!F:F=$D$11),B27),Dataset!AK:AK,0),1),"-")</f>
        <v>6.4338470795669872E-2</v>
      </c>
      <c r="E27" s="146">
        <f>IFERROR(INDEX(Dataset!I:I,MATCH(_xlfn.AGGREGATE(14,6,Dataset!AK:AK/(Dataset!F:F=$D$11),B27),Dataset!AK:AK,0),1),"-")</f>
        <v>1.5735543999204919E-3</v>
      </c>
      <c r="F27" s="146">
        <f>IFERROR(INDEX(Dataset!R:R,MATCH(_xlfn.AGGREGATE(14,6,Dataset!AK:AK/(Dataset!F:F=$D$11),B27),Dataset!AK:AK,0),1),"-")/100</f>
        <v>2.4457441721266335E-4</v>
      </c>
      <c r="G27" s="146">
        <f>IFERROR(INDEX(Dataset!AA:AA,MATCH(_xlfn.AGGREGATE(14,6,Dataset!AK:AK/(Dataset!F:F=$D$11),B27),Dataset!AK:AK,0),1),"-")</f>
        <v>2.0535269664776486E-2</v>
      </c>
      <c r="H27" s="148">
        <f>IFERROR(INDEX(Dataset!AJ:AJ,MATCH(_xlfn.AGGREGATE(14,6,Dataset!AK:AK/(Dataset!F:F=$D$11),B27),Dataset!AK:AK,0),1),"-")</f>
        <v>6.4338470795669872E-2</v>
      </c>
      <c r="J27" s="57">
        <v>8</v>
      </c>
      <c r="K27" s="146" t="str">
        <f>IFERROR(INDEX(Dataset!G:G,MATCH(_xlfn.AGGREGATE(14,6,Dataset!I:I/(Dataset!F:F=$D$11),J27),Dataset!I:I,0),1),"-")</f>
        <v>CRISTALES</v>
      </c>
      <c r="L27" s="146">
        <f>IFERROR(INDEX(Dataset!AK:AK,MATCH(_xlfn.AGGREGATE(14,6,Dataset!I:I/(Dataset!F:F=$D$11),J27),Dataset!I:I,0),1),"-")</f>
        <v>6.6798932228022662E-2</v>
      </c>
      <c r="M27" s="146">
        <f>IFERROR(INDEX(Dataset!I:I,MATCH(_xlfn.AGGREGATE(14,6,Dataset!I:I/(Dataset!F:F=$D$11),J27),Dataset!I:I,0),1),"-")</f>
        <v>3.753829242862064E-3</v>
      </c>
      <c r="N27" s="146">
        <f>IFERROR(INDEX(Dataset!R:R,MATCH(_xlfn.AGGREGATE(14,6,Dataset!I:I/(Dataset!F:F=$D$11),J27),Dataset!I:I,0),1),"-")/100</f>
        <v>5.6195946816157407E-4</v>
      </c>
      <c r="O27" s="146">
        <f>IFERROR(INDEX(Dataset!AA:AA,MATCH(_xlfn.AGGREGATE(14,6,Dataset!I:I/(Dataset!F:F=$D$11),J27),Dataset!I:I,0),1),"-")</f>
        <v>4.8988389458661991E-2</v>
      </c>
      <c r="P27" s="148">
        <f>IFERROR(INDEX(Dataset!AJ:AJ,MATCH(_xlfn.AGGREGATE(14,6,Dataset!I:I/(Dataset!F:F=$D$11),J27),Dataset!I:I,0),1),"-")</f>
        <v>6.6798932228022662E-2</v>
      </c>
    </row>
    <row r="28" spans="2:16" ht="29.25" customHeight="1" x14ac:dyDescent="0.5">
      <c r="B28" s="57">
        <v>9</v>
      </c>
      <c r="C28" s="146" t="str">
        <f>IFERROR(INDEX(Dataset!G:G,MATCH(_xlfn.AGGREGATE(14,6,Dataset!AK:AK/(Dataset!F:F=$D$11),B28),Dataset!AK:AK,0),1),"-")</f>
        <v>SONDA</v>
      </c>
      <c r="D28" s="146">
        <f>IFERROR(INDEX(Dataset!AK:AK,MATCH(_xlfn.AGGREGATE(14,6,Dataset!AK:AK/(Dataset!F:F=$D$11),B28),Dataset!AK:AK,0),1),"-")</f>
        <v>6.0883223524171116E-2</v>
      </c>
      <c r="E28" s="146">
        <f>IFERROR(INDEX(Dataset!I:I,MATCH(_xlfn.AGGREGATE(14,6,Dataset!AK:AK/(Dataset!F:F=$D$11),B28),Dataset!AK:AK,0),1),"-")</f>
        <v>6.8061402220580157E-3</v>
      </c>
      <c r="F28" s="146">
        <f>IFERROR(INDEX(Dataset!R:R,MATCH(_xlfn.AGGREGATE(14,6,Dataset!AK:AK/(Dataset!F:F=$D$11),B28),Dataset!AK:AK,0),1),"-")/100</f>
        <v>1.1179007661044631E-3</v>
      </c>
      <c r="G28" s="146">
        <f>IFERROR(INDEX(Dataset!AA:AA,MATCH(_xlfn.AGGREGATE(14,6,Dataset!AK:AK/(Dataset!F:F=$D$11),B28),Dataset!AK:AK,0),1),"-")</f>
        <v>8.8821794050021469E-2</v>
      </c>
      <c r="H28" s="148">
        <f>IFERROR(INDEX(Dataset!AJ:AJ,MATCH(_xlfn.AGGREGATE(14,6,Dataset!AK:AK/(Dataset!F:F=$D$11),B28),Dataset!AK:AK,0),1),"-")</f>
        <v>6.0883223524171116E-2</v>
      </c>
      <c r="J28" s="57">
        <v>9</v>
      </c>
      <c r="K28" s="146" t="str">
        <f>IFERROR(INDEX(Dataset!G:G,MATCH(_xlfn.AGGREGATE(14,6,Dataset!I:I/(Dataset!F:F=$D$11),J28),Dataset!I:I,0),1),"-")</f>
        <v>TRICOT</v>
      </c>
      <c r="L28" s="146">
        <f>IFERROR(INDEX(Dataset!AK:AK,MATCH(_xlfn.AGGREGATE(14,6,Dataset!I:I/(Dataset!F:F=$D$11),J28),Dataset!I:I,0),1),"-")</f>
        <v>5.1913646128411317E-2</v>
      </c>
      <c r="M28" s="146">
        <f>IFERROR(INDEX(Dataset!I:I,MATCH(_xlfn.AGGREGATE(14,6,Dataset!I:I/(Dataset!F:F=$D$11),J28),Dataset!I:I,0),1),"-")</f>
        <v>3.5539578525685431E-3</v>
      </c>
      <c r="N28" s="146">
        <f>IFERROR(INDEX(Dataset!R:R,MATCH(_xlfn.AGGREGATE(14,6,Dataset!I:I/(Dataset!F:F=$D$11),J28),Dataset!I:I,0),1),"-")/100</f>
        <v>6.8459029900878638E-4</v>
      </c>
      <c r="O28" s="146">
        <f>IFERROR(INDEX(Dataset!AA:AA,MATCH(_xlfn.AGGREGATE(14,6,Dataset!I:I/(Dataset!F:F=$D$11),J28),Dataset!I:I,0),1),"-")</f>
        <v>4.6380018945282452E-2</v>
      </c>
      <c r="P28" s="148">
        <f>IFERROR(INDEX(Dataset!AJ:AJ,MATCH(_xlfn.AGGREGATE(14,6,Dataset!I:I/(Dataset!F:F=$D$11),J28),Dataset!I:I,0),1),"-")</f>
        <v>5.1913646128411317E-2</v>
      </c>
    </row>
    <row r="29" spans="2:16" ht="29.25" customHeight="1" x14ac:dyDescent="0.5">
      <c r="B29" s="57">
        <v>10</v>
      </c>
      <c r="C29" s="146" t="str">
        <f>IFERROR(INDEX(Dataset!G:G,MATCH(_xlfn.AGGREGATE(14,6,Dataset!AK:AK/(Dataset!F:F=$D$11),B29),Dataset!AK:AK,0),1),"-")</f>
        <v>TRICOT</v>
      </c>
      <c r="D29" s="146">
        <f>IFERROR(INDEX(Dataset!AK:AK,MATCH(_xlfn.AGGREGATE(14,6,Dataset!AK:AK/(Dataset!F:F=$D$11),B29),Dataset!AK:AK,0),1),"-")</f>
        <v>5.1913646128411317E-2</v>
      </c>
      <c r="E29" s="146">
        <f>IFERROR(INDEX(Dataset!I:I,MATCH(_xlfn.AGGREGATE(14,6,Dataset!AK:AK/(Dataset!F:F=$D$11),B29),Dataset!AK:AK,0),1),"-")</f>
        <v>3.5539578525685431E-3</v>
      </c>
      <c r="F29" s="146">
        <f>IFERROR(INDEX(Dataset!R:R,MATCH(_xlfn.AGGREGATE(14,6,Dataset!AK:AK/(Dataset!F:F=$D$11),B29),Dataset!AK:AK,0),1),"-")/100</f>
        <v>6.8459029900878638E-4</v>
      </c>
      <c r="G29" s="146">
        <f>IFERROR(INDEX(Dataset!AA:AA,MATCH(_xlfn.AGGREGATE(14,6,Dataset!AK:AK/(Dataset!F:F=$D$11),B29),Dataset!AK:AK,0),1),"-")</f>
        <v>4.6380018945282452E-2</v>
      </c>
      <c r="H29" s="148">
        <f>IFERROR(INDEX(Dataset!AJ:AJ,MATCH(_xlfn.AGGREGATE(14,6,Dataset!AK:AK/(Dataset!F:F=$D$11),B29),Dataset!AK:AK,0),1),"-")</f>
        <v>5.1913646128411317E-2</v>
      </c>
      <c r="J29" s="57">
        <v>10</v>
      </c>
      <c r="K29" s="146" t="str">
        <f>IFERROR(INDEX(Dataset!G:G,MATCH(_xlfn.AGGREGATE(14,6,Dataset!I:I/(Dataset!F:F=$D$11),J29),Dataset!I:I,0),1),"-")</f>
        <v>FORUS</v>
      </c>
      <c r="L29" s="146">
        <f>IFERROR(INDEX(Dataset!AK:AK,MATCH(_xlfn.AGGREGATE(14,6,Dataset!I:I/(Dataset!F:F=$D$11),J29),Dataset!I:I,0),1),"-")</f>
        <v>4.8685902874663942E-2</v>
      </c>
      <c r="M29" s="146">
        <f>IFERROR(INDEX(Dataset!I:I,MATCH(_xlfn.AGGREGATE(14,6,Dataset!I:I/(Dataset!F:F=$D$11),J29),Dataset!I:I,0),1),"-")</f>
        <v>3.3128252882760551E-3</v>
      </c>
      <c r="N29" s="146">
        <f>IFERROR(INDEX(Dataset!R:R,MATCH(_xlfn.AGGREGATE(14,6,Dataset!I:I/(Dataset!F:F=$D$11),J29),Dataset!I:I,0),1),"-")/100</f>
        <v>6.8044856779272012E-4</v>
      </c>
      <c r="O29" s="146">
        <f>IFERROR(INDEX(Dataset!AA:AA,MATCH(_xlfn.AGGREGATE(14,6,Dataset!I:I/(Dataset!F:F=$D$11),J29),Dataset!I:I,0),1),"-")</f>
        <v>4.3233180022550902E-2</v>
      </c>
      <c r="P29" s="148">
        <f>IFERROR(INDEX(Dataset!AJ:AJ,MATCH(_xlfn.AGGREGATE(14,6,Dataset!I:I/(Dataset!F:F=$D$11),J29),Dataset!I:I,0),1),"-")</f>
        <v>4.8685902874663942E-2</v>
      </c>
    </row>
    <row r="30" spans="2:16" ht="29.25" customHeight="1" x14ac:dyDescent="0.5">
      <c r="B30" s="57">
        <v>11</v>
      </c>
      <c r="C30" s="146" t="str">
        <f>IFERROR(INDEX(Dataset!G:G,MATCH(_xlfn.AGGREGATE(14,6,Dataset!AK:AK/(Dataset!F:F=$D$11),B30),Dataset!AK:AK,0),1),"-")</f>
        <v>CEMENTOS</v>
      </c>
      <c r="D30" s="146">
        <f>IFERROR(INDEX(Dataset!AK:AK,MATCH(_xlfn.AGGREGATE(14,6,Dataset!AK:AK/(Dataset!F:F=$D$11),B30),Dataset!AK:AK,0),1),"-")</f>
        <v>5.0919003580452496E-2</v>
      </c>
      <c r="E30" s="146">
        <f>IFERROR(INDEX(Dataset!I:I,MATCH(_xlfn.AGGREGATE(14,6,Dataset!AK:AK/(Dataset!F:F=$D$11),B30),Dataset!AK:AK,0),1),"-")</f>
        <v>-9.5053550771371609E-4</v>
      </c>
      <c r="F30" s="146">
        <f>IFERROR(INDEX(Dataset!R:R,MATCH(_xlfn.AGGREGATE(14,6,Dataset!AK:AK/(Dataset!F:F=$D$11),B30),Dataset!AK:AK,0),1),"-")/100</f>
        <v>-1.8667598359654882E-4</v>
      </c>
      <c r="G30" s="146">
        <f>IFERROR(INDEX(Dataset!AA:AA,MATCH(_xlfn.AGGREGATE(14,6,Dataset!AK:AK/(Dataset!F:F=$D$11),B30),Dataset!AK:AK,0),1),"-")</f>
        <v>-1.2404720788701466E-2</v>
      </c>
      <c r="H30" s="148">
        <f>IFERROR(INDEX(Dataset!AJ:AJ,MATCH(_xlfn.AGGREGATE(14,6,Dataset!AK:AK/(Dataset!F:F=$D$11),B30),Dataset!AK:AK,0),1),"-")</f>
        <v>5.0919003580452496E-2</v>
      </c>
      <c r="J30" s="57">
        <v>11</v>
      </c>
      <c r="K30" s="146" t="str">
        <f>IFERROR(INDEX(Dataset!G:G,MATCH(_xlfn.AGGREGATE(14,6,Dataset!I:I/(Dataset!F:F=$D$11),J30),Dataset!I:I,0),1),"-")</f>
        <v>SMSAAM</v>
      </c>
      <c r="L30" s="146">
        <f>IFERROR(INDEX(Dataset!AK:AK,MATCH(_xlfn.AGGREGATE(14,6,Dataset!I:I/(Dataset!F:F=$D$11),J30),Dataset!I:I,0),1),"-")</f>
        <v>7.2209706391576894E-2</v>
      </c>
      <c r="M30" s="146">
        <f>IFERROR(INDEX(Dataset!I:I,MATCH(_xlfn.AGGREGATE(14,6,Dataset!I:I/(Dataset!F:F=$D$11),J30),Dataset!I:I,0),1),"-")</f>
        <v>2.8976321023967046E-3</v>
      </c>
      <c r="N30" s="146">
        <f>IFERROR(INDEX(Dataset!R:R,MATCH(_xlfn.AGGREGATE(14,6,Dataset!I:I/(Dataset!F:F=$D$11),J30),Dataset!I:I,0),1),"-")/100</f>
        <v>4.0128013908317277E-4</v>
      </c>
      <c r="O30" s="146">
        <f>IFERROR(INDEX(Dataset!AA:AA,MATCH(_xlfn.AGGREGATE(14,6,Dataset!I:I/(Dataset!F:F=$D$11),J30),Dataset!I:I,0),1),"-")</f>
        <v>3.7814807428987608E-2</v>
      </c>
      <c r="P30" s="148">
        <f>IFERROR(INDEX(Dataset!AJ:AJ,MATCH(_xlfn.AGGREGATE(14,6,Dataset!I:I/(Dataset!F:F=$D$11),J30),Dataset!I:I,0),1),"-")</f>
        <v>7.2209706391576894E-2</v>
      </c>
    </row>
    <row r="31" spans="2:16" ht="29.25" customHeight="1" x14ac:dyDescent="0.5">
      <c r="B31" s="57">
        <v>12</v>
      </c>
      <c r="C31" s="146" t="str">
        <f>IFERROR(INDEX(Dataset!G:G,MATCH(_xlfn.AGGREGATE(14,6,Dataset!AK:AK/(Dataset!F:F=$D$11),B31),Dataset!AK:AK,0),1),"-")</f>
        <v>EMBONOR-B</v>
      </c>
      <c r="D31" s="146">
        <f>IFERROR(INDEX(Dataset!AK:AK,MATCH(_xlfn.AGGREGATE(14,6,Dataset!AK:AK/(Dataset!F:F=$D$11),B31),Dataset!AK:AK,0),1),"-")</f>
        <v>4.9051178369283702E-2</v>
      </c>
      <c r="E31" s="146">
        <f>IFERROR(INDEX(Dataset!I:I,MATCH(_xlfn.AGGREGATE(14,6,Dataset!AK:AK/(Dataset!F:F=$D$11),B31),Dataset!AK:AK,0),1),"-")</f>
        <v>2.3438049022459534E-3</v>
      </c>
      <c r="F31" s="146">
        <f>IFERROR(INDEX(Dataset!R:R,MATCH(_xlfn.AGGREGATE(14,6,Dataset!AK:AK/(Dataset!F:F=$D$11),B31),Dataset!AK:AK,0),1),"-")/100</f>
        <v>4.7782846002200543E-4</v>
      </c>
      <c r="G31" s="146">
        <f>IFERROR(INDEX(Dataset!AA:AA,MATCH(_xlfn.AGGREGATE(14,6,Dataset!AK:AK/(Dataset!F:F=$D$11),B31),Dataset!AK:AK,0),1),"-")</f>
        <v>3.058722705212967E-2</v>
      </c>
      <c r="H31" s="148">
        <f>IFERROR(INDEX(Dataset!AJ:AJ,MATCH(_xlfn.AGGREGATE(14,6,Dataset!AK:AK/(Dataset!F:F=$D$11),B31),Dataset!AK:AK,0),1),"-")</f>
        <v>4.9051178369283702E-2</v>
      </c>
      <c r="J31" s="57">
        <v>12</v>
      </c>
      <c r="K31" s="146" t="str">
        <f>IFERROR(INDEX(Dataset!G:G,MATCH(_xlfn.AGGREGATE(14,6,Dataset!I:I/(Dataset!F:F=$D$11),J31),Dataset!I:I,0),1),"-")</f>
        <v>EMBONOR-B</v>
      </c>
      <c r="L31" s="146">
        <f>IFERROR(INDEX(Dataset!AK:AK,MATCH(_xlfn.AGGREGATE(14,6,Dataset!I:I/(Dataset!F:F=$D$11),J31),Dataset!I:I,0),1),"-")</f>
        <v>4.9051178369283702E-2</v>
      </c>
      <c r="M31" s="146">
        <f>IFERROR(INDEX(Dataset!I:I,MATCH(_xlfn.AGGREGATE(14,6,Dataset!I:I/(Dataset!F:F=$D$11),J31),Dataset!I:I,0),1),"-")</f>
        <v>2.3438049022459534E-3</v>
      </c>
      <c r="N31" s="146">
        <f>IFERROR(INDEX(Dataset!R:R,MATCH(_xlfn.AGGREGATE(14,6,Dataset!I:I/(Dataset!F:F=$D$11),J31),Dataset!I:I,0),1),"-")/100</f>
        <v>4.7782846002200543E-4</v>
      </c>
      <c r="O31" s="146">
        <f>IFERROR(INDEX(Dataset!AA:AA,MATCH(_xlfn.AGGREGATE(14,6,Dataset!I:I/(Dataset!F:F=$D$11),J31),Dataset!I:I,0),1),"-")</f>
        <v>3.058722705212967E-2</v>
      </c>
      <c r="P31" s="148">
        <f>IFERROR(INDEX(Dataset!AJ:AJ,MATCH(_xlfn.AGGREGATE(14,6,Dataset!I:I/(Dataset!F:F=$D$11),J31),Dataset!I:I,0),1),"-")</f>
        <v>4.9051178369283702E-2</v>
      </c>
    </row>
    <row r="32" spans="2:16" ht="29.25" customHeight="1" x14ac:dyDescent="0.5">
      <c r="B32" s="57">
        <v>13</v>
      </c>
      <c r="C32" s="146" t="str">
        <f>IFERROR(INDEX(Dataset!G:G,MATCH(_xlfn.AGGREGATE(14,6,Dataset!AK:AK/(Dataset!F:F=$D$11),B32),Dataset!AK:AK,0),1),"-")</f>
        <v>FORUS</v>
      </c>
      <c r="D32" s="146">
        <f>IFERROR(INDEX(Dataset!AK:AK,MATCH(_xlfn.AGGREGATE(14,6,Dataset!AK:AK/(Dataset!F:F=$D$11),B32),Dataset!AK:AK,0),1),"-")</f>
        <v>4.8685902874663942E-2</v>
      </c>
      <c r="E32" s="146">
        <f>IFERROR(INDEX(Dataset!I:I,MATCH(_xlfn.AGGREGATE(14,6,Dataset!AK:AK/(Dataset!F:F=$D$11),B32),Dataset!AK:AK,0),1),"-")</f>
        <v>3.3128252882760551E-3</v>
      </c>
      <c r="F32" s="146">
        <f>IFERROR(INDEX(Dataset!R:R,MATCH(_xlfn.AGGREGATE(14,6,Dataset!AK:AK/(Dataset!F:F=$D$11),B32),Dataset!AK:AK,0),1),"-")/100</f>
        <v>6.8044856779272012E-4</v>
      </c>
      <c r="G32" s="146">
        <f>IFERROR(INDEX(Dataset!AA:AA,MATCH(_xlfn.AGGREGATE(14,6,Dataset!AK:AK/(Dataset!F:F=$D$11),B32),Dataset!AK:AK,0),1),"-")</f>
        <v>4.3233180022550902E-2</v>
      </c>
      <c r="H32" s="148">
        <f>IFERROR(INDEX(Dataset!AJ:AJ,MATCH(_xlfn.AGGREGATE(14,6,Dataset!AK:AK/(Dataset!F:F=$D$11),B32),Dataset!AK:AK,0),1),"-")</f>
        <v>4.8685902874663942E-2</v>
      </c>
      <c r="J32" s="57">
        <v>13</v>
      </c>
      <c r="K32" s="146" t="str">
        <f>IFERROR(INDEX(Dataset!G:G,MATCH(_xlfn.AGGREGATE(14,6,Dataset!I:I/(Dataset!F:F=$D$11),J32),Dataset!I:I,0),1),"-")</f>
        <v>SMU</v>
      </c>
      <c r="L32" s="146">
        <f>IFERROR(INDEX(Dataset!AK:AK,MATCH(_xlfn.AGGREGATE(14,6,Dataset!I:I/(Dataset!F:F=$D$11),J32),Dataset!I:I,0),1),"-")</f>
        <v>9.2613993101707134E-2</v>
      </c>
      <c r="M32" s="146">
        <f>IFERROR(INDEX(Dataset!I:I,MATCH(_xlfn.AGGREGATE(14,6,Dataset!I:I/(Dataset!F:F=$D$11),J32),Dataset!I:I,0),1),"-")</f>
        <v>2.0884176416308144E-3</v>
      </c>
      <c r="N32" s="146">
        <f>IFERROR(INDEX(Dataset!R:R,MATCH(_xlfn.AGGREGATE(14,6,Dataset!I:I/(Dataset!F:F=$D$11),J32),Dataset!I:I,0),1),"-")/100</f>
        <v>2.2549698719256703E-4</v>
      </c>
      <c r="O32" s="146">
        <f>IFERROR(INDEX(Dataset!AA:AA,MATCH(_xlfn.AGGREGATE(14,6,Dataset!I:I/(Dataset!F:F=$D$11),J32),Dataset!I:I,0),1),"-")</f>
        <v>2.725436085700771E-2</v>
      </c>
      <c r="P32" s="148">
        <f>IFERROR(INDEX(Dataset!AJ:AJ,MATCH(_xlfn.AGGREGATE(14,6,Dataset!I:I/(Dataset!F:F=$D$11),J32),Dataset!I:I,0),1),"-")</f>
        <v>9.2613993101707134E-2</v>
      </c>
    </row>
    <row r="33" spans="2:16" ht="29.25" customHeight="1" x14ac:dyDescent="0.5">
      <c r="B33" s="57">
        <v>14</v>
      </c>
      <c r="C33" s="146" t="str">
        <f>IFERROR(INDEX(Dataset!G:G,MATCH(_xlfn.AGGREGATE(14,6,Dataset!AK:AK/(Dataset!F:F=$D$11),B33),Dataset!AK:AK,0),1),"-")</f>
        <v>MULTIFOODS</v>
      </c>
      <c r="D33" s="146">
        <f>IFERROR(INDEX(Dataset!AK:AK,MATCH(_xlfn.AGGREGATE(14,6,Dataset!AK:AK/(Dataset!F:F=$D$11),B33),Dataset!AK:AK,0),1),"-")</f>
        <v>4.2339206734289737E-2</v>
      </c>
      <c r="E33" s="146">
        <f>IFERROR(INDEX(Dataset!I:I,MATCH(_xlfn.AGGREGATE(14,6,Dataset!AK:AK/(Dataset!F:F=$D$11),B33),Dataset!AK:AK,0),1),"-")</f>
        <v>7.8155426088214637E-3</v>
      </c>
      <c r="F33" s="146">
        <f>IFERROR(INDEX(Dataset!R:R,MATCH(_xlfn.AGGREGATE(14,6,Dataset!AK:AK/(Dataset!F:F=$D$11),B33),Dataset!AK:AK,0),1),"-")/100</f>
        <v>1.8459350591686454E-3</v>
      </c>
      <c r="G33" s="146">
        <f>IFERROR(INDEX(Dataset!AA:AA,MATCH(_xlfn.AGGREGATE(14,6,Dataset!AK:AK/(Dataset!F:F=$D$11),B33),Dataset!AK:AK,0),1),"-")</f>
        <v>0.10199474200371393</v>
      </c>
      <c r="H33" s="148">
        <f>IFERROR(INDEX(Dataset!AJ:AJ,MATCH(_xlfn.AGGREGATE(14,6,Dataset!AK:AK/(Dataset!F:F=$D$11),B33),Dataset!AK:AK,0),1),"-")</f>
        <v>4.2339206734289737E-2</v>
      </c>
      <c r="J33" s="57">
        <v>14</v>
      </c>
      <c r="K33" s="146" t="str">
        <f>IFERROR(INDEX(Dataset!G:G,MATCH(_xlfn.AGGREGATE(14,6,Dataset!I:I/(Dataset!F:F=$D$11),J33),Dataset!I:I,0),1),"-")</f>
        <v>INDISA</v>
      </c>
      <c r="L33" s="146">
        <f>IFERROR(INDEX(Dataset!AK:AK,MATCH(_xlfn.AGGREGATE(14,6,Dataset!I:I/(Dataset!F:F=$D$11),J33),Dataset!I:I,0),1),"-")</f>
        <v>6.4338470795669872E-2</v>
      </c>
      <c r="M33" s="146">
        <f>IFERROR(INDEX(Dataset!I:I,MATCH(_xlfn.AGGREGATE(14,6,Dataset!I:I/(Dataset!F:F=$D$11),J33),Dataset!I:I,0),1),"-")</f>
        <v>1.5735543999204919E-3</v>
      </c>
      <c r="N33" s="146">
        <f>IFERROR(INDEX(Dataset!R:R,MATCH(_xlfn.AGGREGATE(14,6,Dataset!I:I/(Dataset!F:F=$D$11),J33),Dataset!I:I,0),1),"-")/100</f>
        <v>2.4457441721266335E-4</v>
      </c>
      <c r="O33" s="146">
        <f>IFERROR(INDEX(Dataset!AA:AA,MATCH(_xlfn.AGGREGATE(14,6,Dataset!I:I/(Dataset!F:F=$D$11),J33),Dataset!I:I,0),1),"-")</f>
        <v>2.0535269664776486E-2</v>
      </c>
      <c r="P33" s="148">
        <f>IFERROR(INDEX(Dataset!AJ:AJ,MATCH(_xlfn.AGGREGATE(14,6,Dataset!I:I/(Dataset!F:F=$D$11),J33),Dataset!I:I,0),1),"-")</f>
        <v>6.4338470795669872E-2</v>
      </c>
    </row>
    <row r="34" spans="2:16" ht="29.25" customHeight="1" x14ac:dyDescent="0.5">
      <c r="B34" s="57">
        <v>15</v>
      </c>
      <c r="C34" s="146" t="str">
        <f>IFERROR(INDEX(Dataset!G:G,MATCH(_xlfn.AGGREGATE(14,6,Dataset!AK:AK/(Dataset!F:F=$D$11),B34),Dataset!AK:AK,0),1),"-")</f>
        <v>VSPT</v>
      </c>
      <c r="D34" s="146">
        <f>IFERROR(INDEX(Dataset!AK:AK,MATCH(_xlfn.AGGREGATE(14,6,Dataset!AK:AK/(Dataset!F:F=$D$11),B34),Dataset!AK:AK,0),1),"-")</f>
        <v>2.9797693277246053E-2</v>
      </c>
      <c r="E34" s="146">
        <f>IFERROR(INDEX(Dataset!I:I,MATCH(_xlfn.AGGREGATE(14,6,Dataset!AK:AK/(Dataset!F:F=$D$11),B34),Dataset!AK:AK,0),1),"-")</f>
        <v>1.0008677412667183E-3</v>
      </c>
      <c r="F34" s="146">
        <f>IFERROR(INDEX(Dataset!R:R,MATCH(_xlfn.AGGREGATE(14,6,Dataset!AK:AK/(Dataset!F:F=$D$11),B34),Dataset!AK:AK,0),1),"-")/100</f>
        <v>3.3588765813325399E-4</v>
      </c>
      <c r="G34" s="146">
        <f>IFERROR(INDEX(Dataset!AA:AA,MATCH(_xlfn.AGGREGATE(14,6,Dataset!AK:AK/(Dataset!F:F=$D$11),B34),Dataset!AK:AK,0),1),"-")</f>
        <v>1.3061568743175513E-2</v>
      </c>
      <c r="H34" s="148">
        <f>IFERROR(INDEX(Dataset!AJ:AJ,MATCH(_xlfn.AGGREGATE(14,6,Dataset!AK:AK/(Dataset!F:F=$D$11),B34),Dataset!AK:AK,0),1),"-")</f>
        <v>2.9797693277246053E-2</v>
      </c>
      <c r="J34" s="57">
        <v>15</v>
      </c>
      <c r="K34" s="146" t="str">
        <f>IFERROR(INDEX(Dataset!G:G,MATCH(_xlfn.AGGREGATE(14,6,Dataset!I:I/(Dataset!F:F=$D$11),J34),Dataset!I:I,0),1),"-")</f>
        <v>VSPT</v>
      </c>
      <c r="L34" s="146">
        <f>IFERROR(INDEX(Dataset!AK:AK,MATCH(_xlfn.AGGREGATE(14,6,Dataset!I:I/(Dataset!F:F=$D$11),J34),Dataset!I:I,0),1),"-")</f>
        <v>2.9797693277246053E-2</v>
      </c>
      <c r="M34" s="146">
        <f>IFERROR(INDEX(Dataset!I:I,MATCH(_xlfn.AGGREGATE(14,6,Dataset!I:I/(Dataset!F:F=$D$11),J34),Dataset!I:I,0),1),"-")</f>
        <v>1.0008677412667183E-3</v>
      </c>
      <c r="N34" s="146">
        <f>IFERROR(INDEX(Dataset!R:R,MATCH(_xlfn.AGGREGATE(14,6,Dataset!I:I/(Dataset!F:F=$D$11),J34),Dataset!I:I,0),1),"-")/100</f>
        <v>3.3588765813325399E-4</v>
      </c>
      <c r="O34" s="146">
        <f>IFERROR(INDEX(Dataset!AA:AA,MATCH(_xlfn.AGGREGATE(14,6,Dataset!I:I/(Dataset!F:F=$D$11),J34),Dataset!I:I,0),1),"-")</f>
        <v>1.3061568743175513E-2</v>
      </c>
      <c r="P34" s="148">
        <f>IFERROR(INDEX(Dataset!AJ:AJ,MATCH(_xlfn.AGGREGATE(14,6,Dataset!I:I/(Dataset!F:F=$D$11),J34),Dataset!I:I,0),1),"-")</f>
        <v>2.9797693277246053E-2</v>
      </c>
    </row>
    <row r="35" spans="2:16" ht="29.25" customHeight="1" x14ac:dyDescent="0.2"/>
    <row r="36" spans="2:16" ht="36" x14ac:dyDescent="0.2">
      <c r="K36" s="231" t="s">
        <v>115</v>
      </c>
      <c r="L36" s="231"/>
      <c r="M36" s="231"/>
      <c r="N36" s="231"/>
      <c r="O36" s="231"/>
      <c r="P36" s="231"/>
    </row>
    <row r="38" spans="2:16" ht="26.25" x14ac:dyDescent="0.2">
      <c r="K38" s="56"/>
      <c r="L38" s="56" t="s">
        <v>70</v>
      </c>
      <c r="M38" s="56" t="s">
        <v>1741</v>
      </c>
      <c r="N38" s="56" t="s">
        <v>75</v>
      </c>
      <c r="O38" s="56" t="s">
        <v>6</v>
      </c>
      <c r="P38" s="56" t="s">
        <v>21</v>
      </c>
    </row>
    <row r="39" spans="2:16" ht="33.75" x14ac:dyDescent="0.2">
      <c r="K39" s="57" t="s">
        <v>88</v>
      </c>
      <c r="L39" s="146">
        <f>SUMIFS(Dataset!AK:AK,Dataset!AE:AE,K39,Dataset!F:F,$D$11)</f>
        <v>0</v>
      </c>
      <c r="M39" s="146">
        <f>SUMIFS(Dataset!AJ:AJ,Dataset!AE:AE,K39,Dataset!F:F,$D$11)</f>
        <v>0</v>
      </c>
      <c r="N39" s="200">
        <f>SUMIFS(Dataset!V:V,Dataset!AE:AE,K39,Dataset!F:F,$D$11)/1000000</f>
        <v>0</v>
      </c>
      <c r="O39" s="146">
        <f>SUMIFS(Dataset!I:I,Dataset!AE:AE,K39,Dataset!F:F,$D$11)</f>
        <v>0</v>
      </c>
      <c r="P39" s="146">
        <f>SUMIFS(Dataset!AA:AA,Dataset!AE:AE,K39,Dataset!F:F,$D$11)</f>
        <v>0</v>
      </c>
    </row>
    <row r="40" spans="2:16" ht="33.75" x14ac:dyDescent="0.2">
      <c r="K40" s="57" t="s">
        <v>43</v>
      </c>
      <c r="L40" s="146">
        <f>SUMIFS(Dataset!AK:AK,Dataset!AE:AE,K40,Dataset!F:F,$D$11)</f>
        <v>0</v>
      </c>
      <c r="M40" s="146">
        <f>SUMIFS(Dataset!AJ:AJ,Dataset!AE:AE,K40,Dataset!F:F,$D$11)</f>
        <v>0</v>
      </c>
      <c r="N40" s="200">
        <f>SUMIFS(Dataset!V:V,Dataset!AE:AE,K40,Dataset!F:F,$D$11)/1000000</f>
        <v>0</v>
      </c>
      <c r="O40" s="146">
        <f>SUMIFS(Dataset!I:I,Dataset!AE:AE,K40,Dataset!F:F,$D$11)</f>
        <v>0</v>
      </c>
      <c r="P40" s="146">
        <f>SUMIFS(Dataset!AA:AA,Dataset!AE:AE,K40,Dataset!F:F,$D$11)</f>
        <v>0</v>
      </c>
    </row>
    <row r="41" spans="2:16" ht="33.75" x14ac:dyDescent="0.2">
      <c r="K41" s="57" t="s">
        <v>176</v>
      </c>
      <c r="L41" s="146">
        <f>SUMIFS(Dataset!AK:AK,Dataset!AE:AE,K41,Dataset!F:F,$D$11)</f>
        <v>6.9475591836271333E-2</v>
      </c>
      <c r="M41" s="146">
        <f>SUMIFS(Dataset!AJ:AJ,Dataset!AE:AE,K41,Dataset!F:F,$D$11)</f>
        <v>6.9475591836271333E-2</v>
      </c>
      <c r="N41" s="200">
        <f>SUMIFS(Dataset!V:V,Dataset!AE:AE,K41,Dataset!F:F,$D$11)/1000000</f>
        <v>706.43519200000003</v>
      </c>
      <c r="O41" s="146">
        <f>SUMIFS(Dataset!I:I,Dataset!AE:AE,K41,Dataset!F:F,$D$11)</f>
        <v>7.1630142121833816E-3</v>
      </c>
      <c r="P41" s="146">
        <f>SUMIFS(Dataset!AA:AA,Dataset!AE:AE,K41,Dataset!F:F,$D$11)</f>
        <v>9.3479086879515935E-2</v>
      </c>
    </row>
    <row r="42" spans="2:16" ht="33.75" x14ac:dyDescent="0.2">
      <c r="K42" s="57" t="s">
        <v>35</v>
      </c>
      <c r="L42" s="146">
        <f>SUMIFS(Dataset!AK:AK,Dataset!AE:AE,K42,Dataset!F:F,$D$11)</f>
        <v>0.46479536301685426</v>
      </c>
      <c r="M42" s="146">
        <f>SUMIFS(Dataset!AJ:AJ,Dataset!AE:AE,K42,Dataset!F:F,$D$11)</f>
        <v>0.46479536301685426</v>
      </c>
      <c r="N42" s="200">
        <f>SUMIFS(Dataset!V:V,Dataset!AE:AE,K42,Dataset!F:F,$D$11)/1000000</f>
        <v>4726.0885850000004</v>
      </c>
      <c r="O42" s="146">
        <f>SUMIFS(Dataset!I:I,Dataset!AE:AE,K42,Dataset!F:F,$D$11)</f>
        <v>3.2472817475730997E-2</v>
      </c>
      <c r="P42" s="146">
        <f>SUMIFS(Dataset!AA:AA,Dataset!AE:AE,K42,Dataset!F:F,$D$11)</f>
        <v>0.42377820790491655</v>
      </c>
    </row>
    <row r="43" spans="2:16" ht="33.75" x14ac:dyDescent="0.2">
      <c r="K43" s="57" t="s">
        <v>38</v>
      </c>
      <c r="L43" s="146">
        <f>SUMIFS(Dataset!AK:AK,Dataset!AE:AE,K43,Dataset!F:F,$D$11)</f>
        <v>0</v>
      </c>
      <c r="M43" s="146">
        <f>SUMIFS(Dataset!AJ:AJ,Dataset!AE:AE,K43,Dataset!F:F,$D$11)</f>
        <v>0</v>
      </c>
      <c r="N43" s="200">
        <f>SUMIFS(Dataset!V:V,Dataset!AE:AE,K43,Dataset!F:F,$D$11)/1000000</f>
        <v>0</v>
      </c>
      <c r="O43" s="146">
        <f>SUMIFS(Dataset!I:I,Dataset!AE:AE,K43,Dataset!F:F,$D$11)</f>
        <v>0</v>
      </c>
      <c r="P43" s="146">
        <f>SUMIFS(Dataset!AA:AA,Dataset!AE:AE,K43,Dataset!F:F,$D$11)</f>
        <v>0</v>
      </c>
    </row>
    <row r="44" spans="2:16" ht="33.75" x14ac:dyDescent="0.2">
      <c r="K44" s="57" t="s">
        <v>175</v>
      </c>
      <c r="L44" s="146">
        <f>SUMIFS(Dataset!AK:AK,Dataset!AE:AE,K44,Dataset!F:F,$D$11)</f>
        <v>9.6596645076268191E-3</v>
      </c>
      <c r="M44" s="146">
        <f>SUMIFS(Dataset!AJ:AJ,Dataset!AE:AE,K44,Dataset!F:F,$D$11)</f>
        <v>9.6596645076268191E-3</v>
      </c>
      <c r="N44" s="200">
        <f>SUMIFS(Dataset!V:V,Dataset!AE:AE,K44,Dataset!F:F,$D$11)/1000000</f>
        <v>98.220494000000002</v>
      </c>
      <c r="O44" s="146">
        <f>SUMIFS(Dataset!I:I,Dataset!AE:AE,K44,Dataset!F:F,$D$11)</f>
        <v>5.5790307770360039E-4</v>
      </c>
      <c r="P44" s="146">
        <f>SUMIFS(Dataset!AA:AA,Dataset!AE:AE,K44,Dataset!F:F,$D$11)</f>
        <v>7.2807715755051515E-3</v>
      </c>
    </row>
    <row r="45" spans="2:16" ht="33.75" x14ac:dyDescent="0.2">
      <c r="K45" s="57" t="s">
        <v>165</v>
      </c>
      <c r="L45" s="146">
        <f>SUMIFS(Dataset!AK:AK,Dataset!AE:AE,K45,Dataset!F:F,$D$11)</f>
        <v>0</v>
      </c>
      <c r="M45" s="146">
        <f>SUMIFS(Dataset!AJ:AJ,Dataset!AE:AE,K45,Dataset!F:F,$D$11)</f>
        <v>0</v>
      </c>
      <c r="N45" s="200">
        <f>SUMIFS(Dataset!V:V,Dataset!AE:AE,K45,Dataset!F:F,$D$11)/1000000</f>
        <v>0</v>
      </c>
      <c r="O45" s="146">
        <f>SUMIFS(Dataset!I:I,Dataset!AE:AE,K45,Dataset!F:F,$D$11)</f>
        <v>0</v>
      </c>
      <c r="P45" s="146">
        <f>SUMIFS(Dataset!AA:AA,Dataset!AE:AE,K45,Dataset!F:F,$D$11)</f>
        <v>0</v>
      </c>
    </row>
    <row r="46" spans="2:16" ht="33.75" x14ac:dyDescent="0.2">
      <c r="K46" s="57" t="s">
        <v>41</v>
      </c>
      <c r="L46" s="146">
        <f>SUMIFS(Dataset!AK:AK,Dataset!AE:AE,K46,Dataset!F:F,$D$11)</f>
        <v>0</v>
      </c>
      <c r="M46" s="146">
        <f>SUMIFS(Dataset!AJ:AJ,Dataset!AE:AE,K46,Dataset!F:F,$D$11)</f>
        <v>0</v>
      </c>
      <c r="N46" s="200">
        <f>SUMIFS(Dataset!V:V,Dataset!AE:AE,K46,Dataset!F:F,$D$11)/1000000</f>
        <v>0</v>
      </c>
      <c r="O46" s="146">
        <f>SUMIFS(Dataset!I:I,Dataset!AE:AE,K46,Dataset!F:F,$D$11)</f>
        <v>0</v>
      </c>
      <c r="P46" s="146">
        <f>SUMIFS(Dataset!AA:AA,Dataset!AE:AE,K46,Dataset!F:F,$D$11)</f>
        <v>0</v>
      </c>
    </row>
    <row r="47" spans="2:16" ht="33.75" x14ac:dyDescent="0.2">
      <c r="K47" s="57" t="s">
        <v>44</v>
      </c>
      <c r="L47" s="146">
        <f>SUMIFS(Dataset!AK:AK,Dataset!AE:AE,K47,Dataset!F:F,$D$11)</f>
        <v>0.3400995602372715</v>
      </c>
      <c r="M47" s="146">
        <f>SUMIFS(Dataset!AJ:AJ,Dataset!AE:AE,K47,Dataset!F:F,$D$11)</f>
        <v>0.3400995602372715</v>
      </c>
      <c r="N47" s="200">
        <f>SUMIFS(Dataset!V:V,Dataset!AE:AE,K47,Dataset!F:F,$D$11)/1000000</f>
        <v>3458.1684270000001</v>
      </c>
      <c r="O47" s="146">
        <f>SUMIFS(Dataset!I:I,Dataset!AE:AE,K47,Dataset!F:F,$D$11)</f>
        <v>2.5493221089944174E-2</v>
      </c>
      <c r="P47" s="146">
        <f>SUMIFS(Dataset!AA:AA,Dataset!AE:AE,K47,Dataset!F:F,$D$11)</f>
        <v>0.33269276850690549</v>
      </c>
    </row>
    <row r="48" spans="2:16" ht="33.75" x14ac:dyDescent="0.2">
      <c r="K48" s="57" t="s">
        <v>177</v>
      </c>
      <c r="L48" s="146">
        <f>SUMIFS(Dataset!AK:AK,Dataset!AE:AE,K48,Dataset!F:F,$D$11)</f>
        <v>3.1729507493936378E-3</v>
      </c>
      <c r="M48" s="146">
        <f>SUMIFS(Dataset!AJ:AJ,Dataset!AE:AE,K48,Dataset!F:F,$D$11)</f>
        <v>3.1729507493936378E-3</v>
      </c>
      <c r="N48" s="200">
        <f>SUMIFS(Dataset!V:V,Dataset!AE:AE,K48,Dataset!F:F,$D$11)/1000000</f>
        <v>32.262900000000002</v>
      </c>
      <c r="O48" s="146">
        <f>SUMIFS(Dataset!I:I,Dataset!AE:AE,K48,Dataset!F:F,$D$11)</f>
        <v>5.7986286260908659E-4</v>
      </c>
      <c r="P48" s="146">
        <f>SUMIFS(Dataset!AA:AA,Dataset!AE:AE,K48,Dataset!F:F,$D$11)</f>
        <v>7.5673521378533185E-3</v>
      </c>
    </row>
    <row r="49" spans="11:16" ht="33.75" x14ac:dyDescent="0.2">
      <c r="K49" s="57" t="s">
        <v>180</v>
      </c>
      <c r="L49" s="146">
        <f>SUMIFS(Dataset!AK:AK,Dataset!AE:AE,K49,Dataset!F:F,$D$11)</f>
        <v>0</v>
      </c>
      <c r="M49" s="146">
        <f>SUMIFS(Dataset!AJ:AJ,Dataset!AE:AE,K49,Dataset!F:F,$D$11)</f>
        <v>0</v>
      </c>
      <c r="N49" s="200">
        <f>SUMIFS(Dataset!V:V,Dataset!AE:AE,K49,Dataset!F:F,$D$11)/1000000</f>
        <v>0</v>
      </c>
      <c r="O49" s="146">
        <f>SUMIFS(Dataset!I:I,Dataset!AE:AE,K49,Dataset!F:F,$D$11)</f>
        <v>0</v>
      </c>
      <c r="P49" s="146">
        <f>SUMIFS(Dataset!AA:AA,Dataset!AE:AE,K49,Dataset!F:F,$D$11)</f>
        <v>0</v>
      </c>
    </row>
    <row r="50" spans="11:16" ht="33.75" x14ac:dyDescent="0.2">
      <c r="K50" s="57" t="s">
        <v>56</v>
      </c>
      <c r="L50" s="146">
        <f>SUMIFS(Dataset!AK:AK,Dataset!AE:AE,K50,Dataset!F:F,$D$11)</f>
        <v>5.1913646128411317E-2</v>
      </c>
      <c r="M50" s="146">
        <f>SUMIFS(Dataset!AJ:AJ,Dataset!AE:AE,K50,Dataset!F:F,$D$11)</f>
        <v>5.1913646128411317E-2</v>
      </c>
      <c r="N50" s="200">
        <f>SUMIFS(Dataset!V:V,Dataset!AE:AE,K50,Dataset!F:F,$D$11)/1000000</f>
        <v>527.86346400000002</v>
      </c>
      <c r="O50" s="146">
        <f>SUMIFS(Dataset!I:I,Dataset!AE:AE,K50,Dataset!F:F,$D$11)</f>
        <v>3.5539578525685431E-3</v>
      </c>
      <c r="P50" s="146">
        <f>SUMIFS(Dataset!AA:AA,Dataset!AE:AE,K50,Dataset!F:F,$D$11)</f>
        <v>4.6380018945282452E-2</v>
      </c>
    </row>
    <row r="51" spans="11:16" ht="33.75" x14ac:dyDescent="0.2">
      <c r="K51" s="57" t="s">
        <v>40</v>
      </c>
      <c r="L51" s="146">
        <f>SUMIFS(Dataset!AK:AK,Dataset!AE:AE,K51,Dataset!F:F,$D$11)</f>
        <v>0</v>
      </c>
      <c r="M51" s="146">
        <f>SUMIFS(Dataset!AJ:AJ,Dataset!AE:AE,K51,Dataset!F:F,$D$11)</f>
        <v>0</v>
      </c>
      <c r="N51" s="200">
        <f>SUMIFS(Dataset!V:V,Dataset!AE:AE,K51,Dataset!F:F,$D$11)/1000000</f>
        <v>0</v>
      </c>
      <c r="O51" s="146">
        <f>SUMIFS(Dataset!I:I,Dataset!AE:AE,K51,Dataset!F:F,$D$11)</f>
        <v>0</v>
      </c>
      <c r="P51" s="146">
        <f>SUMIFS(Dataset!AA:AA,Dataset!AE:AE,K51,Dataset!F:F,$D$11)</f>
        <v>0</v>
      </c>
    </row>
    <row r="52" spans="11:16" ht="33.75" x14ac:dyDescent="0.2">
      <c r="K52" s="57" t="s">
        <v>178</v>
      </c>
      <c r="L52" s="146">
        <f>SUMIFS(Dataset!AK:AK,Dataset!AE:AE,K52,Dataset!F:F,$D$11)</f>
        <v>0</v>
      </c>
      <c r="M52" s="146">
        <f>SUMIFS(Dataset!AJ:AJ,Dataset!AE:AE,K52,Dataset!F:F,$D$11)</f>
        <v>0</v>
      </c>
      <c r="N52" s="200">
        <f>SUMIFS(Dataset!V:V,Dataset!AE:AE,K52,Dataset!F:F,$D$11)/1000000</f>
        <v>0</v>
      </c>
      <c r="O52" s="146">
        <f>SUMIFS(Dataset!I:I,Dataset!AE:AE,K52,Dataset!F:F,$D$11)</f>
        <v>0</v>
      </c>
      <c r="P52" s="146">
        <f>SUMIFS(Dataset!AA:AA,Dataset!AE:AE,K52,Dataset!F:F,$D$11)</f>
        <v>0</v>
      </c>
    </row>
    <row r="53" spans="11:16" ht="33.75" x14ac:dyDescent="0.2">
      <c r="K53" s="57" t="s">
        <v>179</v>
      </c>
      <c r="L53" s="146">
        <f>SUMIFS(Dataset!AK:AK,Dataset!AE:AE,K53,Dataset!F:F,$D$11)</f>
        <v>6.0883223524171116E-2</v>
      </c>
      <c r="M53" s="146">
        <f>SUMIFS(Dataset!AJ:AJ,Dataset!AE:AE,K53,Dataset!F:F,$D$11)</f>
        <v>6.0883223524171116E-2</v>
      </c>
      <c r="N53" s="200">
        <f>SUMIFS(Dataset!V:V,Dataset!AE:AE,K53,Dataset!F:F,$D$11)/1000000</f>
        <v>619.06707900000004</v>
      </c>
      <c r="O53" s="146">
        <f>SUMIFS(Dataset!I:I,Dataset!AE:AE,K53,Dataset!F:F,$D$11)</f>
        <v>6.8061402220580157E-3</v>
      </c>
      <c r="P53" s="146">
        <f>SUMIFS(Dataset!AA:AA,Dataset!AE:AE,K53,Dataset!F:F,$D$11)</f>
        <v>8.8821794050021469E-2</v>
      </c>
    </row>
    <row r="54" spans="11:16" ht="33.75" x14ac:dyDescent="0.2">
      <c r="K54" s="57" t="s">
        <v>58</v>
      </c>
      <c r="L54" s="146">
        <f>SUMIFS(Dataset!AK:AK,Dataset!AE:AE,K54,Dataset!F:F,$D$11)</f>
        <v>0</v>
      </c>
      <c r="M54" s="146">
        <f>SUMIFS(Dataset!AJ:AJ,Dataset!AE:AE,K54,Dataset!F:F,$D$11)</f>
        <v>0</v>
      </c>
      <c r="N54" s="200">
        <f>SUMIFS(Dataset!V:V,Dataset!AE:AE,K54,Dataset!F:F,$D$11)/1000000</f>
        <v>0</v>
      </c>
      <c r="O54" s="146">
        <f>SUMIFS(Dataset!I:I,Dataset!AE:AE,K54,Dataset!F:F,$D$11)</f>
        <v>0</v>
      </c>
      <c r="P54" s="146">
        <f>SUMIFS(Dataset!AA:AA,Dataset!AE:AE,K54,Dataset!F:F,$D$11)</f>
        <v>0</v>
      </c>
    </row>
    <row r="55" spans="11:16" ht="33.75" x14ac:dyDescent="0.2">
      <c r="K55" s="57" t="s">
        <v>57</v>
      </c>
      <c r="L55" s="146">
        <f>SUMIFS(Dataset!AK:AK,Dataset!AE:AE,K55,Dataset!F:F,$D$11)</f>
        <v>0</v>
      </c>
      <c r="M55" s="146">
        <f>SUMIFS(Dataset!AJ:AJ,Dataset!AE:AE,K55,Dataset!F:F,$D$11)</f>
        <v>0</v>
      </c>
      <c r="N55" s="200">
        <f>SUMIFS(Dataset!V:V,Dataset!AE:AE,K55,Dataset!F:F,$D$11)/1000000</f>
        <v>0</v>
      </c>
      <c r="O55" s="146">
        <f>SUMIFS(Dataset!I:I,Dataset!AE:AE,K55,Dataset!F:F,$D$11)</f>
        <v>0</v>
      </c>
      <c r="P55" s="146">
        <f>SUMIFS(Dataset!AA:AA,Dataset!AE:AE,K55,Dataset!F:F,$D$11)</f>
        <v>0</v>
      </c>
    </row>
    <row r="56" spans="11:16" ht="33.75" x14ac:dyDescent="0.2">
      <c r="K56" s="57" t="s">
        <v>89</v>
      </c>
      <c r="L56" s="146">
        <f>SUMIFS(Dataset!AK:AK,Dataset!AE:AE,K56,Dataset!F:F,$D$11)</f>
        <v>0</v>
      </c>
      <c r="M56" s="146">
        <f>SUMIFS(Dataset!AJ:AJ,Dataset!AE:AE,K56,Dataset!F:F,$D$11)</f>
        <v>0</v>
      </c>
      <c r="N56" s="200">
        <f>SUMIFS(Dataset!V:V,Dataset!AE:AE,K56,Dataset!F:F,$D$11)/1000000</f>
        <v>0</v>
      </c>
      <c r="O56" s="146">
        <f>SUMIFS(Dataset!I:I,Dataset!AE:AE,K56,Dataset!F:F,$D$11)</f>
        <v>0</v>
      </c>
      <c r="P56" s="146">
        <f>SUMIFS(Dataset!AA:AA,Dataset!AE:AE,K56,Dataset!F:F,$D$11)</f>
        <v>0</v>
      </c>
    </row>
    <row r="57" spans="11:16" ht="33.75" x14ac:dyDescent="0.2">
      <c r="K57" s="57" t="s">
        <v>108</v>
      </c>
      <c r="L57" s="146">
        <f>SUMIFS(Dataset!AK:AK,Dataset!AE:AE,K57,Dataset!F:F,$D$11)</f>
        <v>0</v>
      </c>
      <c r="M57" s="146">
        <f>SUMIFS(Dataset!AJ:AJ,Dataset!AE:AE,K57,Dataset!F:F,$D$11)</f>
        <v>0</v>
      </c>
      <c r="N57" s="200">
        <f>SUMIFS(Dataset!V:V,Dataset!AE:AE,K57,Dataset!F:F,$D$11)/1000000</f>
        <v>0</v>
      </c>
      <c r="O57" s="146">
        <f>SUMIFS(Dataset!I:I,Dataset!AE:AE,K57,Dataset!F:F,$D$11)</f>
        <v>0</v>
      </c>
      <c r="P57" s="146">
        <f>SUMIFS(Dataset!AA:AA,Dataset!AE:AE,K57,Dataset!F:F,$D$11)</f>
        <v>0</v>
      </c>
    </row>
    <row r="58" spans="11:16" ht="33.75" x14ac:dyDescent="0.2">
      <c r="K58" s="57" t="s">
        <v>45</v>
      </c>
      <c r="L58" s="146">
        <f>SUMIFS(Dataset!AK:AK,Dataset!AE:AE,K58,Dataset!F:F,$D$11)</f>
        <v>0</v>
      </c>
      <c r="M58" s="146">
        <f>SUMIFS(Dataset!AJ:AJ,Dataset!AE:AE,K58,Dataset!F:F,$D$11)</f>
        <v>0</v>
      </c>
      <c r="N58" s="200">
        <f>SUMIFS(Dataset!V:V,Dataset!AE:AE,K58,Dataset!F:F,$D$11)/1000000</f>
        <v>0</v>
      </c>
      <c r="O58" s="146">
        <f>SUMIFS(Dataset!I:I,Dataset!AE:AE,K58,Dataset!F:F,$D$11)</f>
        <v>0</v>
      </c>
      <c r="P58" s="146">
        <f>SUMIFS(Dataset!AA:AA,Dataset!AE:AE,K58,Dataset!F:F,$D$11)</f>
        <v>0</v>
      </c>
    </row>
    <row r="59" spans="11:16" ht="33.75" x14ac:dyDescent="0.2">
      <c r="K59" s="59" t="s">
        <v>66</v>
      </c>
      <c r="L59" s="149">
        <f>SUM(L39:L58)</f>
        <v>0.99999999999999989</v>
      </c>
      <c r="M59" s="149">
        <f>SUM(M39:M58)</f>
        <v>0.99999999999999989</v>
      </c>
      <c r="N59" s="201">
        <f>SUM(N39:N58)</f>
        <v>10168.106141</v>
      </c>
      <c r="O59" s="149">
        <f>SUM(O39:O58)</f>
        <v>7.6626916792797789E-2</v>
      </c>
      <c r="P59" s="149">
        <f>SUM(P39:P58)</f>
        <v>1.0000000000000004</v>
      </c>
    </row>
    <row r="112" spans="2:16" ht="28.5" x14ac:dyDescent="0.2"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</row>
    <row r="113" spans="2:16" ht="31.5" x14ac:dyDescent="0.5">
      <c r="B113" s="73" t="s">
        <v>74</v>
      </c>
      <c r="C113" s="34"/>
      <c r="D113" s="34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</row>
    <row r="114" spans="2:16" ht="30" x14ac:dyDescent="0.4">
      <c r="C114" s="9"/>
    </row>
  </sheetData>
  <mergeCells count="5">
    <mergeCell ref="J17:P17"/>
    <mergeCell ref="B17:H17"/>
    <mergeCell ref="B3:P3"/>
    <mergeCell ref="B4:P4"/>
    <mergeCell ref="K36:P36"/>
  </mergeCells>
  <printOptions horizontalCentered="1"/>
  <pageMargins left="0" right="0" top="0" bottom="0" header="0" footer="0"/>
  <pageSetup scale="24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2"/>
  </sheetPr>
  <dimension ref="A1:AA2521"/>
  <sheetViews>
    <sheetView zoomScale="85" zoomScaleNormal="85" workbookViewId="0">
      <selection activeCell="H2" sqref="H2"/>
    </sheetView>
  </sheetViews>
  <sheetFormatPr baseColWidth="10" defaultRowHeight="14.25" x14ac:dyDescent="0.2"/>
  <cols>
    <col min="1" max="1" width="13.625" style="13" customWidth="1"/>
    <col min="3" max="3" width="14.875" customWidth="1"/>
    <col min="4" max="4" width="14.25" customWidth="1"/>
    <col min="7" max="7" width="13.5" customWidth="1"/>
    <col min="8" max="11" width="12.125" customWidth="1"/>
    <col min="13" max="13" width="12" bestFit="1" customWidth="1"/>
    <col min="16" max="16" width="11.875" bestFit="1" customWidth="1"/>
    <col min="17" max="18" width="11.875" customWidth="1"/>
  </cols>
  <sheetData>
    <row r="1" spans="1:27" x14ac:dyDescent="0.2">
      <c r="B1" t="s">
        <v>138</v>
      </c>
      <c r="C1" t="s">
        <v>183</v>
      </c>
      <c r="D1" t="s">
        <v>185</v>
      </c>
      <c r="E1" t="s">
        <v>184</v>
      </c>
      <c r="G1" t="s">
        <v>139</v>
      </c>
      <c r="H1" t="s">
        <v>138</v>
      </c>
      <c r="L1" t="s">
        <v>39</v>
      </c>
      <c r="M1" t="s">
        <v>32</v>
      </c>
      <c r="N1" t="s">
        <v>30</v>
      </c>
      <c r="O1" t="s">
        <v>49</v>
      </c>
      <c r="P1" t="s">
        <v>145</v>
      </c>
      <c r="Q1" t="s">
        <v>233</v>
      </c>
      <c r="R1" t="s">
        <v>172</v>
      </c>
      <c r="S1" t="s">
        <v>140</v>
      </c>
      <c r="T1" t="s">
        <v>141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</row>
    <row r="2" spans="1:27" x14ac:dyDescent="0.2">
      <c r="A2" s="13">
        <v>0</v>
      </c>
      <c r="B2" s="1">
        <v>43024</v>
      </c>
      <c r="C2" t="s">
        <v>62</v>
      </c>
      <c r="D2" t="s">
        <v>39</v>
      </c>
      <c r="E2">
        <v>4.3917464414238465E-3</v>
      </c>
      <c r="G2" t="s">
        <v>63</v>
      </c>
      <c r="H2" s="1">
        <v>43024</v>
      </c>
      <c r="I2">
        <v>19</v>
      </c>
      <c r="J2" s="1">
        <f>WORKDAY(Historical!$H$2,-I2)</f>
        <v>42997</v>
      </c>
      <c r="K2" s="1"/>
      <c r="L2" s="12">
        <f t="shared" ref="L2:Z21" si="0">SUMIFS($E:$E,$B:$B,$J2,$C:$C,$G$2,$D:$D,L$1)</f>
        <v>7.054957919811076E-3</v>
      </c>
      <c r="M2" s="12">
        <f t="shared" si="0"/>
        <v>5.4781537083361219E-3</v>
      </c>
      <c r="N2" s="12">
        <f t="shared" si="0"/>
        <v>-3.7289403252735919E-5</v>
      </c>
      <c r="O2" s="12">
        <f t="shared" si="0"/>
        <v>1.1058685239588402E-6</v>
      </c>
      <c r="P2" s="12">
        <f t="shared" si="0"/>
        <v>0</v>
      </c>
      <c r="Q2" s="12">
        <f t="shared" si="0"/>
        <v>0</v>
      </c>
      <c r="R2" s="12">
        <f t="shared" ref="R2:R21" si="1">SUMIFS($E:$E,$B:$B,$J2,$C:$C,$G$2,$D:$D,R$1)</f>
        <v>0</v>
      </c>
      <c r="S2" s="14">
        <f t="shared" si="0"/>
        <v>5.3374665887193729</v>
      </c>
      <c r="T2" s="15">
        <f>SUM(L2:P2)</f>
        <v>1.249692809341842E-2</v>
      </c>
      <c r="U2" s="12">
        <f t="shared" si="0"/>
        <v>1.25331116281472E-2</v>
      </c>
      <c r="V2" s="12">
        <f t="shared" si="0"/>
        <v>0</v>
      </c>
      <c r="W2" s="12">
        <f t="shared" si="0"/>
        <v>0</v>
      </c>
      <c r="X2" s="12">
        <f t="shared" si="0"/>
        <v>0</v>
      </c>
      <c r="Y2" s="12">
        <f t="shared" si="0"/>
        <v>0</v>
      </c>
      <c r="Z2" s="12">
        <f t="shared" si="0"/>
        <v>-3.6183534728777081E-5</v>
      </c>
      <c r="AA2" s="15"/>
    </row>
    <row r="3" spans="1:27" x14ac:dyDescent="0.2">
      <c r="A3" s="13">
        <v>1</v>
      </c>
      <c r="B3" s="1">
        <v>43024</v>
      </c>
      <c r="C3" t="s">
        <v>62</v>
      </c>
      <c r="D3" t="s">
        <v>32</v>
      </c>
      <c r="E3">
        <v>6.3268770603857388E-3</v>
      </c>
      <c r="I3">
        <v>18</v>
      </c>
      <c r="J3" s="1">
        <f>WORKDAY(Historical!$H$2,-I3)</f>
        <v>42998</v>
      </c>
      <c r="K3" s="1"/>
      <c r="L3" s="12">
        <f t="shared" si="0"/>
        <v>6.8654557905703838E-3</v>
      </c>
      <c r="M3" s="12">
        <f t="shared" si="0"/>
        <v>5.3125641086032363E-3</v>
      </c>
      <c r="N3" s="12">
        <f t="shared" si="0"/>
        <v>-3.5311044216664558E-5</v>
      </c>
      <c r="O3" s="12">
        <f t="shared" si="0"/>
        <v>9.7049265815773967E-7</v>
      </c>
      <c r="P3" s="12">
        <f t="shared" si="0"/>
        <v>0</v>
      </c>
      <c r="Q3" s="12">
        <f t="shared" si="0"/>
        <v>0</v>
      </c>
      <c r="R3" s="12">
        <f t="shared" si="1"/>
        <v>0</v>
      </c>
      <c r="S3" s="14">
        <f t="shared" si="0"/>
        <v>5.3402607017430066</v>
      </c>
      <c r="T3" s="15">
        <f t="shared" ref="T3:T21" si="2">SUM(L3:P3)</f>
        <v>1.2143679347615113E-2</v>
      </c>
      <c r="U3" s="12">
        <f t="shared" si="0"/>
        <v>1.2178019899173626E-2</v>
      </c>
      <c r="V3" s="12">
        <f t="shared" si="0"/>
        <v>0</v>
      </c>
      <c r="W3" s="12">
        <f t="shared" si="0"/>
        <v>0</v>
      </c>
      <c r="X3" s="12">
        <f t="shared" si="0"/>
        <v>0</v>
      </c>
      <c r="Y3" s="12">
        <f t="shared" si="0"/>
        <v>0</v>
      </c>
      <c r="Z3" s="12">
        <f t="shared" si="0"/>
        <v>-3.4340551558506821E-5</v>
      </c>
      <c r="AA3" s="15"/>
    </row>
    <row r="4" spans="1:27" x14ac:dyDescent="0.2">
      <c r="A4" s="13">
        <v>2</v>
      </c>
      <c r="B4" s="1">
        <v>43024</v>
      </c>
      <c r="C4" t="s">
        <v>62</v>
      </c>
      <c r="D4" t="s">
        <v>30</v>
      </c>
      <c r="E4">
        <v>5.9334414664878817E-6</v>
      </c>
      <c r="I4">
        <v>17</v>
      </c>
      <c r="J4" s="1">
        <f>WORKDAY(Historical!$H$2,-I4)</f>
        <v>42999</v>
      </c>
      <c r="K4" s="1"/>
      <c r="L4" s="12">
        <f t="shared" si="0"/>
        <v>6.6160248351880401E-3</v>
      </c>
      <c r="M4" s="12">
        <f t="shared" si="0"/>
        <v>5.1245292787928205E-3</v>
      </c>
      <c r="N4" s="12">
        <f t="shared" si="0"/>
        <v>-3.3995435445272317E-5</v>
      </c>
      <c r="O4" s="12">
        <f t="shared" si="0"/>
        <v>9.470375112962051E-7</v>
      </c>
      <c r="P4" s="12">
        <f t="shared" si="0"/>
        <v>0</v>
      </c>
      <c r="Q4" s="12">
        <f t="shared" si="0"/>
        <v>0</v>
      </c>
      <c r="R4" s="12">
        <f t="shared" si="1"/>
        <v>0</v>
      </c>
      <c r="S4" s="14">
        <f t="shared" si="0"/>
        <v>5.3096397119125145</v>
      </c>
      <c r="T4" s="15">
        <f t="shared" si="2"/>
        <v>1.1707505716046883E-2</v>
      </c>
      <c r="U4" s="12">
        <f t="shared" si="0"/>
        <v>1.1740554113980855E-2</v>
      </c>
      <c r="V4" s="12">
        <f t="shared" si="0"/>
        <v>0</v>
      </c>
      <c r="W4" s="12">
        <f t="shared" si="0"/>
        <v>0</v>
      </c>
      <c r="X4" s="12">
        <f t="shared" si="0"/>
        <v>0</v>
      </c>
      <c r="Y4" s="12">
        <f t="shared" si="0"/>
        <v>0</v>
      </c>
      <c r="Z4" s="12">
        <f t="shared" si="0"/>
        <v>-3.3048397933976114E-5</v>
      </c>
      <c r="AA4" s="15"/>
    </row>
    <row r="5" spans="1:27" x14ac:dyDescent="0.2">
      <c r="A5" s="13">
        <v>3</v>
      </c>
      <c r="B5" s="1">
        <v>43024</v>
      </c>
      <c r="C5" t="s">
        <v>62</v>
      </c>
      <c r="D5" t="s">
        <v>49</v>
      </c>
      <c r="E5">
        <v>3.5332969619941862E-8</v>
      </c>
      <c r="I5">
        <v>16</v>
      </c>
      <c r="J5" s="1">
        <f>WORKDAY(Historical!$H$2,-I5)</f>
        <v>43000</v>
      </c>
      <c r="K5" s="1"/>
      <c r="L5" s="12">
        <f t="shared" si="0"/>
        <v>6.5314820273653859E-3</v>
      </c>
      <c r="M5" s="12">
        <f t="shared" si="0"/>
        <v>5.0277881269827646E-3</v>
      </c>
      <c r="N5" s="12">
        <f t="shared" si="0"/>
        <v>-3.7741235691539436E-5</v>
      </c>
      <c r="O5" s="12">
        <f t="shared" si="0"/>
        <v>1.0108592998112003E-6</v>
      </c>
      <c r="P5" s="12">
        <f t="shared" si="0"/>
        <v>0</v>
      </c>
      <c r="Q5" s="12">
        <f t="shared" si="0"/>
        <v>0</v>
      </c>
      <c r="R5" s="12">
        <f t="shared" si="1"/>
        <v>0</v>
      </c>
      <c r="S5" s="14">
        <f t="shared" si="0"/>
        <v>5.3115401738113457</v>
      </c>
      <c r="T5" s="15">
        <f t="shared" si="2"/>
        <v>1.1522539777956422E-2</v>
      </c>
      <c r="U5" s="12">
        <f t="shared" si="0"/>
        <v>1.1559270154348147E-2</v>
      </c>
      <c r="V5" s="12">
        <f t="shared" si="0"/>
        <v>0</v>
      </c>
      <c r="W5" s="12">
        <f t="shared" si="0"/>
        <v>0</v>
      </c>
      <c r="X5" s="12">
        <f t="shared" si="0"/>
        <v>0</v>
      </c>
      <c r="Y5" s="12">
        <f t="shared" si="0"/>
        <v>0</v>
      </c>
      <c r="Z5" s="12">
        <f t="shared" si="0"/>
        <v>-3.6730376391728233E-5</v>
      </c>
      <c r="AA5" s="15"/>
    </row>
    <row r="6" spans="1:27" x14ac:dyDescent="0.2">
      <c r="A6" s="13">
        <v>4</v>
      </c>
      <c r="B6" s="1">
        <v>43024</v>
      </c>
      <c r="C6" t="s">
        <v>62</v>
      </c>
      <c r="D6" t="s">
        <v>145</v>
      </c>
      <c r="E6">
        <v>0</v>
      </c>
      <c r="I6">
        <v>15</v>
      </c>
      <c r="J6" s="1">
        <f>WORKDAY(Historical!$H$2,-I6)</f>
        <v>43003</v>
      </c>
      <c r="K6" s="1"/>
      <c r="L6" s="12">
        <f t="shared" si="0"/>
        <v>7.3235271553051765E-3</v>
      </c>
      <c r="M6" s="12">
        <f t="shared" si="0"/>
        <v>5.2510274590360072E-3</v>
      </c>
      <c r="N6" s="12">
        <f t="shared" si="0"/>
        <v>-2.2538327721504719E-5</v>
      </c>
      <c r="O6" s="12">
        <f t="shared" si="0"/>
        <v>9.1827396889473347E-7</v>
      </c>
      <c r="P6" s="12">
        <f t="shared" si="0"/>
        <v>0</v>
      </c>
      <c r="Q6" s="12">
        <f t="shared" si="0"/>
        <v>0</v>
      </c>
      <c r="R6" s="12">
        <f t="shared" si="1"/>
        <v>0</v>
      </c>
      <c r="S6" s="14">
        <f t="shared" si="0"/>
        <v>5.2869151361082434</v>
      </c>
      <c r="T6" s="15">
        <f t="shared" si="2"/>
        <v>1.2552934560588574E-2</v>
      </c>
      <c r="U6" s="12">
        <f t="shared" si="0"/>
        <v>1.257455461434118E-2</v>
      </c>
      <c r="V6" s="12">
        <f t="shared" si="0"/>
        <v>0</v>
      </c>
      <c r="W6" s="12">
        <f t="shared" si="0"/>
        <v>0</v>
      </c>
      <c r="X6" s="12">
        <f t="shared" si="0"/>
        <v>0</v>
      </c>
      <c r="Y6" s="12">
        <f t="shared" si="0"/>
        <v>0</v>
      </c>
      <c r="Z6" s="12">
        <f t="shared" si="0"/>
        <v>-2.1620053752609985E-5</v>
      </c>
      <c r="AA6" s="15"/>
    </row>
    <row r="7" spans="1:27" x14ac:dyDescent="0.2">
      <c r="A7" s="13">
        <v>5</v>
      </c>
      <c r="B7" s="1">
        <v>43024</v>
      </c>
      <c r="C7" t="s">
        <v>62</v>
      </c>
      <c r="D7" t="s">
        <v>233</v>
      </c>
      <c r="E7">
        <v>0</v>
      </c>
      <c r="I7">
        <v>14</v>
      </c>
      <c r="J7" s="1">
        <f>WORKDAY(Historical!$H$2,-I7)</f>
        <v>43004</v>
      </c>
      <c r="L7" s="12">
        <f t="shared" si="0"/>
        <v>7.0929173498335265E-3</v>
      </c>
      <c r="M7" s="12">
        <f t="shared" si="0"/>
        <v>5.1115894141733698E-3</v>
      </c>
      <c r="N7" s="12">
        <f t="shared" si="0"/>
        <v>-2.1876989108375078E-5</v>
      </c>
      <c r="O7" s="12">
        <f t="shared" si="0"/>
        <v>9.0994176703001838E-7</v>
      </c>
      <c r="P7" s="12">
        <f t="shared" si="0"/>
        <v>0</v>
      </c>
      <c r="Q7" s="12">
        <f t="shared" si="0"/>
        <v>0</v>
      </c>
      <c r="R7" s="12">
        <f t="shared" si="1"/>
        <v>0</v>
      </c>
      <c r="S7" s="14">
        <f t="shared" si="0"/>
        <v>5.2866545004803465</v>
      </c>
      <c r="T7" s="15">
        <f t="shared" si="2"/>
        <v>1.218353971666555E-2</v>
      </c>
      <c r="U7" s="12">
        <f t="shared" si="0"/>
        <v>1.2204506764006896E-2</v>
      </c>
      <c r="V7" s="12">
        <f t="shared" si="0"/>
        <v>0</v>
      </c>
      <c r="W7" s="12">
        <f t="shared" si="0"/>
        <v>0</v>
      </c>
      <c r="X7" s="12">
        <f t="shared" si="0"/>
        <v>0</v>
      </c>
      <c r="Y7" s="12">
        <f t="shared" si="0"/>
        <v>0</v>
      </c>
      <c r="Z7" s="12">
        <f t="shared" si="0"/>
        <v>-2.0967047341345058E-5</v>
      </c>
      <c r="AA7" s="15"/>
    </row>
    <row r="8" spans="1:27" x14ac:dyDescent="0.2">
      <c r="A8" s="13">
        <v>6</v>
      </c>
      <c r="B8" s="1">
        <v>43024</v>
      </c>
      <c r="C8" t="s">
        <v>62</v>
      </c>
      <c r="D8" t="s">
        <v>172</v>
      </c>
      <c r="E8">
        <v>0</v>
      </c>
      <c r="I8">
        <v>13</v>
      </c>
      <c r="J8" s="1">
        <f>WORKDAY(Historical!$H$2,-I8)</f>
        <v>43005</v>
      </c>
      <c r="L8" s="12">
        <f t="shared" si="0"/>
        <v>8.2565432003523336E-3</v>
      </c>
      <c r="M8" s="12">
        <f t="shared" si="0"/>
        <v>5.592706257297745E-3</v>
      </c>
      <c r="N8" s="12">
        <f t="shared" si="0"/>
        <v>-3.5349978709247702E-5</v>
      </c>
      <c r="O8" s="12">
        <f t="shared" si="0"/>
        <v>6.0000897703958516E-7</v>
      </c>
      <c r="P8" s="12">
        <f t="shared" si="0"/>
        <v>0</v>
      </c>
      <c r="Q8" s="12">
        <f t="shared" si="0"/>
        <v>0</v>
      </c>
      <c r="R8" s="12">
        <f t="shared" si="1"/>
        <v>0</v>
      </c>
      <c r="S8" s="14">
        <f t="shared" si="0"/>
        <v>5.9861936995124312</v>
      </c>
      <c r="T8" s="15">
        <f t="shared" si="2"/>
        <v>1.381449948791787E-2</v>
      </c>
      <c r="U8" s="12">
        <f t="shared" si="0"/>
        <v>1.3849249457650079E-2</v>
      </c>
      <c r="V8" s="12">
        <f t="shared" si="0"/>
        <v>0</v>
      </c>
      <c r="W8" s="12">
        <f t="shared" si="0"/>
        <v>0</v>
      </c>
      <c r="X8" s="12">
        <f t="shared" si="0"/>
        <v>0</v>
      </c>
      <c r="Y8" s="12">
        <f t="shared" si="0"/>
        <v>0</v>
      </c>
      <c r="Z8" s="12">
        <f t="shared" si="0"/>
        <v>-3.4749969732208117E-5</v>
      </c>
      <c r="AA8" s="15"/>
    </row>
    <row r="9" spans="1:27" x14ac:dyDescent="0.2">
      <c r="A9" s="13">
        <v>7</v>
      </c>
      <c r="B9" s="1">
        <v>43024</v>
      </c>
      <c r="C9" t="s">
        <v>62</v>
      </c>
      <c r="D9" t="s">
        <v>72</v>
      </c>
      <c r="E9">
        <v>3.239420905538601</v>
      </c>
      <c r="I9">
        <v>12</v>
      </c>
      <c r="J9" s="1">
        <f>WORKDAY(Historical!$H$2,-I9)</f>
        <v>43006</v>
      </c>
      <c r="L9" s="12">
        <f t="shared" si="0"/>
        <v>8.2819428561502397E-3</v>
      </c>
      <c r="M9" s="12">
        <f t="shared" si="0"/>
        <v>5.5056002899059138E-3</v>
      </c>
      <c r="N9" s="12">
        <f t="shared" si="0"/>
        <v>-4.6088441619135348E-5</v>
      </c>
      <c r="O9" s="12">
        <f t="shared" si="0"/>
        <v>3.3344499008397961E-7</v>
      </c>
      <c r="P9" s="12">
        <f t="shared" si="0"/>
        <v>0</v>
      </c>
      <c r="Q9" s="12">
        <f t="shared" si="0"/>
        <v>0</v>
      </c>
      <c r="R9" s="12">
        <f t="shared" si="1"/>
        <v>0</v>
      </c>
      <c r="S9" s="14">
        <f t="shared" si="0"/>
        <v>5.9596463014860088</v>
      </c>
      <c r="T9" s="15">
        <f t="shared" si="2"/>
        <v>1.3741788149427102E-2</v>
      </c>
      <c r="U9" s="12">
        <f t="shared" si="0"/>
        <v>1.3787543146056154E-2</v>
      </c>
      <c r="V9" s="12">
        <f t="shared" si="0"/>
        <v>0</v>
      </c>
      <c r="W9" s="12">
        <f t="shared" si="0"/>
        <v>0</v>
      </c>
      <c r="X9" s="12">
        <f t="shared" si="0"/>
        <v>0</v>
      </c>
      <c r="Y9" s="12">
        <f t="shared" si="0"/>
        <v>0</v>
      </c>
      <c r="Z9" s="12">
        <f t="shared" si="0"/>
        <v>-4.575499662905137E-5</v>
      </c>
      <c r="AA9" s="15"/>
    </row>
    <row r="10" spans="1:27" x14ac:dyDescent="0.2">
      <c r="A10" s="13">
        <v>8</v>
      </c>
      <c r="B10" s="1">
        <v>43024</v>
      </c>
      <c r="C10" t="s">
        <v>62</v>
      </c>
      <c r="D10" t="s">
        <v>186</v>
      </c>
      <c r="E10">
        <v>1.0718623501809587E-2</v>
      </c>
      <c r="I10">
        <v>11</v>
      </c>
      <c r="J10" s="1">
        <f>WORKDAY(Historical!$H$2,-I10)</f>
        <v>43007</v>
      </c>
      <c r="L10" s="12">
        <f t="shared" si="0"/>
        <v>8.2875538801296042E-3</v>
      </c>
      <c r="M10" s="12">
        <f t="shared" si="0"/>
        <v>5.8774620544839139E-3</v>
      </c>
      <c r="N10" s="12">
        <f t="shared" si="0"/>
        <v>-5.9605705116879099E-5</v>
      </c>
      <c r="O10" s="12">
        <f t="shared" si="0"/>
        <v>3.7385863778130755E-7</v>
      </c>
      <c r="P10" s="12">
        <f t="shared" si="0"/>
        <v>0</v>
      </c>
      <c r="Q10" s="12">
        <f t="shared" si="0"/>
        <v>0</v>
      </c>
      <c r="R10" s="12">
        <f t="shared" si="1"/>
        <v>0</v>
      </c>
      <c r="S10" s="14">
        <f t="shared" si="0"/>
        <v>5.9532423965463472</v>
      </c>
      <c r="T10" s="15">
        <f t="shared" si="2"/>
        <v>1.4105784088134421E-2</v>
      </c>
      <c r="U10" s="12">
        <f t="shared" si="0"/>
        <v>1.4165015934613518E-2</v>
      </c>
      <c r="V10" s="12">
        <f t="shared" si="0"/>
        <v>0</v>
      </c>
      <c r="W10" s="12">
        <f t="shared" si="0"/>
        <v>0</v>
      </c>
      <c r="X10" s="12">
        <f t="shared" si="0"/>
        <v>0</v>
      </c>
      <c r="Y10" s="12">
        <f t="shared" si="0"/>
        <v>0</v>
      </c>
      <c r="Z10" s="12">
        <f t="shared" si="0"/>
        <v>-5.923184647909779E-5</v>
      </c>
      <c r="AA10" s="15"/>
    </row>
    <row r="11" spans="1:27" x14ac:dyDescent="0.2">
      <c r="A11" s="13">
        <v>9</v>
      </c>
      <c r="B11" s="1">
        <v>43024</v>
      </c>
      <c r="C11" t="s">
        <v>62</v>
      </c>
      <c r="D11" t="s">
        <v>187</v>
      </c>
      <c r="E11">
        <v>0</v>
      </c>
      <c r="I11">
        <v>10</v>
      </c>
      <c r="J11" s="1">
        <f>WORKDAY(Historical!$H$2,-I11)</f>
        <v>43010</v>
      </c>
      <c r="L11" s="12">
        <f t="shared" si="0"/>
        <v>1.0029508512152964E-2</v>
      </c>
      <c r="M11" s="12">
        <f t="shared" si="0"/>
        <v>7.0120090619146223E-3</v>
      </c>
      <c r="N11" s="12">
        <f t="shared" si="0"/>
        <v>-2.8019216952800465E-5</v>
      </c>
      <c r="O11" s="12">
        <f t="shared" si="0"/>
        <v>-1.6182620761855418E-6</v>
      </c>
      <c r="P11" s="12">
        <f t="shared" si="0"/>
        <v>0</v>
      </c>
      <c r="Q11" s="12">
        <f t="shared" si="0"/>
        <v>0</v>
      </c>
      <c r="R11" s="12">
        <f t="shared" si="1"/>
        <v>0</v>
      </c>
      <c r="S11" s="14">
        <f t="shared" si="0"/>
        <v>5.9396947429302118</v>
      </c>
      <c r="T11" s="15">
        <f t="shared" si="2"/>
        <v>1.7011880095038599E-2</v>
      </c>
      <c r="U11" s="12">
        <f t="shared" si="0"/>
        <v>1.7041517574067577E-2</v>
      </c>
      <c r="V11" s="12">
        <f t="shared" si="0"/>
        <v>0</v>
      </c>
      <c r="W11" s="12">
        <f t="shared" si="0"/>
        <v>0</v>
      </c>
      <c r="X11" s="12">
        <f t="shared" si="0"/>
        <v>0</v>
      </c>
      <c r="Y11" s="12">
        <f t="shared" si="0"/>
        <v>0</v>
      </c>
      <c r="Z11" s="12">
        <f t="shared" si="0"/>
        <v>-2.9637479028986007E-5</v>
      </c>
      <c r="AA11" s="15"/>
    </row>
    <row r="12" spans="1:27" x14ac:dyDescent="0.2">
      <c r="A12" s="13">
        <v>10</v>
      </c>
      <c r="B12" s="1">
        <v>43024</v>
      </c>
      <c r="C12" t="s">
        <v>62</v>
      </c>
      <c r="D12" t="s">
        <v>188</v>
      </c>
      <c r="E12">
        <v>0</v>
      </c>
      <c r="I12">
        <v>9</v>
      </c>
      <c r="J12" s="1">
        <f>WORKDAY(Historical!$H$2,-I12)</f>
        <v>43011</v>
      </c>
      <c r="L12" s="12">
        <f t="shared" si="0"/>
        <v>9.7461964451057703E-3</v>
      </c>
      <c r="M12" s="12">
        <f t="shared" si="0"/>
        <v>6.8632829093433923E-3</v>
      </c>
      <c r="N12" s="12">
        <f t="shared" si="0"/>
        <v>-2.8389858808047584E-5</v>
      </c>
      <c r="O12" s="12">
        <f t="shared" si="0"/>
        <v>-1.3077893406582224E-6</v>
      </c>
      <c r="P12" s="12">
        <f t="shared" si="0"/>
        <v>0</v>
      </c>
      <c r="Q12" s="12">
        <f t="shared" si="0"/>
        <v>0</v>
      </c>
      <c r="R12" s="12">
        <f t="shared" si="1"/>
        <v>0</v>
      </c>
      <c r="S12" s="14">
        <f t="shared" si="0"/>
        <v>5.9327529157491581</v>
      </c>
      <c r="T12" s="15">
        <f t="shared" si="2"/>
        <v>1.6579781706300454E-2</v>
      </c>
      <c r="U12" s="12">
        <f t="shared" si="0"/>
        <v>1.6609479354449157E-2</v>
      </c>
      <c r="V12" s="12">
        <f t="shared" si="0"/>
        <v>0</v>
      </c>
      <c r="W12" s="12">
        <f t="shared" si="0"/>
        <v>0</v>
      </c>
      <c r="X12" s="12">
        <f t="shared" si="0"/>
        <v>0</v>
      </c>
      <c r="Y12" s="12">
        <f t="shared" si="0"/>
        <v>0</v>
      </c>
      <c r="Z12" s="12">
        <f t="shared" si="0"/>
        <v>-2.9697648148705805E-5</v>
      </c>
      <c r="AA12" s="15"/>
    </row>
    <row r="13" spans="1:27" x14ac:dyDescent="0.2">
      <c r="A13" s="13">
        <v>11</v>
      </c>
      <c r="B13" s="1">
        <v>43024</v>
      </c>
      <c r="C13" t="s">
        <v>62</v>
      </c>
      <c r="D13" t="s">
        <v>189</v>
      </c>
      <c r="E13">
        <v>0</v>
      </c>
      <c r="I13">
        <v>8</v>
      </c>
      <c r="J13" s="1">
        <f>WORKDAY(Historical!$H$2,-I13)</f>
        <v>43012</v>
      </c>
      <c r="L13" s="12">
        <f t="shared" si="0"/>
        <v>1.0142825942983926E-2</v>
      </c>
      <c r="M13" s="12">
        <f t="shared" si="0"/>
        <v>6.4760098689509655E-3</v>
      </c>
      <c r="N13" s="12">
        <f t="shared" si="0"/>
        <v>-3.3818988077783737E-5</v>
      </c>
      <c r="O13" s="12">
        <f t="shared" si="0"/>
        <v>-3.4729461111329244E-7</v>
      </c>
      <c r="P13" s="12">
        <f t="shared" si="0"/>
        <v>0</v>
      </c>
      <c r="Q13" s="12">
        <f t="shared" si="0"/>
        <v>0</v>
      </c>
      <c r="R13" s="12">
        <f t="shared" si="1"/>
        <v>0</v>
      </c>
      <c r="S13" s="14">
        <f t="shared" si="0"/>
        <v>5.8853835087687623</v>
      </c>
      <c r="T13" s="15">
        <f t="shared" si="2"/>
        <v>1.6584669529245994E-2</v>
      </c>
      <c r="U13" s="12">
        <f t="shared" si="0"/>
        <v>1.6618835811934907E-2</v>
      </c>
      <c r="V13" s="12">
        <f t="shared" si="0"/>
        <v>0</v>
      </c>
      <c r="W13" s="12">
        <f t="shared" si="0"/>
        <v>0</v>
      </c>
      <c r="X13" s="12">
        <f t="shared" si="0"/>
        <v>0</v>
      </c>
      <c r="Y13" s="12">
        <f t="shared" si="0"/>
        <v>0</v>
      </c>
      <c r="Z13" s="12">
        <f t="shared" si="0"/>
        <v>-3.4166282688897028E-5</v>
      </c>
      <c r="AA13" s="15"/>
    </row>
    <row r="14" spans="1:27" x14ac:dyDescent="0.2">
      <c r="A14" s="13">
        <v>12</v>
      </c>
      <c r="B14" s="1">
        <v>43024</v>
      </c>
      <c r="C14" t="s">
        <v>62</v>
      </c>
      <c r="D14" t="s">
        <v>190</v>
      </c>
      <c r="E14">
        <v>0</v>
      </c>
      <c r="I14">
        <v>7</v>
      </c>
      <c r="J14" s="1">
        <f>WORKDAY(Historical!$H$2,-I14)</f>
        <v>43013</v>
      </c>
      <c r="L14" s="12">
        <f t="shared" si="0"/>
        <v>9.8687107360118723E-3</v>
      </c>
      <c r="M14" s="12">
        <f t="shared" si="0"/>
        <v>6.3742928288530228E-3</v>
      </c>
      <c r="N14" s="12">
        <f t="shared" si="0"/>
        <v>-2.6144903882642693E-5</v>
      </c>
      <c r="O14" s="12">
        <f t="shared" si="0"/>
        <v>-2.2872576051893509E-7</v>
      </c>
      <c r="P14" s="12">
        <f t="shared" si="0"/>
        <v>0</v>
      </c>
      <c r="Q14" s="12">
        <f t="shared" si="0"/>
        <v>0</v>
      </c>
      <c r="R14" s="12">
        <f t="shared" si="1"/>
        <v>0</v>
      </c>
      <c r="S14" s="14">
        <f t="shared" si="0"/>
        <v>5.8699718400729806</v>
      </c>
      <c r="T14" s="15">
        <f t="shared" si="2"/>
        <v>1.6216629935221737E-2</v>
      </c>
      <c r="U14" s="12">
        <f t="shared" si="0"/>
        <v>1.6243003564864904E-2</v>
      </c>
      <c r="V14" s="12">
        <f t="shared" si="0"/>
        <v>0</v>
      </c>
      <c r="W14" s="12">
        <f t="shared" si="0"/>
        <v>0</v>
      </c>
      <c r="X14" s="12">
        <f t="shared" si="0"/>
        <v>0</v>
      </c>
      <c r="Y14" s="12">
        <f t="shared" si="0"/>
        <v>0</v>
      </c>
      <c r="Z14" s="12">
        <f t="shared" si="0"/>
        <v>-2.6373629643161628E-5</v>
      </c>
      <c r="AA14" s="15"/>
    </row>
    <row r="15" spans="1:27" x14ac:dyDescent="0.2">
      <c r="A15" s="13">
        <v>13</v>
      </c>
      <c r="B15" s="1">
        <v>43024</v>
      </c>
      <c r="C15" t="s">
        <v>62</v>
      </c>
      <c r="D15" t="s">
        <v>191</v>
      </c>
      <c r="E15">
        <v>5.9687744361078234E-6</v>
      </c>
      <c r="I15">
        <v>6</v>
      </c>
      <c r="J15" s="1">
        <f>WORKDAY(Historical!$H$2,-I15)</f>
        <v>43014</v>
      </c>
      <c r="L15" s="12">
        <f t="shared" si="0"/>
        <v>1.0139169070810791E-2</v>
      </c>
      <c r="M15" s="12">
        <f t="shared" si="0"/>
        <v>7.1465502927823372E-3</v>
      </c>
      <c r="N15" s="12">
        <f t="shared" si="0"/>
        <v>7.5005586405573295E-8</v>
      </c>
      <c r="O15" s="12">
        <f t="shared" si="0"/>
        <v>1.3675603527835741E-6</v>
      </c>
      <c r="P15" s="12">
        <f t="shared" si="0"/>
        <v>0</v>
      </c>
      <c r="Q15" s="12">
        <f t="shared" si="0"/>
        <v>0</v>
      </c>
      <c r="R15" s="12">
        <f t="shared" si="1"/>
        <v>0</v>
      </c>
      <c r="S15" s="14">
        <f t="shared" si="0"/>
        <v>5.7789116234283897</v>
      </c>
      <c r="T15" s="15">
        <f t="shared" si="2"/>
        <v>1.7287161929532318E-2</v>
      </c>
      <c r="U15" s="12">
        <f t="shared" si="0"/>
        <v>1.7285719363593122E-2</v>
      </c>
      <c r="V15" s="12">
        <f t="shared" si="0"/>
        <v>0</v>
      </c>
      <c r="W15" s="12">
        <f t="shared" si="0"/>
        <v>0</v>
      </c>
      <c r="X15" s="12">
        <f t="shared" si="0"/>
        <v>0</v>
      </c>
      <c r="Y15" s="12">
        <f t="shared" si="0"/>
        <v>0</v>
      </c>
      <c r="Z15" s="12">
        <f t="shared" si="0"/>
        <v>1.4425659391891473E-6</v>
      </c>
      <c r="AA15" s="15"/>
    </row>
    <row r="16" spans="1:27" x14ac:dyDescent="0.2">
      <c r="A16" s="13">
        <v>14</v>
      </c>
      <c r="B16" s="1">
        <v>43024</v>
      </c>
      <c r="C16" t="s">
        <v>63</v>
      </c>
      <c r="D16" t="s">
        <v>39</v>
      </c>
      <c r="E16">
        <v>7.965582550854727E-3</v>
      </c>
      <c r="I16">
        <v>5</v>
      </c>
      <c r="J16" s="1">
        <f>WORKDAY(Historical!$H$2,-I16)</f>
        <v>43017</v>
      </c>
      <c r="L16" s="12">
        <f t="shared" si="0"/>
        <v>6.7694755399060362E-3</v>
      </c>
      <c r="M16" s="12">
        <f t="shared" si="0"/>
        <v>1.2154630486412238E-2</v>
      </c>
      <c r="N16" s="12">
        <f t="shared" si="0"/>
        <v>7.9465609396869676E-6</v>
      </c>
      <c r="O16" s="12">
        <f t="shared" si="0"/>
        <v>-3.1747241208342339E-7</v>
      </c>
      <c r="P16" s="12">
        <f t="shared" si="0"/>
        <v>0</v>
      </c>
      <c r="Q16" s="12">
        <f t="shared" si="0"/>
        <v>0</v>
      </c>
      <c r="R16" s="12">
        <f t="shared" si="1"/>
        <v>0</v>
      </c>
      <c r="S16" s="14">
        <f t="shared" si="0"/>
        <v>5.7661091634401584</v>
      </c>
      <c r="T16" s="15">
        <f t="shared" si="2"/>
        <v>1.8931735114845874E-2</v>
      </c>
      <c r="U16" s="12">
        <f t="shared" si="0"/>
        <v>1.8924106026318267E-2</v>
      </c>
      <c r="V16" s="12">
        <f t="shared" si="0"/>
        <v>0</v>
      </c>
      <c r="W16" s="12">
        <f t="shared" si="0"/>
        <v>0</v>
      </c>
      <c r="X16" s="12">
        <f t="shared" si="0"/>
        <v>0</v>
      </c>
      <c r="Y16" s="12">
        <f t="shared" si="0"/>
        <v>0</v>
      </c>
      <c r="Z16" s="12">
        <f t="shared" si="0"/>
        <v>7.6290885276035439E-6</v>
      </c>
      <c r="AA16" s="15"/>
    </row>
    <row r="17" spans="1:27" x14ac:dyDescent="0.2">
      <c r="A17" s="13">
        <v>15</v>
      </c>
      <c r="B17" s="1">
        <v>43024</v>
      </c>
      <c r="C17" t="s">
        <v>63</v>
      </c>
      <c r="D17" t="s">
        <v>32</v>
      </c>
      <c r="E17">
        <v>1.1855176285592108E-2</v>
      </c>
      <c r="I17">
        <v>4</v>
      </c>
      <c r="J17" s="1">
        <f>WORKDAY(Historical!$H$2,-I17)</f>
        <v>43018</v>
      </c>
      <c r="L17" s="12">
        <f t="shared" si="0"/>
        <v>6.6188508245808905E-3</v>
      </c>
      <c r="M17" s="12">
        <f t="shared" si="0"/>
        <v>1.26825568031888E-2</v>
      </c>
      <c r="N17" s="12">
        <f t="shared" si="0"/>
        <v>7.0672949160048779E-6</v>
      </c>
      <c r="O17" s="12">
        <f t="shared" si="0"/>
        <v>-4.2739257809173144E-7</v>
      </c>
      <c r="P17" s="12">
        <f t="shared" si="0"/>
        <v>0</v>
      </c>
      <c r="Q17" s="12">
        <f>SUMIFS($E:$E,$B:$B,$J17,$C:$C,$G$2,$D:$D,Q$1)</f>
        <v>0</v>
      </c>
      <c r="R17" s="12">
        <f t="shared" si="1"/>
        <v>0</v>
      </c>
      <c r="S17" s="14">
        <f t="shared" si="0"/>
        <v>5.9949919808525571</v>
      </c>
      <c r="T17" s="15">
        <f t="shared" si="2"/>
        <v>1.9308047530107602E-2</v>
      </c>
      <c r="U17" s="12">
        <f t="shared" si="0"/>
        <v>1.9301407627769683E-2</v>
      </c>
      <c r="V17" s="12">
        <f t="shared" si="0"/>
        <v>0</v>
      </c>
      <c r="W17" s="12">
        <f t="shared" si="0"/>
        <v>0</v>
      </c>
      <c r="X17" s="12">
        <f t="shared" si="0"/>
        <v>0</v>
      </c>
      <c r="Y17" s="12">
        <f t="shared" si="0"/>
        <v>0</v>
      </c>
      <c r="Z17" s="12">
        <f t="shared" si="0"/>
        <v>6.6399023379131465E-6</v>
      </c>
      <c r="AA17" s="15"/>
    </row>
    <row r="18" spans="1:27" x14ac:dyDescent="0.2">
      <c r="A18" s="13">
        <v>16</v>
      </c>
      <c r="B18" s="1">
        <v>43024</v>
      </c>
      <c r="C18" t="s">
        <v>63</v>
      </c>
      <c r="D18" t="s">
        <v>30</v>
      </c>
      <c r="E18">
        <v>7.8348628738360813E-6</v>
      </c>
      <c r="I18">
        <v>3</v>
      </c>
      <c r="J18" s="1">
        <f>WORKDAY(Historical!$H$2,-I18)</f>
        <v>43019</v>
      </c>
      <c r="L18" s="12">
        <f t="shared" si="0"/>
        <v>7.446596476351491E-3</v>
      </c>
      <c r="M18" s="12">
        <f t="shared" si="0"/>
        <v>1.2459121319993664E-2</v>
      </c>
      <c r="N18" s="12">
        <f t="shared" si="0"/>
        <v>5.8464872598677297E-6</v>
      </c>
      <c r="O18" s="12">
        <f t="shared" si="0"/>
        <v>1.7318096728887625E-8</v>
      </c>
      <c r="P18" s="12">
        <f t="shared" si="0"/>
        <v>0</v>
      </c>
      <c r="Q18" s="12">
        <f>SUMIFS($E:$E,$B:$B,$J18,$C:$C,$G$2,$D:$D,Q$1)</f>
        <v>0</v>
      </c>
      <c r="R18" s="12">
        <f t="shared" si="1"/>
        <v>0</v>
      </c>
      <c r="S18" s="14">
        <f t="shared" si="0"/>
        <v>5.9251079906537916</v>
      </c>
      <c r="T18" s="15">
        <f t="shared" si="2"/>
        <v>1.9911581601701749E-2</v>
      </c>
      <c r="U18" s="12">
        <f t="shared" si="0"/>
        <v>1.9905717796345149E-2</v>
      </c>
      <c r="V18" s="12">
        <f t="shared" si="0"/>
        <v>0</v>
      </c>
      <c r="W18" s="12">
        <f t="shared" si="0"/>
        <v>0</v>
      </c>
      <c r="X18" s="12">
        <f t="shared" si="0"/>
        <v>0</v>
      </c>
      <c r="Y18" s="12">
        <f t="shared" si="0"/>
        <v>0</v>
      </c>
      <c r="Z18" s="12">
        <f t="shared" si="0"/>
        <v>5.863805356596617E-6</v>
      </c>
      <c r="AA18" s="15"/>
    </row>
    <row r="19" spans="1:27" x14ac:dyDescent="0.2">
      <c r="A19" s="13">
        <v>17</v>
      </c>
      <c r="B19" s="1">
        <v>43024</v>
      </c>
      <c r="C19" t="s">
        <v>63</v>
      </c>
      <c r="D19" t="s">
        <v>49</v>
      </c>
      <c r="E19">
        <v>4.1363641942994294E-7</v>
      </c>
      <c r="I19">
        <v>2</v>
      </c>
      <c r="J19" s="1">
        <f>WORKDAY(Historical!$H$2,-I19)</f>
        <v>43020</v>
      </c>
      <c r="L19" s="12">
        <f t="shared" si="0"/>
        <v>7.2714903178983286E-3</v>
      </c>
      <c r="M19" s="12">
        <f t="shared" si="0"/>
        <v>1.2135484921923434E-2</v>
      </c>
      <c r="N19" s="12">
        <f t="shared" si="0"/>
        <v>9.6687641507026581E-6</v>
      </c>
      <c r="O19" s="12">
        <f t="shared" si="0"/>
        <v>1.0422912315037499E-8</v>
      </c>
      <c r="P19" s="12">
        <f t="shared" si="0"/>
        <v>0</v>
      </c>
      <c r="Q19" s="12">
        <f>SUMIFS($E:$E,$B:$B,$J19,$C:$C,$G$2,$D:$D,Q$1)</f>
        <v>0</v>
      </c>
      <c r="R19" s="12">
        <f t="shared" si="1"/>
        <v>0</v>
      </c>
      <c r="S19" s="14">
        <f t="shared" si="0"/>
        <v>5.9278578534558974</v>
      </c>
      <c r="T19" s="15">
        <f t="shared" si="2"/>
        <v>1.9416654426884779E-2</v>
      </c>
      <c r="U19" s="12">
        <f t="shared" si="0"/>
        <v>1.9406975239821763E-2</v>
      </c>
      <c r="V19" s="12">
        <f t="shared" si="0"/>
        <v>0</v>
      </c>
      <c r="W19" s="12">
        <f t="shared" si="0"/>
        <v>0</v>
      </c>
      <c r="X19" s="12">
        <f t="shared" si="0"/>
        <v>0</v>
      </c>
      <c r="Y19" s="12">
        <f t="shared" si="0"/>
        <v>0</v>
      </c>
      <c r="Z19" s="12">
        <f t="shared" si="0"/>
        <v>9.679187063017696E-6</v>
      </c>
      <c r="AA19" s="15"/>
    </row>
    <row r="20" spans="1:27" x14ac:dyDescent="0.2">
      <c r="A20" s="13">
        <v>18</v>
      </c>
      <c r="B20" s="1">
        <v>43024</v>
      </c>
      <c r="C20" t="s">
        <v>63</v>
      </c>
      <c r="D20" t="s">
        <v>145</v>
      </c>
      <c r="E20">
        <v>0</v>
      </c>
      <c r="I20">
        <v>1</v>
      </c>
      <c r="J20" s="1">
        <f>WORKDAY(Historical!$H$2,-I20)</f>
        <v>43021</v>
      </c>
      <c r="L20" s="12">
        <f t="shared" si="0"/>
        <v>7.6239563739705423E-3</v>
      </c>
      <c r="M20" s="12">
        <f t="shared" si="0"/>
        <v>1.1768140326801974E-2</v>
      </c>
      <c r="N20" s="12">
        <f t="shared" si="0"/>
        <v>1.3818250519813502E-5</v>
      </c>
      <c r="O20" s="12">
        <f t="shared" si="0"/>
        <v>4.9537634204707692E-7</v>
      </c>
      <c r="P20" s="12">
        <f t="shared" si="0"/>
        <v>0</v>
      </c>
      <c r="Q20" s="12">
        <f>SUMIFS($E:$E,$B:$B,$J20,$C:$C,$G$2,$D:$D,Q$1)</f>
        <v>0</v>
      </c>
      <c r="R20" s="12">
        <f t="shared" si="1"/>
        <v>0</v>
      </c>
      <c r="S20" s="14">
        <f t="shared" si="0"/>
        <v>5.9236355630043702</v>
      </c>
      <c r="T20" s="15">
        <f t="shared" si="2"/>
        <v>1.9406410327634377E-2</v>
      </c>
      <c r="U20" s="12">
        <f t="shared" si="0"/>
        <v>1.9392096700772514E-2</v>
      </c>
      <c r="V20" s="12">
        <f t="shared" si="0"/>
        <v>0</v>
      </c>
      <c r="W20" s="12">
        <f t="shared" si="0"/>
        <v>0</v>
      </c>
      <c r="X20" s="12">
        <f t="shared" si="0"/>
        <v>0</v>
      </c>
      <c r="Y20" s="12">
        <f t="shared" si="0"/>
        <v>0</v>
      </c>
      <c r="Z20" s="12">
        <f t="shared" si="0"/>
        <v>1.431362686186058E-5</v>
      </c>
      <c r="AA20" s="15"/>
    </row>
    <row r="21" spans="1:27" x14ac:dyDescent="0.2">
      <c r="A21" s="13">
        <v>19</v>
      </c>
      <c r="B21" s="1">
        <v>43024</v>
      </c>
      <c r="C21" t="s">
        <v>63</v>
      </c>
      <c r="D21" t="s">
        <v>233</v>
      </c>
      <c r="E21">
        <v>0</v>
      </c>
      <c r="I21">
        <v>0</v>
      </c>
      <c r="J21" s="1">
        <f>WORKDAY(Historical!$H$2,-I21)</f>
        <v>43024</v>
      </c>
      <c r="L21" s="12">
        <f t="shared" si="0"/>
        <v>7.965582550854727E-3</v>
      </c>
      <c r="M21" s="12">
        <f t="shared" si="0"/>
        <v>1.1855176285592108E-2</v>
      </c>
      <c r="N21" s="12">
        <f t="shared" si="0"/>
        <v>7.8348628738360813E-6</v>
      </c>
      <c r="O21" s="12">
        <f t="shared" si="0"/>
        <v>4.1363641942994294E-7</v>
      </c>
      <c r="P21" s="12">
        <f t="shared" si="0"/>
        <v>0</v>
      </c>
      <c r="Q21" s="12">
        <f>SUMIFS($E:$E,$B:$B,$J21,$C:$C,$G$2,$D:$D,Q$1)</f>
        <v>0</v>
      </c>
      <c r="R21" s="12">
        <f t="shared" si="1"/>
        <v>0</v>
      </c>
      <c r="S21" s="14">
        <f t="shared" si="0"/>
        <v>5.9492009633420873</v>
      </c>
      <c r="T21" s="15">
        <f t="shared" si="2"/>
        <v>1.9829007335740102E-2</v>
      </c>
      <c r="U21" s="12">
        <f t="shared" si="0"/>
        <v>1.9820758836446836E-2</v>
      </c>
      <c r="V21" s="12">
        <f t="shared" si="0"/>
        <v>0</v>
      </c>
      <c r="W21" s="12">
        <f t="shared" si="0"/>
        <v>0</v>
      </c>
      <c r="X21" s="12">
        <f t="shared" si="0"/>
        <v>0</v>
      </c>
      <c r="Y21" s="12">
        <f t="shared" si="0"/>
        <v>0</v>
      </c>
      <c r="Z21" s="12">
        <f t="shared" si="0"/>
        <v>8.2484992932660249E-6</v>
      </c>
      <c r="AA21" s="15"/>
    </row>
    <row r="22" spans="1:27" x14ac:dyDescent="0.2">
      <c r="A22" s="13">
        <v>20</v>
      </c>
      <c r="B22" s="1">
        <v>43024</v>
      </c>
      <c r="C22" t="s">
        <v>63</v>
      </c>
      <c r="D22" t="s">
        <v>172</v>
      </c>
      <c r="E22">
        <v>0</v>
      </c>
    </row>
    <row r="23" spans="1:27" x14ac:dyDescent="0.2">
      <c r="A23" s="13">
        <v>21</v>
      </c>
      <c r="B23" s="1">
        <v>43024</v>
      </c>
      <c r="C23" t="s">
        <v>63</v>
      </c>
      <c r="D23" t="s">
        <v>72</v>
      </c>
      <c r="E23">
        <v>5.9492009633420873</v>
      </c>
    </row>
    <row r="24" spans="1:27" x14ac:dyDescent="0.2">
      <c r="A24" s="13">
        <v>22</v>
      </c>
      <c r="B24" s="1">
        <v>43024</v>
      </c>
      <c r="C24" t="s">
        <v>63</v>
      </c>
      <c r="D24" t="s">
        <v>186</v>
      </c>
      <c r="E24">
        <v>1.9820758836446836E-2</v>
      </c>
    </row>
    <row r="25" spans="1:27" x14ac:dyDescent="0.2">
      <c r="A25" s="13">
        <v>23</v>
      </c>
      <c r="B25" s="1">
        <v>43024</v>
      </c>
      <c r="C25" t="s">
        <v>63</v>
      </c>
      <c r="D25" t="s">
        <v>187</v>
      </c>
      <c r="E25">
        <v>0</v>
      </c>
    </row>
    <row r="26" spans="1:27" x14ac:dyDescent="0.2">
      <c r="A26" s="13">
        <v>24</v>
      </c>
      <c r="B26" s="1">
        <v>43024</v>
      </c>
      <c r="C26" t="s">
        <v>63</v>
      </c>
      <c r="D26" t="s">
        <v>188</v>
      </c>
      <c r="E26">
        <v>0</v>
      </c>
    </row>
    <row r="27" spans="1:27" x14ac:dyDescent="0.2">
      <c r="A27" s="13">
        <v>25</v>
      </c>
      <c r="B27" s="1">
        <v>43024</v>
      </c>
      <c r="C27" t="s">
        <v>63</v>
      </c>
      <c r="D27" t="s">
        <v>189</v>
      </c>
      <c r="E27">
        <v>0</v>
      </c>
    </row>
    <row r="28" spans="1:27" x14ac:dyDescent="0.2">
      <c r="A28" s="13">
        <v>26</v>
      </c>
      <c r="B28" s="1">
        <v>43024</v>
      </c>
      <c r="C28" t="s">
        <v>63</v>
      </c>
      <c r="D28" t="s">
        <v>190</v>
      </c>
      <c r="E28">
        <v>0</v>
      </c>
    </row>
    <row r="29" spans="1:27" x14ac:dyDescent="0.2">
      <c r="A29" s="13">
        <v>27</v>
      </c>
      <c r="B29" s="1">
        <v>43024</v>
      </c>
      <c r="C29" t="s">
        <v>63</v>
      </c>
      <c r="D29" t="s">
        <v>191</v>
      </c>
      <c r="E29">
        <v>8.2484992932660249E-6</v>
      </c>
    </row>
    <row r="30" spans="1:27" x14ac:dyDescent="0.2">
      <c r="A30" s="13">
        <v>28</v>
      </c>
      <c r="B30" s="1">
        <v>43024</v>
      </c>
      <c r="C30" t="s">
        <v>103</v>
      </c>
      <c r="D30" t="s">
        <v>39</v>
      </c>
      <c r="E30">
        <v>1.5320244362069836E-2</v>
      </c>
    </row>
    <row r="31" spans="1:27" x14ac:dyDescent="0.2">
      <c r="A31" s="13">
        <v>29</v>
      </c>
      <c r="B31" s="1">
        <v>43024</v>
      </c>
      <c r="C31" t="s">
        <v>103</v>
      </c>
      <c r="D31" t="s">
        <v>32</v>
      </c>
      <c r="E31">
        <v>0</v>
      </c>
    </row>
    <row r="32" spans="1:27" x14ac:dyDescent="0.2">
      <c r="A32" s="13">
        <v>30</v>
      </c>
      <c r="B32" s="1">
        <v>43024</v>
      </c>
      <c r="C32" t="s">
        <v>103</v>
      </c>
      <c r="D32" t="s">
        <v>30</v>
      </c>
      <c r="E32">
        <v>0</v>
      </c>
    </row>
    <row r="33" spans="1:5" x14ac:dyDescent="0.2">
      <c r="A33" s="13">
        <v>31</v>
      </c>
      <c r="B33" s="1">
        <v>43024</v>
      </c>
      <c r="C33" t="s">
        <v>103</v>
      </c>
      <c r="D33" t="s">
        <v>49</v>
      </c>
      <c r="E33">
        <v>0</v>
      </c>
    </row>
    <row r="34" spans="1:5" x14ac:dyDescent="0.2">
      <c r="A34" s="13">
        <v>32</v>
      </c>
      <c r="B34" s="1">
        <v>43024</v>
      </c>
      <c r="C34" t="s">
        <v>103</v>
      </c>
      <c r="D34" t="s">
        <v>145</v>
      </c>
      <c r="E34">
        <v>0</v>
      </c>
    </row>
    <row r="35" spans="1:5" x14ac:dyDescent="0.2">
      <c r="A35" s="13">
        <v>33</v>
      </c>
      <c r="B35" s="1">
        <v>43024</v>
      </c>
      <c r="C35" t="s">
        <v>103</v>
      </c>
      <c r="D35" t="s">
        <v>233</v>
      </c>
      <c r="E35">
        <v>0</v>
      </c>
    </row>
    <row r="36" spans="1:5" x14ac:dyDescent="0.2">
      <c r="A36" s="13">
        <v>34</v>
      </c>
      <c r="B36" s="1">
        <v>43024</v>
      </c>
      <c r="C36" t="s">
        <v>103</v>
      </c>
      <c r="D36" t="s">
        <v>172</v>
      </c>
      <c r="E36">
        <v>0</v>
      </c>
    </row>
    <row r="37" spans="1:5" x14ac:dyDescent="0.2">
      <c r="A37" s="13">
        <v>35</v>
      </c>
      <c r="B37" s="1">
        <v>43024</v>
      </c>
      <c r="C37" t="s">
        <v>103</v>
      </c>
      <c r="D37" t="s">
        <v>72</v>
      </c>
      <c r="E37">
        <v>0</v>
      </c>
    </row>
    <row r="38" spans="1:5" x14ac:dyDescent="0.2">
      <c r="A38" s="13">
        <v>36</v>
      </c>
      <c r="B38" s="1">
        <v>43024</v>
      </c>
      <c r="C38" t="s">
        <v>103</v>
      </c>
      <c r="D38" t="s">
        <v>186</v>
      </c>
      <c r="E38">
        <v>1.5320244362069836E-2</v>
      </c>
    </row>
    <row r="39" spans="1:5" x14ac:dyDescent="0.2">
      <c r="A39" s="13">
        <v>37</v>
      </c>
      <c r="B39" s="1">
        <v>43024</v>
      </c>
      <c r="C39" t="s">
        <v>103</v>
      </c>
      <c r="D39" t="s">
        <v>187</v>
      </c>
      <c r="E39">
        <v>0</v>
      </c>
    </row>
    <row r="40" spans="1:5" x14ac:dyDescent="0.2">
      <c r="A40" s="13">
        <v>38</v>
      </c>
      <c r="B40" s="1">
        <v>43024</v>
      </c>
      <c r="C40" t="s">
        <v>103</v>
      </c>
      <c r="D40" t="s">
        <v>188</v>
      </c>
      <c r="E40">
        <v>0</v>
      </c>
    </row>
    <row r="41" spans="1:5" x14ac:dyDescent="0.2">
      <c r="A41" s="13">
        <v>39</v>
      </c>
      <c r="B41" s="1">
        <v>43024</v>
      </c>
      <c r="C41" t="s">
        <v>103</v>
      </c>
      <c r="D41" t="s">
        <v>189</v>
      </c>
      <c r="E41">
        <v>0</v>
      </c>
    </row>
    <row r="42" spans="1:5" x14ac:dyDescent="0.2">
      <c r="A42" s="13">
        <v>40</v>
      </c>
      <c r="B42" s="1">
        <v>43024</v>
      </c>
      <c r="C42" t="s">
        <v>103</v>
      </c>
      <c r="D42" t="s">
        <v>190</v>
      </c>
      <c r="E42">
        <v>0</v>
      </c>
    </row>
    <row r="43" spans="1:5" x14ac:dyDescent="0.2">
      <c r="A43" s="13">
        <v>41</v>
      </c>
      <c r="B43" s="1">
        <v>43024</v>
      </c>
      <c r="C43" t="s">
        <v>103</v>
      </c>
      <c r="D43" t="s">
        <v>191</v>
      </c>
      <c r="E43">
        <v>0</v>
      </c>
    </row>
    <row r="44" spans="1:5" x14ac:dyDescent="0.2">
      <c r="A44" s="13">
        <v>42</v>
      </c>
      <c r="B44" s="1">
        <v>43024</v>
      </c>
      <c r="C44" t="s">
        <v>104</v>
      </c>
      <c r="D44" t="s">
        <v>39</v>
      </c>
      <c r="E44">
        <v>7.6626916792797775E-2</v>
      </c>
    </row>
    <row r="45" spans="1:5" x14ac:dyDescent="0.2">
      <c r="A45" s="13">
        <v>43</v>
      </c>
      <c r="B45" s="1">
        <v>43024</v>
      </c>
      <c r="C45" t="s">
        <v>104</v>
      </c>
      <c r="D45" t="s">
        <v>32</v>
      </c>
      <c r="E45">
        <v>0</v>
      </c>
    </row>
    <row r="46" spans="1:5" x14ac:dyDescent="0.2">
      <c r="A46" s="13">
        <v>44</v>
      </c>
      <c r="B46" s="1">
        <v>43024</v>
      </c>
      <c r="C46" t="s">
        <v>104</v>
      </c>
      <c r="D46" t="s">
        <v>30</v>
      </c>
      <c r="E46">
        <v>0</v>
      </c>
    </row>
    <row r="47" spans="1:5" x14ac:dyDescent="0.2">
      <c r="A47" s="13">
        <v>45</v>
      </c>
      <c r="B47" s="1">
        <v>43024</v>
      </c>
      <c r="C47" t="s">
        <v>104</v>
      </c>
      <c r="D47" t="s">
        <v>49</v>
      </c>
      <c r="E47">
        <v>0</v>
      </c>
    </row>
    <row r="48" spans="1:5" x14ac:dyDescent="0.2">
      <c r="A48" s="13">
        <v>46</v>
      </c>
      <c r="B48" s="1">
        <v>43024</v>
      </c>
      <c r="C48" t="s">
        <v>104</v>
      </c>
      <c r="D48" t="s">
        <v>145</v>
      </c>
      <c r="E48">
        <v>0</v>
      </c>
    </row>
    <row r="49" spans="1:5" x14ac:dyDescent="0.2">
      <c r="A49" s="13">
        <v>47</v>
      </c>
      <c r="B49" s="1">
        <v>43024</v>
      </c>
      <c r="C49" t="s">
        <v>104</v>
      </c>
      <c r="D49" t="s">
        <v>233</v>
      </c>
      <c r="E49">
        <v>0</v>
      </c>
    </row>
    <row r="50" spans="1:5" x14ac:dyDescent="0.2">
      <c r="A50" s="13">
        <v>48</v>
      </c>
      <c r="B50" s="1">
        <v>43024</v>
      </c>
      <c r="C50" t="s">
        <v>104</v>
      </c>
      <c r="D50" t="s">
        <v>172</v>
      </c>
      <c r="E50">
        <v>0</v>
      </c>
    </row>
    <row r="51" spans="1:5" x14ac:dyDescent="0.2">
      <c r="A51" s="13">
        <v>49</v>
      </c>
      <c r="B51" s="1">
        <v>43024</v>
      </c>
      <c r="C51" t="s">
        <v>104</v>
      </c>
      <c r="D51" t="s">
        <v>72</v>
      </c>
      <c r="E51">
        <v>0</v>
      </c>
    </row>
    <row r="52" spans="1:5" x14ac:dyDescent="0.2">
      <c r="A52" s="13">
        <v>50</v>
      </c>
      <c r="B52" s="1">
        <v>43024</v>
      </c>
      <c r="C52" t="s">
        <v>104</v>
      </c>
      <c r="D52" t="s">
        <v>186</v>
      </c>
      <c r="E52">
        <v>7.6626916792797775E-2</v>
      </c>
    </row>
    <row r="53" spans="1:5" x14ac:dyDescent="0.2">
      <c r="A53" s="13">
        <v>51</v>
      </c>
      <c r="B53" s="1">
        <v>43024</v>
      </c>
      <c r="C53" t="s">
        <v>104</v>
      </c>
      <c r="D53" t="s">
        <v>187</v>
      </c>
      <c r="E53">
        <v>0</v>
      </c>
    </row>
    <row r="54" spans="1:5" x14ac:dyDescent="0.2">
      <c r="A54" s="13">
        <v>52</v>
      </c>
      <c r="B54" s="1">
        <v>43024</v>
      </c>
      <c r="C54" t="s">
        <v>104</v>
      </c>
      <c r="D54" t="s">
        <v>188</v>
      </c>
      <c r="E54">
        <v>0</v>
      </c>
    </row>
    <row r="55" spans="1:5" x14ac:dyDescent="0.2">
      <c r="A55" s="13">
        <v>53</v>
      </c>
      <c r="B55" s="1">
        <v>43024</v>
      </c>
      <c r="C55" t="s">
        <v>104</v>
      </c>
      <c r="D55" t="s">
        <v>189</v>
      </c>
      <c r="E55">
        <v>0</v>
      </c>
    </row>
    <row r="56" spans="1:5" x14ac:dyDescent="0.2">
      <c r="A56" s="13">
        <v>54</v>
      </c>
      <c r="B56" s="1">
        <v>43024</v>
      </c>
      <c r="C56" t="s">
        <v>104</v>
      </c>
      <c r="D56" t="s">
        <v>190</v>
      </c>
      <c r="E56">
        <v>0</v>
      </c>
    </row>
    <row r="57" spans="1:5" x14ac:dyDescent="0.2">
      <c r="A57" s="13">
        <v>55</v>
      </c>
      <c r="B57" s="1">
        <v>43024</v>
      </c>
      <c r="C57" t="s">
        <v>104</v>
      </c>
      <c r="D57" t="s">
        <v>191</v>
      </c>
      <c r="E57">
        <v>0</v>
      </c>
    </row>
    <row r="58" spans="1:5" x14ac:dyDescent="0.2">
      <c r="A58" s="13">
        <v>56</v>
      </c>
      <c r="B58" s="1">
        <v>43024</v>
      </c>
      <c r="C58" t="s">
        <v>151</v>
      </c>
      <c r="D58" t="s">
        <v>39</v>
      </c>
      <c r="E58">
        <v>0</v>
      </c>
    </row>
    <row r="59" spans="1:5" x14ac:dyDescent="0.2">
      <c r="A59" s="13">
        <v>57</v>
      </c>
      <c r="B59" s="1">
        <v>43024</v>
      </c>
      <c r="C59" t="s">
        <v>151</v>
      </c>
      <c r="D59" t="s">
        <v>32</v>
      </c>
      <c r="E59">
        <v>0</v>
      </c>
    </row>
    <row r="60" spans="1:5" x14ac:dyDescent="0.2">
      <c r="A60" s="13">
        <v>58</v>
      </c>
      <c r="B60" s="1">
        <v>43024</v>
      </c>
      <c r="C60" t="s">
        <v>151</v>
      </c>
      <c r="D60" t="s">
        <v>30</v>
      </c>
      <c r="E60">
        <v>4.8629258165868786E-3</v>
      </c>
    </row>
    <row r="61" spans="1:5" x14ac:dyDescent="0.2">
      <c r="A61" s="13">
        <v>59</v>
      </c>
      <c r="B61" s="1">
        <v>43024</v>
      </c>
      <c r="C61" t="s">
        <v>151</v>
      </c>
      <c r="D61" t="s">
        <v>49</v>
      </c>
      <c r="E61">
        <v>0</v>
      </c>
    </row>
    <row r="62" spans="1:5" x14ac:dyDescent="0.2">
      <c r="A62" s="13">
        <v>60</v>
      </c>
      <c r="B62" s="1">
        <v>43024</v>
      </c>
      <c r="C62" t="s">
        <v>151</v>
      </c>
      <c r="D62" t="s">
        <v>145</v>
      </c>
      <c r="E62">
        <v>0</v>
      </c>
    </row>
    <row r="63" spans="1:5" x14ac:dyDescent="0.2">
      <c r="A63" s="13">
        <v>61</v>
      </c>
      <c r="B63" s="1">
        <v>43024</v>
      </c>
      <c r="C63" t="s">
        <v>151</v>
      </c>
      <c r="D63" t="s">
        <v>233</v>
      </c>
      <c r="E63">
        <v>0</v>
      </c>
    </row>
    <row r="64" spans="1:5" x14ac:dyDescent="0.2">
      <c r="A64" s="13">
        <v>62</v>
      </c>
      <c r="B64" s="1">
        <v>43024</v>
      </c>
      <c r="C64" t="s">
        <v>151</v>
      </c>
      <c r="D64" t="s">
        <v>172</v>
      </c>
      <c r="E64">
        <v>0</v>
      </c>
    </row>
    <row r="65" spans="1:5" x14ac:dyDescent="0.2">
      <c r="A65" s="13">
        <v>63</v>
      </c>
      <c r="B65" s="1">
        <v>43024</v>
      </c>
      <c r="C65" t="s">
        <v>151</v>
      </c>
      <c r="D65" t="s">
        <v>72</v>
      </c>
      <c r="E65">
        <v>6.6128356978936909</v>
      </c>
    </row>
    <row r="66" spans="1:5" x14ac:dyDescent="0.2">
      <c r="A66" s="13">
        <v>64</v>
      </c>
      <c r="B66" s="1">
        <v>43024</v>
      </c>
      <c r="C66" t="s">
        <v>151</v>
      </c>
      <c r="D66" t="s">
        <v>186</v>
      </c>
      <c r="E66">
        <v>4.8779137267416166E-4</v>
      </c>
    </row>
    <row r="67" spans="1:5" x14ac:dyDescent="0.2">
      <c r="A67" s="13">
        <v>65</v>
      </c>
      <c r="B67" s="1">
        <v>43024</v>
      </c>
      <c r="C67" t="s">
        <v>151</v>
      </c>
      <c r="D67" t="s">
        <v>187</v>
      </c>
      <c r="E67">
        <v>2.3827288979161899E-3</v>
      </c>
    </row>
    <row r="68" spans="1:5" x14ac:dyDescent="0.2">
      <c r="A68" s="13">
        <v>66</v>
      </c>
      <c r="B68" s="1">
        <v>43024</v>
      </c>
      <c r="C68" t="s">
        <v>151</v>
      </c>
      <c r="D68" t="s">
        <v>188</v>
      </c>
      <c r="E68">
        <v>9.2800326500752921E-4</v>
      </c>
    </row>
    <row r="69" spans="1:5" x14ac:dyDescent="0.2">
      <c r="A69" s="13">
        <v>67</v>
      </c>
      <c r="B69" s="1">
        <v>43024</v>
      </c>
      <c r="C69" t="s">
        <v>151</v>
      </c>
      <c r="D69" t="s">
        <v>189</v>
      </c>
      <c r="E69">
        <v>5.9175118196106943E-4</v>
      </c>
    </row>
    <row r="70" spans="1:5" x14ac:dyDescent="0.2">
      <c r="A70" s="13">
        <v>68</v>
      </c>
      <c r="B70" s="1">
        <v>43024</v>
      </c>
      <c r="C70" t="s">
        <v>151</v>
      </c>
      <c r="D70" t="s">
        <v>190</v>
      </c>
      <c r="E70">
        <v>9.1099136487908137E-4</v>
      </c>
    </row>
    <row r="71" spans="1:5" x14ac:dyDescent="0.2">
      <c r="A71" s="13">
        <v>69</v>
      </c>
      <c r="B71" s="1">
        <v>43024</v>
      </c>
      <c r="C71" t="s">
        <v>151</v>
      </c>
      <c r="D71" t="s">
        <v>191</v>
      </c>
      <c r="E71">
        <v>-4.3834026585115691E-4</v>
      </c>
    </row>
    <row r="72" spans="1:5" x14ac:dyDescent="0.2">
      <c r="A72" s="13">
        <v>70</v>
      </c>
      <c r="B72" s="1">
        <v>43024</v>
      </c>
      <c r="C72" t="s">
        <v>29</v>
      </c>
      <c r="D72" t="s">
        <v>39</v>
      </c>
      <c r="E72">
        <v>-1.6714594455898647E-4</v>
      </c>
    </row>
    <row r="73" spans="1:5" x14ac:dyDescent="0.2">
      <c r="A73" s="13">
        <v>71</v>
      </c>
      <c r="B73" s="1">
        <v>43024</v>
      </c>
      <c r="C73" t="s">
        <v>29</v>
      </c>
      <c r="D73" t="s">
        <v>32</v>
      </c>
      <c r="E73">
        <v>3.3251920713461927E-3</v>
      </c>
    </row>
    <row r="74" spans="1:5" x14ac:dyDescent="0.2">
      <c r="A74" s="13">
        <v>72</v>
      </c>
      <c r="B74" s="1">
        <v>43024</v>
      </c>
      <c r="C74" t="s">
        <v>29</v>
      </c>
      <c r="D74" t="s">
        <v>30</v>
      </c>
      <c r="E74">
        <v>2.3465338210868565E-6</v>
      </c>
    </row>
    <row r="75" spans="1:5" x14ac:dyDescent="0.2">
      <c r="A75" s="13">
        <v>73</v>
      </c>
      <c r="B75" s="1">
        <v>43024</v>
      </c>
      <c r="C75" t="s">
        <v>29</v>
      </c>
      <c r="D75" t="s">
        <v>49</v>
      </c>
      <c r="E75">
        <v>0</v>
      </c>
    </row>
    <row r="76" spans="1:5" x14ac:dyDescent="0.2">
      <c r="A76" s="13">
        <v>74</v>
      </c>
      <c r="B76" s="1">
        <v>43024</v>
      </c>
      <c r="C76" t="s">
        <v>29</v>
      </c>
      <c r="D76" t="s">
        <v>145</v>
      </c>
      <c r="E76">
        <v>0</v>
      </c>
    </row>
    <row r="77" spans="1:5" x14ac:dyDescent="0.2">
      <c r="A77" s="13">
        <v>75</v>
      </c>
      <c r="B77" s="1">
        <v>43024</v>
      </c>
      <c r="C77" t="s">
        <v>29</v>
      </c>
      <c r="D77" t="s">
        <v>233</v>
      </c>
      <c r="E77">
        <v>0</v>
      </c>
    </row>
    <row r="78" spans="1:5" x14ac:dyDescent="0.2">
      <c r="A78" s="13">
        <v>76</v>
      </c>
      <c r="B78" s="1">
        <v>43024</v>
      </c>
      <c r="C78" t="s">
        <v>29</v>
      </c>
      <c r="D78" t="s">
        <v>172</v>
      </c>
      <c r="E78">
        <v>0</v>
      </c>
    </row>
    <row r="79" spans="1:5" x14ac:dyDescent="0.2">
      <c r="A79" s="13">
        <v>77</v>
      </c>
      <c r="B79" s="1">
        <v>43024</v>
      </c>
      <c r="C79" t="s">
        <v>29</v>
      </c>
      <c r="D79" t="s">
        <v>72</v>
      </c>
      <c r="E79">
        <v>4.8571492220446908</v>
      </c>
    </row>
    <row r="80" spans="1:5" x14ac:dyDescent="0.2">
      <c r="A80" s="13">
        <v>78</v>
      </c>
      <c r="B80" s="1">
        <v>43024</v>
      </c>
      <c r="C80" t="s">
        <v>29</v>
      </c>
      <c r="D80" t="s">
        <v>186</v>
      </c>
      <c r="E80">
        <v>-6.2750377079183017E-4</v>
      </c>
    </row>
    <row r="81" spans="1:5" x14ac:dyDescent="0.2">
      <c r="A81" s="13">
        <v>79</v>
      </c>
      <c r="B81" s="1">
        <v>43024</v>
      </c>
      <c r="C81" t="s">
        <v>29</v>
      </c>
      <c r="D81" t="s">
        <v>187</v>
      </c>
      <c r="E81">
        <v>0</v>
      </c>
    </row>
    <row r="82" spans="1:5" x14ac:dyDescent="0.2">
      <c r="A82" s="13">
        <v>80</v>
      </c>
      <c r="B82" s="1">
        <v>43024</v>
      </c>
      <c r="C82" t="s">
        <v>29</v>
      </c>
      <c r="D82" t="s">
        <v>188</v>
      </c>
      <c r="E82">
        <v>0</v>
      </c>
    </row>
    <row r="83" spans="1:5" x14ac:dyDescent="0.2">
      <c r="A83" s="13">
        <v>81</v>
      </c>
      <c r="B83" s="1">
        <v>43024</v>
      </c>
      <c r="C83" t="s">
        <v>29</v>
      </c>
      <c r="D83" t="s">
        <v>189</v>
      </c>
      <c r="E83">
        <v>0</v>
      </c>
    </row>
    <row r="84" spans="1:5" x14ac:dyDescent="0.2">
      <c r="A84" s="13">
        <v>82</v>
      </c>
      <c r="B84" s="1">
        <v>43024</v>
      </c>
      <c r="C84" t="s">
        <v>29</v>
      </c>
      <c r="D84" t="s">
        <v>190</v>
      </c>
      <c r="E84">
        <v>0</v>
      </c>
    </row>
    <row r="85" spans="1:5" x14ac:dyDescent="0.2">
      <c r="A85" s="13">
        <v>83</v>
      </c>
      <c r="B85" s="1">
        <v>43024</v>
      </c>
      <c r="C85" t="s">
        <v>29</v>
      </c>
      <c r="D85" t="s">
        <v>191</v>
      </c>
      <c r="E85">
        <v>3.7878964314001233E-3</v>
      </c>
    </row>
    <row r="86" spans="1:5" x14ac:dyDescent="0.2">
      <c r="A86" s="13">
        <v>84</v>
      </c>
      <c r="B86" s="1">
        <v>43024</v>
      </c>
      <c r="C86" t="s">
        <v>87</v>
      </c>
      <c r="D86" t="s">
        <v>39</v>
      </c>
      <c r="E86">
        <v>2.2136607608908448E-3</v>
      </c>
    </row>
    <row r="87" spans="1:5" x14ac:dyDescent="0.2">
      <c r="A87" s="13">
        <v>85</v>
      </c>
      <c r="B87" s="1">
        <v>43024</v>
      </c>
      <c r="C87" t="s">
        <v>87</v>
      </c>
      <c r="D87" t="s">
        <v>32</v>
      </c>
      <c r="E87">
        <v>2.7568862649623063E-2</v>
      </c>
    </row>
    <row r="88" spans="1:5" x14ac:dyDescent="0.2">
      <c r="A88" s="13">
        <v>86</v>
      </c>
      <c r="B88" s="1">
        <v>43024</v>
      </c>
      <c r="C88" t="s">
        <v>87</v>
      </c>
      <c r="D88" t="s">
        <v>30</v>
      </c>
      <c r="E88">
        <v>8.3410545083945466E-4</v>
      </c>
    </row>
    <row r="89" spans="1:5" x14ac:dyDescent="0.2">
      <c r="A89" s="13">
        <v>87</v>
      </c>
      <c r="B89" s="1">
        <v>43024</v>
      </c>
      <c r="C89" t="s">
        <v>87</v>
      </c>
      <c r="D89" t="s">
        <v>49</v>
      </c>
      <c r="E89">
        <v>0</v>
      </c>
    </row>
    <row r="90" spans="1:5" x14ac:dyDescent="0.2">
      <c r="A90" s="13">
        <v>88</v>
      </c>
      <c r="B90" s="1">
        <v>43024</v>
      </c>
      <c r="C90" t="s">
        <v>87</v>
      </c>
      <c r="D90" t="s">
        <v>145</v>
      </c>
      <c r="E90">
        <v>9.5724147955859439E-4</v>
      </c>
    </row>
    <row r="91" spans="1:5" x14ac:dyDescent="0.2">
      <c r="A91" s="13">
        <v>89</v>
      </c>
      <c r="B91" s="1">
        <v>43024</v>
      </c>
      <c r="C91" t="s">
        <v>87</v>
      </c>
      <c r="D91" t="s">
        <v>233</v>
      </c>
      <c r="E91">
        <v>0</v>
      </c>
    </row>
    <row r="92" spans="1:5" x14ac:dyDescent="0.2">
      <c r="A92" s="13">
        <v>90</v>
      </c>
      <c r="B92" s="1">
        <v>43024</v>
      </c>
      <c r="C92" t="s">
        <v>87</v>
      </c>
      <c r="D92" t="s">
        <v>172</v>
      </c>
      <c r="E92">
        <v>0</v>
      </c>
    </row>
    <row r="93" spans="1:5" x14ac:dyDescent="0.2">
      <c r="A93" s="13">
        <v>91</v>
      </c>
      <c r="B93" s="1">
        <v>43024</v>
      </c>
      <c r="C93" t="s">
        <v>87</v>
      </c>
      <c r="D93" t="s">
        <v>72</v>
      </c>
      <c r="E93">
        <v>9.3908809883682309</v>
      </c>
    </row>
    <row r="94" spans="1:5" x14ac:dyDescent="0.2">
      <c r="A94" s="13">
        <v>92</v>
      </c>
      <c r="B94" s="1">
        <v>43024</v>
      </c>
      <c r="C94" t="s">
        <v>87</v>
      </c>
      <c r="D94" t="s">
        <v>186</v>
      </c>
      <c r="E94">
        <v>3.0017269493629026E-2</v>
      </c>
    </row>
    <row r="95" spans="1:5" x14ac:dyDescent="0.2">
      <c r="A95" s="13">
        <v>93</v>
      </c>
      <c r="B95" s="1">
        <v>43024</v>
      </c>
      <c r="C95" t="s">
        <v>87</v>
      </c>
      <c r="D95" t="s">
        <v>187</v>
      </c>
      <c r="E95">
        <v>1.2379843085233975E-3</v>
      </c>
    </row>
    <row r="96" spans="1:5" x14ac:dyDescent="0.2">
      <c r="A96" s="13">
        <v>94</v>
      </c>
      <c r="B96" s="1">
        <v>43024</v>
      </c>
      <c r="C96" t="s">
        <v>87</v>
      </c>
      <c r="D96" t="s">
        <v>188</v>
      </c>
      <c r="E96">
        <v>2.1101096893680866E-4</v>
      </c>
    </row>
    <row r="97" spans="1:5" x14ac:dyDescent="0.2">
      <c r="A97" s="13">
        <v>95</v>
      </c>
      <c r="B97" s="1">
        <v>43024</v>
      </c>
      <c r="C97" t="s">
        <v>87</v>
      </c>
      <c r="D97" t="s">
        <v>189</v>
      </c>
      <c r="E97">
        <v>2.4842477043728679E-4</v>
      </c>
    </row>
    <row r="98" spans="1:5" x14ac:dyDescent="0.2">
      <c r="A98" s="13">
        <v>96</v>
      </c>
      <c r="B98" s="1">
        <v>43024</v>
      </c>
      <c r="C98" t="s">
        <v>87</v>
      </c>
      <c r="D98" t="s">
        <v>190</v>
      </c>
      <c r="E98">
        <v>1.7167348796127922E-4</v>
      </c>
    </row>
    <row r="99" spans="1:5" x14ac:dyDescent="0.2">
      <c r="A99" s="13">
        <v>97</v>
      </c>
      <c r="B99" s="1">
        <v>43024</v>
      </c>
      <c r="C99" t="s">
        <v>87</v>
      </c>
      <c r="D99" t="s">
        <v>191</v>
      </c>
      <c r="E99">
        <v>-3.1249268857584444E-4</v>
      </c>
    </row>
    <row r="100" spans="1:5" x14ac:dyDescent="0.2">
      <c r="A100" s="13">
        <v>98</v>
      </c>
      <c r="B100" s="1">
        <v>43024</v>
      </c>
      <c r="C100" t="s">
        <v>61</v>
      </c>
      <c r="D100" t="s">
        <v>39</v>
      </c>
      <c r="E100">
        <v>1.0959293948240294E-3</v>
      </c>
    </row>
    <row r="101" spans="1:5" x14ac:dyDescent="0.2">
      <c r="A101" s="13">
        <v>99</v>
      </c>
      <c r="B101" s="1">
        <v>43024</v>
      </c>
      <c r="C101" t="s">
        <v>61</v>
      </c>
      <c r="D101" t="s">
        <v>32</v>
      </c>
      <c r="E101">
        <v>2.0746801993338043E-2</v>
      </c>
    </row>
    <row r="102" spans="1:5" x14ac:dyDescent="0.2">
      <c r="A102" s="13">
        <v>100</v>
      </c>
      <c r="B102" s="1">
        <v>43024</v>
      </c>
      <c r="C102" t="s">
        <v>61</v>
      </c>
      <c r="D102" t="s">
        <v>30</v>
      </c>
      <c r="E102">
        <v>0</v>
      </c>
    </row>
    <row r="103" spans="1:5" x14ac:dyDescent="0.2">
      <c r="A103" s="13">
        <v>101</v>
      </c>
      <c r="B103" s="1">
        <v>43024</v>
      </c>
      <c r="C103" t="s">
        <v>61</v>
      </c>
      <c r="D103" t="s">
        <v>49</v>
      </c>
      <c r="E103">
        <v>0</v>
      </c>
    </row>
    <row r="104" spans="1:5" x14ac:dyDescent="0.2">
      <c r="A104" s="13">
        <v>102</v>
      </c>
      <c r="B104" s="1">
        <v>43024</v>
      </c>
      <c r="C104" t="s">
        <v>61</v>
      </c>
      <c r="D104" t="s">
        <v>145</v>
      </c>
      <c r="E104">
        <v>0</v>
      </c>
    </row>
    <row r="105" spans="1:5" x14ac:dyDescent="0.2">
      <c r="A105" s="13">
        <v>103</v>
      </c>
      <c r="B105" s="1">
        <v>43024</v>
      </c>
      <c r="C105" t="s">
        <v>61</v>
      </c>
      <c r="D105" t="s">
        <v>233</v>
      </c>
      <c r="E105">
        <v>0</v>
      </c>
    </row>
    <row r="106" spans="1:5" x14ac:dyDescent="0.2">
      <c r="A106" s="13">
        <v>104</v>
      </c>
      <c r="B106" s="1">
        <v>43024</v>
      </c>
      <c r="C106" t="s">
        <v>61</v>
      </c>
      <c r="D106" t="s">
        <v>172</v>
      </c>
      <c r="E106">
        <v>0</v>
      </c>
    </row>
    <row r="107" spans="1:5" x14ac:dyDescent="0.2">
      <c r="A107" s="13">
        <v>105</v>
      </c>
      <c r="B107" s="1">
        <v>43024</v>
      </c>
      <c r="C107" t="s">
        <v>61</v>
      </c>
      <c r="D107" t="s">
        <v>72</v>
      </c>
      <c r="E107">
        <v>5.2389076210356738</v>
      </c>
    </row>
    <row r="108" spans="1:5" x14ac:dyDescent="0.2">
      <c r="A108" s="13">
        <v>106</v>
      </c>
      <c r="B108" s="1">
        <v>43024</v>
      </c>
      <c r="C108" t="s">
        <v>61</v>
      </c>
      <c r="D108" t="s">
        <v>186</v>
      </c>
      <c r="E108">
        <v>2.1842337072631546E-2</v>
      </c>
    </row>
    <row r="109" spans="1:5" x14ac:dyDescent="0.2">
      <c r="A109" s="13">
        <v>107</v>
      </c>
      <c r="B109" s="1">
        <v>43024</v>
      </c>
      <c r="C109" t="s">
        <v>61</v>
      </c>
      <c r="D109" t="s">
        <v>187</v>
      </c>
      <c r="E109">
        <v>0</v>
      </c>
    </row>
    <row r="110" spans="1:5" x14ac:dyDescent="0.2">
      <c r="A110" s="13">
        <v>108</v>
      </c>
      <c r="B110" s="1">
        <v>43024</v>
      </c>
      <c r="C110" t="s">
        <v>61</v>
      </c>
      <c r="D110" t="s">
        <v>188</v>
      </c>
      <c r="E110">
        <v>3.9431553052563523E-7</v>
      </c>
    </row>
    <row r="111" spans="1:5" x14ac:dyDescent="0.2">
      <c r="A111" s="13">
        <v>109</v>
      </c>
      <c r="B111" s="1">
        <v>43024</v>
      </c>
      <c r="C111" t="s">
        <v>61</v>
      </c>
      <c r="D111" t="s">
        <v>189</v>
      </c>
      <c r="E111">
        <v>0</v>
      </c>
    </row>
    <row r="112" spans="1:5" x14ac:dyDescent="0.2">
      <c r="A112" s="13">
        <v>110</v>
      </c>
      <c r="B112" s="1">
        <v>43024</v>
      </c>
      <c r="C112" t="s">
        <v>61</v>
      </c>
      <c r="D112" t="s">
        <v>190</v>
      </c>
      <c r="E112">
        <v>0</v>
      </c>
    </row>
    <row r="113" spans="1:5" x14ac:dyDescent="0.2">
      <c r="A113" s="13">
        <v>111</v>
      </c>
      <c r="B113" s="1">
        <v>43024</v>
      </c>
      <c r="C113" t="s">
        <v>61</v>
      </c>
      <c r="D113" t="s">
        <v>191</v>
      </c>
      <c r="E113">
        <v>0</v>
      </c>
    </row>
    <row r="114" spans="1:5" x14ac:dyDescent="0.2">
      <c r="A114" s="13">
        <v>112</v>
      </c>
      <c r="B114" s="1">
        <v>43024</v>
      </c>
      <c r="C114" t="s">
        <v>53</v>
      </c>
      <c r="D114" t="s">
        <v>39</v>
      </c>
      <c r="E114">
        <v>1.9115096293269846E-4</v>
      </c>
    </row>
    <row r="115" spans="1:5" x14ac:dyDescent="0.2">
      <c r="A115" s="13">
        <v>113</v>
      </c>
      <c r="B115" s="1">
        <v>43024</v>
      </c>
      <c r="C115" t="s">
        <v>53</v>
      </c>
      <c r="D115" t="s">
        <v>32</v>
      </c>
      <c r="E115">
        <v>6.4350089845211485E-3</v>
      </c>
    </row>
    <row r="116" spans="1:5" x14ac:dyDescent="0.2">
      <c r="A116" s="13">
        <v>114</v>
      </c>
      <c r="B116" s="1">
        <v>43024</v>
      </c>
      <c r="C116" t="s">
        <v>53</v>
      </c>
      <c r="D116" t="s">
        <v>30</v>
      </c>
      <c r="E116">
        <v>7.1592122250946474E-4</v>
      </c>
    </row>
    <row r="117" spans="1:5" x14ac:dyDescent="0.2">
      <c r="A117" s="13">
        <v>115</v>
      </c>
      <c r="B117" s="1">
        <v>43024</v>
      </c>
      <c r="C117" t="s">
        <v>53</v>
      </c>
      <c r="D117" t="s">
        <v>49</v>
      </c>
      <c r="E117">
        <v>0</v>
      </c>
    </row>
    <row r="118" spans="1:5" x14ac:dyDescent="0.2">
      <c r="A118" s="13">
        <v>116</v>
      </c>
      <c r="B118" s="1">
        <v>43024</v>
      </c>
      <c r="C118" t="s">
        <v>53</v>
      </c>
      <c r="D118" t="s">
        <v>145</v>
      </c>
      <c r="E118">
        <v>0</v>
      </c>
    </row>
    <row r="119" spans="1:5" x14ac:dyDescent="0.2">
      <c r="A119" s="13">
        <v>117</v>
      </c>
      <c r="B119" s="1">
        <v>43024</v>
      </c>
      <c r="C119" t="s">
        <v>53</v>
      </c>
      <c r="D119" t="s">
        <v>233</v>
      </c>
      <c r="E119">
        <v>0</v>
      </c>
    </row>
    <row r="120" spans="1:5" x14ac:dyDescent="0.2">
      <c r="A120" s="13">
        <v>118</v>
      </c>
      <c r="B120" s="1">
        <v>43024</v>
      </c>
      <c r="C120" t="s">
        <v>53</v>
      </c>
      <c r="D120" t="s">
        <v>172</v>
      </c>
      <c r="E120">
        <v>0</v>
      </c>
    </row>
    <row r="121" spans="1:5" x14ac:dyDescent="0.2">
      <c r="A121" s="13">
        <v>119</v>
      </c>
      <c r="B121" s="1">
        <v>43024</v>
      </c>
      <c r="C121" t="s">
        <v>53</v>
      </c>
      <c r="D121" t="s">
        <v>72</v>
      </c>
      <c r="E121">
        <v>6.3775084148228496</v>
      </c>
    </row>
    <row r="122" spans="1:5" x14ac:dyDescent="0.2">
      <c r="A122" s="13">
        <v>120</v>
      </c>
      <c r="B122" s="1">
        <v>43024</v>
      </c>
      <c r="C122" t="s">
        <v>53</v>
      </c>
      <c r="D122" t="s">
        <v>186</v>
      </c>
      <c r="E122">
        <v>4.3084130996296557E-3</v>
      </c>
    </row>
    <row r="123" spans="1:5" x14ac:dyDescent="0.2">
      <c r="A123" s="13">
        <v>121</v>
      </c>
      <c r="B123" s="1">
        <v>43024</v>
      </c>
      <c r="C123" t="s">
        <v>53</v>
      </c>
      <c r="D123" t="s">
        <v>187</v>
      </c>
      <c r="E123">
        <v>0</v>
      </c>
    </row>
    <row r="124" spans="1:5" x14ac:dyDescent="0.2">
      <c r="A124" s="13">
        <v>122</v>
      </c>
      <c r="B124" s="1">
        <v>43024</v>
      </c>
      <c r="C124" t="s">
        <v>53</v>
      </c>
      <c r="D124" t="s">
        <v>188</v>
      </c>
      <c r="E124">
        <v>0</v>
      </c>
    </row>
    <row r="125" spans="1:5" x14ac:dyDescent="0.2">
      <c r="A125" s="13">
        <v>123</v>
      </c>
      <c r="B125" s="1">
        <v>43024</v>
      </c>
      <c r="C125" t="s">
        <v>53</v>
      </c>
      <c r="D125" t="s">
        <v>189</v>
      </c>
      <c r="E125">
        <v>0</v>
      </c>
    </row>
    <row r="126" spans="1:5" x14ac:dyDescent="0.2">
      <c r="A126" s="13">
        <v>124</v>
      </c>
      <c r="B126" s="1">
        <v>43024</v>
      </c>
      <c r="C126" t="s">
        <v>53</v>
      </c>
      <c r="D126" t="s">
        <v>190</v>
      </c>
      <c r="E126">
        <v>0</v>
      </c>
    </row>
    <row r="127" spans="1:5" x14ac:dyDescent="0.2">
      <c r="A127" s="13">
        <v>125</v>
      </c>
      <c r="B127" s="1">
        <v>43024</v>
      </c>
      <c r="C127" t="s">
        <v>53</v>
      </c>
      <c r="D127" t="s">
        <v>191</v>
      </c>
      <c r="E127">
        <v>3.0336680703336562E-3</v>
      </c>
    </row>
    <row r="128" spans="1:5" x14ac:dyDescent="0.2">
      <c r="A128" s="13">
        <v>126</v>
      </c>
      <c r="B128" s="1">
        <v>43021</v>
      </c>
      <c r="C128" t="s">
        <v>62</v>
      </c>
      <c r="D128" t="s">
        <v>39</v>
      </c>
      <c r="E128">
        <v>4.2452815084122039E-3</v>
      </c>
    </row>
    <row r="129" spans="1:5" x14ac:dyDescent="0.2">
      <c r="A129" s="13">
        <v>127</v>
      </c>
      <c r="B129" s="1">
        <v>43021</v>
      </c>
      <c r="C129" t="s">
        <v>62</v>
      </c>
      <c r="D129" t="s">
        <v>32</v>
      </c>
      <c r="E129">
        <v>6.3183734589251491E-3</v>
      </c>
    </row>
    <row r="130" spans="1:5" x14ac:dyDescent="0.2">
      <c r="A130" s="13">
        <v>128</v>
      </c>
      <c r="B130" s="1">
        <v>43021</v>
      </c>
      <c r="C130" t="s">
        <v>62</v>
      </c>
      <c r="D130" t="s">
        <v>30</v>
      </c>
      <c r="E130">
        <v>1.0065894836345797E-5</v>
      </c>
    </row>
    <row r="131" spans="1:5" x14ac:dyDescent="0.2">
      <c r="A131" s="13">
        <v>129</v>
      </c>
      <c r="B131" s="1">
        <v>43021</v>
      </c>
      <c r="C131" t="s">
        <v>62</v>
      </c>
      <c r="D131" t="s">
        <v>49</v>
      </c>
      <c r="E131">
        <v>4.3639173228667764E-8</v>
      </c>
    </row>
    <row r="132" spans="1:5" x14ac:dyDescent="0.2">
      <c r="A132" s="13">
        <v>130</v>
      </c>
      <c r="B132" s="1">
        <v>43021</v>
      </c>
      <c r="C132" t="s">
        <v>62</v>
      </c>
      <c r="D132" t="s">
        <v>145</v>
      </c>
      <c r="E132">
        <v>0</v>
      </c>
    </row>
    <row r="133" spans="1:5" x14ac:dyDescent="0.2">
      <c r="A133" s="13">
        <v>131</v>
      </c>
      <c r="B133" s="1">
        <v>43021</v>
      </c>
      <c r="C133" t="s">
        <v>62</v>
      </c>
      <c r="D133" t="s">
        <v>233</v>
      </c>
      <c r="E133">
        <v>0</v>
      </c>
    </row>
    <row r="134" spans="1:5" x14ac:dyDescent="0.2">
      <c r="A134" s="13">
        <v>132</v>
      </c>
      <c r="B134" s="1">
        <v>43021</v>
      </c>
      <c r="C134" t="s">
        <v>62</v>
      </c>
      <c r="D134" t="s">
        <v>172</v>
      </c>
      <c r="E134">
        <v>0</v>
      </c>
    </row>
    <row r="135" spans="1:5" x14ac:dyDescent="0.2">
      <c r="A135" s="13">
        <v>133</v>
      </c>
      <c r="B135" s="1">
        <v>43021</v>
      </c>
      <c r="C135" t="s">
        <v>62</v>
      </c>
      <c r="D135" t="s">
        <v>72</v>
      </c>
      <c r="E135">
        <v>3.2326225998893654</v>
      </c>
    </row>
    <row r="136" spans="1:5" x14ac:dyDescent="0.2">
      <c r="A136" s="13">
        <v>134</v>
      </c>
      <c r="B136" s="1">
        <v>43021</v>
      </c>
      <c r="C136" t="s">
        <v>62</v>
      </c>
      <c r="D136" t="s">
        <v>186</v>
      </c>
      <c r="E136">
        <v>1.0563654967337356E-2</v>
      </c>
    </row>
    <row r="137" spans="1:5" x14ac:dyDescent="0.2">
      <c r="A137" s="13">
        <v>135</v>
      </c>
      <c r="B137" s="1">
        <v>43021</v>
      </c>
      <c r="C137" t="s">
        <v>62</v>
      </c>
      <c r="D137" t="s">
        <v>187</v>
      </c>
      <c r="E137">
        <v>0</v>
      </c>
    </row>
    <row r="138" spans="1:5" x14ac:dyDescent="0.2">
      <c r="A138" s="13">
        <v>136</v>
      </c>
      <c r="B138" s="1">
        <v>43021</v>
      </c>
      <c r="C138" t="s">
        <v>62</v>
      </c>
      <c r="D138" t="s">
        <v>188</v>
      </c>
      <c r="E138">
        <v>0</v>
      </c>
    </row>
    <row r="139" spans="1:5" x14ac:dyDescent="0.2">
      <c r="A139" s="13">
        <v>137</v>
      </c>
      <c r="B139" s="1">
        <v>43021</v>
      </c>
      <c r="C139" t="s">
        <v>62</v>
      </c>
      <c r="D139" t="s">
        <v>189</v>
      </c>
      <c r="E139">
        <v>0</v>
      </c>
    </row>
    <row r="140" spans="1:5" x14ac:dyDescent="0.2">
      <c r="A140" s="13">
        <v>138</v>
      </c>
      <c r="B140" s="1">
        <v>43021</v>
      </c>
      <c r="C140" t="s">
        <v>62</v>
      </c>
      <c r="D140" t="s">
        <v>190</v>
      </c>
      <c r="E140">
        <v>0</v>
      </c>
    </row>
    <row r="141" spans="1:5" x14ac:dyDescent="0.2">
      <c r="A141" s="13">
        <v>139</v>
      </c>
      <c r="B141" s="1">
        <v>43021</v>
      </c>
      <c r="C141" t="s">
        <v>62</v>
      </c>
      <c r="D141" t="s">
        <v>191</v>
      </c>
      <c r="E141">
        <v>1.0109534009574464E-5</v>
      </c>
    </row>
    <row r="142" spans="1:5" x14ac:dyDescent="0.2">
      <c r="A142" s="13">
        <v>140</v>
      </c>
      <c r="B142" s="1">
        <v>43021</v>
      </c>
      <c r="C142" t="s">
        <v>63</v>
      </c>
      <c r="D142" t="s">
        <v>39</v>
      </c>
      <c r="E142">
        <v>7.6239563739705423E-3</v>
      </c>
    </row>
    <row r="143" spans="1:5" x14ac:dyDescent="0.2">
      <c r="A143" s="13">
        <v>141</v>
      </c>
      <c r="B143" s="1">
        <v>43021</v>
      </c>
      <c r="C143" t="s">
        <v>63</v>
      </c>
      <c r="D143" t="s">
        <v>32</v>
      </c>
      <c r="E143">
        <v>1.1768140326801974E-2</v>
      </c>
    </row>
    <row r="144" spans="1:5" x14ac:dyDescent="0.2">
      <c r="A144" s="13">
        <v>142</v>
      </c>
      <c r="B144" s="1">
        <v>43021</v>
      </c>
      <c r="C144" t="s">
        <v>63</v>
      </c>
      <c r="D144" t="s">
        <v>30</v>
      </c>
      <c r="E144">
        <v>1.3818250519813502E-5</v>
      </c>
    </row>
    <row r="145" spans="1:5" x14ac:dyDescent="0.2">
      <c r="A145" s="13">
        <v>143</v>
      </c>
      <c r="B145" s="1">
        <v>43021</v>
      </c>
      <c r="C145" t="s">
        <v>63</v>
      </c>
      <c r="D145" t="s">
        <v>49</v>
      </c>
      <c r="E145">
        <v>4.9537634204707692E-7</v>
      </c>
    </row>
    <row r="146" spans="1:5" x14ac:dyDescent="0.2">
      <c r="A146" s="13">
        <v>144</v>
      </c>
      <c r="B146" s="1">
        <v>43021</v>
      </c>
      <c r="C146" t="s">
        <v>63</v>
      </c>
      <c r="D146" t="s">
        <v>145</v>
      </c>
      <c r="E146">
        <v>0</v>
      </c>
    </row>
    <row r="147" spans="1:5" x14ac:dyDescent="0.2">
      <c r="A147" s="13">
        <v>145</v>
      </c>
      <c r="B147" s="1">
        <v>43021</v>
      </c>
      <c r="C147" t="s">
        <v>63</v>
      </c>
      <c r="D147" t="s">
        <v>233</v>
      </c>
      <c r="E147">
        <v>0</v>
      </c>
    </row>
    <row r="148" spans="1:5" x14ac:dyDescent="0.2">
      <c r="A148" s="13">
        <v>146</v>
      </c>
      <c r="B148" s="1">
        <v>43021</v>
      </c>
      <c r="C148" t="s">
        <v>63</v>
      </c>
      <c r="D148" t="s">
        <v>172</v>
      </c>
      <c r="E148">
        <v>0</v>
      </c>
    </row>
    <row r="149" spans="1:5" x14ac:dyDescent="0.2">
      <c r="A149" s="13">
        <v>147</v>
      </c>
      <c r="B149" s="1">
        <v>43021</v>
      </c>
      <c r="C149" t="s">
        <v>63</v>
      </c>
      <c r="D149" t="s">
        <v>72</v>
      </c>
      <c r="E149">
        <v>5.9236355630043702</v>
      </c>
    </row>
    <row r="150" spans="1:5" x14ac:dyDescent="0.2">
      <c r="A150" s="13">
        <v>148</v>
      </c>
      <c r="B150" s="1">
        <v>43021</v>
      </c>
      <c r="C150" t="s">
        <v>63</v>
      </c>
      <c r="D150" t="s">
        <v>186</v>
      </c>
      <c r="E150">
        <v>1.9392096700772514E-2</v>
      </c>
    </row>
    <row r="151" spans="1:5" x14ac:dyDescent="0.2">
      <c r="A151" s="13">
        <v>149</v>
      </c>
      <c r="B151" s="1">
        <v>43021</v>
      </c>
      <c r="C151" t="s">
        <v>63</v>
      </c>
      <c r="D151" t="s">
        <v>187</v>
      </c>
      <c r="E151">
        <v>0</v>
      </c>
    </row>
    <row r="152" spans="1:5" x14ac:dyDescent="0.2">
      <c r="A152" s="13">
        <v>150</v>
      </c>
      <c r="B152" s="1">
        <v>43021</v>
      </c>
      <c r="C152" t="s">
        <v>63</v>
      </c>
      <c r="D152" t="s">
        <v>188</v>
      </c>
      <c r="E152">
        <v>0</v>
      </c>
    </row>
    <row r="153" spans="1:5" x14ac:dyDescent="0.2">
      <c r="A153" s="13">
        <v>151</v>
      </c>
      <c r="B153" s="1">
        <v>43021</v>
      </c>
      <c r="C153" t="s">
        <v>63</v>
      </c>
      <c r="D153" t="s">
        <v>189</v>
      </c>
      <c r="E153">
        <v>0</v>
      </c>
    </row>
    <row r="154" spans="1:5" x14ac:dyDescent="0.2">
      <c r="A154" s="13">
        <v>152</v>
      </c>
      <c r="B154" s="1">
        <v>43021</v>
      </c>
      <c r="C154" t="s">
        <v>63</v>
      </c>
      <c r="D154" t="s">
        <v>190</v>
      </c>
      <c r="E154">
        <v>0</v>
      </c>
    </row>
    <row r="155" spans="1:5" x14ac:dyDescent="0.2">
      <c r="A155" s="13">
        <v>153</v>
      </c>
      <c r="B155" s="1">
        <v>43021</v>
      </c>
      <c r="C155" t="s">
        <v>63</v>
      </c>
      <c r="D155" t="s">
        <v>191</v>
      </c>
      <c r="E155">
        <v>1.431362686186058E-5</v>
      </c>
    </row>
    <row r="156" spans="1:5" x14ac:dyDescent="0.2">
      <c r="A156" s="13">
        <v>154</v>
      </c>
      <c r="B156" s="1">
        <v>43021</v>
      </c>
      <c r="C156" t="s">
        <v>103</v>
      </c>
      <c r="D156" t="s">
        <v>39</v>
      </c>
      <c r="E156">
        <v>1.5627069316681171E-2</v>
      </c>
    </row>
    <row r="157" spans="1:5" x14ac:dyDescent="0.2">
      <c r="A157" s="13">
        <v>155</v>
      </c>
      <c r="B157" s="1">
        <v>43021</v>
      </c>
      <c r="C157" t="s">
        <v>103</v>
      </c>
      <c r="D157" t="s">
        <v>32</v>
      </c>
      <c r="E157">
        <v>0</v>
      </c>
    </row>
    <row r="158" spans="1:5" x14ac:dyDescent="0.2">
      <c r="A158" s="13">
        <v>156</v>
      </c>
      <c r="B158" s="1">
        <v>43021</v>
      </c>
      <c r="C158" t="s">
        <v>103</v>
      </c>
      <c r="D158" t="s">
        <v>30</v>
      </c>
      <c r="E158">
        <v>0</v>
      </c>
    </row>
    <row r="159" spans="1:5" x14ac:dyDescent="0.2">
      <c r="A159" s="13">
        <v>157</v>
      </c>
      <c r="B159" s="1">
        <v>43021</v>
      </c>
      <c r="C159" t="s">
        <v>103</v>
      </c>
      <c r="D159" t="s">
        <v>49</v>
      </c>
      <c r="E159">
        <v>0</v>
      </c>
    </row>
    <row r="160" spans="1:5" x14ac:dyDescent="0.2">
      <c r="A160" s="13">
        <v>158</v>
      </c>
      <c r="B160" s="1">
        <v>43021</v>
      </c>
      <c r="C160" t="s">
        <v>103</v>
      </c>
      <c r="D160" t="s">
        <v>145</v>
      </c>
      <c r="E160">
        <v>0</v>
      </c>
    </row>
    <row r="161" spans="1:5" x14ac:dyDescent="0.2">
      <c r="A161" s="13">
        <v>159</v>
      </c>
      <c r="B161" s="1">
        <v>43021</v>
      </c>
      <c r="C161" t="s">
        <v>103</v>
      </c>
      <c r="D161" t="s">
        <v>233</v>
      </c>
      <c r="E161">
        <v>0</v>
      </c>
    </row>
    <row r="162" spans="1:5" x14ac:dyDescent="0.2">
      <c r="A162" s="13">
        <v>160</v>
      </c>
      <c r="B162" s="1">
        <v>43021</v>
      </c>
      <c r="C162" t="s">
        <v>103</v>
      </c>
      <c r="D162" t="s">
        <v>172</v>
      </c>
      <c r="E162">
        <v>0</v>
      </c>
    </row>
    <row r="163" spans="1:5" x14ac:dyDescent="0.2">
      <c r="A163" s="13">
        <v>161</v>
      </c>
      <c r="B163" s="1">
        <v>43021</v>
      </c>
      <c r="C163" t="s">
        <v>103</v>
      </c>
      <c r="D163" t="s">
        <v>72</v>
      </c>
      <c r="E163">
        <v>0</v>
      </c>
    </row>
    <row r="164" spans="1:5" x14ac:dyDescent="0.2">
      <c r="A164" s="13">
        <v>162</v>
      </c>
      <c r="B164" s="1">
        <v>43021</v>
      </c>
      <c r="C164" t="s">
        <v>103</v>
      </c>
      <c r="D164" t="s">
        <v>186</v>
      </c>
      <c r="E164">
        <v>1.5627069316681171E-2</v>
      </c>
    </row>
    <row r="165" spans="1:5" x14ac:dyDescent="0.2">
      <c r="A165" s="13">
        <v>163</v>
      </c>
      <c r="B165" s="1">
        <v>43021</v>
      </c>
      <c r="C165" t="s">
        <v>103</v>
      </c>
      <c r="D165" t="s">
        <v>187</v>
      </c>
      <c r="E165">
        <v>0</v>
      </c>
    </row>
    <row r="166" spans="1:5" x14ac:dyDescent="0.2">
      <c r="A166" s="13">
        <v>164</v>
      </c>
      <c r="B166" s="1">
        <v>43021</v>
      </c>
      <c r="C166" t="s">
        <v>103</v>
      </c>
      <c r="D166" t="s">
        <v>188</v>
      </c>
      <c r="E166">
        <v>0</v>
      </c>
    </row>
    <row r="167" spans="1:5" x14ac:dyDescent="0.2">
      <c r="A167" s="13">
        <v>165</v>
      </c>
      <c r="B167" s="1">
        <v>43021</v>
      </c>
      <c r="C167" t="s">
        <v>103</v>
      </c>
      <c r="D167" t="s">
        <v>189</v>
      </c>
      <c r="E167">
        <v>0</v>
      </c>
    </row>
    <row r="168" spans="1:5" x14ac:dyDescent="0.2">
      <c r="A168" s="13">
        <v>166</v>
      </c>
      <c r="B168" s="1">
        <v>43021</v>
      </c>
      <c r="C168" t="s">
        <v>103</v>
      </c>
      <c r="D168" t="s">
        <v>190</v>
      </c>
      <c r="E168">
        <v>0</v>
      </c>
    </row>
    <row r="169" spans="1:5" x14ac:dyDescent="0.2">
      <c r="A169" s="13">
        <v>167</v>
      </c>
      <c r="B169" s="1">
        <v>43021</v>
      </c>
      <c r="C169" t="s">
        <v>103</v>
      </c>
      <c r="D169" t="s">
        <v>191</v>
      </c>
      <c r="E169">
        <v>0</v>
      </c>
    </row>
    <row r="170" spans="1:5" x14ac:dyDescent="0.2">
      <c r="A170" s="13">
        <v>168</v>
      </c>
      <c r="B170" s="1">
        <v>43021</v>
      </c>
      <c r="C170" t="s">
        <v>104</v>
      </c>
      <c r="D170" t="s">
        <v>39</v>
      </c>
      <c r="E170">
        <v>7.3071995067288481E-2</v>
      </c>
    </row>
    <row r="171" spans="1:5" x14ac:dyDescent="0.2">
      <c r="A171" s="13">
        <v>169</v>
      </c>
      <c r="B171" s="1">
        <v>43021</v>
      </c>
      <c r="C171" t="s">
        <v>104</v>
      </c>
      <c r="D171" t="s">
        <v>32</v>
      </c>
      <c r="E171">
        <v>0</v>
      </c>
    </row>
    <row r="172" spans="1:5" x14ac:dyDescent="0.2">
      <c r="A172" s="13">
        <v>170</v>
      </c>
      <c r="B172" s="1">
        <v>43021</v>
      </c>
      <c r="C172" t="s">
        <v>104</v>
      </c>
      <c r="D172" t="s">
        <v>30</v>
      </c>
      <c r="E172">
        <v>0</v>
      </c>
    </row>
    <row r="173" spans="1:5" x14ac:dyDescent="0.2">
      <c r="A173" s="13">
        <v>171</v>
      </c>
      <c r="B173" s="1">
        <v>43021</v>
      </c>
      <c r="C173" t="s">
        <v>104</v>
      </c>
      <c r="D173" t="s">
        <v>49</v>
      </c>
      <c r="E173">
        <v>0</v>
      </c>
    </row>
    <row r="174" spans="1:5" x14ac:dyDescent="0.2">
      <c r="A174" s="13">
        <v>172</v>
      </c>
      <c r="B174" s="1">
        <v>43021</v>
      </c>
      <c r="C174" t="s">
        <v>104</v>
      </c>
      <c r="D174" t="s">
        <v>145</v>
      </c>
      <c r="E174">
        <v>0</v>
      </c>
    </row>
    <row r="175" spans="1:5" x14ac:dyDescent="0.2">
      <c r="A175" s="13">
        <v>173</v>
      </c>
      <c r="B175" s="1">
        <v>43021</v>
      </c>
      <c r="C175" t="s">
        <v>104</v>
      </c>
      <c r="D175" t="s">
        <v>233</v>
      </c>
      <c r="E175">
        <v>0</v>
      </c>
    </row>
    <row r="176" spans="1:5" x14ac:dyDescent="0.2">
      <c r="A176" s="13">
        <v>174</v>
      </c>
      <c r="B176" s="1">
        <v>43021</v>
      </c>
      <c r="C176" t="s">
        <v>104</v>
      </c>
      <c r="D176" t="s">
        <v>172</v>
      </c>
      <c r="E176">
        <v>0</v>
      </c>
    </row>
    <row r="177" spans="1:5" x14ac:dyDescent="0.2">
      <c r="A177" s="13">
        <v>175</v>
      </c>
      <c r="B177" s="1">
        <v>43021</v>
      </c>
      <c r="C177" t="s">
        <v>104</v>
      </c>
      <c r="D177" t="s">
        <v>72</v>
      </c>
      <c r="E177">
        <v>0</v>
      </c>
    </row>
    <row r="178" spans="1:5" x14ac:dyDescent="0.2">
      <c r="A178" s="13">
        <v>176</v>
      </c>
      <c r="B178" s="1">
        <v>43021</v>
      </c>
      <c r="C178" t="s">
        <v>104</v>
      </c>
      <c r="D178" t="s">
        <v>186</v>
      </c>
      <c r="E178">
        <v>7.3071995067288481E-2</v>
      </c>
    </row>
    <row r="179" spans="1:5" x14ac:dyDescent="0.2">
      <c r="A179" s="13">
        <v>177</v>
      </c>
      <c r="B179" s="1">
        <v>43021</v>
      </c>
      <c r="C179" t="s">
        <v>104</v>
      </c>
      <c r="D179" t="s">
        <v>187</v>
      </c>
      <c r="E179">
        <v>0</v>
      </c>
    </row>
    <row r="180" spans="1:5" x14ac:dyDescent="0.2">
      <c r="A180" s="13">
        <v>178</v>
      </c>
      <c r="B180" s="1">
        <v>43021</v>
      </c>
      <c r="C180" t="s">
        <v>104</v>
      </c>
      <c r="D180" t="s">
        <v>188</v>
      </c>
      <c r="E180">
        <v>0</v>
      </c>
    </row>
    <row r="181" spans="1:5" x14ac:dyDescent="0.2">
      <c r="A181" s="13">
        <v>179</v>
      </c>
      <c r="B181" s="1">
        <v>43021</v>
      </c>
      <c r="C181" t="s">
        <v>104</v>
      </c>
      <c r="D181" t="s">
        <v>189</v>
      </c>
      <c r="E181">
        <v>0</v>
      </c>
    </row>
    <row r="182" spans="1:5" x14ac:dyDescent="0.2">
      <c r="A182" s="13">
        <v>180</v>
      </c>
      <c r="B182" s="1">
        <v>43021</v>
      </c>
      <c r="C182" t="s">
        <v>104</v>
      </c>
      <c r="D182" t="s">
        <v>190</v>
      </c>
      <c r="E182">
        <v>0</v>
      </c>
    </row>
    <row r="183" spans="1:5" x14ac:dyDescent="0.2">
      <c r="A183" s="13">
        <v>181</v>
      </c>
      <c r="B183" s="1">
        <v>43021</v>
      </c>
      <c r="C183" t="s">
        <v>104</v>
      </c>
      <c r="D183" t="s">
        <v>191</v>
      </c>
      <c r="E183">
        <v>0</v>
      </c>
    </row>
    <row r="184" spans="1:5" x14ac:dyDescent="0.2">
      <c r="A184" s="13">
        <v>182</v>
      </c>
      <c r="B184" s="1">
        <v>43021</v>
      </c>
      <c r="C184" t="s">
        <v>151</v>
      </c>
      <c r="D184" t="s">
        <v>39</v>
      </c>
      <c r="E184">
        <v>0</v>
      </c>
    </row>
    <row r="185" spans="1:5" x14ac:dyDescent="0.2">
      <c r="A185" s="13">
        <v>183</v>
      </c>
      <c r="B185" s="1">
        <v>43021</v>
      </c>
      <c r="C185" t="s">
        <v>151</v>
      </c>
      <c r="D185" t="s">
        <v>32</v>
      </c>
      <c r="E185">
        <v>0</v>
      </c>
    </row>
    <row r="186" spans="1:5" x14ac:dyDescent="0.2">
      <c r="A186" s="13">
        <v>184</v>
      </c>
      <c r="B186" s="1">
        <v>43021</v>
      </c>
      <c r="C186" t="s">
        <v>151</v>
      </c>
      <c r="D186" t="s">
        <v>30</v>
      </c>
      <c r="E186">
        <v>4.8443132965399118E-3</v>
      </c>
    </row>
    <row r="187" spans="1:5" x14ac:dyDescent="0.2">
      <c r="A187" s="13">
        <v>185</v>
      </c>
      <c r="B187" s="1">
        <v>43021</v>
      </c>
      <c r="C187" t="s">
        <v>151</v>
      </c>
      <c r="D187" t="s">
        <v>49</v>
      </c>
      <c r="E187">
        <v>0</v>
      </c>
    </row>
    <row r="188" spans="1:5" x14ac:dyDescent="0.2">
      <c r="A188" s="13">
        <v>186</v>
      </c>
      <c r="B188" s="1">
        <v>43021</v>
      </c>
      <c r="C188" t="s">
        <v>151</v>
      </c>
      <c r="D188" t="s">
        <v>145</v>
      </c>
      <c r="E188">
        <v>0</v>
      </c>
    </row>
    <row r="189" spans="1:5" x14ac:dyDescent="0.2">
      <c r="A189" s="13">
        <v>187</v>
      </c>
      <c r="B189" s="1">
        <v>43021</v>
      </c>
      <c r="C189" t="s">
        <v>151</v>
      </c>
      <c r="D189" t="s">
        <v>233</v>
      </c>
      <c r="E189">
        <v>0</v>
      </c>
    </row>
    <row r="190" spans="1:5" x14ac:dyDescent="0.2">
      <c r="A190" s="13">
        <v>188</v>
      </c>
      <c r="B190" s="1">
        <v>43021</v>
      </c>
      <c r="C190" t="s">
        <v>151</v>
      </c>
      <c r="D190" t="s">
        <v>172</v>
      </c>
      <c r="E190">
        <v>0</v>
      </c>
    </row>
    <row r="191" spans="1:5" x14ac:dyDescent="0.2">
      <c r="A191" s="13">
        <v>189</v>
      </c>
      <c r="B191" s="1">
        <v>43021</v>
      </c>
      <c r="C191" t="s">
        <v>151</v>
      </c>
      <c r="D191" t="s">
        <v>72</v>
      </c>
      <c r="E191">
        <v>6.6306978571247068</v>
      </c>
    </row>
    <row r="192" spans="1:5" x14ac:dyDescent="0.2">
      <c r="A192" s="13">
        <v>190</v>
      </c>
      <c r="B192" s="1">
        <v>43021</v>
      </c>
      <c r="C192" t="s">
        <v>151</v>
      </c>
      <c r="D192" t="s">
        <v>186</v>
      </c>
      <c r="E192">
        <v>4.7678429760277902E-4</v>
      </c>
    </row>
    <row r="193" spans="1:5" x14ac:dyDescent="0.2">
      <c r="A193" s="13">
        <v>191</v>
      </c>
      <c r="B193" s="1">
        <v>43021</v>
      </c>
      <c r="C193" t="s">
        <v>151</v>
      </c>
      <c r="D193" t="s">
        <v>187</v>
      </c>
      <c r="E193">
        <v>2.3301515660108366E-3</v>
      </c>
    </row>
    <row r="194" spans="1:5" x14ac:dyDescent="0.2">
      <c r="A194" s="13">
        <v>192</v>
      </c>
      <c r="B194" s="1">
        <v>43021</v>
      </c>
      <c r="C194" t="s">
        <v>151</v>
      </c>
      <c r="D194" t="s">
        <v>188</v>
      </c>
      <c r="E194">
        <v>8.9318735575962189E-4</v>
      </c>
    </row>
    <row r="195" spans="1:5" x14ac:dyDescent="0.2">
      <c r="A195" s="13">
        <v>193</v>
      </c>
      <c r="B195" s="1">
        <v>43021</v>
      </c>
      <c r="C195" t="s">
        <v>151</v>
      </c>
      <c r="D195" t="s">
        <v>189</v>
      </c>
      <c r="E195">
        <v>6.6136106862857175E-4</v>
      </c>
    </row>
    <row r="196" spans="1:5" x14ac:dyDescent="0.2">
      <c r="A196" s="13">
        <v>194</v>
      </c>
      <c r="B196" s="1">
        <v>43021</v>
      </c>
      <c r="C196" t="s">
        <v>151</v>
      </c>
      <c r="D196" t="s">
        <v>190</v>
      </c>
      <c r="E196">
        <v>9.3767686907548326E-4</v>
      </c>
    </row>
    <row r="197" spans="1:5" x14ac:dyDescent="0.2">
      <c r="A197" s="13">
        <v>195</v>
      </c>
      <c r="B197" s="1">
        <v>43021</v>
      </c>
      <c r="C197" t="s">
        <v>151</v>
      </c>
      <c r="D197" t="s">
        <v>191</v>
      </c>
      <c r="E197">
        <v>-4.5484786053738265E-4</v>
      </c>
    </row>
    <row r="198" spans="1:5" x14ac:dyDescent="0.2">
      <c r="A198" s="13">
        <v>196</v>
      </c>
      <c r="B198" s="1">
        <v>43021</v>
      </c>
      <c r="C198" t="s">
        <v>29</v>
      </c>
      <c r="D198" t="s">
        <v>39</v>
      </c>
      <c r="E198">
        <v>-1.7506891890282136E-4</v>
      </c>
    </row>
    <row r="199" spans="1:5" x14ac:dyDescent="0.2">
      <c r="A199" s="13">
        <v>197</v>
      </c>
      <c r="B199" s="1">
        <v>43021</v>
      </c>
      <c r="C199" t="s">
        <v>29</v>
      </c>
      <c r="D199" t="s">
        <v>32</v>
      </c>
      <c r="E199">
        <v>3.4122839870099281E-3</v>
      </c>
    </row>
    <row r="200" spans="1:5" x14ac:dyDescent="0.2">
      <c r="A200" s="13">
        <v>198</v>
      </c>
      <c r="B200" s="1">
        <v>43021</v>
      </c>
      <c r="C200" t="s">
        <v>29</v>
      </c>
      <c r="D200" t="s">
        <v>30</v>
      </c>
      <c r="E200">
        <v>2.443855559752476E-6</v>
      </c>
    </row>
    <row r="201" spans="1:5" x14ac:dyDescent="0.2">
      <c r="A201" s="13">
        <v>199</v>
      </c>
      <c r="B201" s="1">
        <v>43021</v>
      </c>
      <c r="C201" t="s">
        <v>29</v>
      </c>
      <c r="D201" t="s">
        <v>49</v>
      </c>
      <c r="E201">
        <v>0</v>
      </c>
    </row>
    <row r="202" spans="1:5" x14ac:dyDescent="0.2">
      <c r="A202" s="13">
        <v>200</v>
      </c>
      <c r="B202" s="1">
        <v>43021</v>
      </c>
      <c r="C202" t="s">
        <v>29</v>
      </c>
      <c r="D202" t="s">
        <v>145</v>
      </c>
      <c r="E202">
        <v>0</v>
      </c>
    </row>
    <row r="203" spans="1:5" x14ac:dyDescent="0.2">
      <c r="A203" s="13">
        <v>201</v>
      </c>
      <c r="B203" s="1">
        <v>43021</v>
      </c>
      <c r="C203" t="s">
        <v>29</v>
      </c>
      <c r="D203" t="s">
        <v>233</v>
      </c>
      <c r="E203">
        <v>0</v>
      </c>
    </row>
    <row r="204" spans="1:5" x14ac:dyDescent="0.2">
      <c r="A204" s="13">
        <v>202</v>
      </c>
      <c r="B204" s="1">
        <v>43021</v>
      </c>
      <c r="C204" t="s">
        <v>29</v>
      </c>
      <c r="D204" t="s">
        <v>172</v>
      </c>
      <c r="E204">
        <v>0</v>
      </c>
    </row>
    <row r="205" spans="1:5" x14ac:dyDescent="0.2">
      <c r="A205" s="13">
        <v>203</v>
      </c>
      <c r="B205" s="1">
        <v>43021</v>
      </c>
      <c r="C205" t="s">
        <v>29</v>
      </c>
      <c r="D205" t="s">
        <v>72</v>
      </c>
      <c r="E205">
        <v>4.8372114396090113</v>
      </c>
    </row>
    <row r="206" spans="1:5" x14ac:dyDescent="0.2">
      <c r="A206" s="13">
        <v>204</v>
      </c>
      <c r="B206" s="1">
        <v>43021</v>
      </c>
      <c r="C206" t="s">
        <v>29</v>
      </c>
      <c r="D206" t="s">
        <v>186</v>
      </c>
      <c r="E206">
        <v>-6.9186226829550757E-4</v>
      </c>
    </row>
    <row r="207" spans="1:5" x14ac:dyDescent="0.2">
      <c r="A207" s="13">
        <v>205</v>
      </c>
      <c r="B207" s="1">
        <v>43021</v>
      </c>
      <c r="C207" t="s">
        <v>29</v>
      </c>
      <c r="D207" t="s">
        <v>187</v>
      </c>
      <c r="E207">
        <v>0</v>
      </c>
    </row>
    <row r="208" spans="1:5" x14ac:dyDescent="0.2">
      <c r="A208" s="13">
        <v>206</v>
      </c>
      <c r="B208" s="1">
        <v>43021</v>
      </c>
      <c r="C208" t="s">
        <v>29</v>
      </c>
      <c r="D208" t="s">
        <v>188</v>
      </c>
      <c r="E208">
        <v>0</v>
      </c>
    </row>
    <row r="209" spans="1:5" x14ac:dyDescent="0.2">
      <c r="A209" s="13">
        <v>207</v>
      </c>
      <c r="B209" s="1">
        <v>43021</v>
      </c>
      <c r="C209" t="s">
        <v>29</v>
      </c>
      <c r="D209" t="s">
        <v>189</v>
      </c>
      <c r="E209">
        <v>0</v>
      </c>
    </row>
    <row r="210" spans="1:5" x14ac:dyDescent="0.2">
      <c r="A210" s="13">
        <v>208</v>
      </c>
      <c r="B210" s="1">
        <v>43021</v>
      </c>
      <c r="C210" t="s">
        <v>29</v>
      </c>
      <c r="D210" t="s">
        <v>190</v>
      </c>
      <c r="E210">
        <v>0</v>
      </c>
    </row>
    <row r="211" spans="1:5" x14ac:dyDescent="0.2">
      <c r="A211" s="13">
        <v>209</v>
      </c>
      <c r="B211" s="1">
        <v>43021</v>
      </c>
      <c r="C211" t="s">
        <v>29</v>
      </c>
      <c r="D211" t="s">
        <v>191</v>
      </c>
      <c r="E211">
        <v>3.9315211919623691E-3</v>
      </c>
    </row>
    <row r="212" spans="1:5" x14ac:dyDescent="0.2">
      <c r="A212" s="13">
        <v>210</v>
      </c>
      <c r="B212" s="1">
        <v>43021</v>
      </c>
      <c r="C212" t="s">
        <v>87</v>
      </c>
      <c r="D212" t="s">
        <v>39</v>
      </c>
      <c r="E212">
        <v>2.1938491335079711E-3</v>
      </c>
    </row>
    <row r="213" spans="1:5" x14ac:dyDescent="0.2">
      <c r="A213" s="13">
        <v>211</v>
      </c>
      <c r="B213" s="1">
        <v>43021</v>
      </c>
      <c r="C213" t="s">
        <v>87</v>
      </c>
      <c r="D213" t="s">
        <v>32</v>
      </c>
      <c r="E213">
        <v>2.8436645605547851E-2</v>
      </c>
    </row>
    <row r="214" spans="1:5" x14ac:dyDescent="0.2">
      <c r="A214" s="13">
        <v>212</v>
      </c>
      <c r="B214" s="1">
        <v>43021</v>
      </c>
      <c r="C214" t="s">
        <v>87</v>
      </c>
      <c r="D214" t="s">
        <v>30</v>
      </c>
      <c r="E214">
        <v>8.6491942626424018E-4</v>
      </c>
    </row>
    <row r="215" spans="1:5" x14ac:dyDescent="0.2">
      <c r="A215" s="13">
        <v>213</v>
      </c>
      <c r="B215" s="1">
        <v>43021</v>
      </c>
      <c r="C215" t="s">
        <v>87</v>
      </c>
      <c r="D215" t="s">
        <v>49</v>
      </c>
      <c r="E215">
        <v>0</v>
      </c>
    </row>
    <row r="216" spans="1:5" x14ac:dyDescent="0.2">
      <c r="A216" s="13">
        <v>214</v>
      </c>
      <c r="B216" s="1">
        <v>43021</v>
      </c>
      <c r="C216" t="s">
        <v>87</v>
      </c>
      <c r="D216" t="s">
        <v>145</v>
      </c>
      <c r="E216">
        <v>1.0206369057916313E-3</v>
      </c>
    </row>
    <row r="217" spans="1:5" x14ac:dyDescent="0.2">
      <c r="A217" s="13">
        <v>215</v>
      </c>
      <c r="B217" s="1">
        <v>43021</v>
      </c>
      <c r="C217" t="s">
        <v>87</v>
      </c>
      <c r="D217" t="s">
        <v>233</v>
      </c>
      <c r="E217">
        <v>0</v>
      </c>
    </row>
    <row r="218" spans="1:5" x14ac:dyDescent="0.2">
      <c r="A218" s="13">
        <v>216</v>
      </c>
      <c r="B218" s="1">
        <v>43021</v>
      </c>
      <c r="C218" t="s">
        <v>87</v>
      </c>
      <c r="D218" t="s">
        <v>172</v>
      </c>
      <c r="E218">
        <v>0</v>
      </c>
    </row>
    <row r="219" spans="1:5" x14ac:dyDescent="0.2">
      <c r="A219" s="13">
        <v>217</v>
      </c>
      <c r="B219" s="1">
        <v>43021</v>
      </c>
      <c r="C219" t="s">
        <v>87</v>
      </c>
      <c r="D219" t="s">
        <v>72</v>
      </c>
      <c r="E219">
        <v>9.3564400786193538</v>
      </c>
    </row>
    <row r="220" spans="1:5" x14ac:dyDescent="0.2">
      <c r="A220" s="13">
        <v>218</v>
      </c>
      <c r="B220" s="1">
        <v>43021</v>
      </c>
      <c r="C220" t="s">
        <v>87</v>
      </c>
      <c r="D220" t="s">
        <v>186</v>
      </c>
      <c r="E220">
        <v>3.0878368464616401E-2</v>
      </c>
    </row>
    <row r="221" spans="1:5" x14ac:dyDescent="0.2">
      <c r="A221" s="13">
        <v>219</v>
      </c>
      <c r="B221" s="1">
        <v>43021</v>
      </c>
      <c r="C221" t="s">
        <v>87</v>
      </c>
      <c r="D221" t="s">
        <v>187</v>
      </c>
      <c r="E221">
        <v>1.3107986175833594E-3</v>
      </c>
    </row>
    <row r="222" spans="1:5" x14ac:dyDescent="0.2">
      <c r="A222" s="13">
        <v>220</v>
      </c>
      <c r="B222" s="1">
        <v>43021</v>
      </c>
      <c r="C222" t="s">
        <v>87</v>
      </c>
      <c r="D222" t="s">
        <v>188</v>
      </c>
      <c r="E222">
        <v>2.1783171421395678E-4</v>
      </c>
    </row>
    <row r="223" spans="1:5" x14ac:dyDescent="0.2">
      <c r="A223" s="13">
        <v>221</v>
      </c>
      <c r="B223" s="1">
        <v>43021</v>
      </c>
      <c r="C223" t="s">
        <v>87</v>
      </c>
      <c r="D223" t="s">
        <v>189</v>
      </c>
      <c r="E223">
        <v>2.5640073012524948E-4</v>
      </c>
    </row>
    <row r="224" spans="1:5" x14ac:dyDescent="0.2">
      <c r="A224" s="13">
        <v>222</v>
      </c>
      <c r="B224" s="1">
        <v>43021</v>
      </c>
      <c r="C224" t="s">
        <v>87</v>
      </c>
      <c r="D224" t="s">
        <v>190</v>
      </c>
      <c r="E224">
        <v>1.7722464704145654E-4</v>
      </c>
    </row>
    <row r="225" spans="1:5" x14ac:dyDescent="0.2">
      <c r="A225" s="13">
        <v>223</v>
      </c>
      <c r="B225" s="1">
        <v>43021</v>
      </c>
      <c r="C225" t="s">
        <v>87</v>
      </c>
      <c r="D225" t="s">
        <v>191</v>
      </c>
      <c r="E225">
        <v>-3.2457310246872858E-4</v>
      </c>
    </row>
    <row r="226" spans="1:5" x14ac:dyDescent="0.2">
      <c r="A226" s="13">
        <v>224</v>
      </c>
      <c r="B226" s="1">
        <v>43021</v>
      </c>
      <c r="C226" t="s">
        <v>61</v>
      </c>
      <c r="D226" t="s">
        <v>39</v>
      </c>
      <c r="E226">
        <v>1.133918655420948E-3</v>
      </c>
    </row>
    <row r="227" spans="1:5" x14ac:dyDescent="0.2">
      <c r="A227" s="13">
        <v>225</v>
      </c>
      <c r="B227" s="1">
        <v>43021</v>
      </c>
      <c r="C227" t="s">
        <v>61</v>
      </c>
      <c r="D227" t="s">
        <v>32</v>
      </c>
      <c r="E227">
        <v>2.2379930751112914E-2</v>
      </c>
    </row>
    <row r="228" spans="1:5" x14ac:dyDescent="0.2">
      <c r="A228" s="13">
        <v>226</v>
      </c>
      <c r="B228" s="1">
        <v>43021</v>
      </c>
      <c r="C228" t="s">
        <v>61</v>
      </c>
      <c r="D228" t="s">
        <v>30</v>
      </c>
      <c r="E228">
        <v>0</v>
      </c>
    </row>
    <row r="229" spans="1:5" x14ac:dyDescent="0.2">
      <c r="A229" s="13">
        <v>227</v>
      </c>
      <c r="B229" s="1">
        <v>43021</v>
      </c>
      <c r="C229" t="s">
        <v>61</v>
      </c>
      <c r="D229" t="s">
        <v>49</v>
      </c>
      <c r="E229">
        <v>0</v>
      </c>
    </row>
    <row r="230" spans="1:5" x14ac:dyDescent="0.2">
      <c r="A230" s="13">
        <v>228</v>
      </c>
      <c r="B230" s="1">
        <v>43021</v>
      </c>
      <c r="C230" t="s">
        <v>61</v>
      </c>
      <c r="D230" t="s">
        <v>145</v>
      </c>
      <c r="E230">
        <v>0</v>
      </c>
    </row>
    <row r="231" spans="1:5" x14ac:dyDescent="0.2">
      <c r="A231" s="13">
        <v>229</v>
      </c>
      <c r="B231" s="1">
        <v>43021</v>
      </c>
      <c r="C231" t="s">
        <v>61</v>
      </c>
      <c r="D231" t="s">
        <v>233</v>
      </c>
      <c r="E231">
        <v>0</v>
      </c>
    </row>
    <row r="232" spans="1:5" x14ac:dyDescent="0.2">
      <c r="A232" s="13">
        <v>230</v>
      </c>
      <c r="B232" s="1">
        <v>43021</v>
      </c>
      <c r="C232" t="s">
        <v>61</v>
      </c>
      <c r="D232" t="s">
        <v>172</v>
      </c>
      <c r="E232">
        <v>0</v>
      </c>
    </row>
    <row r="233" spans="1:5" x14ac:dyDescent="0.2">
      <c r="A233" s="13">
        <v>231</v>
      </c>
      <c r="B233" s="1">
        <v>43021</v>
      </c>
      <c r="C233" t="s">
        <v>61</v>
      </c>
      <c r="D233" t="s">
        <v>72</v>
      </c>
      <c r="E233">
        <v>5.5170030326560822</v>
      </c>
    </row>
    <row r="234" spans="1:5" x14ac:dyDescent="0.2">
      <c r="A234" s="13">
        <v>232</v>
      </c>
      <c r="B234" s="1">
        <v>43021</v>
      </c>
      <c r="C234" t="s">
        <v>61</v>
      </c>
      <c r="D234" t="s">
        <v>186</v>
      </c>
      <c r="E234">
        <v>2.3513849406533865E-2</v>
      </c>
    </row>
    <row r="235" spans="1:5" x14ac:dyDescent="0.2">
      <c r="A235" s="13">
        <v>233</v>
      </c>
      <c r="B235" s="1">
        <v>43021</v>
      </c>
      <c r="C235" t="s">
        <v>61</v>
      </c>
      <c r="D235" t="s">
        <v>187</v>
      </c>
      <c r="E235">
        <v>0</v>
      </c>
    </row>
    <row r="236" spans="1:5" x14ac:dyDescent="0.2">
      <c r="A236" s="13">
        <v>234</v>
      </c>
      <c r="B236" s="1">
        <v>43021</v>
      </c>
      <c r="C236" t="s">
        <v>61</v>
      </c>
      <c r="D236" t="s">
        <v>188</v>
      </c>
      <c r="E236">
        <v>0</v>
      </c>
    </row>
    <row r="237" spans="1:5" x14ac:dyDescent="0.2">
      <c r="A237" s="13">
        <v>235</v>
      </c>
      <c r="B237" s="1">
        <v>43021</v>
      </c>
      <c r="C237" t="s">
        <v>61</v>
      </c>
      <c r="D237" t="s">
        <v>189</v>
      </c>
      <c r="E237">
        <v>0</v>
      </c>
    </row>
    <row r="238" spans="1:5" x14ac:dyDescent="0.2">
      <c r="A238" s="13">
        <v>236</v>
      </c>
      <c r="B238" s="1">
        <v>43021</v>
      </c>
      <c r="C238" t="s">
        <v>61</v>
      </c>
      <c r="D238" t="s">
        <v>190</v>
      </c>
      <c r="E238">
        <v>0</v>
      </c>
    </row>
    <row r="239" spans="1:5" x14ac:dyDescent="0.2">
      <c r="A239" s="13">
        <v>237</v>
      </c>
      <c r="B239" s="1">
        <v>43021</v>
      </c>
      <c r="C239" t="s">
        <v>61</v>
      </c>
      <c r="D239" t="s">
        <v>191</v>
      </c>
      <c r="E239">
        <v>0</v>
      </c>
    </row>
    <row r="240" spans="1:5" x14ac:dyDescent="0.2">
      <c r="A240" s="13">
        <v>238</v>
      </c>
      <c r="B240" s="1">
        <v>43021</v>
      </c>
      <c r="C240" t="s">
        <v>53</v>
      </c>
      <c r="D240" t="s">
        <v>39</v>
      </c>
      <c r="E240">
        <v>2.0356053235140467E-4</v>
      </c>
    </row>
    <row r="241" spans="1:5" x14ac:dyDescent="0.2">
      <c r="A241" s="13">
        <v>239</v>
      </c>
      <c r="B241" s="1">
        <v>43021</v>
      </c>
      <c r="C241" t="s">
        <v>53</v>
      </c>
      <c r="D241" t="s">
        <v>32</v>
      </c>
      <c r="E241">
        <v>4.2982885870871288E-3</v>
      </c>
    </row>
    <row r="242" spans="1:5" x14ac:dyDescent="0.2">
      <c r="A242" s="13">
        <v>240</v>
      </c>
      <c r="B242" s="1">
        <v>43021</v>
      </c>
      <c r="C242" t="s">
        <v>53</v>
      </c>
      <c r="D242" t="s">
        <v>30</v>
      </c>
      <c r="E242">
        <v>8.516345317961788E-4</v>
      </c>
    </row>
    <row r="243" spans="1:5" x14ac:dyDescent="0.2">
      <c r="A243" s="13">
        <v>241</v>
      </c>
      <c r="B243" s="1">
        <v>43021</v>
      </c>
      <c r="C243" t="s">
        <v>53</v>
      </c>
      <c r="D243" t="s">
        <v>49</v>
      </c>
      <c r="E243">
        <v>0</v>
      </c>
    </row>
    <row r="244" spans="1:5" x14ac:dyDescent="0.2">
      <c r="A244" s="13">
        <v>242</v>
      </c>
      <c r="B244" s="1">
        <v>43021</v>
      </c>
      <c r="C244" t="s">
        <v>53</v>
      </c>
      <c r="D244" t="s">
        <v>145</v>
      </c>
      <c r="E244">
        <v>0</v>
      </c>
    </row>
    <row r="245" spans="1:5" x14ac:dyDescent="0.2">
      <c r="A245" s="13">
        <v>243</v>
      </c>
      <c r="B245" s="1">
        <v>43021</v>
      </c>
      <c r="C245" t="s">
        <v>53</v>
      </c>
      <c r="D245" t="s">
        <v>233</v>
      </c>
      <c r="E245">
        <v>0</v>
      </c>
    </row>
    <row r="246" spans="1:5" x14ac:dyDescent="0.2">
      <c r="A246" s="13">
        <v>244</v>
      </c>
      <c r="B246" s="1">
        <v>43021</v>
      </c>
      <c r="C246" t="s">
        <v>53</v>
      </c>
      <c r="D246" t="s">
        <v>172</v>
      </c>
      <c r="E246">
        <v>0</v>
      </c>
    </row>
    <row r="247" spans="1:5" x14ac:dyDescent="0.2">
      <c r="A247" s="13">
        <v>245</v>
      </c>
      <c r="B247" s="1">
        <v>43021</v>
      </c>
      <c r="C247" t="s">
        <v>53</v>
      </c>
      <c r="D247" t="s">
        <v>72</v>
      </c>
      <c r="E247">
        <v>6.3939085412962893</v>
      </c>
    </row>
    <row r="248" spans="1:5" x14ac:dyDescent="0.2">
      <c r="A248" s="13">
        <v>246</v>
      </c>
      <c r="B248" s="1">
        <v>43021</v>
      </c>
      <c r="C248" t="s">
        <v>53</v>
      </c>
      <c r="D248" t="s">
        <v>186</v>
      </c>
      <c r="E248">
        <v>5.1405992048838148E-3</v>
      </c>
    </row>
    <row r="249" spans="1:5" x14ac:dyDescent="0.2">
      <c r="A249" s="13">
        <v>247</v>
      </c>
      <c r="B249" s="1">
        <v>43021</v>
      </c>
      <c r="C249" t="s">
        <v>53</v>
      </c>
      <c r="D249" t="s">
        <v>187</v>
      </c>
      <c r="E249">
        <v>0</v>
      </c>
    </row>
    <row r="250" spans="1:5" x14ac:dyDescent="0.2">
      <c r="A250" s="13">
        <v>248</v>
      </c>
      <c r="B250" s="1">
        <v>43021</v>
      </c>
      <c r="C250" t="s">
        <v>53</v>
      </c>
      <c r="D250" t="s">
        <v>188</v>
      </c>
      <c r="E250">
        <v>0</v>
      </c>
    </row>
    <row r="251" spans="1:5" x14ac:dyDescent="0.2">
      <c r="A251" s="13">
        <v>249</v>
      </c>
      <c r="B251" s="1">
        <v>43021</v>
      </c>
      <c r="C251" t="s">
        <v>53</v>
      </c>
      <c r="D251" t="s">
        <v>189</v>
      </c>
      <c r="E251">
        <v>0</v>
      </c>
    </row>
    <row r="252" spans="1:5" x14ac:dyDescent="0.2">
      <c r="A252" s="13">
        <v>250</v>
      </c>
      <c r="B252" s="1">
        <v>43021</v>
      </c>
      <c r="C252" t="s">
        <v>53</v>
      </c>
      <c r="D252" t="s">
        <v>190</v>
      </c>
      <c r="E252">
        <v>0</v>
      </c>
    </row>
    <row r="253" spans="1:5" x14ac:dyDescent="0.2">
      <c r="A253" s="13">
        <v>251</v>
      </c>
      <c r="B253" s="1">
        <v>43021</v>
      </c>
      <c r="C253" t="s">
        <v>53</v>
      </c>
      <c r="D253" t="s">
        <v>191</v>
      </c>
      <c r="E253">
        <v>2.1288444635089517E-4</v>
      </c>
    </row>
    <row r="254" spans="1:5" x14ac:dyDescent="0.2">
      <c r="A254" s="13">
        <v>252</v>
      </c>
      <c r="B254" s="1">
        <v>43020</v>
      </c>
      <c r="C254" t="s">
        <v>62</v>
      </c>
      <c r="D254" t="s">
        <v>39</v>
      </c>
      <c r="E254">
        <v>4.0432778665511924E-3</v>
      </c>
    </row>
    <row r="255" spans="1:5" x14ac:dyDescent="0.2">
      <c r="A255" s="13">
        <v>253</v>
      </c>
      <c r="B255" s="1">
        <v>43020</v>
      </c>
      <c r="C255" t="s">
        <v>62</v>
      </c>
      <c r="D255" t="s">
        <v>32</v>
      </c>
      <c r="E255">
        <v>6.520344939410362E-3</v>
      </c>
    </row>
    <row r="256" spans="1:5" x14ac:dyDescent="0.2">
      <c r="A256" s="13">
        <v>254</v>
      </c>
      <c r="B256" s="1">
        <v>43020</v>
      </c>
      <c r="C256" t="s">
        <v>62</v>
      </c>
      <c r="D256" t="s">
        <v>30</v>
      </c>
      <c r="E256">
        <v>7.1213167848207002E-6</v>
      </c>
    </row>
    <row r="257" spans="1:5" x14ac:dyDescent="0.2">
      <c r="A257" s="13">
        <v>255</v>
      </c>
      <c r="B257" s="1">
        <v>43020</v>
      </c>
      <c r="C257" t="s">
        <v>62</v>
      </c>
      <c r="D257" t="s">
        <v>49</v>
      </c>
      <c r="E257">
        <v>-1.6813251923648491E-8</v>
      </c>
    </row>
    <row r="258" spans="1:5" x14ac:dyDescent="0.2">
      <c r="A258" s="13">
        <v>256</v>
      </c>
      <c r="B258" s="1">
        <v>43020</v>
      </c>
      <c r="C258" t="s">
        <v>62</v>
      </c>
      <c r="D258" t="s">
        <v>145</v>
      </c>
      <c r="E258">
        <v>0</v>
      </c>
    </row>
    <row r="259" spans="1:5" x14ac:dyDescent="0.2">
      <c r="A259" s="13">
        <v>257</v>
      </c>
      <c r="B259" s="1">
        <v>43020</v>
      </c>
      <c r="C259" t="s">
        <v>62</v>
      </c>
      <c r="D259" t="s">
        <v>233</v>
      </c>
      <c r="E259">
        <v>0</v>
      </c>
    </row>
    <row r="260" spans="1:5" x14ac:dyDescent="0.2">
      <c r="A260" s="13">
        <v>258</v>
      </c>
      <c r="B260" s="1">
        <v>43020</v>
      </c>
      <c r="C260" t="s">
        <v>62</v>
      </c>
      <c r="D260" t="s">
        <v>172</v>
      </c>
      <c r="E260">
        <v>0</v>
      </c>
    </row>
    <row r="261" spans="1:5" x14ac:dyDescent="0.2">
      <c r="A261" s="13">
        <v>259</v>
      </c>
      <c r="B261" s="1">
        <v>43020</v>
      </c>
      <c r="C261" t="s">
        <v>62</v>
      </c>
      <c r="D261" t="s">
        <v>72</v>
      </c>
      <c r="E261">
        <v>3.2343249148744344</v>
      </c>
    </row>
    <row r="262" spans="1:5" x14ac:dyDescent="0.2">
      <c r="A262" s="13">
        <v>260</v>
      </c>
      <c r="B262" s="1">
        <v>43020</v>
      </c>
      <c r="C262" t="s">
        <v>62</v>
      </c>
      <c r="D262" t="s">
        <v>186</v>
      </c>
      <c r="E262">
        <v>1.0563622805961551E-2</v>
      </c>
    </row>
    <row r="263" spans="1:5" x14ac:dyDescent="0.2">
      <c r="A263" s="13">
        <v>261</v>
      </c>
      <c r="B263" s="1">
        <v>43020</v>
      </c>
      <c r="C263" t="s">
        <v>62</v>
      </c>
      <c r="D263" t="s">
        <v>187</v>
      </c>
      <c r="E263">
        <v>0</v>
      </c>
    </row>
    <row r="264" spans="1:5" x14ac:dyDescent="0.2">
      <c r="A264" s="13">
        <v>262</v>
      </c>
      <c r="B264" s="1">
        <v>43020</v>
      </c>
      <c r="C264" t="s">
        <v>62</v>
      </c>
      <c r="D264" t="s">
        <v>188</v>
      </c>
      <c r="E264">
        <v>0</v>
      </c>
    </row>
    <row r="265" spans="1:5" x14ac:dyDescent="0.2">
      <c r="A265" s="13">
        <v>263</v>
      </c>
      <c r="B265" s="1">
        <v>43020</v>
      </c>
      <c r="C265" t="s">
        <v>62</v>
      </c>
      <c r="D265" t="s">
        <v>189</v>
      </c>
      <c r="E265">
        <v>0</v>
      </c>
    </row>
    <row r="266" spans="1:5" x14ac:dyDescent="0.2">
      <c r="A266" s="13">
        <v>264</v>
      </c>
      <c r="B266" s="1">
        <v>43020</v>
      </c>
      <c r="C266" t="s">
        <v>62</v>
      </c>
      <c r="D266" t="s">
        <v>190</v>
      </c>
      <c r="E266">
        <v>0</v>
      </c>
    </row>
    <row r="267" spans="1:5" x14ac:dyDescent="0.2">
      <c r="A267" s="13">
        <v>265</v>
      </c>
      <c r="B267" s="1">
        <v>43020</v>
      </c>
      <c r="C267" t="s">
        <v>62</v>
      </c>
      <c r="D267" t="s">
        <v>191</v>
      </c>
      <c r="E267">
        <v>7.104503532897052E-6</v>
      </c>
    </row>
    <row r="268" spans="1:5" x14ac:dyDescent="0.2">
      <c r="A268" s="13">
        <v>266</v>
      </c>
      <c r="B268" s="1">
        <v>43020</v>
      </c>
      <c r="C268" t="s">
        <v>63</v>
      </c>
      <c r="D268" t="s">
        <v>39</v>
      </c>
      <c r="E268">
        <v>7.2714903178983286E-3</v>
      </c>
    </row>
    <row r="269" spans="1:5" x14ac:dyDescent="0.2">
      <c r="A269" s="13">
        <v>267</v>
      </c>
      <c r="B269" s="1">
        <v>43020</v>
      </c>
      <c r="C269" t="s">
        <v>63</v>
      </c>
      <c r="D269" t="s">
        <v>32</v>
      </c>
      <c r="E269">
        <v>1.2135484921923434E-2</v>
      </c>
    </row>
    <row r="270" spans="1:5" x14ac:dyDescent="0.2">
      <c r="A270" s="13">
        <v>268</v>
      </c>
      <c r="B270" s="1">
        <v>43020</v>
      </c>
      <c r="C270" t="s">
        <v>63</v>
      </c>
      <c r="D270" t="s">
        <v>30</v>
      </c>
      <c r="E270">
        <v>9.6687641507026581E-6</v>
      </c>
    </row>
    <row r="271" spans="1:5" x14ac:dyDescent="0.2">
      <c r="A271" s="13">
        <v>269</v>
      </c>
      <c r="B271" s="1">
        <v>43020</v>
      </c>
      <c r="C271" t="s">
        <v>63</v>
      </c>
      <c r="D271" t="s">
        <v>49</v>
      </c>
      <c r="E271">
        <v>1.0422912315037499E-8</v>
      </c>
    </row>
    <row r="272" spans="1:5" x14ac:dyDescent="0.2">
      <c r="A272" s="13">
        <v>270</v>
      </c>
      <c r="B272" s="1">
        <v>43020</v>
      </c>
      <c r="C272" t="s">
        <v>63</v>
      </c>
      <c r="D272" t="s">
        <v>145</v>
      </c>
      <c r="E272">
        <v>0</v>
      </c>
    </row>
    <row r="273" spans="1:5" x14ac:dyDescent="0.2">
      <c r="A273" s="13">
        <v>271</v>
      </c>
      <c r="B273" s="1">
        <v>43020</v>
      </c>
      <c r="C273" t="s">
        <v>63</v>
      </c>
      <c r="D273" t="s">
        <v>233</v>
      </c>
      <c r="E273">
        <v>0</v>
      </c>
    </row>
    <row r="274" spans="1:5" x14ac:dyDescent="0.2">
      <c r="A274" s="13">
        <v>272</v>
      </c>
      <c r="B274" s="1">
        <v>43020</v>
      </c>
      <c r="C274" t="s">
        <v>63</v>
      </c>
      <c r="D274" t="s">
        <v>172</v>
      </c>
      <c r="E274">
        <v>0</v>
      </c>
    </row>
    <row r="275" spans="1:5" x14ac:dyDescent="0.2">
      <c r="A275" s="13">
        <v>273</v>
      </c>
      <c r="B275" s="1">
        <v>43020</v>
      </c>
      <c r="C275" t="s">
        <v>63</v>
      </c>
      <c r="D275" t="s">
        <v>72</v>
      </c>
      <c r="E275">
        <v>5.9278578534558974</v>
      </c>
    </row>
    <row r="276" spans="1:5" x14ac:dyDescent="0.2">
      <c r="A276" s="13">
        <v>274</v>
      </c>
      <c r="B276" s="1">
        <v>43020</v>
      </c>
      <c r="C276" t="s">
        <v>63</v>
      </c>
      <c r="D276" t="s">
        <v>186</v>
      </c>
      <c r="E276">
        <v>1.9406975239821763E-2</v>
      </c>
    </row>
    <row r="277" spans="1:5" x14ac:dyDescent="0.2">
      <c r="A277" s="13">
        <v>275</v>
      </c>
      <c r="B277" s="1">
        <v>43020</v>
      </c>
      <c r="C277" t="s">
        <v>63</v>
      </c>
      <c r="D277" t="s">
        <v>187</v>
      </c>
      <c r="E277">
        <v>0</v>
      </c>
    </row>
    <row r="278" spans="1:5" x14ac:dyDescent="0.2">
      <c r="A278" s="13">
        <v>276</v>
      </c>
      <c r="B278" s="1">
        <v>43020</v>
      </c>
      <c r="C278" t="s">
        <v>63</v>
      </c>
      <c r="D278" t="s">
        <v>188</v>
      </c>
      <c r="E278">
        <v>0</v>
      </c>
    </row>
    <row r="279" spans="1:5" x14ac:dyDescent="0.2">
      <c r="A279" s="13">
        <v>277</v>
      </c>
      <c r="B279" s="1">
        <v>43020</v>
      </c>
      <c r="C279" t="s">
        <v>63</v>
      </c>
      <c r="D279" t="s">
        <v>189</v>
      </c>
      <c r="E279">
        <v>0</v>
      </c>
    </row>
    <row r="280" spans="1:5" x14ac:dyDescent="0.2">
      <c r="A280" s="13">
        <v>278</v>
      </c>
      <c r="B280" s="1">
        <v>43020</v>
      </c>
      <c r="C280" t="s">
        <v>63</v>
      </c>
      <c r="D280" t="s">
        <v>190</v>
      </c>
      <c r="E280">
        <v>0</v>
      </c>
    </row>
    <row r="281" spans="1:5" x14ac:dyDescent="0.2">
      <c r="A281" s="13">
        <v>279</v>
      </c>
      <c r="B281" s="1">
        <v>43020</v>
      </c>
      <c r="C281" t="s">
        <v>63</v>
      </c>
      <c r="D281" t="s">
        <v>191</v>
      </c>
      <c r="E281">
        <v>9.679187063017696E-6</v>
      </c>
    </row>
    <row r="282" spans="1:5" x14ac:dyDescent="0.2">
      <c r="A282" s="13">
        <v>280</v>
      </c>
      <c r="B282" s="1">
        <v>43020</v>
      </c>
      <c r="C282" t="s">
        <v>103</v>
      </c>
      <c r="D282" t="s">
        <v>39</v>
      </c>
      <c r="E282">
        <v>1.6140580266409493E-2</v>
      </c>
    </row>
    <row r="283" spans="1:5" x14ac:dyDescent="0.2">
      <c r="A283" s="13">
        <v>281</v>
      </c>
      <c r="B283" s="1">
        <v>43020</v>
      </c>
      <c r="C283" t="s">
        <v>103</v>
      </c>
      <c r="D283" t="s">
        <v>32</v>
      </c>
      <c r="E283">
        <v>0</v>
      </c>
    </row>
    <row r="284" spans="1:5" x14ac:dyDescent="0.2">
      <c r="A284" s="13">
        <v>282</v>
      </c>
      <c r="B284" s="1">
        <v>43020</v>
      </c>
      <c r="C284" t="s">
        <v>103</v>
      </c>
      <c r="D284" t="s">
        <v>30</v>
      </c>
      <c r="E284">
        <v>0</v>
      </c>
    </row>
    <row r="285" spans="1:5" x14ac:dyDescent="0.2">
      <c r="A285" s="13">
        <v>283</v>
      </c>
      <c r="B285" s="1">
        <v>43020</v>
      </c>
      <c r="C285" t="s">
        <v>103</v>
      </c>
      <c r="D285" t="s">
        <v>49</v>
      </c>
      <c r="E285">
        <v>0</v>
      </c>
    </row>
    <row r="286" spans="1:5" x14ac:dyDescent="0.2">
      <c r="A286" s="13">
        <v>284</v>
      </c>
      <c r="B286" s="1">
        <v>43020</v>
      </c>
      <c r="C286" t="s">
        <v>103</v>
      </c>
      <c r="D286" t="s">
        <v>145</v>
      </c>
      <c r="E286">
        <v>0</v>
      </c>
    </row>
    <row r="287" spans="1:5" x14ac:dyDescent="0.2">
      <c r="A287" s="13">
        <v>285</v>
      </c>
      <c r="B287" s="1">
        <v>43020</v>
      </c>
      <c r="C287" t="s">
        <v>103</v>
      </c>
      <c r="D287" t="s">
        <v>233</v>
      </c>
      <c r="E287">
        <v>0</v>
      </c>
    </row>
    <row r="288" spans="1:5" x14ac:dyDescent="0.2">
      <c r="A288" s="13">
        <v>286</v>
      </c>
      <c r="B288" s="1">
        <v>43020</v>
      </c>
      <c r="C288" t="s">
        <v>103</v>
      </c>
      <c r="D288" t="s">
        <v>172</v>
      </c>
      <c r="E288">
        <v>0</v>
      </c>
    </row>
    <row r="289" spans="1:5" x14ac:dyDescent="0.2">
      <c r="A289" s="13">
        <v>287</v>
      </c>
      <c r="B289" s="1">
        <v>43020</v>
      </c>
      <c r="C289" t="s">
        <v>103</v>
      </c>
      <c r="D289" t="s">
        <v>72</v>
      </c>
      <c r="E289">
        <v>0</v>
      </c>
    </row>
    <row r="290" spans="1:5" x14ac:dyDescent="0.2">
      <c r="A290" s="13">
        <v>288</v>
      </c>
      <c r="B290" s="1">
        <v>43020</v>
      </c>
      <c r="C290" t="s">
        <v>103</v>
      </c>
      <c r="D290" t="s">
        <v>186</v>
      </c>
      <c r="E290">
        <v>1.6140580266409493E-2</v>
      </c>
    </row>
    <row r="291" spans="1:5" x14ac:dyDescent="0.2">
      <c r="A291" s="13">
        <v>289</v>
      </c>
      <c r="B291" s="1">
        <v>43020</v>
      </c>
      <c r="C291" t="s">
        <v>103</v>
      </c>
      <c r="D291" t="s">
        <v>187</v>
      </c>
      <c r="E291">
        <v>0</v>
      </c>
    </row>
    <row r="292" spans="1:5" x14ac:dyDescent="0.2">
      <c r="A292" s="13">
        <v>290</v>
      </c>
      <c r="B292" s="1">
        <v>43020</v>
      </c>
      <c r="C292" t="s">
        <v>103</v>
      </c>
      <c r="D292" t="s">
        <v>188</v>
      </c>
      <c r="E292">
        <v>0</v>
      </c>
    </row>
    <row r="293" spans="1:5" x14ac:dyDescent="0.2">
      <c r="A293" s="13">
        <v>291</v>
      </c>
      <c r="B293" s="1">
        <v>43020</v>
      </c>
      <c r="C293" t="s">
        <v>103</v>
      </c>
      <c r="D293" t="s">
        <v>189</v>
      </c>
      <c r="E293">
        <v>0</v>
      </c>
    </row>
    <row r="294" spans="1:5" x14ac:dyDescent="0.2">
      <c r="A294" s="13">
        <v>292</v>
      </c>
      <c r="B294" s="1">
        <v>43020</v>
      </c>
      <c r="C294" t="s">
        <v>103</v>
      </c>
      <c r="D294" t="s">
        <v>190</v>
      </c>
      <c r="E294">
        <v>0</v>
      </c>
    </row>
    <row r="295" spans="1:5" x14ac:dyDescent="0.2">
      <c r="A295" s="13">
        <v>293</v>
      </c>
      <c r="B295" s="1">
        <v>43020</v>
      </c>
      <c r="C295" t="s">
        <v>103</v>
      </c>
      <c r="D295" t="s">
        <v>191</v>
      </c>
      <c r="E295">
        <v>0</v>
      </c>
    </row>
    <row r="296" spans="1:5" x14ac:dyDescent="0.2">
      <c r="A296" s="13">
        <v>294</v>
      </c>
      <c r="B296" s="1">
        <v>43020</v>
      </c>
      <c r="C296" t="s">
        <v>104</v>
      </c>
      <c r="D296" t="s">
        <v>39</v>
      </c>
      <c r="E296">
        <v>7.1526087051146645E-2</v>
      </c>
    </row>
    <row r="297" spans="1:5" x14ac:dyDescent="0.2">
      <c r="A297" s="13">
        <v>295</v>
      </c>
      <c r="B297" s="1">
        <v>43020</v>
      </c>
      <c r="C297" t="s">
        <v>104</v>
      </c>
      <c r="D297" t="s">
        <v>32</v>
      </c>
      <c r="E297">
        <v>0</v>
      </c>
    </row>
    <row r="298" spans="1:5" x14ac:dyDescent="0.2">
      <c r="A298" s="13">
        <v>296</v>
      </c>
      <c r="B298" s="1">
        <v>43020</v>
      </c>
      <c r="C298" t="s">
        <v>104</v>
      </c>
      <c r="D298" t="s">
        <v>30</v>
      </c>
      <c r="E298">
        <v>0</v>
      </c>
    </row>
    <row r="299" spans="1:5" x14ac:dyDescent="0.2">
      <c r="A299" s="13">
        <v>297</v>
      </c>
      <c r="B299" s="1">
        <v>43020</v>
      </c>
      <c r="C299" t="s">
        <v>104</v>
      </c>
      <c r="D299" t="s">
        <v>49</v>
      </c>
      <c r="E299">
        <v>0</v>
      </c>
    </row>
    <row r="300" spans="1:5" x14ac:dyDescent="0.2">
      <c r="A300" s="13">
        <v>298</v>
      </c>
      <c r="B300" s="1">
        <v>43020</v>
      </c>
      <c r="C300" t="s">
        <v>104</v>
      </c>
      <c r="D300" t="s">
        <v>145</v>
      </c>
      <c r="E300">
        <v>0</v>
      </c>
    </row>
    <row r="301" spans="1:5" x14ac:dyDescent="0.2">
      <c r="A301" s="13">
        <v>299</v>
      </c>
      <c r="B301" s="1">
        <v>43020</v>
      </c>
      <c r="C301" t="s">
        <v>104</v>
      </c>
      <c r="D301" t="s">
        <v>233</v>
      </c>
      <c r="E301">
        <v>0</v>
      </c>
    </row>
    <row r="302" spans="1:5" x14ac:dyDescent="0.2">
      <c r="A302" s="13">
        <v>300</v>
      </c>
      <c r="B302" s="1">
        <v>43020</v>
      </c>
      <c r="C302" t="s">
        <v>104</v>
      </c>
      <c r="D302" t="s">
        <v>172</v>
      </c>
      <c r="E302">
        <v>0</v>
      </c>
    </row>
    <row r="303" spans="1:5" x14ac:dyDescent="0.2">
      <c r="A303" s="13">
        <v>301</v>
      </c>
      <c r="B303" s="1">
        <v>43020</v>
      </c>
      <c r="C303" t="s">
        <v>104</v>
      </c>
      <c r="D303" t="s">
        <v>72</v>
      </c>
      <c r="E303">
        <v>0</v>
      </c>
    </row>
    <row r="304" spans="1:5" x14ac:dyDescent="0.2">
      <c r="A304" s="13">
        <v>302</v>
      </c>
      <c r="B304" s="1">
        <v>43020</v>
      </c>
      <c r="C304" t="s">
        <v>104</v>
      </c>
      <c r="D304" t="s">
        <v>186</v>
      </c>
      <c r="E304">
        <v>7.1526087051146645E-2</v>
      </c>
    </row>
    <row r="305" spans="1:5" x14ac:dyDescent="0.2">
      <c r="A305" s="13">
        <v>303</v>
      </c>
      <c r="B305" s="1">
        <v>43020</v>
      </c>
      <c r="C305" t="s">
        <v>104</v>
      </c>
      <c r="D305" t="s">
        <v>187</v>
      </c>
      <c r="E305">
        <v>0</v>
      </c>
    </row>
    <row r="306" spans="1:5" x14ac:dyDescent="0.2">
      <c r="A306" s="13">
        <v>304</v>
      </c>
      <c r="B306" s="1">
        <v>43020</v>
      </c>
      <c r="C306" t="s">
        <v>104</v>
      </c>
      <c r="D306" t="s">
        <v>188</v>
      </c>
      <c r="E306">
        <v>0</v>
      </c>
    </row>
    <row r="307" spans="1:5" x14ac:dyDescent="0.2">
      <c r="A307" s="13">
        <v>305</v>
      </c>
      <c r="B307" s="1">
        <v>43020</v>
      </c>
      <c r="C307" t="s">
        <v>104</v>
      </c>
      <c r="D307" t="s">
        <v>189</v>
      </c>
      <c r="E307">
        <v>0</v>
      </c>
    </row>
    <row r="308" spans="1:5" x14ac:dyDescent="0.2">
      <c r="A308" s="13">
        <v>306</v>
      </c>
      <c r="B308" s="1">
        <v>43020</v>
      </c>
      <c r="C308" t="s">
        <v>104</v>
      </c>
      <c r="D308" t="s">
        <v>190</v>
      </c>
      <c r="E308">
        <v>0</v>
      </c>
    </row>
    <row r="309" spans="1:5" x14ac:dyDescent="0.2">
      <c r="A309" s="13">
        <v>307</v>
      </c>
      <c r="B309" s="1">
        <v>43020</v>
      </c>
      <c r="C309" t="s">
        <v>104</v>
      </c>
      <c r="D309" t="s">
        <v>191</v>
      </c>
      <c r="E309">
        <v>0</v>
      </c>
    </row>
    <row r="310" spans="1:5" x14ac:dyDescent="0.2">
      <c r="A310" s="13">
        <v>308</v>
      </c>
      <c r="B310" s="1">
        <v>43020</v>
      </c>
      <c r="C310" t="s">
        <v>151</v>
      </c>
      <c r="D310" t="s">
        <v>39</v>
      </c>
      <c r="E310">
        <v>0</v>
      </c>
    </row>
    <row r="311" spans="1:5" x14ac:dyDescent="0.2">
      <c r="A311" s="13">
        <v>309</v>
      </c>
      <c r="B311" s="1">
        <v>43020</v>
      </c>
      <c r="C311" t="s">
        <v>151</v>
      </c>
      <c r="D311" t="s">
        <v>32</v>
      </c>
      <c r="E311">
        <v>0</v>
      </c>
    </row>
    <row r="312" spans="1:5" x14ac:dyDescent="0.2">
      <c r="A312" s="13">
        <v>310</v>
      </c>
      <c r="B312" s="1">
        <v>43020</v>
      </c>
      <c r="C312" t="s">
        <v>151</v>
      </c>
      <c r="D312" t="s">
        <v>30</v>
      </c>
      <c r="E312">
        <v>4.7077994740656751E-3</v>
      </c>
    </row>
    <row r="313" spans="1:5" x14ac:dyDescent="0.2">
      <c r="A313" s="13">
        <v>311</v>
      </c>
      <c r="B313" s="1">
        <v>43020</v>
      </c>
      <c r="C313" t="s">
        <v>151</v>
      </c>
      <c r="D313" t="s">
        <v>49</v>
      </c>
      <c r="E313">
        <v>0</v>
      </c>
    </row>
    <row r="314" spans="1:5" x14ac:dyDescent="0.2">
      <c r="A314" s="13">
        <v>312</v>
      </c>
      <c r="B314" s="1">
        <v>43020</v>
      </c>
      <c r="C314" t="s">
        <v>151</v>
      </c>
      <c r="D314" t="s">
        <v>145</v>
      </c>
      <c r="E314">
        <v>0</v>
      </c>
    </row>
    <row r="315" spans="1:5" x14ac:dyDescent="0.2">
      <c r="A315" s="13">
        <v>313</v>
      </c>
      <c r="B315" s="1">
        <v>43020</v>
      </c>
      <c r="C315" t="s">
        <v>151</v>
      </c>
      <c r="D315" t="s">
        <v>233</v>
      </c>
      <c r="E315">
        <v>0</v>
      </c>
    </row>
    <row r="316" spans="1:5" x14ac:dyDescent="0.2">
      <c r="A316" s="13">
        <v>314</v>
      </c>
      <c r="B316" s="1">
        <v>43020</v>
      </c>
      <c r="C316" t="s">
        <v>151</v>
      </c>
      <c r="D316" t="s">
        <v>172</v>
      </c>
      <c r="E316">
        <v>0</v>
      </c>
    </row>
    <row r="317" spans="1:5" x14ac:dyDescent="0.2">
      <c r="A317" s="13">
        <v>315</v>
      </c>
      <c r="B317" s="1">
        <v>43020</v>
      </c>
      <c r="C317" t="s">
        <v>151</v>
      </c>
      <c r="D317" t="s">
        <v>72</v>
      </c>
      <c r="E317">
        <v>6.5957088491980587</v>
      </c>
    </row>
    <row r="318" spans="1:5" x14ac:dyDescent="0.2">
      <c r="A318" s="13">
        <v>316</v>
      </c>
      <c r="B318" s="1">
        <v>43020</v>
      </c>
      <c r="C318" t="s">
        <v>151</v>
      </c>
      <c r="D318" t="s">
        <v>186</v>
      </c>
      <c r="E318">
        <v>4.6150715369750383E-4</v>
      </c>
    </row>
    <row r="319" spans="1:5" x14ac:dyDescent="0.2">
      <c r="A319" s="13">
        <v>317</v>
      </c>
      <c r="B319" s="1">
        <v>43020</v>
      </c>
      <c r="C319" t="s">
        <v>151</v>
      </c>
      <c r="D319" t="s">
        <v>187</v>
      </c>
      <c r="E319">
        <v>2.2479043151044753E-3</v>
      </c>
    </row>
    <row r="320" spans="1:5" x14ac:dyDescent="0.2">
      <c r="A320" s="13">
        <v>318</v>
      </c>
      <c r="B320" s="1">
        <v>43020</v>
      </c>
      <c r="C320" t="s">
        <v>151</v>
      </c>
      <c r="D320" t="s">
        <v>188</v>
      </c>
      <c r="E320">
        <v>8.8262113854771799E-4</v>
      </c>
    </row>
    <row r="321" spans="1:5" x14ac:dyDescent="0.2">
      <c r="A321" s="13">
        <v>319</v>
      </c>
      <c r="B321" s="1">
        <v>43020</v>
      </c>
      <c r="C321" t="s">
        <v>151</v>
      </c>
      <c r="D321" t="s">
        <v>189</v>
      </c>
      <c r="E321">
        <v>6.3056650796522603E-4</v>
      </c>
    </row>
    <row r="322" spans="1:5" x14ac:dyDescent="0.2">
      <c r="A322" s="13">
        <v>320</v>
      </c>
      <c r="B322" s="1">
        <v>43020</v>
      </c>
      <c r="C322" t="s">
        <v>151</v>
      </c>
      <c r="D322" t="s">
        <v>190</v>
      </c>
      <c r="E322">
        <v>9.8026011688384044E-4</v>
      </c>
    </row>
    <row r="323" spans="1:5" x14ac:dyDescent="0.2">
      <c r="A323" s="13">
        <v>321</v>
      </c>
      <c r="B323" s="1">
        <v>43020</v>
      </c>
      <c r="C323" t="s">
        <v>151</v>
      </c>
      <c r="D323" t="s">
        <v>191</v>
      </c>
      <c r="E323">
        <v>-4.9505975813308989E-4</v>
      </c>
    </row>
    <row r="324" spans="1:5" x14ac:dyDescent="0.2">
      <c r="A324" s="13">
        <v>322</v>
      </c>
      <c r="B324" s="1">
        <v>43020</v>
      </c>
      <c r="C324" t="s">
        <v>29</v>
      </c>
      <c r="D324" t="s">
        <v>39</v>
      </c>
      <c r="E324">
        <v>-1.9478335645449336E-4</v>
      </c>
    </row>
    <row r="325" spans="1:5" x14ac:dyDescent="0.2">
      <c r="A325" s="13">
        <v>323</v>
      </c>
      <c r="B325" s="1">
        <v>43020</v>
      </c>
      <c r="C325" t="s">
        <v>29</v>
      </c>
      <c r="D325" t="s">
        <v>32</v>
      </c>
      <c r="E325">
        <v>3.6324311596005981E-3</v>
      </c>
    </row>
    <row r="326" spans="1:5" x14ac:dyDescent="0.2">
      <c r="A326" s="13">
        <v>324</v>
      </c>
      <c r="B326" s="1">
        <v>43020</v>
      </c>
      <c r="C326" t="s">
        <v>29</v>
      </c>
      <c r="D326" t="s">
        <v>30</v>
      </c>
      <c r="E326">
        <v>2.6169455643180846E-6</v>
      </c>
    </row>
    <row r="327" spans="1:5" x14ac:dyDescent="0.2">
      <c r="A327" s="13">
        <v>325</v>
      </c>
      <c r="B327" s="1">
        <v>43020</v>
      </c>
      <c r="C327" t="s">
        <v>29</v>
      </c>
      <c r="D327" t="s">
        <v>49</v>
      </c>
      <c r="E327">
        <v>0</v>
      </c>
    </row>
    <row r="328" spans="1:5" x14ac:dyDescent="0.2">
      <c r="A328" s="13">
        <v>326</v>
      </c>
      <c r="B328" s="1">
        <v>43020</v>
      </c>
      <c r="C328" t="s">
        <v>29</v>
      </c>
      <c r="D328" t="s">
        <v>145</v>
      </c>
      <c r="E328">
        <v>0</v>
      </c>
    </row>
    <row r="329" spans="1:5" x14ac:dyDescent="0.2">
      <c r="A329" s="13">
        <v>327</v>
      </c>
      <c r="B329" s="1">
        <v>43020</v>
      </c>
      <c r="C329" t="s">
        <v>29</v>
      </c>
      <c r="D329" t="s">
        <v>233</v>
      </c>
      <c r="E329">
        <v>0</v>
      </c>
    </row>
    <row r="330" spans="1:5" x14ac:dyDescent="0.2">
      <c r="A330" s="13">
        <v>328</v>
      </c>
      <c r="B330" s="1">
        <v>43020</v>
      </c>
      <c r="C330" t="s">
        <v>29</v>
      </c>
      <c r="D330" t="s">
        <v>172</v>
      </c>
      <c r="E330">
        <v>0</v>
      </c>
    </row>
    <row r="331" spans="1:5" x14ac:dyDescent="0.2">
      <c r="A331" s="13">
        <v>329</v>
      </c>
      <c r="B331" s="1">
        <v>43020</v>
      </c>
      <c r="C331" t="s">
        <v>29</v>
      </c>
      <c r="D331" t="s">
        <v>72</v>
      </c>
      <c r="E331">
        <v>4.8258691606779545</v>
      </c>
    </row>
    <row r="332" spans="1:5" x14ac:dyDescent="0.2">
      <c r="A332" s="13">
        <v>330</v>
      </c>
      <c r="B332" s="1">
        <v>43020</v>
      </c>
      <c r="C332" t="s">
        <v>29</v>
      </c>
      <c r="D332" t="s">
        <v>186</v>
      </c>
      <c r="E332">
        <v>-7.1897051471011284E-4</v>
      </c>
    </row>
    <row r="333" spans="1:5" x14ac:dyDescent="0.2">
      <c r="A333" s="13">
        <v>331</v>
      </c>
      <c r="B333" s="1">
        <v>43020</v>
      </c>
      <c r="C333" t="s">
        <v>29</v>
      </c>
      <c r="D333" t="s">
        <v>187</v>
      </c>
      <c r="E333">
        <v>0</v>
      </c>
    </row>
    <row r="334" spans="1:5" x14ac:dyDescent="0.2">
      <c r="A334" s="13">
        <v>332</v>
      </c>
      <c r="B334" s="1">
        <v>43020</v>
      </c>
      <c r="C334" t="s">
        <v>29</v>
      </c>
      <c r="D334" t="s">
        <v>188</v>
      </c>
      <c r="E334">
        <v>0</v>
      </c>
    </row>
    <row r="335" spans="1:5" x14ac:dyDescent="0.2">
      <c r="A335" s="13">
        <v>333</v>
      </c>
      <c r="B335" s="1">
        <v>43020</v>
      </c>
      <c r="C335" t="s">
        <v>29</v>
      </c>
      <c r="D335" t="s">
        <v>189</v>
      </c>
      <c r="E335">
        <v>0</v>
      </c>
    </row>
    <row r="336" spans="1:5" x14ac:dyDescent="0.2">
      <c r="A336" s="13">
        <v>334</v>
      </c>
      <c r="B336" s="1">
        <v>43020</v>
      </c>
      <c r="C336" t="s">
        <v>29</v>
      </c>
      <c r="D336" t="s">
        <v>190</v>
      </c>
      <c r="E336">
        <v>0</v>
      </c>
    </row>
    <row r="337" spans="1:5" x14ac:dyDescent="0.2">
      <c r="A337" s="13">
        <v>335</v>
      </c>
      <c r="B337" s="1">
        <v>43020</v>
      </c>
      <c r="C337" t="s">
        <v>29</v>
      </c>
      <c r="D337" t="s">
        <v>191</v>
      </c>
      <c r="E337">
        <v>4.1592352634205344E-3</v>
      </c>
    </row>
    <row r="338" spans="1:5" x14ac:dyDescent="0.2">
      <c r="A338" s="13">
        <v>336</v>
      </c>
      <c r="B338" s="1">
        <v>43020</v>
      </c>
      <c r="C338" t="s">
        <v>87</v>
      </c>
      <c r="D338" t="s">
        <v>39</v>
      </c>
      <c r="E338">
        <v>1.9021713431346878E-3</v>
      </c>
    </row>
    <row r="339" spans="1:5" x14ac:dyDescent="0.2">
      <c r="A339" s="13">
        <v>337</v>
      </c>
      <c r="B339" s="1">
        <v>43020</v>
      </c>
      <c r="C339" t="s">
        <v>87</v>
      </c>
      <c r="D339" t="s">
        <v>32</v>
      </c>
      <c r="E339">
        <v>2.9287425943631686E-2</v>
      </c>
    </row>
    <row r="340" spans="1:5" x14ac:dyDescent="0.2">
      <c r="A340" s="13">
        <v>338</v>
      </c>
      <c r="B340" s="1">
        <v>43020</v>
      </c>
      <c r="C340" t="s">
        <v>87</v>
      </c>
      <c r="D340" t="s">
        <v>30</v>
      </c>
      <c r="E340">
        <v>8.4110754536106339E-4</v>
      </c>
    </row>
    <row r="341" spans="1:5" x14ac:dyDescent="0.2">
      <c r="A341" s="13">
        <v>339</v>
      </c>
      <c r="B341" s="1">
        <v>43020</v>
      </c>
      <c r="C341" t="s">
        <v>87</v>
      </c>
      <c r="D341" t="s">
        <v>49</v>
      </c>
      <c r="E341">
        <v>0</v>
      </c>
    </row>
    <row r="342" spans="1:5" x14ac:dyDescent="0.2">
      <c r="A342" s="13">
        <v>340</v>
      </c>
      <c r="B342" s="1">
        <v>43020</v>
      </c>
      <c r="C342" t="s">
        <v>87</v>
      </c>
      <c r="D342" t="s">
        <v>145</v>
      </c>
      <c r="E342">
        <v>1.0591540242131431E-3</v>
      </c>
    </row>
    <row r="343" spans="1:5" x14ac:dyDescent="0.2">
      <c r="A343" s="13">
        <v>341</v>
      </c>
      <c r="B343" s="1">
        <v>43020</v>
      </c>
      <c r="C343" t="s">
        <v>87</v>
      </c>
      <c r="D343" t="s">
        <v>233</v>
      </c>
      <c r="E343">
        <v>0</v>
      </c>
    </row>
    <row r="344" spans="1:5" x14ac:dyDescent="0.2">
      <c r="A344" s="13">
        <v>342</v>
      </c>
      <c r="B344" s="1">
        <v>43020</v>
      </c>
      <c r="C344" t="s">
        <v>87</v>
      </c>
      <c r="D344" t="s">
        <v>172</v>
      </c>
      <c r="E344">
        <v>0</v>
      </c>
    </row>
    <row r="345" spans="1:5" x14ac:dyDescent="0.2">
      <c r="A345" s="13">
        <v>343</v>
      </c>
      <c r="B345" s="1">
        <v>43020</v>
      </c>
      <c r="C345" t="s">
        <v>87</v>
      </c>
      <c r="D345" t="s">
        <v>72</v>
      </c>
      <c r="E345">
        <v>9.3547254202935139</v>
      </c>
    </row>
    <row r="346" spans="1:5" x14ac:dyDescent="0.2">
      <c r="A346" s="13">
        <v>344</v>
      </c>
      <c r="B346" s="1">
        <v>43020</v>
      </c>
      <c r="C346" t="s">
        <v>87</v>
      </c>
      <c r="D346" t="s">
        <v>186</v>
      </c>
      <c r="E346">
        <v>3.1436562170569504E-2</v>
      </c>
    </row>
    <row r="347" spans="1:5" x14ac:dyDescent="0.2">
      <c r="A347" s="13">
        <v>345</v>
      </c>
      <c r="B347" s="1">
        <v>43020</v>
      </c>
      <c r="C347" t="s">
        <v>87</v>
      </c>
      <c r="D347" t="s">
        <v>187</v>
      </c>
      <c r="E347">
        <v>1.3488738414309809E-3</v>
      </c>
    </row>
    <row r="348" spans="1:5" x14ac:dyDescent="0.2">
      <c r="A348" s="13">
        <v>346</v>
      </c>
      <c r="B348" s="1">
        <v>43020</v>
      </c>
      <c r="C348" t="s">
        <v>87</v>
      </c>
      <c r="D348" t="s">
        <v>188</v>
      </c>
      <c r="E348">
        <v>2.1705322782563383E-4</v>
      </c>
    </row>
    <row r="349" spans="1:5" x14ac:dyDescent="0.2">
      <c r="A349" s="13">
        <v>347</v>
      </c>
      <c r="B349" s="1">
        <v>43020</v>
      </c>
      <c r="C349" t="s">
        <v>87</v>
      </c>
      <c r="D349" t="s">
        <v>189</v>
      </c>
      <c r="E349">
        <v>2.4407989747274891E-4</v>
      </c>
    </row>
    <row r="350" spans="1:5" x14ac:dyDescent="0.2">
      <c r="A350" s="13">
        <v>348</v>
      </c>
      <c r="B350" s="1">
        <v>43020</v>
      </c>
      <c r="C350" t="s">
        <v>87</v>
      </c>
      <c r="D350" t="s">
        <v>190</v>
      </c>
      <c r="E350">
        <v>1.5609210570720802E-4</v>
      </c>
    </row>
    <row r="351" spans="1:5" x14ac:dyDescent="0.2">
      <c r="A351" s="13">
        <v>349</v>
      </c>
      <c r="B351" s="1">
        <v>43020</v>
      </c>
      <c r="C351" t="s">
        <v>87</v>
      </c>
      <c r="D351" t="s">
        <v>191</v>
      </c>
      <c r="E351">
        <v>-3.1280238666549801E-4</v>
      </c>
    </row>
    <row r="352" spans="1:5" x14ac:dyDescent="0.2">
      <c r="A352" s="13">
        <v>350</v>
      </c>
      <c r="B352" s="1">
        <v>43020</v>
      </c>
      <c r="C352" t="s">
        <v>61</v>
      </c>
      <c r="D352" t="s">
        <v>39</v>
      </c>
      <c r="E352">
        <v>9.9558090597908454E-4</v>
      </c>
    </row>
    <row r="353" spans="1:5" x14ac:dyDescent="0.2">
      <c r="A353" s="13">
        <v>351</v>
      </c>
      <c r="B353" s="1">
        <v>43020</v>
      </c>
      <c r="C353" t="s">
        <v>61</v>
      </c>
      <c r="D353" t="s">
        <v>32</v>
      </c>
      <c r="E353">
        <v>2.2854259025606404E-2</v>
      </c>
    </row>
    <row r="354" spans="1:5" x14ac:dyDescent="0.2">
      <c r="A354" s="13">
        <v>352</v>
      </c>
      <c r="B354" s="1">
        <v>43020</v>
      </c>
      <c r="C354" t="s">
        <v>61</v>
      </c>
      <c r="D354" t="s">
        <v>30</v>
      </c>
      <c r="E354">
        <v>0</v>
      </c>
    </row>
    <row r="355" spans="1:5" x14ac:dyDescent="0.2">
      <c r="A355" s="13">
        <v>353</v>
      </c>
      <c r="B355" s="1">
        <v>43020</v>
      </c>
      <c r="C355" t="s">
        <v>61</v>
      </c>
      <c r="D355" t="s">
        <v>49</v>
      </c>
      <c r="E355">
        <v>0</v>
      </c>
    </row>
    <row r="356" spans="1:5" x14ac:dyDescent="0.2">
      <c r="A356" s="13">
        <v>354</v>
      </c>
      <c r="B356" s="1">
        <v>43020</v>
      </c>
      <c r="C356" t="s">
        <v>61</v>
      </c>
      <c r="D356" t="s">
        <v>145</v>
      </c>
      <c r="E356">
        <v>0</v>
      </c>
    </row>
    <row r="357" spans="1:5" x14ac:dyDescent="0.2">
      <c r="A357" s="13">
        <v>355</v>
      </c>
      <c r="B357" s="1">
        <v>43020</v>
      </c>
      <c r="C357" t="s">
        <v>61</v>
      </c>
      <c r="D357" t="s">
        <v>233</v>
      </c>
      <c r="E357">
        <v>0</v>
      </c>
    </row>
    <row r="358" spans="1:5" x14ac:dyDescent="0.2">
      <c r="A358" s="13">
        <v>356</v>
      </c>
      <c r="B358" s="1">
        <v>43020</v>
      </c>
      <c r="C358" t="s">
        <v>61</v>
      </c>
      <c r="D358" t="s">
        <v>172</v>
      </c>
      <c r="E358">
        <v>0</v>
      </c>
    </row>
    <row r="359" spans="1:5" x14ac:dyDescent="0.2">
      <c r="A359" s="13">
        <v>357</v>
      </c>
      <c r="B359" s="1">
        <v>43020</v>
      </c>
      <c r="C359" t="s">
        <v>61</v>
      </c>
      <c r="D359" t="s">
        <v>72</v>
      </c>
      <c r="E359">
        <v>5.5130398729456029</v>
      </c>
    </row>
    <row r="360" spans="1:5" x14ac:dyDescent="0.2">
      <c r="A360" s="13">
        <v>358</v>
      </c>
      <c r="B360" s="1">
        <v>43020</v>
      </c>
      <c r="C360" t="s">
        <v>61</v>
      </c>
      <c r="D360" t="s">
        <v>186</v>
      </c>
      <c r="E360">
        <v>2.384983993158548E-2</v>
      </c>
    </row>
    <row r="361" spans="1:5" x14ac:dyDescent="0.2">
      <c r="A361" s="13">
        <v>359</v>
      </c>
      <c r="B361" s="1">
        <v>43020</v>
      </c>
      <c r="C361" t="s">
        <v>61</v>
      </c>
      <c r="D361" t="s">
        <v>187</v>
      </c>
      <c r="E361">
        <v>0</v>
      </c>
    </row>
    <row r="362" spans="1:5" x14ac:dyDescent="0.2">
      <c r="A362" s="13">
        <v>360</v>
      </c>
      <c r="B362" s="1">
        <v>43020</v>
      </c>
      <c r="C362" t="s">
        <v>61</v>
      </c>
      <c r="D362" t="s">
        <v>188</v>
      </c>
      <c r="E362">
        <v>0</v>
      </c>
    </row>
    <row r="363" spans="1:5" x14ac:dyDescent="0.2">
      <c r="A363" s="13">
        <v>361</v>
      </c>
      <c r="B363" s="1">
        <v>43020</v>
      </c>
      <c r="C363" t="s">
        <v>61</v>
      </c>
      <c r="D363" t="s">
        <v>189</v>
      </c>
      <c r="E363">
        <v>0</v>
      </c>
    </row>
    <row r="364" spans="1:5" x14ac:dyDescent="0.2">
      <c r="A364" s="13">
        <v>362</v>
      </c>
      <c r="B364" s="1">
        <v>43020</v>
      </c>
      <c r="C364" t="s">
        <v>61</v>
      </c>
      <c r="D364" t="s">
        <v>190</v>
      </c>
      <c r="E364">
        <v>0</v>
      </c>
    </row>
    <row r="365" spans="1:5" x14ac:dyDescent="0.2">
      <c r="A365" s="13">
        <v>363</v>
      </c>
      <c r="B365" s="1">
        <v>43020</v>
      </c>
      <c r="C365" t="s">
        <v>61</v>
      </c>
      <c r="D365" t="s">
        <v>191</v>
      </c>
      <c r="E365">
        <v>0</v>
      </c>
    </row>
    <row r="366" spans="1:5" x14ac:dyDescent="0.2">
      <c r="A366" s="13">
        <v>364</v>
      </c>
      <c r="B366" s="1">
        <v>43020</v>
      </c>
      <c r="C366" t="s">
        <v>53</v>
      </c>
      <c r="D366" t="s">
        <v>39</v>
      </c>
      <c r="E366">
        <v>2.0603008413924663E-4</v>
      </c>
    </row>
    <row r="367" spans="1:5" x14ac:dyDescent="0.2">
      <c r="A367" s="13">
        <v>365</v>
      </c>
      <c r="B367" s="1">
        <v>43020</v>
      </c>
      <c r="C367" t="s">
        <v>53</v>
      </c>
      <c r="D367" t="s">
        <v>32</v>
      </c>
      <c r="E367">
        <v>4.4342880470335791E-3</v>
      </c>
    </row>
    <row r="368" spans="1:5" x14ac:dyDescent="0.2">
      <c r="A368" s="13">
        <v>366</v>
      </c>
      <c r="B368" s="1">
        <v>43020</v>
      </c>
      <c r="C368" t="s">
        <v>53</v>
      </c>
      <c r="D368" t="s">
        <v>30</v>
      </c>
      <c r="E368">
        <v>8.5890476681329392E-4</v>
      </c>
    </row>
    <row r="369" spans="1:5" x14ac:dyDescent="0.2">
      <c r="A369" s="13">
        <v>367</v>
      </c>
      <c r="B369" s="1">
        <v>43020</v>
      </c>
      <c r="C369" t="s">
        <v>53</v>
      </c>
      <c r="D369" t="s">
        <v>49</v>
      </c>
      <c r="E369">
        <v>0</v>
      </c>
    </row>
    <row r="370" spans="1:5" x14ac:dyDescent="0.2">
      <c r="A370" s="13">
        <v>368</v>
      </c>
      <c r="B370" s="1">
        <v>43020</v>
      </c>
      <c r="C370" t="s">
        <v>53</v>
      </c>
      <c r="D370" t="s">
        <v>145</v>
      </c>
      <c r="E370">
        <v>0</v>
      </c>
    </row>
    <row r="371" spans="1:5" x14ac:dyDescent="0.2">
      <c r="A371" s="13">
        <v>369</v>
      </c>
      <c r="B371" s="1">
        <v>43020</v>
      </c>
      <c r="C371" t="s">
        <v>53</v>
      </c>
      <c r="D371" t="s">
        <v>233</v>
      </c>
      <c r="E371">
        <v>0</v>
      </c>
    </row>
    <row r="372" spans="1:5" x14ac:dyDescent="0.2">
      <c r="A372" s="13">
        <v>370</v>
      </c>
      <c r="B372" s="1">
        <v>43020</v>
      </c>
      <c r="C372" t="s">
        <v>53</v>
      </c>
      <c r="D372" t="s">
        <v>172</v>
      </c>
      <c r="E372">
        <v>0</v>
      </c>
    </row>
    <row r="373" spans="1:5" x14ac:dyDescent="0.2">
      <c r="A373" s="13">
        <v>371</v>
      </c>
      <c r="B373" s="1">
        <v>43020</v>
      </c>
      <c r="C373" t="s">
        <v>53</v>
      </c>
      <c r="D373" t="s">
        <v>72</v>
      </c>
      <c r="E373">
        <v>6.3836033567103101</v>
      </c>
    </row>
    <row r="374" spans="1:5" x14ac:dyDescent="0.2">
      <c r="A374" s="13">
        <v>372</v>
      </c>
      <c r="B374" s="1">
        <v>43020</v>
      </c>
      <c r="C374" t="s">
        <v>53</v>
      </c>
      <c r="D374" t="s">
        <v>186</v>
      </c>
      <c r="E374">
        <v>5.1450671242859172E-3</v>
      </c>
    </row>
    <row r="375" spans="1:5" x14ac:dyDescent="0.2">
      <c r="A375" s="13">
        <v>373</v>
      </c>
      <c r="B375" s="1">
        <v>43020</v>
      </c>
      <c r="C375" t="s">
        <v>53</v>
      </c>
      <c r="D375" t="s">
        <v>187</v>
      </c>
      <c r="E375">
        <v>0</v>
      </c>
    </row>
    <row r="376" spans="1:5" x14ac:dyDescent="0.2">
      <c r="A376" s="13">
        <v>374</v>
      </c>
      <c r="B376" s="1">
        <v>43020</v>
      </c>
      <c r="C376" t="s">
        <v>53</v>
      </c>
      <c r="D376" t="s">
        <v>188</v>
      </c>
      <c r="E376">
        <v>0</v>
      </c>
    </row>
    <row r="377" spans="1:5" x14ac:dyDescent="0.2">
      <c r="A377" s="13">
        <v>375</v>
      </c>
      <c r="B377" s="1">
        <v>43020</v>
      </c>
      <c r="C377" t="s">
        <v>53</v>
      </c>
      <c r="D377" t="s">
        <v>189</v>
      </c>
      <c r="E377">
        <v>0</v>
      </c>
    </row>
    <row r="378" spans="1:5" x14ac:dyDescent="0.2">
      <c r="A378" s="13">
        <v>376</v>
      </c>
      <c r="B378" s="1">
        <v>43020</v>
      </c>
      <c r="C378" t="s">
        <v>53</v>
      </c>
      <c r="D378" t="s">
        <v>190</v>
      </c>
      <c r="E378">
        <v>0</v>
      </c>
    </row>
    <row r="379" spans="1:5" x14ac:dyDescent="0.2">
      <c r="A379" s="13">
        <v>377</v>
      </c>
      <c r="B379" s="1">
        <v>43020</v>
      </c>
      <c r="C379" t="s">
        <v>53</v>
      </c>
      <c r="D379" t="s">
        <v>191</v>
      </c>
      <c r="E379">
        <v>3.5415577370020458E-4</v>
      </c>
    </row>
    <row r="380" spans="1:5" x14ac:dyDescent="0.2">
      <c r="A380" s="13">
        <v>378</v>
      </c>
      <c r="B380" s="1">
        <v>43019</v>
      </c>
      <c r="C380" t="s">
        <v>62</v>
      </c>
      <c r="D380" t="s">
        <v>39</v>
      </c>
      <c r="E380">
        <v>4.1952966547563891E-3</v>
      </c>
    </row>
    <row r="381" spans="1:5" x14ac:dyDescent="0.2">
      <c r="A381" s="13">
        <v>379</v>
      </c>
      <c r="B381" s="1">
        <v>43019</v>
      </c>
      <c r="C381" t="s">
        <v>62</v>
      </c>
      <c r="D381" t="s">
        <v>32</v>
      </c>
      <c r="E381">
        <v>6.7805597357179928E-3</v>
      </c>
    </row>
    <row r="382" spans="1:5" x14ac:dyDescent="0.2">
      <c r="A382" s="13">
        <v>380</v>
      </c>
      <c r="B382" s="1">
        <v>43019</v>
      </c>
      <c r="C382" t="s">
        <v>62</v>
      </c>
      <c r="D382" t="s">
        <v>30</v>
      </c>
      <c r="E382">
        <v>4.6838524272764458E-6</v>
      </c>
    </row>
    <row r="383" spans="1:5" x14ac:dyDescent="0.2">
      <c r="A383" s="13">
        <v>381</v>
      </c>
      <c r="B383" s="1">
        <v>43019</v>
      </c>
      <c r="C383" t="s">
        <v>62</v>
      </c>
      <c r="D383" t="s">
        <v>49</v>
      </c>
      <c r="E383">
        <v>-1.6362058522272783E-8</v>
      </c>
    </row>
    <row r="384" spans="1:5" x14ac:dyDescent="0.2">
      <c r="A384" s="13">
        <v>382</v>
      </c>
      <c r="B384" s="1">
        <v>43019</v>
      </c>
      <c r="C384" t="s">
        <v>62</v>
      </c>
      <c r="D384" t="s">
        <v>145</v>
      </c>
      <c r="E384">
        <v>0</v>
      </c>
    </row>
    <row r="385" spans="1:5" x14ac:dyDescent="0.2">
      <c r="A385" s="13">
        <v>383</v>
      </c>
      <c r="B385" s="1">
        <v>43019</v>
      </c>
      <c r="C385" t="s">
        <v>62</v>
      </c>
      <c r="D385" t="s">
        <v>233</v>
      </c>
      <c r="E385">
        <v>0</v>
      </c>
    </row>
    <row r="386" spans="1:5" x14ac:dyDescent="0.2">
      <c r="A386" s="13">
        <v>384</v>
      </c>
      <c r="B386" s="1">
        <v>43019</v>
      </c>
      <c r="C386" t="s">
        <v>62</v>
      </c>
      <c r="D386" t="s">
        <v>172</v>
      </c>
      <c r="E386">
        <v>0</v>
      </c>
    </row>
    <row r="387" spans="1:5" x14ac:dyDescent="0.2">
      <c r="A387" s="13">
        <v>385</v>
      </c>
      <c r="B387" s="1">
        <v>43019</v>
      </c>
      <c r="C387" t="s">
        <v>62</v>
      </c>
      <c r="D387" t="s">
        <v>72</v>
      </c>
      <c r="E387">
        <v>3.2710052460107084</v>
      </c>
    </row>
    <row r="388" spans="1:5" x14ac:dyDescent="0.2">
      <c r="A388" s="13">
        <v>386</v>
      </c>
      <c r="B388" s="1">
        <v>43019</v>
      </c>
      <c r="C388" t="s">
        <v>62</v>
      </c>
      <c r="D388" t="s">
        <v>186</v>
      </c>
      <c r="E388">
        <v>1.0975856390474386E-2</v>
      </c>
    </row>
    <row r="389" spans="1:5" x14ac:dyDescent="0.2">
      <c r="A389" s="13">
        <v>387</v>
      </c>
      <c r="B389" s="1">
        <v>43019</v>
      </c>
      <c r="C389" t="s">
        <v>62</v>
      </c>
      <c r="D389" t="s">
        <v>187</v>
      </c>
      <c r="E389">
        <v>0</v>
      </c>
    </row>
    <row r="390" spans="1:5" x14ac:dyDescent="0.2">
      <c r="A390" s="13">
        <v>388</v>
      </c>
      <c r="B390" s="1">
        <v>43019</v>
      </c>
      <c r="C390" t="s">
        <v>62</v>
      </c>
      <c r="D390" t="s">
        <v>188</v>
      </c>
      <c r="E390">
        <v>0</v>
      </c>
    </row>
    <row r="391" spans="1:5" x14ac:dyDescent="0.2">
      <c r="A391" s="13">
        <v>389</v>
      </c>
      <c r="B391" s="1">
        <v>43019</v>
      </c>
      <c r="C391" t="s">
        <v>62</v>
      </c>
      <c r="D391" t="s">
        <v>189</v>
      </c>
      <c r="E391">
        <v>0</v>
      </c>
    </row>
    <row r="392" spans="1:5" x14ac:dyDescent="0.2">
      <c r="A392" s="13">
        <v>390</v>
      </c>
      <c r="B392" s="1">
        <v>43019</v>
      </c>
      <c r="C392" t="s">
        <v>62</v>
      </c>
      <c r="D392" t="s">
        <v>190</v>
      </c>
      <c r="E392">
        <v>0</v>
      </c>
    </row>
    <row r="393" spans="1:5" x14ac:dyDescent="0.2">
      <c r="A393" s="13">
        <v>391</v>
      </c>
      <c r="B393" s="1">
        <v>43019</v>
      </c>
      <c r="C393" t="s">
        <v>62</v>
      </c>
      <c r="D393" t="s">
        <v>191</v>
      </c>
      <c r="E393">
        <v>4.6674903687541731E-6</v>
      </c>
    </row>
    <row r="394" spans="1:5" x14ac:dyDescent="0.2">
      <c r="A394" s="13">
        <v>392</v>
      </c>
      <c r="B394" s="1">
        <v>43019</v>
      </c>
      <c r="C394" t="s">
        <v>63</v>
      </c>
      <c r="D394" t="s">
        <v>39</v>
      </c>
      <c r="E394">
        <v>7.446596476351491E-3</v>
      </c>
    </row>
    <row r="395" spans="1:5" x14ac:dyDescent="0.2">
      <c r="A395" s="13">
        <v>393</v>
      </c>
      <c r="B395" s="1">
        <v>43019</v>
      </c>
      <c r="C395" t="s">
        <v>63</v>
      </c>
      <c r="D395" t="s">
        <v>32</v>
      </c>
      <c r="E395">
        <v>1.2459121319993664E-2</v>
      </c>
    </row>
    <row r="396" spans="1:5" x14ac:dyDescent="0.2">
      <c r="A396" s="13">
        <v>394</v>
      </c>
      <c r="B396" s="1">
        <v>43019</v>
      </c>
      <c r="C396" t="s">
        <v>63</v>
      </c>
      <c r="D396" t="s">
        <v>30</v>
      </c>
      <c r="E396">
        <v>5.8464872598677297E-6</v>
      </c>
    </row>
    <row r="397" spans="1:5" x14ac:dyDescent="0.2">
      <c r="A397" s="13">
        <v>395</v>
      </c>
      <c r="B397" s="1">
        <v>43019</v>
      </c>
      <c r="C397" t="s">
        <v>63</v>
      </c>
      <c r="D397" t="s">
        <v>49</v>
      </c>
      <c r="E397">
        <v>1.7318096728887625E-8</v>
      </c>
    </row>
    <row r="398" spans="1:5" x14ac:dyDescent="0.2">
      <c r="A398" s="13">
        <v>396</v>
      </c>
      <c r="B398" s="1">
        <v>43019</v>
      </c>
      <c r="C398" t="s">
        <v>63</v>
      </c>
      <c r="D398" t="s">
        <v>145</v>
      </c>
      <c r="E398">
        <v>0</v>
      </c>
    </row>
    <row r="399" spans="1:5" x14ac:dyDescent="0.2">
      <c r="A399" s="13">
        <v>397</v>
      </c>
      <c r="B399" s="1">
        <v>43019</v>
      </c>
      <c r="C399" t="s">
        <v>63</v>
      </c>
      <c r="D399" t="s">
        <v>233</v>
      </c>
      <c r="E399">
        <v>0</v>
      </c>
    </row>
    <row r="400" spans="1:5" x14ac:dyDescent="0.2">
      <c r="A400" s="13">
        <v>398</v>
      </c>
      <c r="B400" s="1">
        <v>43019</v>
      </c>
      <c r="C400" t="s">
        <v>63</v>
      </c>
      <c r="D400" t="s">
        <v>172</v>
      </c>
      <c r="E400">
        <v>0</v>
      </c>
    </row>
    <row r="401" spans="1:5" x14ac:dyDescent="0.2">
      <c r="A401" s="13">
        <v>399</v>
      </c>
      <c r="B401" s="1">
        <v>43019</v>
      </c>
      <c r="C401" t="s">
        <v>63</v>
      </c>
      <c r="D401" t="s">
        <v>72</v>
      </c>
      <c r="E401">
        <v>5.9251079906537916</v>
      </c>
    </row>
    <row r="402" spans="1:5" x14ac:dyDescent="0.2">
      <c r="A402" s="13">
        <v>400</v>
      </c>
      <c r="B402" s="1">
        <v>43019</v>
      </c>
      <c r="C402" t="s">
        <v>63</v>
      </c>
      <c r="D402" t="s">
        <v>186</v>
      </c>
      <c r="E402">
        <v>1.9905717796345149E-2</v>
      </c>
    </row>
    <row r="403" spans="1:5" x14ac:dyDescent="0.2">
      <c r="A403" s="13">
        <v>401</v>
      </c>
      <c r="B403" s="1">
        <v>43019</v>
      </c>
      <c r="C403" t="s">
        <v>63</v>
      </c>
      <c r="D403" t="s">
        <v>187</v>
      </c>
      <c r="E403">
        <v>0</v>
      </c>
    </row>
    <row r="404" spans="1:5" x14ac:dyDescent="0.2">
      <c r="A404" s="13">
        <v>402</v>
      </c>
      <c r="B404" s="1">
        <v>43019</v>
      </c>
      <c r="C404" t="s">
        <v>63</v>
      </c>
      <c r="D404" t="s">
        <v>188</v>
      </c>
      <c r="E404">
        <v>0</v>
      </c>
    </row>
    <row r="405" spans="1:5" x14ac:dyDescent="0.2">
      <c r="A405" s="13">
        <v>403</v>
      </c>
      <c r="B405" s="1">
        <v>43019</v>
      </c>
      <c r="C405" t="s">
        <v>63</v>
      </c>
      <c r="D405" t="s">
        <v>189</v>
      </c>
      <c r="E405">
        <v>0</v>
      </c>
    </row>
    <row r="406" spans="1:5" x14ac:dyDescent="0.2">
      <c r="A406" s="13">
        <v>404</v>
      </c>
      <c r="B406" s="1">
        <v>43019</v>
      </c>
      <c r="C406" t="s">
        <v>63</v>
      </c>
      <c r="D406" t="s">
        <v>190</v>
      </c>
      <c r="E406">
        <v>0</v>
      </c>
    </row>
    <row r="407" spans="1:5" x14ac:dyDescent="0.2">
      <c r="A407" s="13">
        <v>405</v>
      </c>
      <c r="B407" s="1">
        <v>43019</v>
      </c>
      <c r="C407" t="s">
        <v>63</v>
      </c>
      <c r="D407" t="s">
        <v>191</v>
      </c>
      <c r="E407">
        <v>5.863805356596617E-6</v>
      </c>
    </row>
    <row r="408" spans="1:5" x14ac:dyDescent="0.2">
      <c r="A408" s="13">
        <v>406</v>
      </c>
      <c r="B408" s="1">
        <v>43019</v>
      </c>
      <c r="C408" t="s">
        <v>103</v>
      </c>
      <c r="D408" t="s">
        <v>39</v>
      </c>
      <c r="E408">
        <v>1.5749039189864016E-2</v>
      </c>
    </row>
    <row r="409" spans="1:5" x14ac:dyDescent="0.2">
      <c r="A409" s="13">
        <v>407</v>
      </c>
      <c r="B409" s="1">
        <v>43019</v>
      </c>
      <c r="C409" t="s">
        <v>103</v>
      </c>
      <c r="D409" t="s">
        <v>32</v>
      </c>
      <c r="E409">
        <v>0</v>
      </c>
    </row>
    <row r="410" spans="1:5" x14ac:dyDescent="0.2">
      <c r="A410" s="13">
        <v>408</v>
      </c>
      <c r="B410" s="1">
        <v>43019</v>
      </c>
      <c r="C410" t="s">
        <v>103</v>
      </c>
      <c r="D410" t="s">
        <v>30</v>
      </c>
      <c r="E410">
        <v>0</v>
      </c>
    </row>
    <row r="411" spans="1:5" x14ac:dyDescent="0.2">
      <c r="A411" s="13">
        <v>409</v>
      </c>
      <c r="B411" s="1">
        <v>43019</v>
      </c>
      <c r="C411" t="s">
        <v>103</v>
      </c>
      <c r="D411" t="s">
        <v>49</v>
      </c>
      <c r="E411">
        <v>0</v>
      </c>
    </row>
    <row r="412" spans="1:5" x14ac:dyDescent="0.2">
      <c r="A412" s="13">
        <v>410</v>
      </c>
      <c r="B412" s="1">
        <v>43019</v>
      </c>
      <c r="C412" t="s">
        <v>103</v>
      </c>
      <c r="D412" t="s">
        <v>145</v>
      </c>
      <c r="E412">
        <v>0</v>
      </c>
    </row>
    <row r="413" spans="1:5" x14ac:dyDescent="0.2">
      <c r="A413" s="13">
        <v>411</v>
      </c>
      <c r="B413" s="1">
        <v>43019</v>
      </c>
      <c r="C413" t="s">
        <v>103</v>
      </c>
      <c r="D413" t="s">
        <v>233</v>
      </c>
      <c r="E413">
        <v>0</v>
      </c>
    </row>
    <row r="414" spans="1:5" x14ac:dyDescent="0.2">
      <c r="A414" s="13">
        <v>412</v>
      </c>
      <c r="B414" s="1">
        <v>43019</v>
      </c>
      <c r="C414" t="s">
        <v>103</v>
      </c>
      <c r="D414" t="s">
        <v>172</v>
      </c>
      <c r="E414">
        <v>0</v>
      </c>
    </row>
    <row r="415" spans="1:5" x14ac:dyDescent="0.2">
      <c r="A415" s="13">
        <v>413</v>
      </c>
      <c r="B415" s="1">
        <v>43019</v>
      </c>
      <c r="C415" t="s">
        <v>103</v>
      </c>
      <c r="D415" t="s">
        <v>72</v>
      </c>
      <c r="E415">
        <v>0</v>
      </c>
    </row>
    <row r="416" spans="1:5" x14ac:dyDescent="0.2">
      <c r="A416" s="13">
        <v>414</v>
      </c>
      <c r="B416" s="1">
        <v>43019</v>
      </c>
      <c r="C416" t="s">
        <v>103</v>
      </c>
      <c r="D416" t="s">
        <v>186</v>
      </c>
      <c r="E416">
        <v>1.5749039189864016E-2</v>
      </c>
    </row>
    <row r="417" spans="1:5" x14ac:dyDescent="0.2">
      <c r="A417" s="13">
        <v>415</v>
      </c>
      <c r="B417" s="1">
        <v>43019</v>
      </c>
      <c r="C417" t="s">
        <v>103</v>
      </c>
      <c r="D417" t="s">
        <v>187</v>
      </c>
      <c r="E417">
        <v>0</v>
      </c>
    </row>
    <row r="418" spans="1:5" x14ac:dyDescent="0.2">
      <c r="A418" s="13">
        <v>416</v>
      </c>
      <c r="B418" s="1">
        <v>43019</v>
      </c>
      <c r="C418" t="s">
        <v>103</v>
      </c>
      <c r="D418" t="s">
        <v>188</v>
      </c>
      <c r="E418">
        <v>0</v>
      </c>
    </row>
    <row r="419" spans="1:5" x14ac:dyDescent="0.2">
      <c r="A419" s="13">
        <v>417</v>
      </c>
      <c r="B419" s="1">
        <v>43019</v>
      </c>
      <c r="C419" t="s">
        <v>103</v>
      </c>
      <c r="D419" t="s">
        <v>189</v>
      </c>
      <c r="E419">
        <v>0</v>
      </c>
    </row>
    <row r="420" spans="1:5" x14ac:dyDescent="0.2">
      <c r="A420" s="13">
        <v>418</v>
      </c>
      <c r="B420" s="1">
        <v>43019</v>
      </c>
      <c r="C420" t="s">
        <v>103</v>
      </c>
      <c r="D420" t="s">
        <v>190</v>
      </c>
      <c r="E420">
        <v>0</v>
      </c>
    </row>
    <row r="421" spans="1:5" x14ac:dyDescent="0.2">
      <c r="A421" s="13">
        <v>419</v>
      </c>
      <c r="B421" s="1">
        <v>43019</v>
      </c>
      <c r="C421" t="s">
        <v>103</v>
      </c>
      <c r="D421" t="s">
        <v>191</v>
      </c>
      <c r="E421">
        <v>0</v>
      </c>
    </row>
    <row r="422" spans="1:5" x14ac:dyDescent="0.2">
      <c r="A422" s="13">
        <v>420</v>
      </c>
      <c r="B422" s="1">
        <v>43019</v>
      </c>
      <c r="C422" t="s">
        <v>104</v>
      </c>
      <c r="D422" t="s">
        <v>39</v>
      </c>
      <c r="E422">
        <v>7.1849279426988225E-2</v>
      </c>
    </row>
    <row r="423" spans="1:5" x14ac:dyDescent="0.2">
      <c r="A423" s="13">
        <v>421</v>
      </c>
      <c r="B423" s="1">
        <v>43019</v>
      </c>
      <c r="C423" t="s">
        <v>104</v>
      </c>
      <c r="D423" t="s">
        <v>32</v>
      </c>
      <c r="E423">
        <v>0</v>
      </c>
    </row>
    <row r="424" spans="1:5" x14ac:dyDescent="0.2">
      <c r="A424" s="13">
        <v>422</v>
      </c>
      <c r="B424" s="1">
        <v>43019</v>
      </c>
      <c r="C424" t="s">
        <v>104</v>
      </c>
      <c r="D424" t="s">
        <v>30</v>
      </c>
      <c r="E424">
        <v>0</v>
      </c>
    </row>
    <row r="425" spans="1:5" x14ac:dyDescent="0.2">
      <c r="A425" s="13">
        <v>423</v>
      </c>
      <c r="B425" s="1">
        <v>43019</v>
      </c>
      <c r="C425" t="s">
        <v>104</v>
      </c>
      <c r="D425" t="s">
        <v>49</v>
      </c>
      <c r="E425">
        <v>0</v>
      </c>
    </row>
    <row r="426" spans="1:5" x14ac:dyDescent="0.2">
      <c r="A426" s="13">
        <v>424</v>
      </c>
      <c r="B426" s="1">
        <v>43019</v>
      </c>
      <c r="C426" t="s">
        <v>104</v>
      </c>
      <c r="D426" t="s">
        <v>145</v>
      </c>
      <c r="E426">
        <v>0</v>
      </c>
    </row>
    <row r="427" spans="1:5" x14ac:dyDescent="0.2">
      <c r="A427" s="13">
        <v>425</v>
      </c>
      <c r="B427" s="1">
        <v>43019</v>
      </c>
      <c r="C427" t="s">
        <v>104</v>
      </c>
      <c r="D427" t="s">
        <v>233</v>
      </c>
      <c r="E427">
        <v>0</v>
      </c>
    </row>
    <row r="428" spans="1:5" x14ac:dyDescent="0.2">
      <c r="A428" s="13">
        <v>426</v>
      </c>
      <c r="B428" s="1">
        <v>43019</v>
      </c>
      <c r="C428" t="s">
        <v>104</v>
      </c>
      <c r="D428" t="s">
        <v>172</v>
      </c>
      <c r="E428">
        <v>0</v>
      </c>
    </row>
    <row r="429" spans="1:5" x14ac:dyDescent="0.2">
      <c r="A429" s="13">
        <v>427</v>
      </c>
      <c r="B429" s="1">
        <v>43019</v>
      </c>
      <c r="C429" t="s">
        <v>104</v>
      </c>
      <c r="D429" t="s">
        <v>72</v>
      </c>
      <c r="E429">
        <v>0</v>
      </c>
    </row>
    <row r="430" spans="1:5" x14ac:dyDescent="0.2">
      <c r="A430" s="13">
        <v>428</v>
      </c>
      <c r="B430" s="1">
        <v>43019</v>
      </c>
      <c r="C430" t="s">
        <v>104</v>
      </c>
      <c r="D430" t="s">
        <v>186</v>
      </c>
      <c r="E430">
        <v>7.1849279426988225E-2</v>
      </c>
    </row>
    <row r="431" spans="1:5" x14ac:dyDescent="0.2">
      <c r="A431" s="13">
        <v>429</v>
      </c>
      <c r="B431" s="1">
        <v>43019</v>
      </c>
      <c r="C431" t="s">
        <v>104</v>
      </c>
      <c r="D431" t="s">
        <v>187</v>
      </c>
      <c r="E431">
        <v>0</v>
      </c>
    </row>
    <row r="432" spans="1:5" x14ac:dyDescent="0.2">
      <c r="A432" s="13">
        <v>430</v>
      </c>
      <c r="B432" s="1">
        <v>43019</v>
      </c>
      <c r="C432" t="s">
        <v>104</v>
      </c>
      <c r="D432" t="s">
        <v>188</v>
      </c>
      <c r="E432">
        <v>0</v>
      </c>
    </row>
    <row r="433" spans="1:5" x14ac:dyDescent="0.2">
      <c r="A433" s="13">
        <v>431</v>
      </c>
      <c r="B433" s="1">
        <v>43019</v>
      </c>
      <c r="C433" t="s">
        <v>104</v>
      </c>
      <c r="D433" t="s">
        <v>189</v>
      </c>
      <c r="E433">
        <v>0</v>
      </c>
    </row>
    <row r="434" spans="1:5" x14ac:dyDescent="0.2">
      <c r="A434" s="13">
        <v>432</v>
      </c>
      <c r="B434" s="1">
        <v>43019</v>
      </c>
      <c r="C434" t="s">
        <v>104</v>
      </c>
      <c r="D434" t="s">
        <v>190</v>
      </c>
      <c r="E434">
        <v>0</v>
      </c>
    </row>
    <row r="435" spans="1:5" x14ac:dyDescent="0.2">
      <c r="A435" s="13">
        <v>433</v>
      </c>
      <c r="B435" s="1">
        <v>43019</v>
      </c>
      <c r="C435" t="s">
        <v>104</v>
      </c>
      <c r="D435" t="s">
        <v>191</v>
      </c>
      <c r="E435">
        <v>0</v>
      </c>
    </row>
    <row r="436" spans="1:5" x14ac:dyDescent="0.2">
      <c r="A436" s="13">
        <v>434</v>
      </c>
      <c r="B436" s="1">
        <v>43019</v>
      </c>
      <c r="C436" t="s">
        <v>151</v>
      </c>
      <c r="D436" t="s">
        <v>39</v>
      </c>
      <c r="E436">
        <v>0</v>
      </c>
    </row>
    <row r="437" spans="1:5" x14ac:dyDescent="0.2">
      <c r="A437" s="13">
        <v>435</v>
      </c>
      <c r="B437" s="1">
        <v>43019</v>
      </c>
      <c r="C437" t="s">
        <v>151</v>
      </c>
      <c r="D437" t="s">
        <v>32</v>
      </c>
      <c r="E437">
        <v>0</v>
      </c>
    </row>
    <row r="438" spans="1:5" x14ac:dyDescent="0.2">
      <c r="A438" s="13">
        <v>436</v>
      </c>
      <c r="B438" s="1">
        <v>43019</v>
      </c>
      <c r="C438" t="s">
        <v>151</v>
      </c>
      <c r="D438" t="s">
        <v>30</v>
      </c>
      <c r="E438">
        <v>4.680963896790704E-3</v>
      </c>
    </row>
    <row r="439" spans="1:5" x14ac:dyDescent="0.2">
      <c r="A439" s="13">
        <v>437</v>
      </c>
      <c r="B439" s="1">
        <v>43019</v>
      </c>
      <c r="C439" t="s">
        <v>151</v>
      </c>
      <c r="D439" t="s">
        <v>49</v>
      </c>
      <c r="E439">
        <v>0</v>
      </c>
    </row>
    <row r="440" spans="1:5" x14ac:dyDescent="0.2">
      <c r="A440" s="13">
        <v>438</v>
      </c>
      <c r="B440" s="1">
        <v>43019</v>
      </c>
      <c r="C440" t="s">
        <v>151</v>
      </c>
      <c r="D440" t="s">
        <v>145</v>
      </c>
      <c r="E440">
        <v>0</v>
      </c>
    </row>
    <row r="441" spans="1:5" x14ac:dyDescent="0.2">
      <c r="A441" s="13">
        <v>439</v>
      </c>
      <c r="B441" s="1">
        <v>43019</v>
      </c>
      <c r="C441" t="s">
        <v>151</v>
      </c>
      <c r="D441" t="s">
        <v>233</v>
      </c>
      <c r="E441">
        <v>0</v>
      </c>
    </row>
    <row r="442" spans="1:5" x14ac:dyDescent="0.2">
      <c r="A442" s="13">
        <v>440</v>
      </c>
      <c r="B442" s="1">
        <v>43019</v>
      </c>
      <c r="C442" t="s">
        <v>151</v>
      </c>
      <c r="D442" t="s">
        <v>172</v>
      </c>
      <c r="E442">
        <v>0</v>
      </c>
    </row>
    <row r="443" spans="1:5" x14ac:dyDescent="0.2">
      <c r="A443" s="13">
        <v>441</v>
      </c>
      <c r="B443" s="1">
        <v>43019</v>
      </c>
      <c r="C443" t="s">
        <v>151</v>
      </c>
      <c r="D443" t="s">
        <v>72</v>
      </c>
      <c r="E443">
        <v>6.6440445905915686</v>
      </c>
    </row>
    <row r="444" spans="1:5" x14ac:dyDescent="0.2">
      <c r="A444" s="13">
        <v>442</v>
      </c>
      <c r="B444" s="1">
        <v>43019</v>
      </c>
      <c r="C444" t="s">
        <v>151</v>
      </c>
      <c r="D444" t="s">
        <v>186</v>
      </c>
      <c r="E444">
        <v>4.8542772050333573E-4</v>
      </c>
    </row>
    <row r="445" spans="1:5" x14ac:dyDescent="0.2">
      <c r="A445" s="13">
        <v>443</v>
      </c>
      <c r="B445" s="1">
        <v>43019</v>
      </c>
      <c r="C445" t="s">
        <v>151</v>
      </c>
      <c r="D445" t="s">
        <v>187</v>
      </c>
      <c r="E445">
        <v>2.3421044949498513E-3</v>
      </c>
    </row>
    <row r="446" spans="1:5" x14ac:dyDescent="0.2">
      <c r="A446" s="13">
        <v>444</v>
      </c>
      <c r="B446" s="1">
        <v>43019</v>
      </c>
      <c r="C446" t="s">
        <v>151</v>
      </c>
      <c r="D446" t="s">
        <v>188</v>
      </c>
      <c r="E446">
        <v>9.2830420276344061E-4</v>
      </c>
    </row>
    <row r="447" spans="1:5" x14ac:dyDescent="0.2">
      <c r="A447" s="13">
        <v>445</v>
      </c>
      <c r="B447" s="1">
        <v>43019</v>
      </c>
      <c r="C447" t="s">
        <v>151</v>
      </c>
      <c r="D447" t="s">
        <v>189</v>
      </c>
      <c r="E447">
        <v>4.105408563527747E-4</v>
      </c>
    </row>
    <row r="448" spans="1:5" x14ac:dyDescent="0.2">
      <c r="A448" s="13">
        <v>446</v>
      </c>
      <c r="B448" s="1">
        <v>43019</v>
      </c>
      <c r="C448" t="s">
        <v>151</v>
      </c>
      <c r="D448" t="s">
        <v>190</v>
      </c>
      <c r="E448">
        <v>1.0030345845274534E-3</v>
      </c>
    </row>
    <row r="449" spans="1:5" x14ac:dyDescent="0.2">
      <c r="A449" s="13">
        <v>447</v>
      </c>
      <c r="B449" s="1">
        <v>43019</v>
      </c>
      <c r="C449" t="s">
        <v>151</v>
      </c>
      <c r="D449" t="s">
        <v>191</v>
      </c>
      <c r="E449">
        <v>-4.8844796230615418E-4</v>
      </c>
    </row>
    <row r="450" spans="1:5" x14ac:dyDescent="0.2">
      <c r="A450" s="13">
        <v>448</v>
      </c>
      <c r="B450" s="1">
        <v>43019</v>
      </c>
      <c r="C450" t="s">
        <v>29</v>
      </c>
      <c r="D450" t="s">
        <v>39</v>
      </c>
      <c r="E450">
        <v>-2.0742761217606035E-4</v>
      </c>
    </row>
    <row r="451" spans="1:5" x14ac:dyDescent="0.2">
      <c r="A451" s="13">
        <v>449</v>
      </c>
      <c r="B451" s="1">
        <v>43019</v>
      </c>
      <c r="C451" t="s">
        <v>29</v>
      </c>
      <c r="D451" t="s">
        <v>32</v>
      </c>
      <c r="E451">
        <v>3.8112597171139984E-3</v>
      </c>
    </row>
    <row r="452" spans="1:5" x14ac:dyDescent="0.2">
      <c r="A452" s="13">
        <v>450</v>
      </c>
      <c r="B452" s="1">
        <v>43019</v>
      </c>
      <c r="C452" t="s">
        <v>29</v>
      </c>
      <c r="D452" t="s">
        <v>30</v>
      </c>
      <c r="E452">
        <v>3.8586423196711411E-6</v>
      </c>
    </row>
    <row r="453" spans="1:5" x14ac:dyDescent="0.2">
      <c r="A453" s="13">
        <v>451</v>
      </c>
      <c r="B453" s="1">
        <v>43019</v>
      </c>
      <c r="C453" t="s">
        <v>29</v>
      </c>
      <c r="D453" t="s">
        <v>49</v>
      </c>
      <c r="E453">
        <v>0</v>
      </c>
    </row>
    <row r="454" spans="1:5" x14ac:dyDescent="0.2">
      <c r="A454" s="13">
        <v>452</v>
      </c>
      <c r="B454" s="1">
        <v>43019</v>
      </c>
      <c r="C454" t="s">
        <v>29</v>
      </c>
      <c r="D454" t="s">
        <v>145</v>
      </c>
      <c r="E454">
        <v>0</v>
      </c>
    </row>
    <row r="455" spans="1:5" x14ac:dyDescent="0.2">
      <c r="A455" s="13">
        <v>453</v>
      </c>
      <c r="B455" s="1">
        <v>43019</v>
      </c>
      <c r="C455" t="s">
        <v>29</v>
      </c>
      <c r="D455" t="s">
        <v>233</v>
      </c>
      <c r="E455">
        <v>0</v>
      </c>
    </row>
    <row r="456" spans="1:5" x14ac:dyDescent="0.2">
      <c r="A456" s="13">
        <v>454</v>
      </c>
      <c r="B456" s="1">
        <v>43019</v>
      </c>
      <c r="C456" t="s">
        <v>29</v>
      </c>
      <c r="D456" t="s">
        <v>172</v>
      </c>
      <c r="E456">
        <v>0</v>
      </c>
    </row>
    <row r="457" spans="1:5" x14ac:dyDescent="0.2">
      <c r="A457" s="13">
        <v>455</v>
      </c>
      <c r="B457" s="1">
        <v>43019</v>
      </c>
      <c r="C457" t="s">
        <v>29</v>
      </c>
      <c r="D457" t="s">
        <v>72</v>
      </c>
      <c r="E457">
        <v>4.7996532088411712</v>
      </c>
    </row>
    <row r="458" spans="1:5" x14ac:dyDescent="0.2">
      <c r="A458" s="13">
        <v>456</v>
      </c>
      <c r="B458" s="1">
        <v>43019</v>
      </c>
      <c r="C458" t="s">
        <v>29</v>
      </c>
      <c r="D458" t="s">
        <v>186</v>
      </c>
      <c r="E458">
        <v>-7.4510335772901817E-4</v>
      </c>
    </row>
    <row r="459" spans="1:5" x14ac:dyDescent="0.2">
      <c r="A459" s="13">
        <v>457</v>
      </c>
      <c r="B459" s="1">
        <v>43019</v>
      </c>
      <c r="C459" t="s">
        <v>29</v>
      </c>
      <c r="D459" t="s">
        <v>187</v>
      </c>
      <c r="E459">
        <v>0</v>
      </c>
    </row>
    <row r="460" spans="1:5" x14ac:dyDescent="0.2">
      <c r="A460" s="13">
        <v>458</v>
      </c>
      <c r="B460" s="1">
        <v>43019</v>
      </c>
      <c r="C460" t="s">
        <v>29</v>
      </c>
      <c r="D460" t="s">
        <v>188</v>
      </c>
      <c r="E460">
        <v>0</v>
      </c>
    </row>
    <row r="461" spans="1:5" x14ac:dyDescent="0.2">
      <c r="A461" s="13">
        <v>459</v>
      </c>
      <c r="B461" s="1">
        <v>43019</v>
      </c>
      <c r="C461" t="s">
        <v>29</v>
      </c>
      <c r="D461" t="s">
        <v>189</v>
      </c>
      <c r="E461">
        <v>0</v>
      </c>
    </row>
    <row r="462" spans="1:5" x14ac:dyDescent="0.2">
      <c r="A462" s="13">
        <v>460</v>
      </c>
      <c r="B462" s="1">
        <v>43019</v>
      </c>
      <c r="C462" t="s">
        <v>29</v>
      </c>
      <c r="D462" t="s">
        <v>190</v>
      </c>
      <c r="E462">
        <v>0</v>
      </c>
    </row>
    <row r="463" spans="1:5" x14ac:dyDescent="0.2">
      <c r="A463" s="13">
        <v>461</v>
      </c>
      <c r="B463" s="1">
        <v>43019</v>
      </c>
      <c r="C463" t="s">
        <v>29</v>
      </c>
      <c r="D463" t="s">
        <v>191</v>
      </c>
      <c r="E463">
        <v>4.3527941049866254E-3</v>
      </c>
    </row>
    <row r="464" spans="1:5" x14ac:dyDescent="0.2">
      <c r="A464" s="13">
        <v>462</v>
      </c>
      <c r="B464" s="1">
        <v>43019</v>
      </c>
      <c r="C464" t="s">
        <v>87</v>
      </c>
      <c r="D464" t="s">
        <v>39</v>
      </c>
      <c r="E464">
        <v>1.6010038020081213E-3</v>
      </c>
    </row>
    <row r="465" spans="1:5" x14ac:dyDescent="0.2">
      <c r="A465" s="13">
        <v>463</v>
      </c>
      <c r="B465" s="1">
        <v>43019</v>
      </c>
      <c r="C465" t="s">
        <v>87</v>
      </c>
      <c r="D465" t="s">
        <v>32</v>
      </c>
      <c r="E465">
        <v>3.0167296493236323E-2</v>
      </c>
    </row>
    <row r="466" spans="1:5" x14ac:dyDescent="0.2">
      <c r="A466" s="13">
        <v>464</v>
      </c>
      <c r="B466" s="1">
        <v>43019</v>
      </c>
      <c r="C466" t="s">
        <v>87</v>
      </c>
      <c r="D466" t="s">
        <v>30</v>
      </c>
      <c r="E466">
        <v>7.1150804897833519E-4</v>
      </c>
    </row>
    <row r="467" spans="1:5" x14ac:dyDescent="0.2">
      <c r="A467" s="13">
        <v>465</v>
      </c>
      <c r="B467" s="1">
        <v>43019</v>
      </c>
      <c r="C467" t="s">
        <v>87</v>
      </c>
      <c r="D467" t="s">
        <v>49</v>
      </c>
      <c r="E467">
        <v>0</v>
      </c>
    </row>
    <row r="468" spans="1:5" x14ac:dyDescent="0.2">
      <c r="A468" s="13">
        <v>466</v>
      </c>
      <c r="B468" s="1">
        <v>43019</v>
      </c>
      <c r="C468" t="s">
        <v>87</v>
      </c>
      <c r="D468" t="s">
        <v>145</v>
      </c>
      <c r="E468">
        <v>1.0596584616686918E-3</v>
      </c>
    </row>
    <row r="469" spans="1:5" x14ac:dyDescent="0.2">
      <c r="A469" s="13">
        <v>467</v>
      </c>
      <c r="B469" s="1">
        <v>43019</v>
      </c>
      <c r="C469" t="s">
        <v>87</v>
      </c>
      <c r="D469" t="s">
        <v>233</v>
      </c>
      <c r="E469">
        <v>0</v>
      </c>
    </row>
    <row r="470" spans="1:5" x14ac:dyDescent="0.2">
      <c r="A470" s="13">
        <v>468</v>
      </c>
      <c r="B470" s="1">
        <v>43019</v>
      </c>
      <c r="C470" t="s">
        <v>87</v>
      </c>
      <c r="D470" t="s">
        <v>172</v>
      </c>
      <c r="E470">
        <v>0</v>
      </c>
    </row>
    <row r="471" spans="1:5" x14ac:dyDescent="0.2">
      <c r="A471" s="13">
        <v>469</v>
      </c>
      <c r="B471" s="1">
        <v>43019</v>
      </c>
      <c r="C471" t="s">
        <v>87</v>
      </c>
      <c r="D471" t="s">
        <v>72</v>
      </c>
      <c r="E471">
        <v>9.355854704556732</v>
      </c>
    </row>
    <row r="472" spans="1:5" x14ac:dyDescent="0.2">
      <c r="A472" s="13">
        <v>470</v>
      </c>
      <c r="B472" s="1">
        <v>43019</v>
      </c>
      <c r="C472" t="s">
        <v>87</v>
      </c>
      <c r="D472" t="s">
        <v>186</v>
      </c>
      <c r="E472">
        <v>3.1974514159058609E-2</v>
      </c>
    </row>
    <row r="473" spans="1:5" x14ac:dyDescent="0.2">
      <c r="A473" s="13">
        <v>471</v>
      </c>
      <c r="B473" s="1">
        <v>43019</v>
      </c>
      <c r="C473" t="s">
        <v>87</v>
      </c>
      <c r="D473" t="s">
        <v>187</v>
      </c>
      <c r="E473">
        <v>1.301728662154674E-3</v>
      </c>
    </row>
    <row r="474" spans="1:5" x14ac:dyDescent="0.2">
      <c r="A474" s="13">
        <v>472</v>
      </c>
      <c r="B474" s="1">
        <v>43019</v>
      </c>
      <c r="C474" t="s">
        <v>87</v>
      </c>
      <c r="D474" t="s">
        <v>188</v>
      </c>
      <c r="E474">
        <v>1.8117333483453892E-4</v>
      </c>
    </row>
    <row r="475" spans="1:5" x14ac:dyDescent="0.2">
      <c r="A475" s="13">
        <v>473</v>
      </c>
      <c r="B475" s="1">
        <v>43019</v>
      </c>
      <c r="C475" t="s">
        <v>87</v>
      </c>
      <c r="D475" t="s">
        <v>189</v>
      </c>
      <c r="E475">
        <v>2.17023448968766E-4</v>
      </c>
    </row>
    <row r="476" spans="1:5" x14ac:dyDescent="0.2">
      <c r="A476" s="13">
        <v>474</v>
      </c>
      <c r="B476" s="1">
        <v>43019</v>
      </c>
      <c r="C476" t="s">
        <v>87</v>
      </c>
      <c r="D476" t="s">
        <v>190</v>
      </c>
      <c r="E476">
        <v>1.3032171928423989E-4</v>
      </c>
    </row>
    <row r="477" spans="1:5" x14ac:dyDescent="0.2">
      <c r="A477" s="13">
        <v>475</v>
      </c>
      <c r="B477" s="1">
        <v>43019</v>
      </c>
      <c r="C477" t="s">
        <v>87</v>
      </c>
      <c r="D477" t="s">
        <v>191</v>
      </c>
      <c r="E477">
        <v>-2.6529451840937311E-4</v>
      </c>
    </row>
    <row r="478" spans="1:5" x14ac:dyDescent="0.2">
      <c r="A478" s="13">
        <v>476</v>
      </c>
      <c r="B478" s="1">
        <v>43019</v>
      </c>
      <c r="C478" t="s">
        <v>61</v>
      </c>
      <c r="D478" t="s">
        <v>39</v>
      </c>
      <c r="E478">
        <v>8.274829028559772E-4</v>
      </c>
    </row>
    <row r="479" spans="1:5" x14ac:dyDescent="0.2">
      <c r="A479" s="13">
        <v>477</v>
      </c>
      <c r="B479" s="1">
        <v>43019</v>
      </c>
      <c r="C479" t="s">
        <v>61</v>
      </c>
      <c r="D479" t="s">
        <v>32</v>
      </c>
      <c r="E479">
        <v>2.3334770432839443E-2</v>
      </c>
    </row>
    <row r="480" spans="1:5" x14ac:dyDescent="0.2">
      <c r="A480" s="13">
        <v>478</v>
      </c>
      <c r="B480" s="1">
        <v>43019</v>
      </c>
      <c r="C480" t="s">
        <v>61</v>
      </c>
      <c r="D480" t="s">
        <v>30</v>
      </c>
      <c r="E480">
        <v>0</v>
      </c>
    </row>
    <row r="481" spans="1:5" x14ac:dyDescent="0.2">
      <c r="A481" s="13">
        <v>479</v>
      </c>
      <c r="B481" s="1">
        <v>43019</v>
      </c>
      <c r="C481" t="s">
        <v>61</v>
      </c>
      <c r="D481" t="s">
        <v>49</v>
      </c>
      <c r="E481">
        <v>0</v>
      </c>
    </row>
    <row r="482" spans="1:5" x14ac:dyDescent="0.2">
      <c r="A482" s="13">
        <v>480</v>
      </c>
      <c r="B482" s="1">
        <v>43019</v>
      </c>
      <c r="C482" t="s">
        <v>61</v>
      </c>
      <c r="D482" t="s">
        <v>145</v>
      </c>
      <c r="E482">
        <v>0</v>
      </c>
    </row>
    <row r="483" spans="1:5" x14ac:dyDescent="0.2">
      <c r="A483" s="13">
        <v>481</v>
      </c>
      <c r="B483" s="1">
        <v>43019</v>
      </c>
      <c r="C483" t="s">
        <v>61</v>
      </c>
      <c r="D483" t="s">
        <v>233</v>
      </c>
      <c r="E483">
        <v>0</v>
      </c>
    </row>
    <row r="484" spans="1:5" x14ac:dyDescent="0.2">
      <c r="A484" s="13">
        <v>482</v>
      </c>
      <c r="B484" s="1">
        <v>43019</v>
      </c>
      <c r="C484" t="s">
        <v>61</v>
      </c>
      <c r="D484" t="s">
        <v>172</v>
      </c>
      <c r="E484">
        <v>0</v>
      </c>
    </row>
    <row r="485" spans="1:5" x14ac:dyDescent="0.2">
      <c r="A485" s="13">
        <v>483</v>
      </c>
      <c r="B485" s="1">
        <v>43019</v>
      </c>
      <c r="C485" t="s">
        <v>61</v>
      </c>
      <c r="D485" t="s">
        <v>72</v>
      </c>
      <c r="E485">
        <v>5.5378123161547927</v>
      </c>
    </row>
    <row r="486" spans="1:5" x14ac:dyDescent="0.2">
      <c r="A486" s="13">
        <v>484</v>
      </c>
      <c r="B486" s="1">
        <v>43019</v>
      </c>
      <c r="C486" t="s">
        <v>61</v>
      </c>
      <c r="D486" t="s">
        <v>186</v>
      </c>
      <c r="E486">
        <v>2.4162253335695411E-2</v>
      </c>
    </row>
    <row r="487" spans="1:5" x14ac:dyDescent="0.2">
      <c r="A487" s="13">
        <v>485</v>
      </c>
      <c r="B487" s="1">
        <v>43019</v>
      </c>
      <c r="C487" t="s">
        <v>61</v>
      </c>
      <c r="D487" t="s">
        <v>187</v>
      </c>
      <c r="E487">
        <v>0</v>
      </c>
    </row>
    <row r="488" spans="1:5" x14ac:dyDescent="0.2">
      <c r="A488" s="13">
        <v>486</v>
      </c>
      <c r="B488" s="1">
        <v>43019</v>
      </c>
      <c r="C488" t="s">
        <v>61</v>
      </c>
      <c r="D488" t="s">
        <v>188</v>
      </c>
      <c r="E488">
        <v>0</v>
      </c>
    </row>
    <row r="489" spans="1:5" x14ac:dyDescent="0.2">
      <c r="A489" s="13">
        <v>487</v>
      </c>
      <c r="B489" s="1">
        <v>43019</v>
      </c>
      <c r="C489" t="s">
        <v>61</v>
      </c>
      <c r="D489" t="s">
        <v>189</v>
      </c>
      <c r="E489">
        <v>0</v>
      </c>
    </row>
    <row r="490" spans="1:5" x14ac:dyDescent="0.2">
      <c r="A490" s="13">
        <v>488</v>
      </c>
      <c r="B490" s="1">
        <v>43019</v>
      </c>
      <c r="C490" t="s">
        <v>61</v>
      </c>
      <c r="D490" t="s">
        <v>190</v>
      </c>
      <c r="E490">
        <v>0</v>
      </c>
    </row>
    <row r="491" spans="1:5" x14ac:dyDescent="0.2">
      <c r="A491" s="13">
        <v>489</v>
      </c>
      <c r="B491" s="1">
        <v>43019</v>
      </c>
      <c r="C491" t="s">
        <v>61</v>
      </c>
      <c r="D491" t="s">
        <v>191</v>
      </c>
      <c r="E491">
        <v>0</v>
      </c>
    </row>
    <row r="492" spans="1:5" x14ac:dyDescent="0.2">
      <c r="A492" s="13">
        <v>490</v>
      </c>
      <c r="B492" s="1">
        <v>43019</v>
      </c>
      <c r="C492" t="s">
        <v>53</v>
      </c>
      <c r="D492" t="s">
        <v>39</v>
      </c>
      <c r="E492">
        <v>5.5685596015462929E-5</v>
      </c>
    </row>
    <row r="493" spans="1:5" x14ac:dyDescent="0.2">
      <c r="A493" s="13">
        <v>491</v>
      </c>
      <c r="B493" s="1">
        <v>43019</v>
      </c>
      <c r="C493" t="s">
        <v>53</v>
      </c>
      <c r="D493" t="s">
        <v>32</v>
      </c>
      <c r="E493">
        <v>4.3094857157553387E-3</v>
      </c>
    </row>
    <row r="494" spans="1:5" x14ac:dyDescent="0.2">
      <c r="A494" s="13">
        <v>492</v>
      </c>
      <c r="B494" s="1">
        <v>43019</v>
      </c>
      <c r="C494" t="s">
        <v>53</v>
      </c>
      <c r="D494" t="s">
        <v>30</v>
      </c>
      <c r="E494">
        <v>7.6513202614017387E-4</v>
      </c>
    </row>
    <row r="495" spans="1:5" x14ac:dyDescent="0.2">
      <c r="A495" s="13">
        <v>493</v>
      </c>
      <c r="B495" s="1">
        <v>43019</v>
      </c>
      <c r="C495" t="s">
        <v>53</v>
      </c>
      <c r="D495" t="s">
        <v>49</v>
      </c>
      <c r="E495">
        <v>0</v>
      </c>
    </row>
    <row r="496" spans="1:5" x14ac:dyDescent="0.2">
      <c r="A496" s="13">
        <v>494</v>
      </c>
      <c r="B496" s="1">
        <v>43019</v>
      </c>
      <c r="C496" t="s">
        <v>53</v>
      </c>
      <c r="D496" t="s">
        <v>145</v>
      </c>
      <c r="E496">
        <v>0</v>
      </c>
    </row>
    <row r="497" spans="1:5" x14ac:dyDescent="0.2">
      <c r="A497" s="13">
        <v>495</v>
      </c>
      <c r="B497" s="1">
        <v>43019</v>
      </c>
      <c r="C497" t="s">
        <v>53</v>
      </c>
      <c r="D497" t="s">
        <v>233</v>
      </c>
      <c r="E497">
        <v>0</v>
      </c>
    </row>
    <row r="498" spans="1:5" x14ac:dyDescent="0.2">
      <c r="A498" s="13">
        <v>496</v>
      </c>
      <c r="B498" s="1">
        <v>43019</v>
      </c>
      <c r="C498" t="s">
        <v>53</v>
      </c>
      <c r="D498" t="s">
        <v>172</v>
      </c>
      <c r="E498">
        <v>0</v>
      </c>
    </row>
    <row r="499" spans="1:5" x14ac:dyDescent="0.2">
      <c r="A499" s="13">
        <v>497</v>
      </c>
      <c r="B499" s="1">
        <v>43019</v>
      </c>
      <c r="C499" t="s">
        <v>53</v>
      </c>
      <c r="D499" t="s">
        <v>72</v>
      </c>
      <c r="E499">
        <v>6.3445282837919832</v>
      </c>
    </row>
    <row r="500" spans="1:5" x14ac:dyDescent="0.2">
      <c r="A500" s="13">
        <v>498</v>
      </c>
      <c r="B500" s="1">
        <v>43019</v>
      </c>
      <c r="C500" t="s">
        <v>53</v>
      </c>
      <c r="D500" t="s">
        <v>186</v>
      </c>
      <c r="E500">
        <v>4.1148838250405131E-3</v>
      </c>
    </row>
    <row r="501" spans="1:5" x14ac:dyDescent="0.2">
      <c r="A501" s="13">
        <v>499</v>
      </c>
      <c r="B501" s="1">
        <v>43019</v>
      </c>
      <c r="C501" t="s">
        <v>53</v>
      </c>
      <c r="D501" t="s">
        <v>187</v>
      </c>
      <c r="E501">
        <v>0</v>
      </c>
    </row>
    <row r="502" spans="1:5" x14ac:dyDescent="0.2">
      <c r="A502" s="13">
        <v>500</v>
      </c>
      <c r="B502" s="1">
        <v>43019</v>
      </c>
      <c r="C502" t="s">
        <v>53</v>
      </c>
      <c r="D502" t="s">
        <v>188</v>
      </c>
      <c r="E502">
        <v>0</v>
      </c>
    </row>
    <row r="503" spans="1:5" x14ac:dyDescent="0.2">
      <c r="A503" s="13">
        <v>501</v>
      </c>
      <c r="B503" s="1">
        <v>43019</v>
      </c>
      <c r="C503" t="s">
        <v>53</v>
      </c>
      <c r="D503" t="s">
        <v>189</v>
      </c>
      <c r="E503">
        <v>0</v>
      </c>
    </row>
    <row r="504" spans="1:5" x14ac:dyDescent="0.2">
      <c r="A504" s="13">
        <v>502</v>
      </c>
      <c r="B504" s="1">
        <v>43019</v>
      </c>
      <c r="C504" t="s">
        <v>53</v>
      </c>
      <c r="D504" t="s">
        <v>190</v>
      </c>
      <c r="E504">
        <v>0</v>
      </c>
    </row>
    <row r="505" spans="1:5" x14ac:dyDescent="0.2">
      <c r="A505" s="13">
        <v>503</v>
      </c>
      <c r="B505" s="1">
        <v>43019</v>
      </c>
      <c r="C505" t="s">
        <v>53</v>
      </c>
      <c r="D505" t="s">
        <v>191</v>
      </c>
      <c r="E505">
        <v>1.0154195128704597E-3</v>
      </c>
    </row>
    <row r="506" spans="1:5" x14ac:dyDescent="0.2">
      <c r="A506" s="13">
        <v>504</v>
      </c>
      <c r="B506" s="1">
        <v>43018</v>
      </c>
      <c r="C506" t="s">
        <v>62</v>
      </c>
      <c r="D506" t="s">
        <v>39</v>
      </c>
      <c r="E506">
        <v>3.8008344210402911E-3</v>
      </c>
    </row>
    <row r="507" spans="1:5" x14ac:dyDescent="0.2">
      <c r="A507" s="13">
        <v>505</v>
      </c>
      <c r="B507" s="1">
        <v>43018</v>
      </c>
      <c r="C507" t="s">
        <v>62</v>
      </c>
      <c r="D507" t="s">
        <v>32</v>
      </c>
      <c r="E507">
        <v>6.8411526647780127E-3</v>
      </c>
    </row>
    <row r="508" spans="1:5" x14ac:dyDescent="0.2">
      <c r="A508" s="13">
        <v>506</v>
      </c>
      <c r="B508" s="1">
        <v>43018</v>
      </c>
      <c r="C508" t="s">
        <v>62</v>
      </c>
      <c r="D508" t="s">
        <v>30</v>
      </c>
      <c r="E508">
        <v>5.4665762574279253E-6</v>
      </c>
    </row>
    <row r="509" spans="1:5" x14ac:dyDescent="0.2">
      <c r="A509" s="13">
        <v>507</v>
      </c>
      <c r="B509" s="1">
        <v>43018</v>
      </c>
      <c r="C509" t="s">
        <v>62</v>
      </c>
      <c r="D509" t="s">
        <v>49</v>
      </c>
      <c r="E509">
        <v>-6.9126176177782445E-8</v>
      </c>
    </row>
    <row r="510" spans="1:5" x14ac:dyDescent="0.2">
      <c r="A510" s="13">
        <v>508</v>
      </c>
      <c r="B510" s="1">
        <v>43018</v>
      </c>
      <c r="C510" t="s">
        <v>62</v>
      </c>
      <c r="D510" t="s">
        <v>145</v>
      </c>
      <c r="E510">
        <v>0</v>
      </c>
    </row>
    <row r="511" spans="1:5" x14ac:dyDescent="0.2">
      <c r="A511" s="13">
        <v>509</v>
      </c>
      <c r="B511" s="1">
        <v>43018</v>
      </c>
      <c r="C511" t="s">
        <v>62</v>
      </c>
      <c r="D511" t="s">
        <v>233</v>
      </c>
      <c r="E511">
        <v>0</v>
      </c>
    </row>
    <row r="512" spans="1:5" x14ac:dyDescent="0.2">
      <c r="A512" s="13">
        <v>510</v>
      </c>
      <c r="B512" s="1">
        <v>43018</v>
      </c>
      <c r="C512" t="s">
        <v>62</v>
      </c>
      <c r="D512" t="s">
        <v>172</v>
      </c>
      <c r="E512">
        <v>0</v>
      </c>
    </row>
    <row r="513" spans="1:5" x14ac:dyDescent="0.2">
      <c r="A513" s="13">
        <v>511</v>
      </c>
      <c r="B513" s="1">
        <v>43018</v>
      </c>
      <c r="C513" t="s">
        <v>62</v>
      </c>
      <c r="D513" t="s">
        <v>72</v>
      </c>
      <c r="E513">
        <v>3.2691988704615467</v>
      </c>
    </row>
    <row r="514" spans="1:5" x14ac:dyDescent="0.2">
      <c r="A514" s="13">
        <v>512</v>
      </c>
      <c r="B514" s="1">
        <v>43018</v>
      </c>
      <c r="C514" t="s">
        <v>62</v>
      </c>
      <c r="D514" t="s">
        <v>186</v>
      </c>
      <c r="E514">
        <v>1.0641987085818304E-2</v>
      </c>
    </row>
    <row r="515" spans="1:5" x14ac:dyDescent="0.2">
      <c r="A515" s="13">
        <v>513</v>
      </c>
      <c r="B515" s="1">
        <v>43018</v>
      </c>
      <c r="C515" t="s">
        <v>62</v>
      </c>
      <c r="D515" t="s">
        <v>187</v>
      </c>
      <c r="E515">
        <v>0</v>
      </c>
    </row>
    <row r="516" spans="1:5" x14ac:dyDescent="0.2">
      <c r="A516" s="13">
        <v>514</v>
      </c>
      <c r="B516" s="1">
        <v>43018</v>
      </c>
      <c r="C516" t="s">
        <v>62</v>
      </c>
      <c r="D516" t="s">
        <v>188</v>
      </c>
      <c r="E516">
        <v>0</v>
      </c>
    </row>
    <row r="517" spans="1:5" x14ac:dyDescent="0.2">
      <c r="A517" s="13">
        <v>515</v>
      </c>
      <c r="B517" s="1">
        <v>43018</v>
      </c>
      <c r="C517" t="s">
        <v>62</v>
      </c>
      <c r="D517" t="s">
        <v>189</v>
      </c>
      <c r="E517">
        <v>0</v>
      </c>
    </row>
    <row r="518" spans="1:5" x14ac:dyDescent="0.2">
      <c r="A518" s="13">
        <v>516</v>
      </c>
      <c r="B518" s="1">
        <v>43018</v>
      </c>
      <c r="C518" t="s">
        <v>62</v>
      </c>
      <c r="D518" t="s">
        <v>190</v>
      </c>
      <c r="E518">
        <v>0</v>
      </c>
    </row>
    <row r="519" spans="1:5" x14ac:dyDescent="0.2">
      <c r="A519" s="13">
        <v>517</v>
      </c>
      <c r="B519" s="1">
        <v>43018</v>
      </c>
      <c r="C519" t="s">
        <v>62</v>
      </c>
      <c r="D519" t="s">
        <v>191</v>
      </c>
      <c r="E519">
        <v>5.3974500812501433E-6</v>
      </c>
    </row>
    <row r="520" spans="1:5" x14ac:dyDescent="0.2">
      <c r="A520" s="13">
        <v>518</v>
      </c>
      <c r="B520" s="1">
        <v>43018</v>
      </c>
      <c r="C520" t="s">
        <v>63</v>
      </c>
      <c r="D520" t="s">
        <v>39</v>
      </c>
      <c r="E520">
        <v>6.6188508245808905E-3</v>
      </c>
    </row>
    <row r="521" spans="1:5" x14ac:dyDescent="0.2">
      <c r="A521" s="13">
        <v>519</v>
      </c>
      <c r="B521" s="1">
        <v>43018</v>
      </c>
      <c r="C521" t="s">
        <v>63</v>
      </c>
      <c r="D521" t="s">
        <v>32</v>
      </c>
      <c r="E521">
        <v>1.26825568031888E-2</v>
      </c>
    </row>
    <row r="522" spans="1:5" x14ac:dyDescent="0.2">
      <c r="A522" s="13">
        <v>520</v>
      </c>
      <c r="B522" s="1">
        <v>43018</v>
      </c>
      <c r="C522" t="s">
        <v>63</v>
      </c>
      <c r="D522" t="s">
        <v>30</v>
      </c>
      <c r="E522">
        <v>7.0672949160048779E-6</v>
      </c>
    </row>
    <row r="523" spans="1:5" x14ac:dyDescent="0.2">
      <c r="A523" s="13">
        <v>521</v>
      </c>
      <c r="B523" s="1">
        <v>43018</v>
      </c>
      <c r="C523" t="s">
        <v>63</v>
      </c>
      <c r="D523" t="s">
        <v>49</v>
      </c>
      <c r="E523">
        <v>-4.2739257809173144E-7</v>
      </c>
    </row>
    <row r="524" spans="1:5" x14ac:dyDescent="0.2">
      <c r="A524" s="13">
        <v>522</v>
      </c>
      <c r="B524" s="1">
        <v>43018</v>
      </c>
      <c r="C524" t="s">
        <v>63</v>
      </c>
      <c r="D524" t="s">
        <v>145</v>
      </c>
      <c r="E524">
        <v>0</v>
      </c>
    </row>
    <row r="525" spans="1:5" x14ac:dyDescent="0.2">
      <c r="A525" s="13">
        <v>523</v>
      </c>
      <c r="B525" s="1">
        <v>43018</v>
      </c>
      <c r="C525" t="s">
        <v>63</v>
      </c>
      <c r="D525" t="s">
        <v>233</v>
      </c>
      <c r="E525">
        <v>0</v>
      </c>
    </row>
    <row r="526" spans="1:5" x14ac:dyDescent="0.2">
      <c r="A526" s="13">
        <v>524</v>
      </c>
      <c r="B526" s="1">
        <v>43018</v>
      </c>
      <c r="C526" t="s">
        <v>63</v>
      </c>
      <c r="D526" t="s">
        <v>172</v>
      </c>
      <c r="E526">
        <v>0</v>
      </c>
    </row>
    <row r="527" spans="1:5" x14ac:dyDescent="0.2">
      <c r="A527" s="13">
        <v>525</v>
      </c>
      <c r="B527" s="1">
        <v>43018</v>
      </c>
      <c r="C527" t="s">
        <v>63</v>
      </c>
      <c r="D527" t="s">
        <v>72</v>
      </c>
      <c r="E527">
        <v>5.9949919808525571</v>
      </c>
    </row>
    <row r="528" spans="1:5" x14ac:dyDescent="0.2">
      <c r="A528" s="13">
        <v>526</v>
      </c>
      <c r="B528" s="1">
        <v>43018</v>
      </c>
      <c r="C528" t="s">
        <v>63</v>
      </c>
      <c r="D528" t="s">
        <v>186</v>
      </c>
      <c r="E528">
        <v>1.9301407627769683E-2</v>
      </c>
    </row>
    <row r="529" spans="1:5" x14ac:dyDescent="0.2">
      <c r="A529" s="13">
        <v>527</v>
      </c>
      <c r="B529" s="1">
        <v>43018</v>
      </c>
      <c r="C529" t="s">
        <v>63</v>
      </c>
      <c r="D529" t="s">
        <v>187</v>
      </c>
      <c r="E529">
        <v>0</v>
      </c>
    </row>
    <row r="530" spans="1:5" x14ac:dyDescent="0.2">
      <c r="A530" s="13">
        <v>528</v>
      </c>
      <c r="B530" s="1">
        <v>43018</v>
      </c>
      <c r="C530" t="s">
        <v>63</v>
      </c>
      <c r="D530" t="s">
        <v>188</v>
      </c>
      <c r="E530">
        <v>0</v>
      </c>
    </row>
    <row r="531" spans="1:5" x14ac:dyDescent="0.2">
      <c r="A531" s="13">
        <v>529</v>
      </c>
      <c r="B531" s="1">
        <v>43018</v>
      </c>
      <c r="C531" t="s">
        <v>63</v>
      </c>
      <c r="D531" t="s">
        <v>189</v>
      </c>
      <c r="E531">
        <v>0</v>
      </c>
    </row>
    <row r="532" spans="1:5" x14ac:dyDescent="0.2">
      <c r="A532" s="13">
        <v>530</v>
      </c>
      <c r="B532" s="1">
        <v>43018</v>
      </c>
      <c r="C532" t="s">
        <v>63</v>
      </c>
      <c r="D532" t="s">
        <v>190</v>
      </c>
      <c r="E532">
        <v>0</v>
      </c>
    </row>
    <row r="533" spans="1:5" x14ac:dyDescent="0.2">
      <c r="A533" s="13">
        <v>531</v>
      </c>
      <c r="B533" s="1">
        <v>43018</v>
      </c>
      <c r="C533" t="s">
        <v>63</v>
      </c>
      <c r="D533" t="s">
        <v>191</v>
      </c>
      <c r="E533">
        <v>6.6399023379131465E-6</v>
      </c>
    </row>
    <row r="534" spans="1:5" x14ac:dyDescent="0.2">
      <c r="A534" s="13">
        <v>532</v>
      </c>
      <c r="B534" s="1">
        <v>43018</v>
      </c>
      <c r="C534" t="s">
        <v>103</v>
      </c>
      <c r="D534" t="s">
        <v>39</v>
      </c>
      <c r="E534">
        <v>1.5782587762086651E-2</v>
      </c>
    </row>
    <row r="535" spans="1:5" x14ac:dyDescent="0.2">
      <c r="A535" s="13">
        <v>533</v>
      </c>
      <c r="B535" s="1">
        <v>43018</v>
      </c>
      <c r="C535" t="s">
        <v>103</v>
      </c>
      <c r="D535" t="s">
        <v>32</v>
      </c>
      <c r="E535">
        <v>0</v>
      </c>
    </row>
    <row r="536" spans="1:5" x14ac:dyDescent="0.2">
      <c r="A536" s="13">
        <v>534</v>
      </c>
      <c r="B536" s="1">
        <v>43018</v>
      </c>
      <c r="C536" t="s">
        <v>103</v>
      </c>
      <c r="D536" t="s">
        <v>30</v>
      </c>
      <c r="E536">
        <v>0</v>
      </c>
    </row>
    <row r="537" spans="1:5" x14ac:dyDescent="0.2">
      <c r="A537" s="13">
        <v>535</v>
      </c>
      <c r="B537" s="1">
        <v>43018</v>
      </c>
      <c r="C537" t="s">
        <v>103</v>
      </c>
      <c r="D537" t="s">
        <v>49</v>
      </c>
      <c r="E537">
        <v>0</v>
      </c>
    </row>
    <row r="538" spans="1:5" x14ac:dyDescent="0.2">
      <c r="A538" s="13">
        <v>536</v>
      </c>
      <c r="B538" s="1">
        <v>43018</v>
      </c>
      <c r="C538" t="s">
        <v>103</v>
      </c>
      <c r="D538" t="s">
        <v>145</v>
      </c>
      <c r="E538">
        <v>0</v>
      </c>
    </row>
    <row r="539" spans="1:5" x14ac:dyDescent="0.2">
      <c r="A539" s="13">
        <v>537</v>
      </c>
      <c r="B539" s="1">
        <v>43018</v>
      </c>
      <c r="C539" t="s">
        <v>103</v>
      </c>
      <c r="D539" t="s">
        <v>233</v>
      </c>
      <c r="E539">
        <v>0</v>
      </c>
    </row>
    <row r="540" spans="1:5" x14ac:dyDescent="0.2">
      <c r="A540" s="13">
        <v>538</v>
      </c>
      <c r="B540" s="1">
        <v>43018</v>
      </c>
      <c r="C540" t="s">
        <v>103</v>
      </c>
      <c r="D540" t="s">
        <v>172</v>
      </c>
      <c r="E540">
        <v>0</v>
      </c>
    </row>
    <row r="541" spans="1:5" x14ac:dyDescent="0.2">
      <c r="A541" s="13">
        <v>539</v>
      </c>
      <c r="B541" s="1">
        <v>43018</v>
      </c>
      <c r="C541" t="s">
        <v>103</v>
      </c>
      <c r="D541" t="s">
        <v>72</v>
      </c>
      <c r="E541">
        <v>0</v>
      </c>
    </row>
    <row r="542" spans="1:5" x14ac:dyDescent="0.2">
      <c r="A542" s="13">
        <v>540</v>
      </c>
      <c r="B542" s="1">
        <v>43018</v>
      </c>
      <c r="C542" t="s">
        <v>103</v>
      </c>
      <c r="D542" t="s">
        <v>186</v>
      </c>
      <c r="E542">
        <v>1.5782587762086651E-2</v>
      </c>
    </row>
    <row r="543" spans="1:5" x14ac:dyDescent="0.2">
      <c r="A543" s="13">
        <v>541</v>
      </c>
      <c r="B543" s="1">
        <v>43018</v>
      </c>
      <c r="C543" t="s">
        <v>103</v>
      </c>
      <c r="D543" t="s">
        <v>187</v>
      </c>
      <c r="E543">
        <v>0</v>
      </c>
    </row>
    <row r="544" spans="1:5" x14ac:dyDescent="0.2">
      <c r="A544" s="13">
        <v>542</v>
      </c>
      <c r="B544" s="1">
        <v>43018</v>
      </c>
      <c r="C544" t="s">
        <v>103</v>
      </c>
      <c r="D544" t="s">
        <v>188</v>
      </c>
      <c r="E544">
        <v>0</v>
      </c>
    </row>
    <row r="545" spans="1:5" x14ac:dyDescent="0.2">
      <c r="A545" s="13">
        <v>543</v>
      </c>
      <c r="B545" s="1">
        <v>43018</v>
      </c>
      <c r="C545" t="s">
        <v>103</v>
      </c>
      <c r="D545" t="s">
        <v>189</v>
      </c>
      <c r="E545">
        <v>0</v>
      </c>
    </row>
    <row r="546" spans="1:5" x14ac:dyDescent="0.2">
      <c r="A546" s="13">
        <v>544</v>
      </c>
      <c r="B546" s="1">
        <v>43018</v>
      </c>
      <c r="C546" t="s">
        <v>103</v>
      </c>
      <c r="D546" t="s">
        <v>190</v>
      </c>
      <c r="E546">
        <v>0</v>
      </c>
    </row>
    <row r="547" spans="1:5" x14ac:dyDescent="0.2">
      <c r="A547" s="13">
        <v>545</v>
      </c>
      <c r="B547" s="1">
        <v>43018</v>
      </c>
      <c r="C547" t="s">
        <v>103</v>
      </c>
      <c r="D547" t="s">
        <v>191</v>
      </c>
      <c r="E547">
        <v>0</v>
      </c>
    </row>
    <row r="548" spans="1:5" x14ac:dyDescent="0.2">
      <c r="A548" s="13">
        <v>546</v>
      </c>
      <c r="B548" s="1">
        <v>43018</v>
      </c>
      <c r="C548" t="s">
        <v>104</v>
      </c>
      <c r="D548" t="s">
        <v>39</v>
      </c>
      <c r="E548">
        <v>7.1992755047964554E-2</v>
      </c>
    </row>
    <row r="549" spans="1:5" x14ac:dyDescent="0.2">
      <c r="A549" s="13">
        <v>547</v>
      </c>
      <c r="B549" s="1">
        <v>43018</v>
      </c>
      <c r="C549" t="s">
        <v>104</v>
      </c>
      <c r="D549" t="s">
        <v>32</v>
      </c>
      <c r="E549">
        <v>0</v>
      </c>
    </row>
    <row r="550" spans="1:5" x14ac:dyDescent="0.2">
      <c r="A550" s="13">
        <v>548</v>
      </c>
      <c r="B550" s="1">
        <v>43018</v>
      </c>
      <c r="C550" t="s">
        <v>104</v>
      </c>
      <c r="D550" t="s">
        <v>30</v>
      </c>
      <c r="E550">
        <v>0</v>
      </c>
    </row>
    <row r="551" spans="1:5" x14ac:dyDescent="0.2">
      <c r="A551" s="13">
        <v>549</v>
      </c>
      <c r="B551" s="1">
        <v>43018</v>
      </c>
      <c r="C551" t="s">
        <v>104</v>
      </c>
      <c r="D551" t="s">
        <v>49</v>
      </c>
      <c r="E551">
        <v>0</v>
      </c>
    </row>
    <row r="552" spans="1:5" x14ac:dyDescent="0.2">
      <c r="A552" s="13">
        <v>550</v>
      </c>
      <c r="B552" s="1">
        <v>43018</v>
      </c>
      <c r="C552" t="s">
        <v>104</v>
      </c>
      <c r="D552" t="s">
        <v>145</v>
      </c>
      <c r="E552">
        <v>0</v>
      </c>
    </row>
    <row r="553" spans="1:5" x14ac:dyDescent="0.2">
      <c r="A553" s="13">
        <v>551</v>
      </c>
      <c r="B553" s="1">
        <v>43018</v>
      </c>
      <c r="C553" t="s">
        <v>104</v>
      </c>
      <c r="D553" t="s">
        <v>233</v>
      </c>
      <c r="E553">
        <v>0</v>
      </c>
    </row>
    <row r="554" spans="1:5" x14ac:dyDescent="0.2">
      <c r="A554" s="13">
        <v>552</v>
      </c>
      <c r="B554" s="1">
        <v>43018</v>
      </c>
      <c r="C554" t="s">
        <v>104</v>
      </c>
      <c r="D554" t="s">
        <v>172</v>
      </c>
      <c r="E554">
        <v>0</v>
      </c>
    </row>
    <row r="555" spans="1:5" x14ac:dyDescent="0.2">
      <c r="A555" s="13">
        <v>553</v>
      </c>
      <c r="B555" s="1">
        <v>43018</v>
      </c>
      <c r="C555" t="s">
        <v>104</v>
      </c>
      <c r="D555" t="s">
        <v>72</v>
      </c>
      <c r="E555">
        <v>0</v>
      </c>
    </row>
    <row r="556" spans="1:5" x14ac:dyDescent="0.2">
      <c r="A556" s="13">
        <v>554</v>
      </c>
      <c r="B556" s="1">
        <v>43018</v>
      </c>
      <c r="C556" t="s">
        <v>104</v>
      </c>
      <c r="D556" t="s">
        <v>186</v>
      </c>
      <c r="E556">
        <v>7.1992755047964554E-2</v>
      </c>
    </row>
    <row r="557" spans="1:5" x14ac:dyDescent="0.2">
      <c r="A557" s="13">
        <v>555</v>
      </c>
      <c r="B557" s="1">
        <v>43018</v>
      </c>
      <c r="C557" t="s">
        <v>104</v>
      </c>
      <c r="D557" t="s">
        <v>187</v>
      </c>
      <c r="E557">
        <v>0</v>
      </c>
    </row>
    <row r="558" spans="1:5" x14ac:dyDescent="0.2">
      <c r="A558" s="13">
        <v>556</v>
      </c>
      <c r="B558" s="1">
        <v>43018</v>
      </c>
      <c r="C558" t="s">
        <v>104</v>
      </c>
      <c r="D558" t="s">
        <v>188</v>
      </c>
      <c r="E558">
        <v>0</v>
      </c>
    </row>
    <row r="559" spans="1:5" x14ac:dyDescent="0.2">
      <c r="A559" s="13">
        <v>557</v>
      </c>
      <c r="B559" s="1">
        <v>43018</v>
      </c>
      <c r="C559" t="s">
        <v>104</v>
      </c>
      <c r="D559" t="s">
        <v>189</v>
      </c>
      <c r="E559">
        <v>0</v>
      </c>
    </row>
    <row r="560" spans="1:5" x14ac:dyDescent="0.2">
      <c r="A560" s="13">
        <v>558</v>
      </c>
      <c r="B560" s="1">
        <v>43018</v>
      </c>
      <c r="C560" t="s">
        <v>104</v>
      </c>
      <c r="D560" t="s">
        <v>190</v>
      </c>
      <c r="E560">
        <v>0</v>
      </c>
    </row>
    <row r="561" spans="1:5" x14ac:dyDescent="0.2">
      <c r="A561" s="13">
        <v>559</v>
      </c>
      <c r="B561" s="1">
        <v>43018</v>
      </c>
      <c r="C561" t="s">
        <v>104</v>
      </c>
      <c r="D561" t="s">
        <v>191</v>
      </c>
      <c r="E561">
        <v>0</v>
      </c>
    </row>
    <row r="562" spans="1:5" x14ac:dyDescent="0.2">
      <c r="A562" s="13">
        <v>560</v>
      </c>
      <c r="B562" s="1">
        <v>43018</v>
      </c>
      <c r="C562" t="s">
        <v>151</v>
      </c>
      <c r="D562" t="s">
        <v>39</v>
      </c>
      <c r="E562">
        <v>0</v>
      </c>
    </row>
    <row r="563" spans="1:5" x14ac:dyDescent="0.2">
      <c r="A563" s="13">
        <v>561</v>
      </c>
      <c r="B563" s="1">
        <v>43018</v>
      </c>
      <c r="C563" t="s">
        <v>151</v>
      </c>
      <c r="D563" t="s">
        <v>32</v>
      </c>
      <c r="E563">
        <v>0</v>
      </c>
    </row>
    <row r="564" spans="1:5" x14ac:dyDescent="0.2">
      <c r="A564" s="13">
        <v>562</v>
      </c>
      <c r="B564" s="1">
        <v>43018</v>
      </c>
      <c r="C564" t="s">
        <v>151</v>
      </c>
      <c r="D564" t="s">
        <v>30</v>
      </c>
      <c r="E564">
        <v>4.6952470791211667E-3</v>
      </c>
    </row>
    <row r="565" spans="1:5" x14ac:dyDescent="0.2">
      <c r="A565" s="13">
        <v>563</v>
      </c>
      <c r="B565" s="1">
        <v>43018</v>
      </c>
      <c r="C565" t="s">
        <v>151</v>
      </c>
      <c r="D565" t="s">
        <v>49</v>
      </c>
      <c r="E565">
        <v>0</v>
      </c>
    </row>
    <row r="566" spans="1:5" x14ac:dyDescent="0.2">
      <c r="A566" s="13">
        <v>564</v>
      </c>
      <c r="B566" s="1">
        <v>43018</v>
      </c>
      <c r="C566" t="s">
        <v>151</v>
      </c>
      <c r="D566" t="s">
        <v>145</v>
      </c>
      <c r="E566">
        <v>0</v>
      </c>
    </row>
    <row r="567" spans="1:5" x14ac:dyDescent="0.2">
      <c r="A567" s="13">
        <v>565</v>
      </c>
      <c r="B567" s="1">
        <v>43018</v>
      </c>
      <c r="C567" t="s">
        <v>151</v>
      </c>
      <c r="D567" t="s">
        <v>233</v>
      </c>
      <c r="E567">
        <v>0</v>
      </c>
    </row>
    <row r="568" spans="1:5" x14ac:dyDescent="0.2">
      <c r="A568" s="13">
        <v>566</v>
      </c>
      <c r="B568" s="1">
        <v>43018</v>
      </c>
      <c r="C568" t="s">
        <v>151</v>
      </c>
      <c r="D568" t="s">
        <v>172</v>
      </c>
      <c r="E568">
        <v>0</v>
      </c>
    </row>
    <row r="569" spans="1:5" x14ac:dyDescent="0.2">
      <c r="A569" s="13">
        <v>567</v>
      </c>
      <c r="B569" s="1">
        <v>43018</v>
      </c>
      <c r="C569" t="s">
        <v>151</v>
      </c>
      <c r="D569" t="s">
        <v>72</v>
      </c>
      <c r="E569">
        <v>6.6467993910981802</v>
      </c>
    </row>
    <row r="570" spans="1:5" x14ac:dyDescent="0.2">
      <c r="A570" s="13">
        <v>568</v>
      </c>
      <c r="B570" s="1">
        <v>43018</v>
      </c>
      <c r="C570" t="s">
        <v>151</v>
      </c>
      <c r="D570" t="s">
        <v>186</v>
      </c>
      <c r="E570">
        <v>5.6823923884964395E-4</v>
      </c>
    </row>
    <row r="571" spans="1:5" x14ac:dyDescent="0.2">
      <c r="A571" s="13">
        <v>569</v>
      </c>
      <c r="B571" s="1">
        <v>43018</v>
      </c>
      <c r="C571" t="s">
        <v>151</v>
      </c>
      <c r="D571" t="s">
        <v>187</v>
      </c>
      <c r="E571">
        <v>2.2072535907321981E-3</v>
      </c>
    </row>
    <row r="572" spans="1:5" x14ac:dyDescent="0.2">
      <c r="A572" s="13">
        <v>570</v>
      </c>
      <c r="B572" s="1">
        <v>43018</v>
      </c>
      <c r="C572" t="s">
        <v>151</v>
      </c>
      <c r="D572" t="s">
        <v>188</v>
      </c>
      <c r="E572">
        <v>8.7471956748378949E-4</v>
      </c>
    </row>
    <row r="573" spans="1:5" x14ac:dyDescent="0.2">
      <c r="A573" s="13">
        <v>571</v>
      </c>
      <c r="B573" s="1">
        <v>43018</v>
      </c>
      <c r="C573" t="s">
        <v>151</v>
      </c>
      <c r="D573" t="s">
        <v>189</v>
      </c>
      <c r="E573">
        <v>4.6574338892747341E-4</v>
      </c>
    </row>
    <row r="574" spans="1:5" x14ac:dyDescent="0.2">
      <c r="A574" s="13">
        <v>572</v>
      </c>
      <c r="B574" s="1">
        <v>43018</v>
      </c>
      <c r="C574" t="s">
        <v>151</v>
      </c>
      <c r="D574" t="s">
        <v>190</v>
      </c>
      <c r="E574">
        <v>1.0946803745856899E-3</v>
      </c>
    </row>
    <row r="575" spans="1:5" x14ac:dyDescent="0.2">
      <c r="A575" s="13">
        <v>573</v>
      </c>
      <c r="B575" s="1">
        <v>43018</v>
      </c>
      <c r="C575" t="s">
        <v>151</v>
      </c>
      <c r="D575" t="s">
        <v>191</v>
      </c>
      <c r="E575">
        <v>-5.1538908145763035E-4</v>
      </c>
    </row>
    <row r="576" spans="1:5" x14ac:dyDescent="0.2">
      <c r="A576" s="13">
        <v>574</v>
      </c>
      <c r="B576" s="1">
        <v>43018</v>
      </c>
      <c r="C576" t="s">
        <v>29</v>
      </c>
      <c r="D576" t="s">
        <v>39</v>
      </c>
      <c r="E576">
        <v>-5.6078870579053021E-6</v>
      </c>
    </row>
    <row r="577" spans="1:5" x14ac:dyDescent="0.2">
      <c r="A577" s="13">
        <v>575</v>
      </c>
      <c r="B577" s="1">
        <v>43018</v>
      </c>
      <c r="C577" t="s">
        <v>29</v>
      </c>
      <c r="D577" t="s">
        <v>32</v>
      </c>
      <c r="E577">
        <v>2.03984303183753E-3</v>
      </c>
    </row>
    <row r="578" spans="1:5" x14ac:dyDescent="0.2">
      <c r="A578" s="13">
        <v>576</v>
      </c>
      <c r="B578" s="1">
        <v>43018</v>
      </c>
      <c r="C578" t="s">
        <v>29</v>
      </c>
      <c r="D578" t="s">
        <v>30</v>
      </c>
      <c r="E578">
        <v>5.2105391548704338E-6</v>
      </c>
    </row>
    <row r="579" spans="1:5" x14ac:dyDescent="0.2">
      <c r="A579" s="13">
        <v>577</v>
      </c>
      <c r="B579" s="1">
        <v>43018</v>
      </c>
      <c r="C579" t="s">
        <v>29</v>
      </c>
      <c r="D579" t="s">
        <v>49</v>
      </c>
      <c r="E579">
        <v>0</v>
      </c>
    </row>
    <row r="580" spans="1:5" x14ac:dyDescent="0.2">
      <c r="A580" s="13">
        <v>578</v>
      </c>
      <c r="B580" s="1">
        <v>43018</v>
      </c>
      <c r="C580" t="s">
        <v>29</v>
      </c>
      <c r="D580" t="s">
        <v>145</v>
      </c>
      <c r="E580">
        <v>0</v>
      </c>
    </row>
    <row r="581" spans="1:5" x14ac:dyDescent="0.2">
      <c r="A581" s="13">
        <v>579</v>
      </c>
      <c r="B581" s="1">
        <v>43018</v>
      </c>
      <c r="C581" t="s">
        <v>29</v>
      </c>
      <c r="D581" t="s">
        <v>233</v>
      </c>
      <c r="E581">
        <v>0</v>
      </c>
    </row>
    <row r="582" spans="1:5" x14ac:dyDescent="0.2">
      <c r="A582" s="13">
        <v>580</v>
      </c>
      <c r="B582" s="1">
        <v>43018</v>
      </c>
      <c r="C582" t="s">
        <v>29</v>
      </c>
      <c r="D582" t="s">
        <v>172</v>
      </c>
      <c r="E582">
        <v>0</v>
      </c>
    </row>
    <row r="583" spans="1:5" x14ac:dyDescent="0.2">
      <c r="A583" s="13">
        <v>581</v>
      </c>
      <c r="B583" s="1">
        <v>43018</v>
      </c>
      <c r="C583" t="s">
        <v>29</v>
      </c>
      <c r="D583" t="s">
        <v>72</v>
      </c>
      <c r="E583">
        <v>4.7890406019500924</v>
      </c>
    </row>
    <row r="584" spans="1:5" x14ac:dyDescent="0.2">
      <c r="A584" s="13">
        <v>582</v>
      </c>
      <c r="B584" s="1">
        <v>43018</v>
      </c>
      <c r="C584" t="s">
        <v>29</v>
      </c>
      <c r="D584" t="s">
        <v>186</v>
      </c>
      <c r="E584">
        <v>-1.2918972646894988E-3</v>
      </c>
    </row>
    <row r="585" spans="1:5" x14ac:dyDescent="0.2">
      <c r="A585" s="13">
        <v>583</v>
      </c>
      <c r="B585" s="1">
        <v>43018</v>
      </c>
      <c r="C585" t="s">
        <v>29</v>
      </c>
      <c r="D585" t="s">
        <v>187</v>
      </c>
      <c r="E585">
        <v>0</v>
      </c>
    </row>
    <row r="586" spans="1:5" x14ac:dyDescent="0.2">
      <c r="A586" s="13">
        <v>584</v>
      </c>
      <c r="B586" s="1">
        <v>43018</v>
      </c>
      <c r="C586" t="s">
        <v>29</v>
      </c>
      <c r="D586" t="s">
        <v>188</v>
      </c>
      <c r="E586">
        <v>0</v>
      </c>
    </row>
    <row r="587" spans="1:5" x14ac:dyDescent="0.2">
      <c r="A587" s="13">
        <v>585</v>
      </c>
      <c r="B587" s="1">
        <v>43018</v>
      </c>
      <c r="C587" t="s">
        <v>29</v>
      </c>
      <c r="D587" t="s">
        <v>189</v>
      </c>
      <c r="E587">
        <v>0</v>
      </c>
    </row>
    <row r="588" spans="1:5" x14ac:dyDescent="0.2">
      <c r="A588" s="13">
        <v>586</v>
      </c>
      <c r="B588" s="1">
        <v>43018</v>
      </c>
      <c r="C588" t="s">
        <v>29</v>
      </c>
      <c r="D588" t="s">
        <v>190</v>
      </c>
      <c r="E588">
        <v>0</v>
      </c>
    </row>
    <row r="589" spans="1:5" x14ac:dyDescent="0.2">
      <c r="A589" s="13">
        <v>587</v>
      </c>
      <c r="B589" s="1">
        <v>43018</v>
      </c>
      <c r="C589" t="s">
        <v>29</v>
      </c>
      <c r="D589" t="s">
        <v>191</v>
      </c>
      <c r="E589">
        <v>3.3313429486239881E-3</v>
      </c>
    </row>
    <row r="590" spans="1:5" x14ac:dyDescent="0.2">
      <c r="A590" s="13">
        <v>588</v>
      </c>
      <c r="B590" s="1">
        <v>43018</v>
      </c>
      <c r="C590" t="s">
        <v>87</v>
      </c>
      <c r="D590" t="s">
        <v>39</v>
      </c>
      <c r="E590">
        <v>4.2200077854498815E-4</v>
      </c>
    </row>
    <row r="591" spans="1:5" x14ac:dyDescent="0.2">
      <c r="A591" s="13">
        <v>589</v>
      </c>
      <c r="B591" s="1">
        <v>43018</v>
      </c>
      <c r="C591" t="s">
        <v>87</v>
      </c>
      <c r="D591" t="s">
        <v>32</v>
      </c>
      <c r="E591">
        <v>2.9954591852932245E-2</v>
      </c>
    </row>
    <row r="592" spans="1:5" x14ac:dyDescent="0.2">
      <c r="A592" s="13">
        <v>590</v>
      </c>
      <c r="B592" s="1">
        <v>43018</v>
      </c>
      <c r="C592" t="s">
        <v>87</v>
      </c>
      <c r="D592" t="s">
        <v>30</v>
      </c>
      <c r="E592">
        <v>8.0737807808699779E-4</v>
      </c>
    </row>
    <row r="593" spans="1:5" x14ac:dyDescent="0.2">
      <c r="A593" s="13">
        <v>591</v>
      </c>
      <c r="B593" s="1">
        <v>43018</v>
      </c>
      <c r="C593" t="s">
        <v>87</v>
      </c>
      <c r="D593" t="s">
        <v>49</v>
      </c>
      <c r="E593">
        <v>0</v>
      </c>
    </row>
    <row r="594" spans="1:5" x14ac:dyDescent="0.2">
      <c r="A594" s="13">
        <v>592</v>
      </c>
      <c r="B594" s="1">
        <v>43018</v>
      </c>
      <c r="C594" t="s">
        <v>87</v>
      </c>
      <c r="D594" t="s">
        <v>145</v>
      </c>
      <c r="E594">
        <v>8.3241972354893153E-4</v>
      </c>
    </row>
    <row r="595" spans="1:5" x14ac:dyDescent="0.2">
      <c r="A595" s="13">
        <v>593</v>
      </c>
      <c r="B595" s="1">
        <v>43018</v>
      </c>
      <c r="C595" t="s">
        <v>87</v>
      </c>
      <c r="D595" t="s">
        <v>233</v>
      </c>
      <c r="E595">
        <v>0</v>
      </c>
    </row>
    <row r="596" spans="1:5" x14ac:dyDescent="0.2">
      <c r="A596" s="13">
        <v>594</v>
      </c>
      <c r="B596" s="1">
        <v>43018</v>
      </c>
      <c r="C596" t="s">
        <v>87</v>
      </c>
      <c r="D596" t="s">
        <v>172</v>
      </c>
      <c r="E596">
        <v>0</v>
      </c>
    </row>
    <row r="597" spans="1:5" x14ac:dyDescent="0.2">
      <c r="A597" s="13">
        <v>595</v>
      </c>
      <c r="B597" s="1">
        <v>43018</v>
      </c>
      <c r="C597" t="s">
        <v>87</v>
      </c>
      <c r="D597" t="s">
        <v>72</v>
      </c>
      <c r="E597">
        <v>9.3813473464308164</v>
      </c>
    </row>
    <row r="598" spans="1:5" x14ac:dyDescent="0.2">
      <c r="A598" s="13">
        <v>596</v>
      </c>
      <c r="B598" s="1">
        <v>43018</v>
      </c>
      <c r="C598" t="s">
        <v>87</v>
      </c>
      <c r="D598" t="s">
        <v>186</v>
      </c>
      <c r="E598">
        <v>3.0610575056053003E-2</v>
      </c>
    </row>
    <row r="599" spans="1:5" x14ac:dyDescent="0.2">
      <c r="A599" s="13">
        <v>597</v>
      </c>
      <c r="B599" s="1">
        <v>43018</v>
      </c>
      <c r="C599" t="s">
        <v>87</v>
      </c>
      <c r="D599" t="s">
        <v>187</v>
      </c>
      <c r="E599">
        <v>1.107723022451634E-3</v>
      </c>
    </row>
    <row r="600" spans="1:5" x14ac:dyDescent="0.2">
      <c r="A600" s="13">
        <v>598</v>
      </c>
      <c r="B600" s="1">
        <v>43018</v>
      </c>
      <c r="C600" t="s">
        <v>87</v>
      </c>
      <c r="D600" t="s">
        <v>188</v>
      </c>
      <c r="E600">
        <v>2.0596723451440482E-4</v>
      </c>
    </row>
    <row r="601" spans="1:5" x14ac:dyDescent="0.2">
      <c r="A601" s="13">
        <v>599</v>
      </c>
      <c r="B601" s="1">
        <v>43018</v>
      </c>
      <c r="C601" t="s">
        <v>87</v>
      </c>
      <c r="D601" t="s">
        <v>189</v>
      </c>
      <c r="E601">
        <v>2.4634712444340063E-4</v>
      </c>
    </row>
    <row r="602" spans="1:5" x14ac:dyDescent="0.2">
      <c r="A602" s="13">
        <v>600</v>
      </c>
      <c r="B602" s="1">
        <v>43018</v>
      </c>
      <c r="C602" t="s">
        <v>87</v>
      </c>
      <c r="D602" t="s">
        <v>190</v>
      </c>
      <c r="E602">
        <v>1.4795007006217179E-4</v>
      </c>
    </row>
    <row r="603" spans="1:5" x14ac:dyDescent="0.2">
      <c r="A603" s="13">
        <v>601</v>
      </c>
      <c r="B603" s="1">
        <v>43018</v>
      </c>
      <c r="C603" t="s">
        <v>87</v>
      </c>
      <c r="D603" t="s">
        <v>191</v>
      </c>
      <c r="E603">
        <v>-3.0217207441145472E-4</v>
      </c>
    </row>
    <row r="604" spans="1:5" x14ac:dyDescent="0.2">
      <c r="A604" s="13">
        <v>602</v>
      </c>
      <c r="B604" s="1">
        <v>43018</v>
      </c>
      <c r="C604" t="s">
        <v>61</v>
      </c>
      <c r="D604" t="s">
        <v>39</v>
      </c>
      <c r="E604">
        <v>1.6412035161347734E-4</v>
      </c>
    </row>
    <row r="605" spans="1:5" x14ac:dyDescent="0.2">
      <c r="A605" s="13">
        <v>603</v>
      </c>
      <c r="B605" s="1">
        <v>43018</v>
      </c>
      <c r="C605" t="s">
        <v>61</v>
      </c>
      <c r="D605" t="s">
        <v>32</v>
      </c>
      <c r="E605">
        <v>2.2241766954902323E-2</v>
      </c>
    </row>
    <row r="606" spans="1:5" x14ac:dyDescent="0.2">
      <c r="A606" s="13">
        <v>604</v>
      </c>
      <c r="B606" s="1">
        <v>43018</v>
      </c>
      <c r="C606" t="s">
        <v>61</v>
      </c>
      <c r="D606" t="s">
        <v>30</v>
      </c>
      <c r="E606">
        <v>0</v>
      </c>
    </row>
    <row r="607" spans="1:5" x14ac:dyDescent="0.2">
      <c r="A607" s="13">
        <v>605</v>
      </c>
      <c r="B607" s="1">
        <v>43018</v>
      </c>
      <c r="C607" t="s">
        <v>61</v>
      </c>
      <c r="D607" t="s">
        <v>49</v>
      </c>
      <c r="E607">
        <v>0</v>
      </c>
    </row>
    <row r="608" spans="1:5" x14ac:dyDescent="0.2">
      <c r="A608" s="13">
        <v>606</v>
      </c>
      <c r="B608" s="1">
        <v>43018</v>
      </c>
      <c r="C608" t="s">
        <v>61</v>
      </c>
      <c r="D608" t="s">
        <v>145</v>
      </c>
      <c r="E608">
        <v>0</v>
      </c>
    </row>
    <row r="609" spans="1:5" x14ac:dyDescent="0.2">
      <c r="A609" s="13">
        <v>607</v>
      </c>
      <c r="B609" s="1">
        <v>43018</v>
      </c>
      <c r="C609" t="s">
        <v>61</v>
      </c>
      <c r="D609" t="s">
        <v>233</v>
      </c>
      <c r="E609">
        <v>0</v>
      </c>
    </row>
    <row r="610" spans="1:5" x14ac:dyDescent="0.2">
      <c r="A610" s="13">
        <v>608</v>
      </c>
      <c r="B610" s="1">
        <v>43018</v>
      </c>
      <c r="C610" t="s">
        <v>61</v>
      </c>
      <c r="D610" t="s">
        <v>172</v>
      </c>
      <c r="E610">
        <v>0</v>
      </c>
    </row>
    <row r="611" spans="1:5" x14ac:dyDescent="0.2">
      <c r="A611" s="13">
        <v>609</v>
      </c>
      <c r="B611" s="1">
        <v>43018</v>
      </c>
      <c r="C611" t="s">
        <v>61</v>
      </c>
      <c r="D611" t="s">
        <v>72</v>
      </c>
      <c r="E611">
        <v>5.5428489346797765</v>
      </c>
    </row>
    <row r="612" spans="1:5" x14ac:dyDescent="0.2">
      <c r="A612" s="13">
        <v>610</v>
      </c>
      <c r="B612" s="1">
        <v>43018</v>
      </c>
      <c r="C612" t="s">
        <v>61</v>
      </c>
      <c r="D612" t="s">
        <v>186</v>
      </c>
      <c r="E612">
        <v>2.2405887306515802E-2</v>
      </c>
    </row>
    <row r="613" spans="1:5" x14ac:dyDescent="0.2">
      <c r="A613" s="13">
        <v>611</v>
      </c>
      <c r="B613" s="1">
        <v>43018</v>
      </c>
      <c r="C613" t="s">
        <v>61</v>
      </c>
      <c r="D613" t="s">
        <v>187</v>
      </c>
      <c r="E613">
        <v>0</v>
      </c>
    </row>
    <row r="614" spans="1:5" x14ac:dyDescent="0.2">
      <c r="A614" s="13">
        <v>612</v>
      </c>
      <c r="B614" s="1">
        <v>43018</v>
      </c>
      <c r="C614" t="s">
        <v>61</v>
      </c>
      <c r="D614" t="s">
        <v>188</v>
      </c>
      <c r="E614">
        <v>0</v>
      </c>
    </row>
    <row r="615" spans="1:5" x14ac:dyDescent="0.2">
      <c r="A615" s="13">
        <v>613</v>
      </c>
      <c r="B615" s="1">
        <v>43018</v>
      </c>
      <c r="C615" t="s">
        <v>61</v>
      </c>
      <c r="D615" t="s">
        <v>189</v>
      </c>
      <c r="E615">
        <v>0</v>
      </c>
    </row>
    <row r="616" spans="1:5" x14ac:dyDescent="0.2">
      <c r="A616" s="13">
        <v>614</v>
      </c>
      <c r="B616" s="1">
        <v>43018</v>
      </c>
      <c r="C616" t="s">
        <v>61</v>
      </c>
      <c r="D616" t="s">
        <v>190</v>
      </c>
      <c r="E616">
        <v>0</v>
      </c>
    </row>
    <row r="617" spans="1:5" x14ac:dyDescent="0.2">
      <c r="A617" s="13">
        <v>615</v>
      </c>
      <c r="B617" s="1">
        <v>43018</v>
      </c>
      <c r="C617" t="s">
        <v>61</v>
      </c>
      <c r="D617" t="s">
        <v>191</v>
      </c>
      <c r="E617">
        <v>0</v>
      </c>
    </row>
    <row r="618" spans="1:5" x14ac:dyDescent="0.2">
      <c r="A618" s="13">
        <v>616</v>
      </c>
      <c r="B618" s="1">
        <v>43018</v>
      </c>
      <c r="C618" t="s">
        <v>53</v>
      </c>
      <c r="D618" t="s">
        <v>39</v>
      </c>
      <c r="E618">
        <v>5.4511125937153345E-5</v>
      </c>
    </row>
    <row r="619" spans="1:5" x14ac:dyDescent="0.2">
      <c r="A619" s="13">
        <v>617</v>
      </c>
      <c r="B619" s="1">
        <v>43018</v>
      </c>
      <c r="C619" t="s">
        <v>53</v>
      </c>
      <c r="D619" t="s">
        <v>32</v>
      </c>
      <c r="E619">
        <v>4.3798233726482297E-3</v>
      </c>
    </row>
    <row r="620" spans="1:5" x14ac:dyDescent="0.2">
      <c r="A620" s="13">
        <v>618</v>
      </c>
      <c r="B620" s="1">
        <v>43018</v>
      </c>
      <c r="C620" t="s">
        <v>53</v>
      </c>
      <c r="D620" t="s">
        <v>30</v>
      </c>
      <c r="E620">
        <v>8.303483582669548E-4</v>
      </c>
    </row>
    <row r="621" spans="1:5" x14ac:dyDescent="0.2">
      <c r="A621" s="13">
        <v>619</v>
      </c>
      <c r="B621" s="1">
        <v>43018</v>
      </c>
      <c r="C621" t="s">
        <v>53</v>
      </c>
      <c r="D621" t="s">
        <v>49</v>
      </c>
      <c r="E621">
        <v>0</v>
      </c>
    </row>
    <row r="622" spans="1:5" x14ac:dyDescent="0.2">
      <c r="A622" s="13">
        <v>620</v>
      </c>
      <c r="B622" s="1">
        <v>43018</v>
      </c>
      <c r="C622" t="s">
        <v>53</v>
      </c>
      <c r="D622" t="s">
        <v>145</v>
      </c>
      <c r="E622">
        <v>0</v>
      </c>
    </row>
    <row r="623" spans="1:5" x14ac:dyDescent="0.2">
      <c r="A623" s="13">
        <v>621</v>
      </c>
      <c r="B623" s="1">
        <v>43018</v>
      </c>
      <c r="C623" t="s">
        <v>53</v>
      </c>
      <c r="D623" t="s">
        <v>233</v>
      </c>
      <c r="E623">
        <v>0</v>
      </c>
    </row>
    <row r="624" spans="1:5" x14ac:dyDescent="0.2">
      <c r="A624" s="13">
        <v>622</v>
      </c>
      <c r="B624" s="1">
        <v>43018</v>
      </c>
      <c r="C624" t="s">
        <v>53</v>
      </c>
      <c r="D624" t="s">
        <v>172</v>
      </c>
      <c r="E624">
        <v>0</v>
      </c>
    </row>
    <row r="625" spans="1:5" x14ac:dyDescent="0.2">
      <c r="A625" s="13">
        <v>623</v>
      </c>
      <c r="B625" s="1">
        <v>43018</v>
      </c>
      <c r="C625" t="s">
        <v>53</v>
      </c>
      <c r="D625" t="s">
        <v>72</v>
      </c>
      <c r="E625">
        <v>6.3748568010168789</v>
      </c>
    </row>
    <row r="626" spans="1:5" x14ac:dyDescent="0.2">
      <c r="A626" s="13">
        <v>624</v>
      </c>
      <c r="B626" s="1">
        <v>43018</v>
      </c>
      <c r="C626" t="s">
        <v>53</v>
      </c>
      <c r="D626" t="s">
        <v>186</v>
      </c>
      <c r="E626">
        <v>4.2755839307627944E-3</v>
      </c>
    </row>
    <row r="627" spans="1:5" x14ac:dyDescent="0.2">
      <c r="A627" s="13">
        <v>625</v>
      </c>
      <c r="B627" s="1">
        <v>43018</v>
      </c>
      <c r="C627" t="s">
        <v>53</v>
      </c>
      <c r="D627" t="s">
        <v>187</v>
      </c>
      <c r="E627">
        <v>0</v>
      </c>
    </row>
    <row r="628" spans="1:5" x14ac:dyDescent="0.2">
      <c r="A628" s="13">
        <v>626</v>
      </c>
      <c r="B628" s="1">
        <v>43018</v>
      </c>
      <c r="C628" t="s">
        <v>53</v>
      </c>
      <c r="D628" t="s">
        <v>188</v>
      </c>
      <c r="E628">
        <v>0</v>
      </c>
    </row>
    <row r="629" spans="1:5" x14ac:dyDescent="0.2">
      <c r="A629" s="13">
        <v>627</v>
      </c>
      <c r="B629" s="1">
        <v>43018</v>
      </c>
      <c r="C629" t="s">
        <v>53</v>
      </c>
      <c r="D629" t="s">
        <v>189</v>
      </c>
      <c r="E629">
        <v>0</v>
      </c>
    </row>
    <row r="630" spans="1:5" x14ac:dyDescent="0.2">
      <c r="A630" s="13">
        <v>628</v>
      </c>
      <c r="B630" s="1">
        <v>43018</v>
      </c>
      <c r="C630" t="s">
        <v>53</v>
      </c>
      <c r="D630" t="s">
        <v>190</v>
      </c>
      <c r="E630">
        <v>0</v>
      </c>
    </row>
    <row r="631" spans="1:5" x14ac:dyDescent="0.2">
      <c r="A631" s="13">
        <v>629</v>
      </c>
      <c r="B631" s="1">
        <v>43018</v>
      </c>
      <c r="C631" t="s">
        <v>53</v>
      </c>
      <c r="D631" t="s">
        <v>191</v>
      </c>
      <c r="E631">
        <v>9.8909892608954175E-4</v>
      </c>
    </row>
    <row r="632" spans="1:5" x14ac:dyDescent="0.2">
      <c r="A632" s="13">
        <v>630</v>
      </c>
      <c r="B632" s="1">
        <v>43017</v>
      </c>
      <c r="C632" t="s">
        <v>62</v>
      </c>
      <c r="D632" t="s">
        <v>39</v>
      </c>
      <c r="E632">
        <v>4.1119722936162435E-3</v>
      </c>
    </row>
    <row r="633" spans="1:5" x14ac:dyDescent="0.2">
      <c r="A633" s="13">
        <v>631</v>
      </c>
      <c r="B633" s="1">
        <v>43017</v>
      </c>
      <c r="C633" t="s">
        <v>62</v>
      </c>
      <c r="D633" t="s">
        <v>32</v>
      </c>
      <c r="E633">
        <v>7.049968183733219E-3</v>
      </c>
    </row>
    <row r="634" spans="1:5" x14ac:dyDescent="0.2">
      <c r="A634" s="13">
        <v>632</v>
      </c>
      <c r="B634" s="1">
        <v>43017</v>
      </c>
      <c r="C634" t="s">
        <v>62</v>
      </c>
      <c r="D634" t="s">
        <v>30</v>
      </c>
      <c r="E634">
        <v>6.8641876632005902E-6</v>
      </c>
    </row>
    <row r="635" spans="1:5" x14ac:dyDescent="0.2">
      <c r="A635" s="13">
        <v>633</v>
      </c>
      <c r="B635" s="1">
        <v>43017</v>
      </c>
      <c r="C635" t="s">
        <v>62</v>
      </c>
      <c r="D635" t="s">
        <v>49</v>
      </c>
      <c r="E635">
        <v>-5.8148365968627981E-8</v>
      </c>
    </row>
    <row r="636" spans="1:5" x14ac:dyDescent="0.2">
      <c r="A636" s="13">
        <v>634</v>
      </c>
      <c r="B636" s="1">
        <v>43017</v>
      </c>
      <c r="C636" t="s">
        <v>62</v>
      </c>
      <c r="D636" t="s">
        <v>145</v>
      </c>
      <c r="E636">
        <v>0</v>
      </c>
    </row>
    <row r="637" spans="1:5" x14ac:dyDescent="0.2">
      <c r="A637" s="13">
        <v>635</v>
      </c>
      <c r="B637" s="1">
        <v>43017</v>
      </c>
      <c r="C637" t="s">
        <v>62</v>
      </c>
      <c r="D637" t="s">
        <v>233</v>
      </c>
      <c r="E637">
        <v>0</v>
      </c>
    </row>
    <row r="638" spans="1:5" x14ac:dyDescent="0.2">
      <c r="A638" s="13">
        <v>636</v>
      </c>
      <c r="B638" s="1">
        <v>43017</v>
      </c>
      <c r="C638" t="s">
        <v>62</v>
      </c>
      <c r="D638" t="s">
        <v>172</v>
      </c>
      <c r="E638">
        <v>0</v>
      </c>
    </row>
    <row r="639" spans="1:5" x14ac:dyDescent="0.2">
      <c r="A639" s="13">
        <v>637</v>
      </c>
      <c r="B639" s="1">
        <v>43017</v>
      </c>
      <c r="C639" t="s">
        <v>62</v>
      </c>
      <c r="D639" t="s">
        <v>72</v>
      </c>
      <c r="E639">
        <v>3.3642698252769394</v>
      </c>
    </row>
    <row r="640" spans="1:5" x14ac:dyDescent="0.2">
      <c r="A640" s="13">
        <v>638</v>
      </c>
      <c r="B640" s="1">
        <v>43017</v>
      </c>
      <c r="C640" t="s">
        <v>62</v>
      </c>
      <c r="D640" t="s">
        <v>186</v>
      </c>
      <c r="E640">
        <v>1.1161940477349468E-2</v>
      </c>
    </row>
    <row r="641" spans="1:5" x14ac:dyDescent="0.2">
      <c r="A641" s="13">
        <v>639</v>
      </c>
      <c r="B641" s="1">
        <v>43017</v>
      </c>
      <c r="C641" t="s">
        <v>62</v>
      </c>
      <c r="D641" t="s">
        <v>187</v>
      </c>
      <c r="E641">
        <v>0</v>
      </c>
    </row>
    <row r="642" spans="1:5" x14ac:dyDescent="0.2">
      <c r="A642" s="13">
        <v>640</v>
      </c>
      <c r="B642" s="1">
        <v>43017</v>
      </c>
      <c r="C642" t="s">
        <v>62</v>
      </c>
      <c r="D642" t="s">
        <v>188</v>
      </c>
      <c r="E642">
        <v>0</v>
      </c>
    </row>
    <row r="643" spans="1:5" x14ac:dyDescent="0.2">
      <c r="A643" s="13">
        <v>641</v>
      </c>
      <c r="B643" s="1">
        <v>43017</v>
      </c>
      <c r="C643" t="s">
        <v>62</v>
      </c>
      <c r="D643" t="s">
        <v>189</v>
      </c>
      <c r="E643">
        <v>0</v>
      </c>
    </row>
    <row r="644" spans="1:5" x14ac:dyDescent="0.2">
      <c r="A644" s="13">
        <v>642</v>
      </c>
      <c r="B644" s="1">
        <v>43017</v>
      </c>
      <c r="C644" t="s">
        <v>62</v>
      </c>
      <c r="D644" t="s">
        <v>190</v>
      </c>
      <c r="E644">
        <v>0</v>
      </c>
    </row>
    <row r="645" spans="1:5" x14ac:dyDescent="0.2">
      <c r="A645" s="13">
        <v>643</v>
      </c>
      <c r="B645" s="1">
        <v>43017</v>
      </c>
      <c r="C645" t="s">
        <v>62</v>
      </c>
      <c r="D645" t="s">
        <v>191</v>
      </c>
      <c r="E645">
        <v>6.806039297231962E-6</v>
      </c>
    </row>
    <row r="646" spans="1:5" x14ac:dyDescent="0.2">
      <c r="A646" s="13">
        <v>644</v>
      </c>
      <c r="B646" s="1">
        <v>43017</v>
      </c>
      <c r="C646" t="s">
        <v>63</v>
      </c>
      <c r="D646" t="s">
        <v>39</v>
      </c>
      <c r="E646">
        <v>6.7694755399060362E-3</v>
      </c>
    </row>
    <row r="647" spans="1:5" x14ac:dyDescent="0.2">
      <c r="A647" s="13">
        <v>645</v>
      </c>
      <c r="B647" s="1">
        <v>43017</v>
      </c>
      <c r="C647" t="s">
        <v>63</v>
      </c>
      <c r="D647" t="s">
        <v>32</v>
      </c>
      <c r="E647">
        <v>1.2154630486412238E-2</v>
      </c>
    </row>
    <row r="648" spans="1:5" x14ac:dyDescent="0.2">
      <c r="A648" s="13">
        <v>646</v>
      </c>
      <c r="B648" s="1">
        <v>43017</v>
      </c>
      <c r="C648" t="s">
        <v>63</v>
      </c>
      <c r="D648" t="s">
        <v>30</v>
      </c>
      <c r="E648">
        <v>7.9465609396869676E-6</v>
      </c>
    </row>
    <row r="649" spans="1:5" x14ac:dyDescent="0.2">
      <c r="A649" s="13">
        <v>647</v>
      </c>
      <c r="B649" s="1">
        <v>43017</v>
      </c>
      <c r="C649" t="s">
        <v>63</v>
      </c>
      <c r="D649" t="s">
        <v>49</v>
      </c>
      <c r="E649">
        <v>-3.1747241208342339E-7</v>
      </c>
    </row>
    <row r="650" spans="1:5" x14ac:dyDescent="0.2">
      <c r="A650" s="13">
        <v>648</v>
      </c>
      <c r="B650" s="1">
        <v>43017</v>
      </c>
      <c r="C650" t="s">
        <v>63</v>
      </c>
      <c r="D650" t="s">
        <v>145</v>
      </c>
      <c r="E650">
        <v>0</v>
      </c>
    </row>
    <row r="651" spans="1:5" x14ac:dyDescent="0.2">
      <c r="A651" s="13">
        <v>649</v>
      </c>
      <c r="B651" s="1">
        <v>43017</v>
      </c>
      <c r="C651" t="s">
        <v>63</v>
      </c>
      <c r="D651" t="s">
        <v>233</v>
      </c>
      <c r="E651">
        <v>0</v>
      </c>
    </row>
    <row r="652" spans="1:5" x14ac:dyDescent="0.2">
      <c r="A652" s="13">
        <v>650</v>
      </c>
      <c r="B652" s="1">
        <v>43017</v>
      </c>
      <c r="C652" t="s">
        <v>63</v>
      </c>
      <c r="D652" t="s">
        <v>172</v>
      </c>
      <c r="E652">
        <v>0</v>
      </c>
    </row>
    <row r="653" spans="1:5" x14ac:dyDescent="0.2">
      <c r="A653" s="13">
        <v>651</v>
      </c>
      <c r="B653" s="1">
        <v>43017</v>
      </c>
      <c r="C653" t="s">
        <v>63</v>
      </c>
      <c r="D653" t="s">
        <v>72</v>
      </c>
      <c r="E653">
        <v>5.7661091634401584</v>
      </c>
    </row>
    <row r="654" spans="1:5" x14ac:dyDescent="0.2">
      <c r="A654" s="13">
        <v>652</v>
      </c>
      <c r="B654" s="1">
        <v>43017</v>
      </c>
      <c r="C654" t="s">
        <v>63</v>
      </c>
      <c r="D654" t="s">
        <v>186</v>
      </c>
      <c r="E654">
        <v>1.8924106026318267E-2</v>
      </c>
    </row>
    <row r="655" spans="1:5" x14ac:dyDescent="0.2">
      <c r="A655" s="13">
        <v>653</v>
      </c>
      <c r="B655" s="1">
        <v>43017</v>
      </c>
      <c r="C655" t="s">
        <v>63</v>
      </c>
      <c r="D655" t="s">
        <v>187</v>
      </c>
      <c r="E655">
        <v>0</v>
      </c>
    </row>
    <row r="656" spans="1:5" x14ac:dyDescent="0.2">
      <c r="A656" s="13">
        <v>654</v>
      </c>
      <c r="B656" s="1">
        <v>43017</v>
      </c>
      <c r="C656" t="s">
        <v>63</v>
      </c>
      <c r="D656" t="s">
        <v>188</v>
      </c>
      <c r="E656">
        <v>0</v>
      </c>
    </row>
    <row r="657" spans="1:5" x14ac:dyDescent="0.2">
      <c r="A657" s="13">
        <v>655</v>
      </c>
      <c r="B657" s="1">
        <v>43017</v>
      </c>
      <c r="C657" t="s">
        <v>63</v>
      </c>
      <c r="D657" t="s">
        <v>189</v>
      </c>
      <c r="E657">
        <v>0</v>
      </c>
    </row>
    <row r="658" spans="1:5" x14ac:dyDescent="0.2">
      <c r="A658" s="13">
        <v>656</v>
      </c>
      <c r="B658" s="1">
        <v>43017</v>
      </c>
      <c r="C658" t="s">
        <v>63</v>
      </c>
      <c r="D658" t="s">
        <v>190</v>
      </c>
      <c r="E658">
        <v>0</v>
      </c>
    </row>
    <row r="659" spans="1:5" x14ac:dyDescent="0.2">
      <c r="A659" s="13">
        <v>657</v>
      </c>
      <c r="B659" s="1">
        <v>43017</v>
      </c>
      <c r="C659" t="s">
        <v>63</v>
      </c>
      <c r="D659" t="s">
        <v>191</v>
      </c>
      <c r="E659">
        <v>7.6290885276035439E-6</v>
      </c>
    </row>
    <row r="660" spans="1:5" x14ac:dyDescent="0.2">
      <c r="A660" s="13">
        <v>658</v>
      </c>
      <c r="B660" s="1">
        <v>43017</v>
      </c>
      <c r="C660" t="s">
        <v>103</v>
      </c>
      <c r="D660" t="s">
        <v>39</v>
      </c>
      <c r="E660">
        <v>1.6341741117094223E-2</v>
      </c>
    </row>
    <row r="661" spans="1:5" x14ac:dyDescent="0.2">
      <c r="A661" s="13">
        <v>659</v>
      </c>
      <c r="B661" s="1">
        <v>43017</v>
      </c>
      <c r="C661" t="s">
        <v>103</v>
      </c>
      <c r="D661" t="s">
        <v>32</v>
      </c>
      <c r="E661">
        <v>0</v>
      </c>
    </row>
    <row r="662" spans="1:5" x14ac:dyDescent="0.2">
      <c r="A662" s="13">
        <v>660</v>
      </c>
      <c r="B662" s="1">
        <v>43017</v>
      </c>
      <c r="C662" t="s">
        <v>103</v>
      </c>
      <c r="D662" t="s">
        <v>30</v>
      </c>
      <c r="E662">
        <v>0</v>
      </c>
    </row>
    <row r="663" spans="1:5" x14ac:dyDescent="0.2">
      <c r="A663" s="13">
        <v>661</v>
      </c>
      <c r="B663" s="1">
        <v>43017</v>
      </c>
      <c r="C663" t="s">
        <v>103</v>
      </c>
      <c r="D663" t="s">
        <v>49</v>
      </c>
      <c r="E663">
        <v>0</v>
      </c>
    </row>
    <row r="664" spans="1:5" x14ac:dyDescent="0.2">
      <c r="A664" s="13">
        <v>662</v>
      </c>
      <c r="B664" s="1">
        <v>43017</v>
      </c>
      <c r="C664" t="s">
        <v>103</v>
      </c>
      <c r="D664" t="s">
        <v>145</v>
      </c>
      <c r="E664">
        <v>0</v>
      </c>
    </row>
    <row r="665" spans="1:5" x14ac:dyDescent="0.2">
      <c r="A665" s="13">
        <v>663</v>
      </c>
      <c r="B665" s="1">
        <v>43017</v>
      </c>
      <c r="C665" t="s">
        <v>103</v>
      </c>
      <c r="D665" t="s">
        <v>233</v>
      </c>
      <c r="E665">
        <v>0</v>
      </c>
    </row>
    <row r="666" spans="1:5" x14ac:dyDescent="0.2">
      <c r="A666" s="13">
        <v>664</v>
      </c>
      <c r="B666" s="1">
        <v>43017</v>
      </c>
      <c r="C666" t="s">
        <v>103</v>
      </c>
      <c r="D666" t="s">
        <v>172</v>
      </c>
      <c r="E666">
        <v>0</v>
      </c>
    </row>
    <row r="667" spans="1:5" x14ac:dyDescent="0.2">
      <c r="A667" s="13">
        <v>665</v>
      </c>
      <c r="B667" s="1">
        <v>43017</v>
      </c>
      <c r="C667" t="s">
        <v>103</v>
      </c>
      <c r="D667" t="s">
        <v>72</v>
      </c>
      <c r="E667">
        <v>0</v>
      </c>
    </row>
    <row r="668" spans="1:5" x14ac:dyDescent="0.2">
      <c r="A668" s="13">
        <v>666</v>
      </c>
      <c r="B668" s="1">
        <v>43017</v>
      </c>
      <c r="C668" t="s">
        <v>103</v>
      </c>
      <c r="D668" t="s">
        <v>186</v>
      </c>
      <c r="E668">
        <v>1.6341741117094223E-2</v>
      </c>
    </row>
    <row r="669" spans="1:5" x14ac:dyDescent="0.2">
      <c r="A669" s="13">
        <v>667</v>
      </c>
      <c r="B669" s="1">
        <v>43017</v>
      </c>
      <c r="C669" t="s">
        <v>103</v>
      </c>
      <c r="D669" t="s">
        <v>187</v>
      </c>
      <c r="E669">
        <v>0</v>
      </c>
    </row>
    <row r="670" spans="1:5" x14ac:dyDescent="0.2">
      <c r="A670" s="13">
        <v>668</v>
      </c>
      <c r="B670" s="1">
        <v>43017</v>
      </c>
      <c r="C670" t="s">
        <v>103</v>
      </c>
      <c r="D670" t="s">
        <v>188</v>
      </c>
      <c r="E670">
        <v>0</v>
      </c>
    </row>
    <row r="671" spans="1:5" x14ac:dyDescent="0.2">
      <c r="A671" s="13">
        <v>669</v>
      </c>
      <c r="B671" s="1">
        <v>43017</v>
      </c>
      <c r="C671" t="s">
        <v>103</v>
      </c>
      <c r="D671" t="s">
        <v>189</v>
      </c>
      <c r="E671">
        <v>0</v>
      </c>
    </row>
    <row r="672" spans="1:5" x14ac:dyDescent="0.2">
      <c r="A672" s="13">
        <v>670</v>
      </c>
      <c r="B672" s="1">
        <v>43017</v>
      </c>
      <c r="C672" t="s">
        <v>103</v>
      </c>
      <c r="D672" t="s">
        <v>190</v>
      </c>
      <c r="E672">
        <v>0</v>
      </c>
    </row>
    <row r="673" spans="1:5" x14ac:dyDescent="0.2">
      <c r="A673" s="13">
        <v>671</v>
      </c>
      <c r="B673" s="1">
        <v>43017</v>
      </c>
      <c r="C673" t="s">
        <v>103</v>
      </c>
      <c r="D673" t="s">
        <v>191</v>
      </c>
      <c r="E673">
        <v>0</v>
      </c>
    </row>
    <row r="674" spans="1:5" x14ac:dyDescent="0.2">
      <c r="A674" s="13">
        <v>672</v>
      </c>
      <c r="B674" s="1">
        <v>43017</v>
      </c>
      <c r="C674" t="s">
        <v>104</v>
      </c>
      <c r="D674" t="s">
        <v>39</v>
      </c>
      <c r="E674">
        <v>7.3916327414437988E-2</v>
      </c>
    </row>
    <row r="675" spans="1:5" x14ac:dyDescent="0.2">
      <c r="A675" s="13">
        <v>673</v>
      </c>
      <c r="B675" s="1">
        <v>43017</v>
      </c>
      <c r="C675" t="s">
        <v>104</v>
      </c>
      <c r="D675" t="s">
        <v>32</v>
      </c>
      <c r="E675">
        <v>0</v>
      </c>
    </row>
    <row r="676" spans="1:5" x14ac:dyDescent="0.2">
      <c r="A676" s="13">
        <v>674</v>
      </c>
      <c r="B676" s="1">
        <v>43017</v>
      </c>
      <c r="C676" t="s">
        <v>104</v>
      </c>
      <c r="D676" t="s">
        <v>30</v>
      </c>
      <c r="E676">
        <v>0</v>
      </c>
    </row>
    <row r="677" spans="1:5" x14ac:dyDescent="0.2">
      <c r="A677" s="13">
        <v>675</v>
      </c>
      <c r="B677" s="1">
        <v>43017</v>
      </c>
      <c r="C677" t="s">
        <v>104</v>
      </c>
      <c r="D677" t="s">
        <v>49</v>
      </c>
      <c r="E677">
        <v>0</v>
      </c>
    </row>
    <row r="678" spans="1:5" x14ac:dyDescent="0.2">
      <c r="A678" s="13">
        <v>676</v>
      </c>
      <c r="B678" s="1">
        <v>43017</v>
      </c>
      <c r="C678" t="s">
        <v>104</v>
      </c>
      <c r="D678" t="s">
        <v>145</v>
      </c>
      <c r="E678">
        <v>0</v>
      </c>
    </row>
    <row r="679" spans="1:5" x14ac:dyDescent="0.2">
      <c r="A679" s="13">
        <v>677</v>
      </c>
      <c r="B679" s="1">
        <v>43017</v>
      </c>
      <c r="C679" t="s">
        <v>104</v>
      </c>
      <c r="D679" t="s">
        <v>233</v>
      </c>
      <c r="E679">
        <v>0</v>
      </c>
    </row>
    <row r="680" spans="1:5" x14ac:dyDescent="0.2">
      <c r="A680" s="13">
        <v>678</v>
      </c>
      <c r="B680" s="1">
        <v>43017</v>
      </c>
      <c r="C680" t="s">
        <v>104</v>
      </c>
      <c r="D680" t="s">
        <v>172</v>
      </c>
      <c r="E680">
        <v>0</v>
      </c>
    </row>
    <row r="681" spans="1:5" x14ac:dyDescent="0.2">
      <c r="A681" s="13">
        <v>679</v>
      </c>
      <c r="B681" s="1">
        <v>43017</v>
      </c>
      <c r="C681" t="s">
        <v>104</v>
      </c>
      <c r="D681" t="s">
        <v>72</v>
      </c>
      <c r="E681">
        <v>0</v>
      </c>
    </row>
    <row r="682" spans="1:5" x14ac:dyDescent="0.2">
      <c r="A682" s="13">
        <v>680</v>
      </c>
      <c r="B682" s="1">
        <v>43017</v>
      </c>
      <c r="C682" t="s">
        <v>104</v>
      </c>
      <c r="D682" t="s">
        <v>186</v>
      </c>
      <c r="E682">
        <v>7.3916327414437988E-2</v>
      </c>
    </row>
    <row r="683" spans="1:5" x14ac:dyDescent="0.2">
      <c r="A683" s="13">
        <v>681</v>
      </c>
      <c r="B683" s="1">
        <v>43017</v>
      </c>
      <c r="C683" t="s">
        <v>104</v>
      </c>
      <c r="D683" t="s">
        <v>187</v>
      </c>
      <c r="E683">
        <v>0</v>
      </c>
    </row>
    <row r="684" spans="1:5" x14ac:dyDescent="0.2">
      <c r="A684" s="13">
        <v>682</v>
      </c>
      <c r="B684" s="1">
        <v>43017</v>
      </c>
      <c r="C684" t="s">
        <v>104</v>
      </c>
      <c r="D684" t="s">
        <v>188</v>
      </c>
      <c r="E684">
        <v>0</v>
      </c>
    </row>
    <row r="685" spans="1:5" x14ac:dyDescent="0.2">
      <c r="A685" s="13">
        <v>683</v>
      </c>
      <c r="B685" s="1">
        <v>43017</v>
      </c>
      <c r="C685" t="s">
        <v>104</v>
      </c>
      <c r="D685" t="s">
        <v>189</v>
      </c>
      <c r="E685">
        <v>0</v>
      </c>
    </row>
    <row r="686" spans="1:5" x14ac:dyDescent="0.2">
      <c r="A686" s="13">
        <v>684</v>
      </c>
      <c r="B686" s="1">
        <v>43017</v>
      </c>
      <c r="C686" t="s">
        <v>104</v>
      </c>
      <c r="D686" t="s">
        <v>190</v>
      </c>
      <c r="E686">
        <v>0</v>
      </c>
    </row>
    <row r="687" spans="1:5" x14ac:dyDescent="0.2">
      <c r="A687" s="13">
        <v>685</v>
      </c>
      <c r="B687" s="1">
        <v>43017</v>
      </c>
      <c r="C687" t="s">
        <v>104</v>
      </c>
      <c r="D687" t="s">
        <v>191</v>
      </c>
      <c r="E687">
        <v>0</v>
      </c>
    </row>
    <row r="688" spans="1:5" x14ac:dyDescent="0.2">
      <c r="A688" s="13">
        <v>686</v>
      </c>
      <c r="B688" s="1">
        <v>43017</v>
      </c>
      <c r="C688" t="s">
        <v>151</v>
      </c>
      <c r="D688" t="s">
        <v>39</v>
      </c>
      <c r="E688">
        <v>0</v>
      </c>
    </row>
    <row r="689" spans="1:5" x14ac:dyDescent="0.2">
      <c r="A689" s="13">
        <v>687</v>
      </c>
      <c r="B689" s="1">
        <v>43017</v>
      </c>
      <c r="C689" t="s">
        <v>151</v>
      </c>
      <c r="D689" t="s">
        <v>32</v>
      </c>
      <c r="E689">
        <v>0</v>
      </c>
    </row>
    <row r="690" spans="1:5" x14ac:dyDescent="0.2">
      <c r="A690" s="13">
        <v>688</v>
      </c>
      <c r="B690" s="1">
        <v>43017</v>
      </c>
      <c r="C690" t="s">
        <v>151</v>
      </c>
      <c r="D690" t="s">
        <v>30</v>
      </c>
      <c r="E690">
        <v>4.8394610249391156E-3</v>
      </c>
    </row>
    <row r="691" spans="1:5" x14ac:dyDescent="0.2">
      <c r="A691" s="13">
        <v>689</v>
      </c>
      <c r="B691" s="1">
        <v>43017</v>
      </c>
      <c r="C691" t="s">
        <v>151</v>
      </c>
      <c r="D691" t="s">
        <v>49</v>
      </c>
      <c r="E691">
        <v>0</v>
      </c>
    </row>
    <row r="692" spans="1:5" x14ac:dyDescent="0.2">
      <c r="A692" s="13">
        <v>690</v>
      </c>
      <c r="B692" s="1">
        <v>43017</v>
      </c>
      <c r="C692" t="s">
        <v>151</v>
      </c>
      <c r="D692" t="s">
        <v>145</v>
      </c>
      <c r="E692">
        <v>0</v>
      </c>
    </row>
    <row r="693" spans="1:5" x14ac:dyDescent="0.2">
      <c r="A693" s="13">
        <v>691</v>
      </c>
      <c r="B693" s="1">
        <v>43017</v>
      </c>
      <c r="C693" t="s">
        <v>151</v>
      </c>
      <c r="D693" t="s">
        <v>233</v>
      </c>
      <c r="E693">
        <v>0</v>
      </c>
    </row>
    <row r="694" spans="1:5" x14ac:dyDescent="0.2">
      <c r="A694" s="13">
        <v>692</v>
      </c>
      <c r="B694" s="1">
        <v>43017</v>
      </c>
      <c r="C694" t="s">
        <v>151</v>
      </c>
      <c r="D694" t="s">
        <v>172</v>
      </c>
      <c r="E694">
        <v>0</v>
      </c>
    </row>
    <row r="695" spans="1:5" x14ac:dyDescent="0.2">
      <c r="A695" s="13">
        <v>693</v>
      </c>
      <c r="B695" s="1">
        <v>43017</v>
      </c>
      <c r="C695" t="s">
        <v>151</v>
      </c>
      <c r="D695" t="s">
        <v>72</v>
      </c>
      <c r="E695">
        <v>6.6439811432225415</v>
      </c>
    </row>
    <row r="696" spans="1:5" x14ac:dyDescent="0.2">
      <c r="A696" s="13">
        <v>694</v>
      </c>
      <c r="B696" s="1">
        <v>43017</v>
      </c>
      <c r="C696" t="s">
        <v>151</v>
      </c>
      <c r="D696" t="s">
        <v>186</v>
      </c>
      <c r="E696">
        <v>5.807061813466642E-4</v>
      </c>
    </row>
    <row r="697" spans="1:5" x14ac:dyDescent="0.2">
      <c r="A697" s="13">
        <v>695</v>
      </c>
      <c r="B697" s="1">
        <v>43017</v>
      </c>
      <c r="C697" t="s">
        <v>151</v>
      </c>
      <c r="D697" t="s">
        <v>187</v>
      </c>
      <c r="E697">
        <v>2.2760281020081955E-3</v>
      </c>
    </row>
    <row r="698" spans="1:5" x14ac:dyDescent="0.2">
      <c r="A698" s="13">
        <v>696</v>
      </c>
      <c r="B698" s="1">
        <v>43017</v>
      </c>
      <c r="C698" t="s">
        <v>151</v>
      </c>
      <c r="D698" t="s">
        <v>188</v>
      </c>
      <c r="E698">
        <v>9.0247753859254323E-4</v>
      </c>
    </row>
    <row r="699" spans="1:5" x14ac:dyDescent="0.2">
      <c r="A699" s="13">
        <v>697</v>
      </c>
      <c r="B699" s="1">
        <v>43017</v>
      </c>
      <c r="C699" t="s">
        <v>151</v>
      </c>
      <c r="D699" t="s">
        <v>189</v>
      </c>
      <c r="E699">
        <v>4.8066121118510929E-4</v>
      </c>
    </row>
    <row r="700" spans="1:5" x14ac:dyDescent="0.2">
      <c r="A700" s="13">
        <v>698</v>
      </c>
      <c r="B700" s="1">
        <v>43017</v>
      </c>
      <c r="C700" t="s">
        <v>151</v>
      </c>
      <c r="D700" t="s">
        <v>190</v>
      </c>
      <c r="E700">
        <v>1.1291588197449099E-3</v>
      </c>
    </row>
    <row r="701" spans="1:5" x14ac:dyDescent="0.2">
      <c r="A701" s="13">
        <v>699</v>
      </c>
      <c r="B701" s="1">
        <v>43017</v>
      </c>
      <c r="C701" t="s">
        <v>151</v>
      </c>
      <c r="D701" t="s">
        <v>191</v>
      </c>
      <c r="E701">
        <v>-5.2957082793830682E-4</v>
      </c>
    </row>
    <row r="702" spans="1:5" x14ac:dyDescent="0.2">
      <c r="A702" s="13">
        <v>700</v>
      </c>
      <c r="B702" s="1">
        <v>43017</v>
      </c>
      <c r="C702" t="s">
        <v>29</v>
      </c>
      <c r="D702" t="s">
        <v>39</v>
      </c>
      <c r="E702">
        <v>-4.0698499279524648E-5</v>
      </c>
    </row>
    <row r="703" spans="1:5" x14ac:dyDescent="0.2">
      <c r="A703" s="13">
        <v>701</v>
      </c>
      <c r="B703" s="1">
        <v>43017</v>
      </c>
      <c r="C703" t="s">
        <v>29</v>
      </c>
      <c r="D703" t="s">
        <v>32</v>
      </c>
      <c r="E703">
        <v>2.3537942318984173E-3</v>
      </c>
    </row>
    <row r="704" spans="1:5" x14ac:dyDescent="0.2">
      <c r="A704" s="13">
        <v>702</v>
      </c>
      <c r="B704" s="1">
        <v>43017</v>
      </c>
      <c r="C704" t="s">
        <v>29</v>
      </c>
      <c r="D704" t="s">
        <v>30</v>
      </c>
      <c r="E704">
        <v>4.5929247323448831E-6</v>
      </c>
    </row>
    <row r="705" spans="1:5" x14ac:dyDescent="0.2">
      <c r="A705" s="13">
        <v>703</v>
      </c>
      <c r="B705" s="1">
        <v>43017</v>
      </c>
      <c r="C705" t="s">
        <v>29</v>
      </c>
      <c r="D705" t="s">
        <v>49</v>
      </c>
      <c r="E705">
        <v>0</v>
      </c>
    </row>
    <row r="706" spans="1:5" x14ac:dyDescent="0.2">
      <c r="A706" s="13">
        <v>704</v>
      </c>
      <c r="B706" s="1">
        <v>43017</v>
      </c>
      <c r="C706" t="s">
        <v>29</v>
      </c>
      <c r="D706" t="s">
        <v>145</v>
      </c>
      <c r="E706">
        <v>0</v>
      </c>
    </row>
    <row r="707" spans="1:5" x14ac:dyDescent="0.2">
      <c r="A707" s="13">
        <v>705</v>
      </c>
      <c r="B707" s="1">
        <v>43017</v>
      </c>
      <c r="C707" t="s">
        <v>29</v>
      </c>
      <c r="D707" t="s">
        <v>233</v>
      </c>
      <c r="E707">
        <v>0</v>
      </c>
    </row>
    <row r="708" spans="1:5" x14ac:dyDescent="0.2">
      <c r="A708" s="13">
        <v>706</v>
      </c>
      <c r="B708" s="1">
        <v>43017</v>
      </c>
      <c r="C708" t="s">
        <v>29</v>
      </c>
      <c r="D708" t="s">
        <v>172</v>
      </c>
      <c r="E708">
        <v>0</v>
      </c>
    </row>
    <row r="709" spans="1:5" x14ac:dyDescent="0.2">
      <c r="A709" s="13">
        <v>707</v>
      </c>
      <c r="B709" s="1">
        <v>43017</v>
      </c>
      <c r="C709" t="s">
        <v>29</v>
      </c>
      <c r="D709" t="s">
        <v>72</v>
      </c>
      <c r="E709">
        <v>4.7204808523884934</v>
      </c>
    </row>
    <row r="710" spans="1:5" x14ac:dyDescent="0.2">
      <c r="A710" s="13">
        <v>708</v>
      </c>
      <c r="B710" s="1">
        <v>43017</v>
      </c>
      <c r="C710" t="s">
        <v>29</v>
      </c>
      <c r="D710" t="s">
        <v>186</v>
      </c>
      <c r="E710">
        <v>-1.8020961857049807E-3</v>
      </c>
    </row>
    <row r="711" spans="1:5" x14ac:dyDescent="0.2">
      <c r="A711" s="13">
        <v>709</v>
      </c>
      <c r="B711" s="1">
        <v>43017</v>
      </c>
      <c r="C711" t="s">
        <v>29</v>
      </c>
      <c r="D711" t="s">
        <v>187</v>
      </c>
      <c r="E711">
        <v>0</v>
      </c>
    </row>
    <row r="712" spans="1:5" x14ac:dyDescent="0.2">
      <c r="A712" s="13">
        <v>710</v>
      </c>
      <c r="B712" s="1">
        <v>43017</v>
      </c>
      <c r="C712" t="s">
        <v>29</v>
      </c>
      <c r="D712" t="s">
        <v>188</v>
      </c>
      <c r="E712">
        <v>0</v>
      </c>
    </row>
    <row r="713" spans="1:5" x14ac:dyDescent="0.2">
      <c r="A713" s="13">
        <v>711</v>
      </c>
      <c r="B713" s="1">
        <v>43017</v>
      </c>
      <c r="C713" t="s">
        <v>29</v>
      </c>
      <c r="D713" t="s">
        <v>189</v>
      </c>
      <c r="E713">
        <v>0</v>
      </c>
    </row>
    <row r="714" spans="1:5" x14ac:dyDescent="0.2">
      <c r="A714" s="13">
        <v>712</v>
      </c>
      <c r="B714" s="1">
        <v>43017</v>
      </c>
      <c r="C714" t="s">
        <v>29</v>
      </c>
      <c r="D714" t="s">
        <v>190</v>
      </c>
      <c r="E714">
        <v>0</v>
      </c>
    </row>
    <row r="715" spans="1:5" x14ac:dyDescent="0.2">
      <c r="A715" s="13">
        <v>713</v>
      </c>
      <c r="B715" s="1">
        <v>43017</v>
      </c>
      <c r="C715" t="s">
        <v>29</v>
      </c>
      <c r="D715" t="s">
        <v>191</v>
      </c>
      <c r="E715">
        <v>4.1197848430562173E-3</v>
      </c>
    </row>
    <row r="716" spans="1:5" x14ac:dyDescent="0.2">
      <c r="A716" s="13">
        <v>714</v>
      </c>
      <c r="B716" s="1">
        <v>43017</v>
      </c>
      <c r="C716" t="s">
        <v>87</v>
      </c>
      <c r="D716" t="s">
        <v>39</v>
      </c>
      <c r="E716">
        <v>4.4363206202464932E-4</v>
      </c>
    </row>
    <row r="717" spans="1:5" x14ac:dyDescent="0.2">
      <c r="A717" s="13">
        <v>715</v>
      </c>
      <c r="B717" s="1">
        <v>43017</v>
      </c>
      <c r="C717" t="s">
        <v>87</v>
      </c>
      <c r="D717" t="s">
        <v>32</v>
      </c>
      <c r="E717">
        <v>3.0838082741341914E-2</v>
      </c>
    </row>
    <row r="718" spans="1:5" x14ac:dyDescent="0.2">
      <c r="A718" s="13">
        <v>716</v>
      </c>
      <c r="B718" s="1">
        <v>43017</v>
      </c>
      <c r="C718" t="s">
        <v>87</v>
      </c>
      <c r="D718" t="s">
        <v>30</v>
      </c>
      <c r="E718">
        <v>8.2632874605385192E-4</v>
      </c>
    </row>
    <row r="719" spans="1:5" x14ac:dyDescent="0.2">
      <c r="A719" s="13">
        <v>717</v>
      </c>
      <c r="B719" s="1">
        <v>43017</v>
      </c>
      <c r="C719" t="s">
        <v>87</v>
      </c>
      <c r="D719" t="s">
        <v>49</v>
      </c>
      <c r="E719">
        <v>0</v>
      </c>
    </row>
    <row r="720" spans="1:5" x14ac:dyDescent="0.2">
      <c r="A720" s="13">
        <v>718</v>
      </c>
      <c r="B720" s="1">
        <v>43017</v>
      </c>
      <c r="C720" t="s">
        <v>87</v>
      </c>
      <c r="D720" t="s">
        <v>145</v>
      </c>
      <c r="E720">
        <v>8.8504200830127259E-4</v>
      </c>
    </row>
    <row r="721" spans="1:5" x14ac:dyDescent="0.2">
      <c r="A721" s="13">
        <v>719</v>
      </c>
      <c r="B721" s="1">
        <v>43017</v>
      </c>
      <c r="C721" t="s">
        <v>87</v>
      </c>
      <c r="D721" t="s">
        <v>233</v>
      </c>
      <c r="E721">
        <v>0</v>
      </c>
    </row>
    <row r="722" spans="1:5" x14ac:dyDescent="0.2">
      <c r="A722" s="13">
        <v>720</v>
      </c>
      <c r="B722" s="1">
        <v>43017</v>
      </c>
      <c r="C722" t="s">
        <v>87</v>
      </c>
      <c r="D722" t="s">
        <v>172</v>
      </c>
      <c r="E722">
        <v>0</v>
      </c>
    </row>
    <row r="723" spans="1:5" x14ac:dyDescent="0.2">
      <c r="A723" s="13">
        <v>721</v>
      </c>
      <c r="B723" s="1">
        <v>43017</v>
      </c>
      <c r="C723" t="s">
        <v>87</v>
      </c>
      <c r="D723" t="s">
        <v>72</v>
      </c>
      <c r="E723">
        <v>9.3855120712434399</v>
      </c>
    </row>
    <row r="724" spans="1:5" x14ac:dyDescent="0.2">
      <c r="A724" s="13">
        <v>722</v>
      </c>
      <c r="B724" s="1">
        <v>43017</v>
      </c>
      <c r="C724" t="s">
        <v>87</v>
      </c>
      <c r="D724" t="s">
        <v>186</v>
      </c>
      <c r="E724">
        <v>3.1520321398596576E-2</v>
      </c>
    </row>
    <row r="725" spans="1:5" x14ac:dyDescent="0.2">
      <c r="A725" s="13">
        <v>723</v>
      </c>
      <c r="B725" s="1">
        <v>43017</v>
      </c>
      <c r="C725" t="s">
        <v>87</v>
      </c>
      <c r="D725" t="s">
        <v>187</v>
      </c>
      <c r="E725">
        <v>1.1659073864696517E-3</v>
      </c>
    </row>
    <row r="726" spans="1:5" x14ac:dyDescent="0.2">
      <c r="A726" s="13">
        <v>724</v>
      </c>
      <c r="B726" s="1">
        <v>43017</v>
      </c>
      <c r="C726" t="s">
        <v>87</v>
      </c>
      <c r="D726" t="s">
        <v>188</v>
      </c>
      <c r="E726">
        <v>2.1017055410201454E-4</v>
      </c>
    </row>
    <row r="727" spans="1:5" x14ac:dyDescent="0.2">
      <c r="A727" s="13">
        <v>725</v>
      </c>
      <c r="B727" s="1">
        <v>43017</v>
      </c>
      <c r="C727" t="s">
        <v>87</v>
      </c>
      <c r="D727" t="s">
        <v>189</v>
      </c>
      <c r="E727">
        <v>2.512531124222474E-4</v>
      </c>
    </row>
    <row r="728" spans="1:5" x14ac:dyDescent="0.2">
      <c r="A728" s="13">
        <v>726</v>
      </c>
      <c r="B728" s="1">
        <v>43017</v>
      </c>
      <c r="C728" t="s">
        <v>87</v>
      </c>
      <c r="D728" t="s">
        <v>190</v>
      </c>
      <c r="E728">
        <v>1.5079584071278499E-4</v>
      </c>
    </row>
    <row r="729" spans="1:5" x14ac:dyDescent="0.2">
      <c r="A729" s="13">
        <v>727</v>
      </c>
      <c r="B729" s="1">
        <v>43017</v>
      </c>
      <c r="C729" t="s">
        <v>87</v>
      </c>
      <c r="D729" t="s">
        <v>191</v>
      </c>
      <c r="E729">
        <v>-3.053627345815797E-4</v>
      </c>
    </row>
    <row r="730" spans="1:5" x14ac:dyDescent="0.2">
      <c r="A730" s="13">
        <v>728</v>
      </c>
      <c r="B730" s="1">
        <v>43017</v>
      </c>
      <c r="C730" t="s">
        <v>61</v>
      </c>
      <c r="D730" t="s">
        <v>39</v>
      </c>
      <c r="E730">
        <v>1.7799565145624945E-4</v>
      </c>
    </row>
    <row r="731" spans="1:5" x14ac:dyDescent="0.2">
      <c r="A731" s="13">
        <v>729</v>
      </c>
      <c r="B731" s="1">
        <v>43017</v>
      </c>
      <c r="C731" t="s">
        <v>61</v>
      </c>
      <c r="D731" t="s">
        <v>32</v>
      </c>
      <c r="E731">
        <v>2.2954677452596765E-2</v>
      </c>
    </row>
    <row r="732" spans="1:5" x14ac:dyDescent="0.2">
      <c r="A732" s="13">
        <v>730</v>
      </c>
      <c r="B732" s="1">
        <v>43017</v>
      </c>
      <c r="C732" t="s">
        <v>61</v>
      </c>
      <c r="D732" t="s">
        <v>30</v>
      </c>
      <c r="E732">
        <v>0</v>
      </c>
    </row>
    <row r="733" spans="1:5" x14ac:dyDescent="0.2">
      <c r="A733" s="13">
        <v>731</v>
      </c>
      <c r="B733" s="1">
        <v>43017</v>
      </c>
      <c r="C733" t="s">
        <v>61</v>
      </c>
      <c r="D733" t="s">
        <v>49</v>
      </c>
      <c r="E733">
        <v>0</v>
      </c>
    </row>
    <row r="734" spans="1:5" x14ac:dyDescent="0.2">
      <c r="A734" s="13">
        <v>732</v>
      </c>
      <c r="B734" s="1">
        <v>43017</v>
      </c>
      <c r="C734" t="s">
        <v>61</v>
      </c>
      <c r="D734" t="s">
        <v>145</v>
      </c>
      <c r="E734">
        <v>0</v>
      </c>
    </row>
    <row r="735" spans="1:5" x14ac:dyDescent="0.2">
      <c r="A735" s="13">
        <v>733</v>
      </c>
      <c r="B735" s="1">
        <v>43017</v>
      </c>
      <c r="C735" t="s">
        <v>61</v>
      </c>
      <c r="D735" t="s">
        <v>233</v>
      </c>
      <c r="E735">
        <v>0</v>
      </c>
    </row>
    <row r="736" spans="1:5" x14ac:dyDescent="0.2">
      <c r="A736" s="13">
        <v>734</v>
      </c>
      <c r="B736" s="1">
        <v>43017</v>
      </c>
      <c r="C736" t="s">
        <v>61</v>
      </c>
      <c r="D736" t="s">
        <v>172</v>
      </c>
      <c r="E736">
        <v>0</v>
      </c>
    </row>
    <row r="737" spans="1:5" x14ac:dyDescent="0.2">
      <c r="A737" s="13">
        <v>735</v>
      </c>
      <c r="B737" s="1">
        <v>43017</v>
      </c>
      <c r="C737" t="s">
        <v>61</v>
      </c>
      <c r="D737" t="s">
        <v>72</v>
      </c>
      <c r="E737">
        <v>5.5739211098163599</v>
      </c>
    </row>
    <row r="738" spans="1:5" x14ac:dyDescent="0.2">
      <c r="A738" s="13">
        <v>736</v>
      </c>
      <c r="B738" s="1">
        <v>43017</v>
      </c>
      <c r="C738" t="s">
        <v>61</v>
      </c>
      <c r="D738" t="s">
        <v>186</v>
      </c>
      <c r="E738">
        <v>2.3132673104053012E-2</v>
      </c>
    </row>
    <row r="739" spans="1:5" x14ac:dyDescent="0.2">
      <c r="A739" s="13">
        <v>737</v>
      </c>
      <c r="B739" s="1">
        <v>43017</v>
      </c>
      <c r="C739" t="s">
        <v>61</v>
      </c>
      <c r="D739" t="s">
        <v>187</v>
      </c>
      <c r="E739">
        <v>0</v>
      </c>
    </row>
    <row r="740" spans="1:5" x14ac:dyDescent="0.2">
      <c r="A740" s="13">
        <v>738</v>
      </c>
      <c r="B740" s="1">
        <v>43017</v>
      </c>
      <c r="C740" t="s">
        <v>61</v>
      </c>
      <c r="D740" t="s">
        <v>188</v>
      </c>
      <c r="E740">
        <v>0</v>
      </c>
    </row>
    <row r="741" spans="1:5" x14ac:dyDescent="0.2">
      <c r="A741" s="13">
        <v>739</v>
      </c>
      <c r="B741" s="1">
        <v>43017</v>
      </c>
      <c r="C741" t="s">
        <v>61</v>
      </c>
      <c r="D741" t="s">
        <v>189</v>
      </c>
      <c r="E741">
        <v>0</v>
      </c>
    </row>
    <row r="742" spans="1:5" x14ac:dyDescent="0.2">
      <c r="A742" s="13">
        <v>740</v>
      </c>
      <c r="B742" s="1">
        <v>43017</v>
      </c>
      <c r="C742" t="s">
        <v>61</v>
      </c>
      <c r="D742" t="s">
        <v>190</v>
      </c>
      <c r="E742">
        <v>0</v>
      </c>
    </row>
    <row r="743" spans="1:5" x14ac:dyDescent="0.2">
      <c r="A743" s="13">
        <v>741</v>
      </c>
      <c r="B743" s="1">
        <v>43017</v>
      </c>
      <c r="C743" t="s">
        <v>61</v>
      </c>
      <c r="D743" t="s">
        <v>191</v>
      </c>
      <c r="E743">
        <v>0</v>
      </c>
    </row>
    <row r="744" spans="1:5" x14ac:dyDescent="0.2">
      <c r="A744" s="13">
        <v>742</v>
      </c>
      <c r="B744" s="1">
        <v>43017</v>
      </c>
      <c r="C744" t="s">
        <v>53</v>
      </c>
      <c r="D744" t="s">
        <v>39</v>
      </c>
      <c r="E744">
        <v>6.4864749939545855E-5</v>
      </c>
    </row>
    <row r="745" spans="1:5" x14ac:dyDescent="0.2">
      <c r="A745" s="13">
        <v>743</v>
      </c>
      <c r="B745" s="1">
        <v>43017</v>
      </c>
      <c r="C745" t="s">
        <v>53</v>
      </c>
      <c r="D745" t="s">
        <v>32</v>
      </c>
      <c r="E745">
        <v>4.5114521426406484E-3</v>
      </c>
    </row>
    <row r="746" spans="1:5" x14ac:dyDescent="0.2">
      <c r="A746" s="13">
        <v>744</v>
      </c>
      <c r="B746" s="1">
        <v>43017</v>
      </c>
      <c r="C746" t="s">
        <v>53</v>
      </c>
      <c r="D746" t="s">
        <v>30</v>
      </c>
      <c r="E746">
        <v>7.7782664433516499E-4</v>
      </c>
    </row>
    <row r="747" spans="1:5" x14ac:dyDescent="0.2">
      <c r="A747" s="13">
        <v>745</v>
      </c>
      <c r="B747" s="1">
        <v>43017</v>
      </c>
      <c r="C747" t="s">
        <v>53</v>
      </c>
      <c r="D747" t="s">
        <v>49</v>
      </c>
      <c r="E747">
        <v>0</v>
      </c>
    </row>
    <row r="748" spans="1:5" x14ac:dyDescent="0.2">
      <c r="A748" s="13">
        <v>746</v>
      </c>
      <c r="B748" s="1">
        <v>43017</v>
      </c>
      <c r="C748" t="s">
        <v>53</v>
      </c>
      <c r="D748" t="s">
        <v>145</v>
      </c>
      <c r="E748">
        <v>0</v>
      </c>
    </row>
    <row r="749" spans="1:5" x14ac:dyDescent="0.2">
      <c r="A749" s="13">
        <v>747</v>
      </c>
      <c r="B749" s="1">
        <v>43017</v>
      </c>
      <c r="C749" t="s">
        <v>53</v>
      </c>
      <c r="D749" t="s">
        <v>233</v>
      </c>
      <c r="E749">
        <v>0</v>
      </c>
    </row>
    <row r="750" spans="1:5" x14ac:dyDescent="0.2">
      <c r="A750" s="13">
        <v>748</v>
      </c>
      <c r="B750" s="1">
        <v>43017</v>
      </c>
      <c r="C750" t="s">
        <v>53</v>
      </c>
      <c r="D750" t="s">
        <v>172</v>
      </c>
      <c r="E750">
        <v>0</v>
      </c>
    </row>
    <row r="751" spans="1:5" x14ac:dyDescent="0.2">
      <c r="A751" s="13">
        <v>749</v>
      </c>
      <c r="B751" s="1">
        <v>43017</v>
      </c>
      <c r="C751" t="s">
        <v>53</v>
      </c>
      <c r="D751" t="s">
        <v>72</v>
      </c>
      <c r="E751">
        <v>6.3804534534238657</v>
      </c>
    </row>
    <row r="752" spans="1:5" x14ac:dyDescent="0.2">
      <c r="A752" s="13">
        <v>750</v>
      </c>
      <c r="B752" s="1">
        <v>43017</v>
      </c>
      <c r="C752" t="s">
        <v>53</v>
      </c>
      <c r="D752" t="s">
        <v>186</v>
      </c>
      <c r="E752">
        <v>4.2159036471416207E-3</v>
      </c>
    </row>
    <row r="753" spans="1:5" x14ac:dyDescent="0.2">
      <c r="A753" s="13">
        <v>751</v>
      </c>
      <c r="B753" s="1">
        <v>43017</v>
      </c>
      <c r="C753" t="s">
        <v>53</v>
      </c>
      <c r="D753" t="s">
        <v>187</v>
      </c>
      <c r="E753">
        <v>0</v>
      </c>
    </row>
    <row r="754" spans="1:5" x14ac:dyDescent="0.2">
      <c r="A754" s="13">
        <v>752</v>
      </c>
      <c r="B754" s="1">
        <v>43017</v>
      </c>
      <c r="C754" t="s">
        <v>53</v>
      </c>
      <c r="D754" t="s">
        <v>188</v>
      </c>
      <c r="E754">
        <v>0</v>
      </c>
    </row>
    <row r="755" spans="1:5" x14ac:dyDescent="0.2">
      <c r="A755" s="13">
        <v>753</v>
      </c>
      <c r="B755" s="1">
        <v>43017</v>
      </c>
      <c r="C755" t="s">
        <v>53</v>
      </c>
      <c r="D755" t="s">
        <v>189</v>
      </c>
      <c r="E755">
        <v>0</v>
      </c>
    </row>
    <row r="756" spans="1:5" x14ac:dyDescent="0.2">
      <c r="A756" s="13">
        <v>754</v>
      </c>
      <c r="B756" s="1">
        <v>43017</v>
      </c>
      <c r="C756" t="s">
        <v>53</v>
      </c>
      <c r="D756" t="s">
        <v>190</v>
      </c>
      <c r="E756">
        <v>0</v>
      </c>
    </row>
    <row r="757" spans="1:5" x14ac:dyDescent="0.2">
      <c r="A757" s="13">
        <v>755</v>
      </c>
      <c r="B757" s="1">
        <v>43017</v>
      </c>
      <c r="C757" t="s">
        <v>53</v>
      </c>
      <c r="D757" t="s">
        <v>191</v>
      </c>
      <c r="E757">
        <v>1.1382398897737424E-3</v>
      </c>
    </row>
    <row r="758" spans="1:5" x14ac:dyDescent="0.2">
      <c r="A758" s="13">
        <v>756</v>
      </c>
      <c r="B758" s="1">
        <v>43014</v>
      </c>
      <c r="C758" t="s">
        <v>62</v>
      </c>
      <c r="D758" t="s">
        <v>39</v>
      </c>
      <c r="E758">
        <v>6.0462392931485767E-3</v>
      </c>
    </row>
    <row r="759" spans="1:5" x14ac:dyDescent="0.2">
      <c r="A759" s="13">
        <v>757</v>
      </c>
      <c r="B759" s="1">
        <v>43014</v>
      </c>
      <c r="C759" t="s">
        <v>62</v>
      </c>
      <c r="D759" t="s">
        <v>32</v>
      </c>
      <c r="E759">
        <v>4.0452285358627531E-3</v>
      </c>
    </row>
    <row r="760" spans="1:5" x14ac:dyDescent="0.2">
      <c r="A760" s="13">
        <v>758</v>
      </c>
      <c r="B760" s="1">
        <v>43014</v>
      </c>
      <c r="C760" t="s">
        <v>62</v>
      </c>
      <c r="D760" t="s">
        <v>30</v>
      </c>
      <c r="E760">
        <v>6.9308244102650527E-7</v>
      </c>
    </row>
    <row r="761" spans="1:5" x14ac:dyDescent="0.2">
      <c r="A761" s="13">
        <v>759</v>
      </c>
      <c r="B761" s="1">
        <v>43014</v>
      </c>
      <c r="C761" t="s">
        <v>62</v>
      </c>
      <c r="D761" t="s">
        <v>49</v>
      </c>
      <c r="E761">
        <v>1.6766445651325768E-7</v>
      </c>
    </row>
    <row r="762" spans="1:5" x14ac:dyDescent="0.2">
      <c r="A762" s="13">
        <v>760</v>
      </c>
      <c r="B762" s="1">
        <v>43014</v>
      </c>
      <c r="C762" t="s">
        <v>62</v>
      </c>
      <c r="D762" t="s">
        <v>145</v>
      </c>
      <c r="E762">
        <v>0</v>
      </c>
    </row>
    <row r="763" spans="1:5" x14ac:dyDescent="0.2">
      <c r="A763" s="13">
        <v>761</v>
      </c>
      <c r="B763" s="1">
        <v>43014</v>
      </c>
      <c r="C763" t="s">
        <v>62</v>
      </c>
      <c r="D763" t="s">
        <v>233</v>
      </c>
      <c r="E763">
        <v>0</v>
      </c>
    </row>
    <row r="764" spans="1:5" x14ac:dyDescent="0.2">
      <c r="A764" s="13">
        <v>762</v>
      </c>
      <c r="B764" s="1">
        <v>43014</v>
      </c>
      <c r="C764" t="s">
        <v>62</v>
      </c>
      <c r="D764" t="s">
        <v>172</v>
      </c>
      <c r="E764">
        <v>0</v>
      </c>
    </row>
    <row r="765" spans="1:5" x14ac:dyDescent="0.2">
      <c r="A765" s="13">
        <v>763</v>
      </c>
      <c r="B765" s="1">
        <v>43014</v>
      </c>
      <c r="C765" t="s">
        <v>62</v>
      </c>
      <c r="D765" t="s">
        <v>72</v>
      </c>
      <c r="E765">
        <v>3.3729270567520104</v>
      </c>
    </row>
    <row r="766" spans="1:5" x14ac:dyDescent="0.2">
      <c r="A766" s="13">
        <v>764</v>
      </c>
      <c r="B766" s="1">
        <v>43014</v>
      </c>
      <c r="C766" t="s">
        <v>62</v>
      </c>
      <c r="D766" t="s">
        <v>186</v>
      </c>
      <c r="E766">
        <v>1.0091467829011328E-2</v>
      </c>
    </row>
    <row r="767" spans="1:5" x14ac:dyDescent="0.2">
      <c r="A767" s="13">
        <v>765</v>
      </c>
      <c r="B767" s="1">
        <v>43014</v>
      </c>
      <c r="C767" t="s">
        <v>62</v>
      </c>
      <c r="D767" t="s">
        <v>187</v>
      </c>
      <c r="E767">
        <v>0</v>
      </c>
    </row>
    <row r="768" spans="1:5" x14ac:dyDescent="0.2">
      <c r="A768" s="13">
        <v>766</v>
      </c>
      <c r="B768" s="1">
        <v>43014</v>
      </c>
      <c r="C768" t="s">
        <v>62</v>
      </c>
      <c r="D768" t="s">
        <v>188</v>
      </c>
      <c r="E768">
        <v>0</v>
      </c>
    </row>
    <row r="769" spans="1:5" x14ac:dyDescent="0.2">
      <c r="A769" s="13">
        <v>767</v>
      </c>
      <c r="B769" s="1">
        <v>43014</v>
      </c>
      <c r="C769" t="s">
        <v>62</v>
      </c>
      <c r="D769" t="s">
        <v>189</v>
      </c>
      <c r="E769">
        <v>0</v>
      </c>
    </row>
    <row r="770" spans="1:5" x14ac:dyDescent="0.2">
      <c r="A770" s="13">
        <v>768</v>
      </c>
      <c r="B770" s="1">
        <v>43014</v>
      </c>
      <c r="C770" t="s">
        <v>62</v>
      </c>
      <c r="D770" t="s">
        <v>190</v>
      </c>
      <c r="E770">
        <v>0</v>
      </c>
    </row>
    <row r="771" spans="1:5" x14ac:dyDescent="0.2">
      <c r="A771" s="13">
        <v>769</v>
      </c>
      <c r="B771" s="1">
        <v>43014</v>
      </c>
      <c r="C771" t="s">
        <v>62</v>
      </c>
      <c r="D771" t="s">
        <v>191</v>
      </c>
      <c r="E771">
        <v>8.607468975397629E-7</v>
      </c>
    </row>
    <row r="772" spans="1:5" x14ac:dyDescent="0.2">
      <c r="A772" s="13">
        <v>770</v>
      </c>
      <c r="B772" s="1">
        <v>43014</v>
      </c>
      <c r="C772" t="s">
        <v>63</v>
      </c>
      <c r="D772" t="s">
        <v>39</v>
      </c>
      <c r="E772">
        <v>1.0139169070810791E-2</v>
      </c>
    </row>
    <row r="773" spans="1:5" x14ac:dyDescent="0.2">
      <c r="A773" s="13">
        <v>771</v>
      </c>
      <c r="B773" s="1">
        <v>43014</v>
      </c>
      <c r="C773" t="s">
        <v>63</v>
      </c>
      <c r="D773" t="s">
        <v>32</v>
      </c>
      <c r="E773">
        <v>7.1465502927823372E-3</v>
      </c>
    </row>
    <row r="774" spans="1:5" x14ac:dyDescent="0.2">
      <c r="A774" s="13">
        <v>772</v>
      </c>
      <c r="B774" s="1">
        <v>43014</v>
      </c>
      <c r="C774" t="s">
        <v>63</v>
      </c>
      <c r="D774" t="s">
        <v>30</v>
      </c>
      <c r="E774">
        <v>7.5005586405573295E-8</v>
      </c>
    </row>
    <row r="775" spans="1:5" x14ac:dyDescent="0.2">
      <c r="A775" s="13">
        <v>773</v>
      </c>
      <c r="B775" s="1">
        <v>43014</v>
      </c>
      <c r="C775" t="s">
        <v>63</v>
      </c>
      <c r="D775" t="s">
        <v>49</v>
      </c>
      <c r="E775">
        <v>1.3675603527835741E-6</v>
      </c>
    </row>
    <row r="776" spans="1:5" x14ac:dyDescent="0.2">
      <c r="A776" s="13">
        <v>774</v>
      </c>
      <c r="B776" s="1">
        <v>43014</v>
      </c>
      <c r="C776" t="s">
        <v>63</v>
      </c>
      <c r="D776" t="s">
        <v>145</v>
      </c>
      <c r="E776">
        <v>0</v>
      </c>
    </row>
    <row r="777" spans="1:5" x14ac:dyDescent="0.2">
      <c r="A777" s="13">
        <v>775</v>
      </c>
      <c r="B777" s="1">
        <v>43014</v>
      </c>
      <c r="C777" t="s">
        <v>63</v>
      </c>
      <c r="D777" t="s">
        <v>233</v>
      </c>
      <c r="E777">
        <v>0</v>
      </c>
    </row>
    <row r="778" spans="1:5" x14ac:dyDescent="0.2">
      <c r="A778" s="13">
        <v>776</v>
      </c>
      <c r="B778" s="1">
        <v>43014</v>
      </c>
      <c r="C778" t="s">
        <v>63</v>
      </c>
      <c r="D778" t="s">
        <v>172</v>
      </c>
      <c r="E778">
        <v>0</v>
      </c>
    </row>
    <row r="779" spans="1:5" x14ac:dyDescent="0.2">
      <c r="A779" s="13">
        <v>777</v>
      </c>
      <c r="B779" s="1">
        <v>43014</v>
      </c>
      <c r="C779" t="s">
        <v>63</v>
      </c>
      <c r="D779" t="s">
        <v>72</v>
      </c>
      <c r="E779">
        <v>5.7789116234283897</v>
      </c>
    </row>
    <row r="780" spans="1:5" x14ac:dyDescent="0.2">
      <c r="A780" s="13">
        <v>778</v>
      </c>
      <c r="B780" s="1">
        <v>43014</v>
      </c>
      <c r="C780" t="s">
        <v>63</v>
      </c>
      <c r="D780" t="s">
        <v>186</v>
      </c>
      <c r="E780">
        <v>1.7285719363593122E-2</v>
      </c>
    </row>
    <row r="781" spans="1:5" x14ac:dyDescent="0.2">
      <c r="A781" s="13">
        <v>779</v>
      </c>
      <c r="B781" s="1">
        <v>43014</v>
      </c>
      <c r="C781" t="s">
        <v>63</v>
      </c>
      <c r="D781" t="s">
        <v>187</v>
      </c>
      <c r="E781">
        <v>0</v>
      </c>
    </row>
    <row r="782" spans="1:5" x14ac:dyDescent="0.2">
      <c r="A782" s="13">
        <v>780</v>
      </c>
      <c r="B782" s="1">
        <v>43014</v>
      </c>
      <c r="C782" t="s">
        <v>63</v>
      </c>
      <c r="D782" t="s">
        <v>188</v>
      </c>
      <c r="E782">
        <v>0</v>
      </c>
    </row>
    <row r="783" spans="1:5" x14ac:dyDescent="0.2">
      <c r="A783" s="13">
        <v>781</v>
      </c>
      <c r="B783" s="1">
        <v>43014</v>
      </c>
      <c r="C783" t="s">
        <v>63</v>
      </c>
      <c r="D783" t="s">
        <v>189</v>
      </c>
      <c r="E783">
        <v>0</v>
      </c>
    </row>
    <row r="784" spans="1:5" x14ac:dyDescent="0.2">
      <c r="A784" s="13">
        <v>782</v>
      </c>
      <c r="B784" s="1">
        <v>43014</v>
      </c>
      <c r="C784" t="s">
        <v>63</v>
      </c>
      <c r="D784" t="s">
        <v>190</v>
      </c>
      <c r="E784">
        <v>0</v>
      </c>
    </row>
    <row r="785" spans="1:5" x14ac:dyDescent="0.2">
      <c r="A785" s="13">
        <v>783</v>
      </c>
      <c r="B785" s="1">
        <v>43014</v>
      </c>
      <c r="C785" t="s">
        <v>63</v>
      </c>
      <c r="D785" t="s">
        <v>191</v>
      </c>
      <c r="E785">
        <v>1.4425659391891473E-6</v>
      </c>
    </row>
    <row r="786" spans="1:5" x14ac:dyDescent="0.2">
      <c r="A786" s="13">
        <v>784</v>
      </c>
      <c r="B786" s="1">
        <v>43014</v>
      </c>
      <c r="C786" t="s">
        <v>103</v>
      </c>
      <c r="D786" t="s">
        <v>39</v>
      </c>
      <c r="E786">
        <v>1.6102198475498236E-2</v>
      </c>
    </row>
    <row r="787" spans="1:5" x14ac:dyDescent="0.2">
      <c r="A787" s="13">
        <v>785</v>
      </c>
      <c r="B787" s="1">
        <v>43014</v>
      </c>
      <c r="C787" t="s">
        <v>103</v>
      </c>
      <c r="D787" t="s">
        <v>32</v>
      </c>
      <c r="E787">
        <v>0</v>
      </c>
    </row>
    <row r="788" spans="1:5" x14ac:dyDescent="0.2">
      <c r="A788" s="13">
        <v>786</v>
      </c>
      <c r="B788" s="1">
        <v>43014</v>
      </c>
      <c r="C788" t="s">
        <v>103</v>
      </c>
      <c r="D788" t="s">
        <v>30</v>
      </c>
      <c r="E788">
        <v>0</v>
      </c>
    </row>
    <row r="789" spans="1:5" x14ac:dyDescent="0.2">
      <c r="A789" s="13">
        <v>787</v>
      </c>
      <c r="B789" s="1">
        <v>43014</v>
      </c>
      <c r="C789" t="s">
        <v>103</v>
      </c>
      <c r="D789" t="s">
        <v>49</v>
      </c>
      <c r="E789">
        <v>0</v>
      </c>
    </row>
    <row r="790" spans="1:5" x14ac:dyDescent="0.2">
      <c r="A790" s="13">
        <v>788</v>
      </c>
      <c r="B790" s="1">
        <v>43014</v>
      </c>
      <c r="C790" t="s">
        <v>103</v>
      </c>
      <c r="D790" t="s">
        <v>145</v>
      </c>
      <c r="E790">
        <v>0</v>
      </c>
    </row>
    <row r="791" spans="1:5" x14ac:dyDescent="0.2">
      <c r="A791" s="13">
        <v>789</v>
      </c>
      <c r="B791" s="1">
        <v>43014</v>
      </c>
      <c r="C791" t="s">
        <v>103</v>
      </c>
      <c r="D791" t="s">
        <v>233</v>
      </c>
      <c r="E791">
        <v>0</v>
      </c>
    </row>
    <row r="792" spans="1:5" x14ac:dyDescent="0.2">
      <c r="A792" s="13">
        <v>790</v>
      </c>
      <c r="B792" s="1">
        <v>43014</v>
      </c>
      <c r="C792" t="s">
        <v>103</v>
      </c>
      <c r="D792" t="s">
        <v>172</v>
      </c>
      <c r="E792">
        <v>0</v>
      </c>
    </row>
    <row r="793" spans="1:5" x14ac:dyDescent="0.2">
      <c r="A793" s="13">
        <v>791</v>
      </c>
      <c r="B793" s="1">
        <v>43014</v>
      </c>
      <c r="C793" t="s">
        <v>103</v>
      </c>
      <c r="D793" t="s">
        <v>72</v>
      </c>
      <c r="E793">
        <v>0</v>
      </c>
    </row>
    <row r="794" spans="1:5" x14ac:dyDescent="0.2">
      <c r="A794" s="13">
        <v>792</v>
      </c>
      <c r="B794" s="1">
        <v>43014</v>
      </c>
      <c r="C794" t="s">
        <v>103</v>
      </c>
      <c r="D794" t="s">
        <v>186</v>
      </c>
      <c r="E794">
        <v>1.6102198475498236E-2</v>
      </c>
    </row>
    <row r="795" spans="1:5" x14ac:dyDescent="0.2">
      <c r="A795" s="13">
        <v>793</v>
      </c>
      <c r="B795" s="1">
        <v>43014</v>
      </c>
      <c r="C795" t="s">
        <v>103</v>
      </c>
      <c r="D795" t="s">
        <v>187</v>
      </c>
      <c r="E795">
        <v>0</v>
      </c>
    </row>
    <row r="796" spans="1:5" x14ac:dyDescent="0.2">
      <c r="A796" s="13">
        <v>794</v>
      </c>
      <c r="B796" s="1">
        <v>43014</v>
      </c>
      <c r="C796" t="s">
        <v>103</v>
      </c>
      <c r="D796" t="s">
        <v>188</v>
      </c>
      <c r="E796">
        <v>0</v>
      </c>
    </row>
    <row r="797" spans="1:5" x14ac:dyDescent="0.2">
      <c r="A797" s="13">
        <v>795</v>
      </c>
      <c r="B797" s="1">
        <v>43014</v>
      </c>
      <c r="C797" t="s">
        <v>103</v>
      </c>
      <c r="D797" t="s">
        <v>189</v>
      </c>
      <c r="E797">
        <v>0</v>
      </c>
    </row>
    <row r="798" spans="1:5" x14ac:dyDescent="0.2">
      <c r="A798" s="13">
        <v>796</v>
      </c>
      <c r="B798" s="1">
        <v>43014</v>
      </c>
      <c r="C798" t="s">
        <v>103</v>
      </c>
      <c r="D798" t="s">
        <v>190</v>
      </c>
      <c r="E798">
        <v>0</v>
      </c>
    </row>
    <row r="799" spans="1:5" x14ac:dyDescent="0.2">
      <c r="A799" s="13">
        <v>797</v>
      </c>
      <c r="B799" s="1">
        <v>43014</v>
      </c>
      <c r="C799" t="s">
        <v>103</v>
      </c>
      <c r="D799" t="s">
        <v>191</v>
      </c>
      <c r="E799">
        <v>0</v>
      </c>
    </row>
    <row r="800" spans="1:5" x14ac:dyDescent="0.2">
      <c r="A800" s="13">
        <v>798</v>
      </c>
      <c r="B800" s="1">
        <v>43014</v>
      </c>
      <c r="C800" t="s">
        <v>104</v>
      </c>
      <c r="D800" t="s">
        <v>39</v>
      </c>
      <c r="E800">
        <v>7.1306247623566146E-2</v>
      </c>
    </row>
    <row r="801" spans="1:5" x14ac:dyDescent="0.2">
      <c r="A801" s="13">
        <v>799</v>
      </c>
      <c r="B801" s="1">
        <v>43014</v>
      </c>
      <c r="C801" t="s">
        <v>104</v>
      </c>
      <c r="D801" t="s">
        <v>32</v>
      </c>
      <c r="E801">
        <v>0</v>
      </c>
    </row>
    <row r="802" spans="1:5" x14ac:dyDescent="0.2">
      <c r="A802" s="13">
        <v>800</v>
      </c>
      <c r="B802" s="1">
        <v>43014</v>
      </c>
      <c r="C802" t="s">
        <v>104</v>
      </c>
      <c r="D802" t="s">
        <v>30</v>
      </c>
      <c r="E802">
        <v>0</v>
      </c>
    </row>
    <row r="803" spans="1:5" x14ac:dyDescent="0.2">
      <c r="A803" s="13">
        <v>801</v>
      </c>
      <c r="B803" s="1">
        <v>43014</v>
      </c>
      <c r="C803" t="s">
        <v>104</v>
      </c>
      <c r="D803" t="s">
        <v>49</v>
      </c>
      <c r="E803">
        <v>0</v>
      </c>
    </row>
    <row r="804" spans="1:5" x14ac:dyDescent="0.2">
      <c r="A804" s="13">
        <v>802</v>
      </c>
      <c r="B804" s="1">
        <v>43014</v>
      </c>
      <c r="C804" t="s">
        <v>104</v>
      </c>
      <c r="D804" t="s">
        <v>145</v>
      </c>
      <c r="E804">
        <v>0</v>
      </c>
    </row>
    <row r="805" spans="1:5" x14ac:dyDescent="0.2">
      <c r="A805" s="13">
        <v>803</v>
      </c>
      <c r="B805" s="1">
        <v>43014</v>
      </c>
      <c r="C805" t="s">
        <v>104</v>
      </c>
      <c r="D805" t="s">
        <v>233</v>
      </c>
      <c r="E805">
        <v>0</v>
      </c>
    </row>
    <row r="806" spans="1:5" x14ac:dyDescent="0.2">
      <c r="A806" s="13">
        <v>804</v>
      </c>
      <c r="B806" s="1">
        <v>43014</v>
      </c>
      <c r="C806" t="s">
        <v>104</v>
      </c>
      <c r="D806" t="s">
        <v>172</v>
      </c>
      <c r="E806">
        <v>0</v>
      </c>
    </row>
    <row r="807" spans="1:5" x14ac:dyDescent="0.2">
      <c r="A807" s="13">
        <v>805</v>
      </c>
      <c r="B807" s="1">
        <v>43014</v>
      </c>
      <c r="C807" t="s">
        <v>104</v>
      </c>
      <c r="D807" t="s">
        <v>72</v>
      </c>
      <c r="E807">
        <v>0</v>
      </c>
    </row>
    <row r="808" spans="1:5" x14ac:dyDescent="0.2">
      <c r="A808" s="13">
        <v>806</v>
      </c>
      <c r="B808" s="1">
        <v>43014</v>
      </c>
      <c r="C808" t="s">
        <v>104</v>
      </c>
      <c r="D808" t="s">
        <v>186</v>
      </c>
      <c r="E808">
        <v>7.1306247623566146E-2</v>
      </c>
    </row>
    <row r="809" spans="1:5" x14ac:dyDescent="0.2">
      <c r="A809" s="13">
        <v>807</v>
      </c>
      <c r="B809" s="1">
        <v>43014</v>
      </c>
      <c r="C809" t="s">
        <v>104</v>
      </c>
      <c r="D809" t="s">
        <v>187</v>
      </c>
      <c r="E809">
        <v>0</v>
      </c>
    </row>
    <row r="810" spans="1:5" x14ac:dyDescent="0.2">
      <c r="A810" s="13">
        <v>808</v>
      </c>
      <c r="B810" s="1">
        <v>43014</v>
      </c>
      <c r="C810" t="s">
        <v>104</v>
      </c>
      <c r="D810" t="s">
        <v>188</v>
      </c>
      <c r="E810">
        <v>0</v>
      </c>
    </row>
    <row r="811" spans="1:5" x14ac:dyDescent="0.2">
      <c r="A811" s="13">
        <v>809</v>
      </c>
      <c r="B811" s="1">
        <v>43014</v>
      </c>
      <c r="C811" t="s">
        <v>104</v>
      </c>
      <c r="D811" t="s">
        <v>189</v>
      </c>
      <c r="E811">
        <v>0</v>
      </c>
    </row>
    <row r="812" spans="1:5" x14ac:dyDescent="0.2">
      <c r="A812" s="13">
        <v>810</v>
      </c>
      <c r="B812" s="1">
        <v>43014</v>
      </c>
      <c r="C812" t="s">
        <v>104</v>
      </c>
      <c r="D812" t="s">
        <v>190</v>
      </c>
      <c r="E812">
        <v>0</v>
      </c>
    </row>
    <row r="813" spans="1:5" x14ac:dyDescent="0.2">
      <c r="A813" s="13">
        <v>811</v>
      </c>
      <c r="B813" s="1">
        <v>43014</v>
      </c>
      <c r="C813" t="s">
        <v>104</v>
      </c>
      <c r="D813" t="s">
        <v>191</v>
      </c>
      <c r="E813">
        <v>0</v>
      </c>
    </row>
    <row r="814" spans="1:5" x14ac:dyDescent="0.2">
      <c r="A814" s="13">
        <v>812</v>
      </c>
      <c r="B814" s="1">
        <v>43014</v>
      </c>
      <c r="C814" t="s">
        <v>151</v>
      </c>
      <c r="D814" t="s">
        <v>39</v>
      </c>
      <c r="E814">
        <v>0</v>
      </c>
    </row>
    <row r="815" spans="1:5" x14ac:dyDescent="0.2">
      <c r="A815" s="13">
        <v>813</v>
      </c>
      <c r="B815" s="1">
        <v>43014</v>
      </c>
      <c r="C815" t="s">
        <v>151</v>
      </c>
      <c r="D815" t="s">
        <v>32</v>
      </c>
      <c r="E815">
        <v>0</v>
      </c>
    </row>
    <row r="816" spans="1:5" x14ac:dyDescent="0.2">
      <c r="A816" s="13">
        <v>814</v>
      </c>
      <c r="B816" s="1">
        <v>43014</v>
      </c>
      <c r="C816" t="s">
        <v>151</v>
      </c>
      <c r="D816" t="s">
        <v>30</v>
      </c>
      <c r="E816">
        <v>4.9958206423543631E-3</v>
      </c>
    </row>
    <row r="817" spans="1:5" x14ac:dyDescent="0.2">
      <c r="A817" s="13">
        <v>815</v>
      </c>
      <c r="B817" s="1">
        <v>43014</v>
      </c>
      <c r="C817" t="s">
        <v>151</v>
      </c>
      <c r="D817" t="s">
        <v>49</v>
      </c>
      <c r="E817">
        <v>0</v>
      </c>
    </row>
    <row r="818" spans="1:5" x14ac:dyDescent="0.2">
      <c r="A818" s="13">
        <v>816</v>
      </c>
      <c r="B818" s="1">
        <v>43014</v>
      </c>
      <c r="C818" t="s">
        <v>151</v>
      </c>
      <c r="D818" t="s">
        <v>145</v>
      </c>
      <c r="E818">
        <v>0</v>
      </c>
    </row>
    <row r="819" spans="1:5" x14ac:dyDescent="0.2">
      <c r="A819" s="13">
        <v>817</v>
      </c>
      <c r="B819" s="1">
        <v>43014</v>
      </c>
      <c r="C819" t="s">
        <v>151</v>
      </c>
      <c r="D819" t="s">
        <v>233</v>
      </c>
      <c r="E819">
        <v>0</v>
      </c>
    </row>
    <row r="820" spans="1:5" x14ac:dyDescent="0.2">
      <c r="A820" s="13">
        <v>818</v>
      </c>
      <c r="B820" s="1">
        <v>43014</v>
      </c>
      <c r="C820" t="s">
        <v>151</v>
      </c>
      <c r="D820" t="s">
        <v>172</v>
      </c>
      <c r="E820">
        <v>0</v>
      </c>
    </row>
    <row r="821" spans="1:5" x14ac:dyDescent="0.2">
      <c r="A821" s="13">
        <v>819</v>
      </c>
      <c r="B821" s="1">
        <v>43014</v>
      </c>
      <c r="C821" t="s">
        <v>151</v>
      </c>
      <c r="D821" t="s">
        <v>72</v>
      </c>
      <c r="E821">
        <v>6.650367847887618</v>
      </c>
    </row>
    <row r="822" spans="1:5" x14ac:dyDescent="0.2">
      <c r="A822" s="13">
        <v>820</v>
      </c>
      <c r="B822" s="1">
        <v>43014</v>
      </c>
      <c r="C822" t="s">
        <v>151</v>
      </c>
      <c r="D822" t="s">
        <v>186</v>
      </c>
      <c r="E822">
        <v>6.0269336891965585E-4</v>
      </c>
    </row>
    <row r="823" spans="1:5" x14ac:dyDescent="0.2">
      <c r="A823" s="13">
        <v>821</v>
      </c>
      <c r="B823" s="1">
        <v>43014</v>
      </c>
      <c r="C823" t="s">
        <v>151</v>
      </c>
      <c r="D823" t="s">
        <v>187</v>
      </c>
      <c r="E823">
        <v>2.3504566216396906E-3</v>
      </c>
    </row>
    <row r="824" spans="1:5" x14ac:dyDescent="0.2">
      <c r="A824" s="13">
        <v>822</v>
      </c>
      <c r="B824" s="1">
        <v>43014</v>
      </c>
      <c r="C824" t="s">
        <v>151</v>
      </c>
      <c r="D824" t="s">
        <v>188</v>
      </c>
      <c r="E824">
        <v>9.3305078061189006E-4</v>
      </c>
    </row>
    <row r="825" spans="1:5" x14ac:dyDescent="0.2">
      <c r="A825" s="13">
        <v>823</v>
      </c>
      <c r="B825" s="1">
        <v>43014</v>
      </c>
      <c r="C825" t="s">
        <v>151</v>
      </c>
      <c r="D825" t="s">
        <v>189</v>
      </c>
      <c r="E825">
        <v>4.9330936992957356E-4</v>
      </c>
    </row>
    <row r="826" spans="1:5" x14ac:dyDescent="0.2">
      <c r="A826" s="13">
        <v>824</v>
      </c>
      <c r="B826" s="1">
        <v>43014</v>
      </c>
      <c r="C826" t="s">
        <v>151</v>
      </c>
      <c r="D826" t="s">
        <v>190</v>
      </c>
      <c r="E826">
        <v>1.1636735517987235E-3</v>
      </c>
    </row>
    <row r="827" spans="1:5" x14ac:dyDescent="0.2">
      <c r="A827" s="13">
        <v>825</v>
      </c>
      <c r="B827" s="1">
        <v>43014</v>
      </c>
      <c r="C827" t="s">
        <v>151</v>
      </c>
      <c r="D827" t="s">
        <v>191</v>
      </c>
      <c r="E827">
        <v>-5.4736305054517138E-4</v>
      </c>
    </row>
    <row r="828" spans="1:5" x14ac:dyDescent="0.2">
      <c r="A828" s="13">
        <v>826</v>
      </c>
      <c r="B828" s="1">
        <v>43014</v>
      </c>
      <c r="C828" t="s">
        <v>29</v>
      </c>
      <c r="D828" t="s">
        <v>39</v>
      </c>
      <c r="E828">
        <v>-3.4124175528738097E-5</v>
      </c>
    </row>
    <row r="829" spans="1:5" x14ac:dyDescent="0.2">
      <c r="A829" s="13">
        <v>827</v>
      </c>
      <c r="B829" s="1">
        <v>43014</v>
      </c>
      <c r="C829" t="s">
        <v>29</v>
      </c>
      <c r="D829" t="s">
        <v>32</v>
      </c>
      <c r="E829">
        <v>1.8036415774488053E-3</v>
      </c>
    </row>
    <row r="830" spans="1:5" x14ac:dyDescent="0.2">
      <c r="A830" s="13">
        <v>828</v>
      </c>
      <c r="B830" s="1">
        <v>43014</v>
      </c>
      <c r="C830" t="s">
        <v>29</v>
      </c>
      <c r="D830" t="s">
        <v>30</v>
      </c>
      <c r="E830">
        <v>1.5142507377687768E-5</v>
      </c>
    </row>
    <row r="831" spans="1:5" x14ac:dyDescent="0.2">
      <c r="A831" s="13">
        <v>829</v>
      </c>
      <c r="B831" s="1">
        <v>43014</v>
      </c>
      <c r="C831" t="s">
        <v>29</v>
      </c>
      <c r="D831" t="s">
        <v>49</v>
      </c>
      <c r="E831">
        <v>0</v>
      </c>
    </row>
    <row r="832" spans="1:5" x14ac:dyDescent="0.2">
      <c r="A832" s="13">
        <v>830</v>
      </c>
      <c r="B832" s="1">
        <v>43014</v>
      </c>
      <c r="C832" t="s">
        <v>29</v>
      </c>
      <c r="D832" t="s">
        <v>145</v>
      </c>
      <c r="E832">
        <v>0</v>
      </c>
    </row>
    <row r="833" spans="1:5" x14ac:dyDescent="0.2">
      <c r="A833" s="13">
        <v>831</v>
      </c>
      <c r="B833" s="1">
        <v>43014</v>
      </c>
      <c r="C833" t="s">
        <v>29</v>
      </c>
      <c r="D833" t="s">
        <v>233</v>
      </c>
      <c r="E833">
        <v>0</v>
      </c>
    </row>
    <row r="834" spans="1:5" x14ac:dyDescent="0.2">
      <c r="A834" s="13">
        <v>832</v>
      </c>
      <c r="B834" s="1">
        <v>43014</v>
      </c>
      <c r="C834" t="s">
        <v>29</v>
      </c>
      <c r="D834" t="s">
        <v>172</v>
      </c>
      <c r="E834">
        <v>0</v>
      </c>
    </row>
    <row r="835" spans="1:5" x14ac:dyDescent="0.2">
      <c r="A835" s="13">
        <v>833</v>
      </c>
      <c r="B835" s="1">
        <v>43014</v>
      </c>
      <c r="C835" t="s">
        <v>29</v>
      </c>
      <c r="D835" t="s">
        <v>72</v>
      </c>
      <c r="E835">
        <v>4.7281970847506249</v>
      </c>
    </row>
    <row r="836" spans="1:5" x14ac:dyDescent="0.2">
      <c r="A836" s="13">
        <v>834</v>
      </c>
      <c r="B836" s="1">
        <v>43014</v>
      </c>
      <c r="C836" t="s">
        <v>29</v>
      </c>
      <c r="D836" t="s">
        <v>186</v>
      </c>
      <c r="E836">
        <v>8.7898489831931246E-4</v>
      </c>
    </row>
    <row r="837" spans="1:5" x14ac:dyDescent="0.2">
      <c r="A837" s="13">
        <v>835</v>
      </c>
      <c r="B837" s="1">
        <v>43014</v>
      </c>
      <c r="C837" t="s">
        <v>29</v>
      </c>
      <c r="D837" t="s">
        <v>187</v>
      </c>
      <c r="E837">
        <v>0</v>
      </c>
    </row>
    <row r="838" spans="1:5" x14ac:dyDescent="0.2">
      <c r="A838" s="13">
        <v>836</v>
      </c>
      <c r="B838" s="1">
        <v>43014</v>
      </c>
      <c r="C838" t="s">
        <v>29</v>
      </c>
      <c r="D838" t="s">
        <v>188</v>
      </c>
      <c r="E838">
        <v>0</v>
      </c>
    </row>
    <row r="839" spans="1:5" x14ac:dyDescent="0.2">
      <c r="A839" s="13">
        <v>837</v>
      </c>
      <c r="B839" s="1">
        <v>43014</v>
      </c>
      <c r="C839" t="s">
        <v>29</v>
      </c>
      <c r="D839" t="s">
        <v>189</v>
      </c>
      <c r="E839">
        <v>0</v>
      </c>
    </row>
    <row r="840" spans="1:5" x14ac:dyDescent="0.2">
      <c r="A840" s="13">
        <v>838</v>
      </c>
      <c r="B840" s="1">
        <v>43014</v>
      </c>
      <c r="C840" t="s">
        <v>29</v>
      </c>
      <c r="D840" t="s">
        <v>190</v>
      </c>
      <c r="E840">
        <v>0</v>
      </c>
    </row>
    <row r="841" spans="1:5" x14ac:dyDescent="0.2">
      <c r="A841" s="13">
        <v>839</v>
      </c>
      <c r="B841" s="1">
        <v>43014</v>
      </c>
      <c r="C841" t="s">
        <v>29</v>
      </c>
      <c r="D841" t="s">
        <v>191</v>
      </c>
      <c r="E841">
        <v>9.0567501097844297E-4</v>
      </c>
    </row>
    <row r="842" spans="1:5" x14ac:dyDescent="0.2">
      <c r="A842" s="13">
        <v>840</v>
      </c>
      <c r="B842" s="1">
        <v>43014</v>
      </c>
      <c r="C842" t="s">
        <v>87</v>
      </c>
      <c r="D842" t="s">
        <v>39</v>
      </c>
      <c r="E842">
        <v>4.9768401857123853E-3</v>
      </c>
    </row>
    <row r="843" spans="1:5" x14ac:dyDescent="0.2">
      <c r="A843" s="13">
        <v>841</v>
      </c>
      <c r="B843" s="1">
        <v>43014</v>
      </c>
      <c r="C843" t="s">
        <v>87</v>
      </c>
      <c r="D843" t="s">
        <v>32</v>
      </c>
      <c r="E843">
        <v>1.9421669209687846E-2</v>
      </c>
    </row>
    <row r="844" spans="1:5" x14ac:dyDescent="0.2">
      <c r="A844" s="13">
        <v>842</v>
      </c>
      <c r="B844" s="1">
        <v>43014</v>
      </c>
      <c r="C844" t="s">
        <v>87</v>
      </c>
      <c r="D844" t="s">
        <v>30</v>
      </c>
      <c r="E844">
        <v>8.0410385778205385E-4</v>
      </c>
    </row>
    <row r="845" spans="1:5" x14ac:dyDescent="0.2">
      <c r="A845" s="13">
        <v>843</v>
      </c>
      <c r="B845" s="1">
        <v>43014</v>
      </c>
      <c r="C845" t="s">
        <v>87</v>
      </c>
      <c r="D845" t="s">
        <v>49</v>
      </c>
      <c r="E845">
        <v>0</v>
      </c>
    </row>
    <row r="846" spans="1:5" x14ac:dyDescent="0.2">
      <c r="A846" s="13">
        <v>844</v>
      </c>
      <c r="B846" s="1">
        <v>43014</v>
      </c>
      <c r="C846" t="s">
        <v>87</v>
      </c>
      <c r="D846" t="s">
        <v>145</v>
      </c>
      <c r="E846">
        <v>1.0386789623098396E-3</v>
      </c>
    </row>
    <row r="847" spans="1:5" x14ac:dyDescent="0.2">
      <c r="A847" s="13">
        <v>845</v>
      </c>
      <c r="B847" s="1">
        <v>43014</v>
      </c>
      <c r="C847" t="s">
        <v>87</v>
      </c>
      <c r="D847" t="s">
        <v>233</v>
      </c>
      <c r="E847">
        <v>0</v>
      </c>
    </row>
    <row r="848" spans="1:5" x14ac:dyDescent="0.2">
      <c r="A848" s="13">
        <v>846</v>
      </c>
      <c r="B848" s="1">
        <v>43014</v>
      </c>
      <c r="C848" t="s">
        <v>87</v>
      </c>
      <c r="D848" t="s">
        <v>172</v>
      </c>
      <c r="E848">
        <v>0</v>
      </c>
    </row>
    <row r="849" spans="1:5" x14ac:dyDescent="0.2">
      <c r="A849" s="13">
        <v>847</v>
      </c>
      <c r="B849" s="1">
        <v>43014</v>
      </c>
      <c r="C849" t="s">
        <v>87</v>
      </c>
      <c r="D849" t="s">
        <v>72</v>
      </c>
      <c r="E849">
        <v>9.3949888711080227</v>
      </c>
    </row>
    <row r="850" spans="1:5" x14ac:dyDescent="0.2">
      <c r="A850" s="13">
        <v>848</v>
      </c>
      <c r="B850" s="1">
        <v>43014</v>
      </c>
      <c r="C850" t="s">
        <v>87</v>
      </c>
      <c r="D850" t="s">
        <v>186</v>
      </c>
      <c r="E850">
        <v>2.4629980685442934E-2</v>
      </c>
    </row>
    <row r="851" spans="1:5" x14ac:dyDescent="0.2">
      <c r="A851" s="13">
        <v>849</v>
      </c>
      <c r="B851" s="1">
        <v>43014</v>
      </c>
      <c r="C851" t="s">
        <v>87</v>
      </c>
      <c r="D851" t="s">
        <v>187</v>
      </c>
      <c r="E851">
        <v>1.3111263705293038E-3</v>
      </c>
    </row>
    <row r="852" spans="1:5" x14ac:dyDescent="0.2">
      <c r="A852" s="13">
        <v>850</v>
      </c>
      <c r="B852" s="1">
        <v>43014</v>
      </c>
      <c r="C852" t="s">
        <v>87</v>
      </c>
      <c r="D852" t="s">
        <v>188</v>
      </c>
      <c r="E852">
        <v>2.0387562847176167E-4</v>
      </c>
    </row>
    <row r="853" spans="1:5" x14ac:dyDescent="0.2">
      <c r="A853" s="13">
        <v>851</v>
      </c>
      <c r="B853" s="1">
        <v>43014</v>
      </c>
      <c r="C853" t="s">
        <v>87</v>
      </c>
      <c r="D853" t="s">
        <v>189</v>
      </c>
      <c r="E853">
        <v>2.4408228586949839E-4</v>
      </c>
    </row>
    <row r="854" spans="1:5" x14ac:dyDescent="0.2">
      <c r="A854" s="13">
        <v>852</v>
      </c>
      <c r="B854" s="1">
        <v>43014</v>
      </c>
      <c r="C854" t="s">
        <v>87</v>
      </c>
      <c r="D854" t="s">
        <v>190</v>
      </c>
      <c r="E854">
        <v>1.4628615256856049E-4</v>
      </c>
    </row>
    <row r="855" spans="1:5" x14ac:dyDescent="0.2">
      <c r="A855" s="13">
        <v>853</v>
      </c>
      <c r="B855" s="1">
        <v>43014</v>
      </c>
      <c r="C855" t="s">
        <v>87</v>
      </c>
      <c r="D855" t="s">
        <v>191</v>
      </c>
      <c r="E855">
        <v>-2.9405890738993634E-4</v>
      </c>
    </row>
    <row r="856" spans="1:5" x14ac:dyDescent="0.2">
      <c r="A856" s="13">
        <v>854</v>
      </c>
      <c r="B856" s="1">
        <v>43014</v>
      </c>
      <c r="C856" t="s">
        <v>61</v>
      </c>
      <c r="D856" t="s">
        <v>39</v>
      </c>
      <c r="E856">
        <v>2.5968164038976216E-3</v>
      </c>
    </row>
    <row r="857" spans="1:5" x14ac:dyDescent="0.2">
      <c r="A857" s="13">
        <v>855</v>
      </c>
      <c r="B857" s="1">
        <v>43014</v>
      </c>
      <c r="C857" t="s">
        <v>61</v>
      </c>
      <c r="D857" t="s">
        <v>32</v>
      </c>
      <c r="E857">
        <v>1.3357099133268763E-2</v>
      </c>
    </row>
    <row r="858" spans="1:5" x14ac:dyDescent="0.2">
      <c r="A858" s="13">
        <v>856</v>
      </c>
      <c r="B858" s="1">
        <v>43014</v>
      </c>
      <c r="C858" t="s">
        <v>61</v>
      </c>
      <c r="D858" t="s">
        <v>30</v>
      </c>
      <c r="E858">
        <v>0</v>
      </c>
    </row>
    <row r="859" spans="1:5" x14ac:dyDescent="0.2">
      <c r="A859" s="13">
        <v>857</v>
      </c>
      <c r="B859" s="1">
        <v>43014</v>
      </c>
      <c r="C859" t="s">
        <v>61</v>
      </c>
      <c r="D859" t="s">
        <v>49</v>
      </c>
      <c r="E859">
        <v>0</v>
      </c>
    </row>
    <row r="860" spans="1:5" x14ac:dyDescent="0.2">
      <c r="A860" s="13">
        <v>858</v>
      </c>
      <c r="B860" s="1">
        <v>43014</v>
      </c>
      <c r="C860" t="s">
        <v>61</v>
      </c>
      <c r="D860" t="s">
        <v>145</v>
      </c>
      <c r="E860">
        <v>0</v>
      </c>
    </row>
    <row r="861" spans="1:5" x14ac:dyDescent="0.2">
      <c r="A861" s="13">
        <v>859</v>
      </c>
      <c r="B861" s="1">
        <v>43014</v>
      </c>
      <c r="C861" t="s">
        <v>61</v>
      </c>
      <c r="D861" t="s">
        <v>233</v>
      </c>
      <c r="E861">
        <v>0</v>
      </c>
    </row>
    <row r="862" spans="1:5" x14ac:dyDescent="0.2">
      <c r="A862" s="13">
        <v>860</v>
      </c>
      <c r="B862" s="1">
        <v>43014</v>
      </c>
      <c r="C862" t="s">
        <v>61</v>
      </c>
      <c r="D862" t="s">
        <v>172</v>
      </c>
      <c r="E862">
        <v>0</v>
      </c>
    </row>
    <row r="863" spans="1:5" x14ac:dyDescent="0.2">
      <c r="A863" s="13">
        <v>861</v>
      </c>
      <c r="B863" s="1">
        <v>43014</v>
      </c>
      <c r="C863" t="s">
        <v>61</v>
      </c>
      <c r="D863" t="s">
        <v>72</v>
      </c>
      <c r="E863">
        <v>5.582203869369736</v>
      </c>
    </row>
    <row r="864" spans="1:5" x14ac:dyDescent="0.2">
      <c r="A864" s="13">
        <v>862</v>
      </c>
      <c r="B864" s="1">
        <v>43014</v>
      </c>
      <c r="C864" t="s">
        <v>61</v>
      </c>
      <c r="D864" t="s">
        <v>186</v>
      </c>
      <c r="E864">
        <v>1.5953915537166376E-2</v>
      </c>
    </row>
    <row r="865" spans="1:5" x14ac:dyDescent="0.2">
      <c r="A865" s="13">
        <v>863</v>
      </c>
      <c r="B865" s="1">
        <v>43014</v>
      </c>
      <c r="C865" t="s">
        <v>61</v>
      </c>
      <c r="D865" t="s">
        <v>187</v>
      </c>
      <c r="E865">
        <v>0</v>
      </c>
    </row>
    <row r="866" spans="1:5" x14ac:dyDescent="0.2">
      <c r="A866" s="13">
        <v>864</v>
      </c>
      <c r="B866" s="1">
        <v>43014</v>
      </c>
      <c r="C866" t="s">
        <v>61</v>
      </c>
      <c r="D866" t="s">
        <v>188</v>
      </c>
      <c r="E866">
        <v>0</v>
      </c>
    </row>
    <row r="867" spans="1:5" x14ac:dyDescent="0.2">
      <c r="A867" s="13">
        <v>865</v>
      </c>
      <c r="B867" s="1">
        <v>43014</v>
      </c>
      <c r="C867" t="s">
        <v>61</v>
      </c>
      <c r="D867" t="s">
        <v>189</v>
      </c>
      <c r="E867">
        <v>0</v>
      </c>
    </row>
    <row r="868" spans="1:5" x14ac:dyDescent="0.2">
      <c r="A868" s="13">
        <v>866</v>
      </c>
      <c r="B868" s="1">
        <v>43014</v>
      </c>
      <c r="C868" t="s">
        <v>61</v>
      </c>
      <c r="D868" t="s">
        <v>190</v>
      </c>
      <c r="E868">
        <v>0</v>
      </c>
    </row>
    <row r="869" spans="1:5" x14ac:dyDescent="0.2">
      <c r="A869" s="13">
        <v>867</v>
      </c>
      <c r="B869" s="1">
        <v>43014</v>
      </c>
      <c r="C869" t="s">
        <v>61</v>
      </c>
      <c r="D869" t="s">
        <v>191</v>
      </c>
      <c r="E869">
        <v>0</v>
      </c>
    </row>
    <row r="870" spans="1:5" x14ac:dyDescent="0.2">
      <c r="A870" s="13">
        <v>868</v>
      </c>
      <c r="B870" s="1">
        <v>43014</v>
      </c>
      <c r="C870" t="s">
        <v>53</v>
      </c>
      <c r="D870" t="s">
        <v>39</v>
      </c>
      <c r="E870">
        <v>2.7058003186084227E-5</v>
      </c>
    </row>
    <row r="871" spans="1:5" x14ac:dyDescent="0.2">
      <c r="A871" s="13">
        <v>869</v>
      </c>
      <c r="B871" s="1">
        <v>43014</v>
      </c>
      <c r="C871" t="s">
        <v>53</v>
      </c>
      <c r="D871" t="s">
        <v>32</v>
      </c>
      <c r="E871">
        <v>4.6536097614690757E-3</v>
      </c>
    </row>
    <row r="872" spans="1:5" x14ac:dyDescent="0.2">
      <c r="A872" s="13">
        <v>870</v>
      </c>
      <c r="B872" s="1">
        <v>43014</v>
      </c>
      <c r="C872" t="s">
        <v>53</v>
      </c>
      <c r="D872" t="s">
        <v>30</v>
      </c>
      <c r="E872">
        <v>8.3188047500324758E-4</v>
      </c>
    </row>
    <row r="873" spans="1:5" x14ac:dyDescent="0.2">
      <c r="A873" s="13">
        <v>871</v>
      </c>
      <c r="B873" s="1">
        <v>43014</v>
      </c>
      <c r="C873" t="s">
        <v>53</v>
      </c>
      <c r="D873" t="s">
        <v>49</v>
      </c>
      <c r="E873">
        <v>0</v>
      </c>
    </row>
    <row r="874" spans="1:5" x14ac:dyDescent="0.2">
      <c r="A874" s="13">
        <v>872</v>
      </c>
      <c r="B874" s="1">
        <v>43014</v>
      </c>
      <c r="C874" t="s">
        <v>53</v>
      </c>
      <c r="D874" t="s">
        <v>145</v>
      </c>
      <c r="E874">
        <v>0</v>
      </c>
    </row>
    <row r="875" spans="1:5" x14ac:dyDescent="0.2">
      <c r="A875" s="13">
        <v>873</v>
      </c>
      <c r="B875" s="1">
        <v>43014</v>
      </c>
      <c r="C875" t="s">
        <v>53</v>
      </c>
      <c r="D875" t="s">
        <v>233</v>
      </c>
      <c r="E875">
        <v>0</v>
      </c>
    </row>
    <row r="876" spans="1:5" x14ac:dyDescent="0.2">
      <c r="A876" s="13">
        <v>874</v>
      </c>
      <c r="B876" s="1">
        <v>43014</v>
      </c>
      <c r="C876" t="s">
        <v>53</v>
      </c>
      <c r="D876" t="s">
        <v>172</v>
      </c>
      <c r="E876">
        <v>0</v>
      </c>
    </row>
    <row r="877" spans="1:5" x14ac:dyDescent="0.2">
      <c r="A877" s="13">
        <v>875</v>
      </c>
      <c r="B877" s="1">
        <v>43014</v>
      </c>
      <c r="C877" t="s">
        <v>53</v>
      </c>
      <c r="D877" t="s">
        <v>72</v>
      </c>
      <c r="E877">
        <v>6.3870185329989937</v>
      </c>
    </row>
    <row r="878" spans="1:5" x14ac:dyDescent="0.2">
      <c r="A878" s="13">
        <v>876</v>
      </c>
      <c r="B878" s="1">
        <v>43014</v>
      </c>
      <c r="C878" t="s">
        <v>53</v>
      </c>
      <c r="D878" t="s">
        <v>186</v>
      </c>
      <c r="E878">
        <v>4.6622680766655366E-3</v>
      </c>
    </row>
    <row r="879" spans="1:5" x14ac:dyDescent="0.2">
      <c r="A879" s="13">
        <v>877</v>
      </c>
      <c r="B879" s="1">
        <v>43014</v>
      </c>
      <c r="C879" t="s">
        <v>53</v>
      </c>
      <c r="D879" t="s">
        <v>187</v>
      </c>
      <c r="E879">
        <v>0</v>
      </c>
    </row>
    <row r="880" spans="1:5" x14ac:dyDescent="0.2">
      <c r="A880" s="13">
        <v>878</v>
      </c>
      <c r="B880" s="1">
        <v>43014</v>
      </c>
      <c r="C880" t="s">
        <v>53</v>
      </c>
      <c r="D880" t="s">
        <v>188</v>
      </c>
      <c r="E880">
        <v>0</v>
      </c>
    </row>
    <row r="881" spans="1:5" x14ac:dyDescent="0.2">
      <c r="A881" s="13">
        <v>879</v>
      </c>
      <c r="B881" s="1">
        <v>43014</v>
      </c>
      <c r="C881" t="s">
        <v>53</v>
      </c>
      <c r="D881" t="s">
        <v>189</v>
      </c>
      <c r="E881">
        <v>0</v>
      </c>
    </row>
    <row r="882" spans="1:5" x14ac:dyDescent="0.2">
      <c r="A882" s="13">
        <v>880</v>
      </c>
      <c r="B882" s="1">
        <v>43014</v>
      </c>
      <c r="C882" t="s">
        <v>53</v>
      </c>
      <c r="D882" t="s">
        <v>190</v>
      </c>
      <c r="E882">
        <v>0</v>
      </c>
    </row>
    <row r="883" spans="1:5" x14ac:dyDescent="0.2">
      <c r="A883" s="13">
        <v>881</v>
      </c>
      <c r="B883" s="1">
        <v>43014</v>
      </c>
      <c r="C883" t="s">
        <v>53</v>
      </c>
      <c r="D883" t="s">
        <v>191</v>
      </c>
      <c r="E883">
        <v>8.5028016299287107E-4</v>
      </c>
    </row>
    <row r="884" spans="1:5" x14ac:dyDescent="0.2">
      <c r="A884" s="13">
        <v>882</v>
      </c>
      <c r="B884" s="1">
        <v>43013</v>
      </c>
      <c r="C884" t="s">
        <v>62</v>
      </c>
      <c r="D884" t="s">
        <v>39</v>
      </c>
      <c r="E884">
        <v>5.8056651073406067E-3</v>
      </c>
    </row>
    <row r="885" spans="1:5" x14ac:dyDescent="0.2">
      <c r="A885" s="13">
        <v>883</v>
      </c>
      <c r="B885" s="1">
        <v>43013</v>
      </c>
      <c r="C885" t="s">
        <v>62</v>
      </c>
      <c r="D885" t="s">
        <v>32</v>
      </c>
      <c r="E885">
        <v>3.5429922440931038E-3</v>
      </c>
    </row>
    <row r="886" spans="1:5" x14ac:dyDescent="0.2">
      <c r="A886" s="13">
        <v>884</v>
      </c>
      <c r="B886" s="1">
        <v>43013</v>
      </c>
      <c r="C886" t="s">
        <v>62</v>
      </c>
      <c r="D886" t="s">
        <v>30</v>
      </c>
      <c r="E886">
        <v>-1.9690756645742609E-5</v>
      </c>
    </row>
    <row r="887" spans="1:5" x14ac:dyDescent="0.2">
      <c r="A887" s="13">
        <v>885</v>
      </c>
      <c r="B887" s="1">
        <v>43013</v>
      </c>
      <c r="C887" t="s">
        <v>62</v>
      </c>
      <c r="D887" t="s">
        <v>49</v>
      </c>
      <c r="E887">
        <v>-4.8750079910877445E-8</v>
      </c>
    </row>
    <row r="888" spans="1:5" x14ac:dyDescent="0.2">
      <c r="A888" s="13">
        <v>886</v>
      </c>
      <c r="B888" s="1">
        <v>43013</v>
      </c>
      <c r="C888" t="s">
        <v>62</v>
      </c>
      <c r="D888" t="s">
        <v>145</v>
      </c>
      <c r="E888">
        <v>0</v>
      </c>
    </row>
    <row r="889" spans="1:5" x14ac:dyDescent="0.2">
      <c r="A889" s="13">
        <v>887</v>
      </c>
      <c r="B889" s="1">
        <v>43013</v>
      </c>
      <c r="C889" t="s">
        <v>62</v>
      </c>
      <c r="D889" t="s">
        <v>233</v>
      </c>
      <c r="E889">
        <v>0</v>
      </c>
    </row>
    <row r="890" spans="1:5" x14ac:dyDescent="0.2">
      <c r="A890" s="13">
        <v>888</v>
      </c>
      <c r="B890" s="1">
        <v>43013</v>
      </c>
      <c r="C890" t="s">
        <v>62</v>
      </c>
      <c r="D890" t="s">
        <v>172</v>
      </c>
      <c r="E890">
        <v>0</v>
      </c>
    </row>
    <row r="891" spans="1:5" x14ac:dyDescent="0.2">
      <c r="A891" s="13">
        <v>889</v>
      </c>
      <c r="B891" s="1">
        <v>43013</v>
      </c>
      <c r="C891" t="s">
        <v>62</v>
      </c>
      <c r="D891" t="s">
        <v>72</v>
      </c>
      <c r="E891">
        <v>3.3941361736407498</v>
      </c>
    </row>
    <row r="892" spans="1:5" x14ac:dyDescent="0.2">
      <c r="A892" s="13">
        <v>890</v>
      </c>
      <c r="B892" s="1">
        <v>43013</v>
      </c>
      <c r="C892" t="s">
        <v>62</v>
      </c>
      <c r="D892" t="s">
        <v>186</v>
      </c>
      <c r="E892">
        <v>9.3486573514337066E-3</v>
      </c>
    </row>
    <row r="893" spans="1:5" x14ac:dyDescent="0.2">
      <c r="A893" s="13">
        <v>891</v>
      </c>
      <c r="B893" s="1">
        <v>43013</v>
      </c>
      <c r="C893" t="s">
        <v>62</v>
      </c>
      <c r="D893" t="s">
        <v>187</v>
      </c>
      <c r="E893">
        <v>0</v>
      </c>
    </row>
    <row r="894" spans="1:5" x14ac:dyDescent="0.2">
      <c r="A894" s="13">
        <v>892</v>
      </c>
      <c r="B894" s="1">
        <v>43013</v>
      </c>
      <c r="C894" t="s">
        <v>62</v>
      </c>
      <c r="D894" t="s">
        <v>188</v>
      </c>
      <c r="E894">
        <v>0</v>
      </c>
    </row>
    <row r="895" spans="1:5" x14ac:dyDescent="0.2">
      <c r="A895" s="13">
        <v>893</v>
      </c>
      <c r="B895" s="1">
        <v>43013</v>
      </c>
      <c r="C895" t="s">
        <v>62</v>
      </c>
      <c r="D895" t="s">
        <v>189</v>
      </c>
      <c r="E895">
        <v>0</v>
      </c>
    </row>
    <row r="896" spans="1:5" x14ac:dyDescent="0.2">
      <c r="A896" s="13">
        <v>894</v>
      </c>
      <c r="B896" s="1">
        <v>43013</v>
      </c>
      <c r="C896" t="s">
        <v>62</v>
      </c>
      <c r="D896" t="s">
        <v>190</v>
      </c>
      <c r="E896">
        <v>0</v>
      </c>
    </row>
    <row r="897" spans="1:5" x14ac:dyDescent="0.2">
      <c r="A897" s="13">
        <v>895</v>
      </c>
      <c r="B897" s="1">
        <v>43013</v>
      </c>
      <c r="C897" t="s">
        <v>62</v>
      </c>
      <c r="D897" t="s">
        <v>191</v>
      </c>
      <c r="E897">
        <v>-1.9739506725653488E-5</v>
      </c>
    </row>
    <row r="898" spans="1:5" x14ac:dyDescent="0.2">
      <c r="A898" s="13">
        <v>896</v>
      </c>
      <c r="B898" s="1">
        <v>43013</v>
      </c>
      <c r="C898" t="s">
        <v>63</v>
      </c>
      <c r="D898" t="s">
        <v>39</v>
      </c>
      <c r="E898">
        <v>9.8687107360118723E-3</v>
      </c>
    </row>
    <row r="899" spans="1:5" x14ac:dyDescent="0.2">
      <c r="A899" s="13">
        <v>897</v>
      </c>
      <c r="B899" s="1">
        <v>43013</v>
      </c>
      <c r="C899" t="s">
        <v>63</v>
      </c>
      <c r="D899" t="s">
        <v>32</v>
      </c>
      <c r="E899">
        <v>6.3742928288530228E-3</v>
      </c>
    </row>
    <row r="900" spans="1:5" x14ac:dyDescent="0.2">
      <c r="A900" s="13">
        <v>898</v>
      </c>
      <c r="B900" s="1">
        <v>43013</v>
      </c>
      <c r="C900" t="s">
        <v>63</v>
      </c>
      <c r="D900" t="s">
        <v>30</v>
      </c>
      <c r="E900">
        <v>-2.6144903882642693E-5</v>
      </c>
    </row>
    <row r="901" spans="1:5" x14ac:dyDescent="0.2">
      <c r="A901" s="13">
        <v>899</v>
      </c>
      <c r="B901" s="1">
        <v>43013</v>
      </c>
      <c r="C901" t="s">
        <v>63</v>
      </c>
      <c r="D901" t="s">
        <v>49</v>
      </c>
      <c r="E901">
        <v>-2.2872576051893509E-7</v>
      </c>
    </row>
    <row r="902" spans="1:5" x14ac:dyDescent="0.2">
      <c r="A902" s="13">
        <v>900</v>
      </c>
      <c r="B902" s="1">
        <v>43013</v>
      </c>
      <c r="C902" t="s">
        <v>63</v>
      </c>
      <c r="D902" t="s">
        <v>145</v>
      </c>
      <c r="E902">
        <v>0</v>
      </c>
    </row>
    <row r="903" spans="1:5" x14ac:dyDescent="0.2">
      <c r="A903" s="13">
        <v>901</v>
      </c>
      <c r="B903" s="1">
        <v>43013</v>
      </c>
      <c r="C903" t="s">
        <v>63</v>
      </c>
      <c r="D903" t="s">
        <v>233</v>
      </c>
      <c r="E903">
        <v>0</v>
      </c>
    </row>
    <row r="904" spans="1:5" x14ac:dyDescent="0.2">
      <c r="A904" s="13">
        <v>902</v>
      </c>
      <c r="B904" s="1">
        <v>43013</v>
      </c>
      <c r="C904" t="s">
        <v>63</v>
      </c>
      <c r="D904" t="s">
        <v>172</v>
      </c>
      <c r="E904">
        <v>0</v>
      </c>
    </row>
    <row r="905" spans="1:5" x14ac:dyDescent="0.2">
      <c r="A905" s="13">
        <v>903</v>
      </c>
      <c r="B905" s="1">
        <v>43013</v>
      </c>
      <c r="C905" t="s">
        <v>63</v>
      </c>
      <c r="D905" t="s">
        <v>72</v>
      </c>
      <c r="E905">
        <v>5.8699718400729806</v>
      </c>
    </row>
    <row r="906" spans="1:5" x14ac:dyDescent="0.2">
      <c r="A906" s="13">
        <v>904</v>
      </c>
      <c r="B906" s="1">
        <v>43013</v>
      </c>
      <c r="C906" t="s">
        <v>63</v>
      </c>
      <c r="D906" t="s">
        <v>186</v>
      </c>
      <c r="E906">
        <v>1.6243003564864904E-2</v>
      </c>
    </row>
    <row r="907" spans="1:5" x14ac:dyDescent="0.2">
      <c r="A907" s="13">
        <v>905</v>
      </c>
      <c r="B907" s="1">
        <v>43013</v>
      </c>
      <c r="C907" t="s">
        <v>63</v>
      </c>
      <c r="D907" t="s">
        <v>187</v>
      </c>
      <c r="E907">
        <v>0</v>
      </c>
    </row>
    <row r="908" spans="1:5" x14ac:dyDescent="0.2">
      <c r="A908" s="13">
        <v>906</v>
      </c>
      <c r="B908" s="1">
        <v>43013</v>
      </c>
      <c r="C908" t="s">
        <v>63</v>
      </c>
      <c r="D908" t="s">
        <v>188</v>
      </c>
      <c r="E908">
        <v>0</v>
      </c>
    </row>
    <row r="909" spans="1:5" x14ac:dyDescent="0.2">
      <c r="A909" s="13">
        <v>907</v>
      </c>
      <c r="B909" s="1">
        <v>43013</v>
      </c>
      <c r="C909" t="s">
        <v>63</v>
      </c>
      <c r="D909" t="s">
        <v>189</v>
      </c>
      <c r="E909">
        <v>0</v>
      </c>
    </row>
    <row r="910" spans="1:5" x14ac:dyDescent="0.2">
      <c r="A910" s="13">
        <v>908</v>
      </c>
      <c r="B910" s="1">
        <v>43013</v>
      </c>
      <c r="C910" t="s">
        <v>63</v>
      </c>
      <c r="D910" t="s">
        <v>190</v>
      </c>
      <c r="E910">
        <v>0</v>
      </c>
    </row>
    <row r="911" spans="1:5" x14ac:dyDescent="0.2">
      <c r="A911" s="13">
        <v>909</v>
      </c>
      <c r="B911" s="1">
        <v>43013</v>
      </c>
      <c r="C911" t="s">
        <v>63</v>
      </c>
      <c r="D911" t="s">
        <v>191</v>
      </c>
      <c r="E911">
        <v>-2.6373629643161628E-5</v>
      </c>
    </row>
    <row r="912" spans="1:5" x14ac:dyDescent="0.2">
      <c r="A912" s="13">
        <v>910</v>
      </c>
      <c r="B912" s="1">
        <v>43013</v>
      </c>
      <c r="C912" t="s">
        <v>103</v>
      </c>
      <c r="D912" t="s">
        <v>39</v>
      </c>
      <c r="E912">
        <v>1.6354167675030413E-2</v>
      </c>
    </row>
    <row r="913" spans="1:5" x14ac:dyDescent="0.2">
      <c r="A913" s="13">
        <v>911</v>
      </c>
      <c r="B913" s="1">
        <v>43013</v>
      </c>
      <c r="C913" t="s">
        <v>103</v>
      </c>
      <c r="D913" t="s">
        <v>32</v>
      </c>
      <c r="E913">
        <v>0</v>
      </c>
    </row>
    <row r="914" spans="1:5" x14ac:dyDescent="0.2">
      <c r="A914" s="13">
        <v>912</v>
      </c>
      <c r="B914" s="1">
        <v>43013</v>
      </c>
      <c r="C914" t="s">
        <v>103</v>
      </c>
      <c r="D914" t="s">
        <v>30</v>
      </c>
      <c r="E914">
        <v>0</v>
      </c>
    </row>
    <row r="915" spans="1:5" x14ac:dyDescent="0.2">
      <c r="A915" s="13">
        <v>913</v>
      </c>
      <c r="B915" s="1">
        <v>43013</v>
      </c>
      <c r="C915" t="s">
        <v>103</v>
      </c>
      <c r="D915" t="s">
        <v>49</v>
      </c>
      <c r="E915">
        <v>0</v>
      </c>
    </row>
    <row r="916" spans="1:5" x14ac:dyDescent="0.2">
      <c r="A916" s="13">
        <v>914</v>
      </c>
      <c r="B916" s="1">
        <v>43013</v>
      </c>
      <c r="C916" t="s">
        <v>103</v>
      </c>
      <c r="D916" t="s">
        <v>145</v>
      </c>
      <c r="E916">
        <v>0</v>
      </c>
    </row>
    <row r="917" spans="1:5" x14ac:dyDescent="0.2">
      <c r="A917" s="13">
        <v>915</v>
      </c>
      <c r="B917" s="1">
        <v>43013</v>
      </c>
      <c r="C917" t="s">
        <v>103</v>
      </c>
      <c r="D917" t="s">
        <v>233</v>
      </c>
      <c r="E917">
        <v>0</v>
      </c>
    </row>
    <row r="918" spans="1:5" x14ac:dyDescent="0.2">
      <c r="A918" s="13">
        <v>916</v>
      </c>
      <c r="B918" s="1">
        <v>43013</v>
      </c>
      <c r="C918" t="s">
        <v>103</v>
      </c>
      <c r="D918" t="s">
        <v>172</v>
      </c>
      <c r="E918">
        <v>0</v>
      </c>
    </row>
    <row r="919" spans="1:5" x14ac:dyDescent="0.2">
      <c r="A919" s="13">
        <v>917</v>
      </c>
      <c r="B919" s="1">
        <v>43013</v>
      </c>
      <c r="C919" t="s">
        <v>103</v>
      </c>
      <c r="D919" t="s">
        <v>72</v>
      </c>
      <c r="E919">
        <v>0</v>
      </c>
    </row>
    <row r="920" spans="1:5" x14ac:dyDescent="0.2">
      <c r="A920" s="13">
        <v>918</v>
      </c>
      <c r="B920" s="1">
        <v>43013</v>
      </c>
      <c r="C920" t="s">
        <v>103</v>
      </c>
      <c r="D920" t="s">
        <v>186</v>
      </c>
      <c r="E920">
        <v>1.6354167675030413E-2</v>
      </c>
    </row>
    <row r="921" spans="1:5" x14ac:dyDescent="0.2">
      <c r="A921" s="13">
        <v>919</v>
      </c>
      <c r="B921" s="1">
        <v>43013</v>
      </c>
      <c r="C921" t="s">
        <v>103</v>
      </c>
      <c r="D921" t="s">
        <v>187</v>
      </c>
      <c r="E921">
        <v>0</v>
      </c>
    </row>
    <row r="922" spans="1:5" x14ac:dyDescent="0.2">
      <c r="A922" s="13">
        <v>920</v>
      </c>
      <c r="B922" s="1">
        <v>43013</v>
      </c>
      <c r="C922" t="s">
        <v>103</v>
      </c>
      <c r="D922" t="s">
        <v>188</v>
      </c>
      <c r="E922">
        <v>0</v>
      </c>
    </row>
    <row r="923" spans="1:5" x14ac:dyDescent="0.2">
      <c r="A923" s="13">
        <v>921</v>
      </c>
      <c r="B923" s="1">
        <v>43013</v>
      </c>
      <c r="C923" t="s">
        <v>103</v>
      </c>
      <c r="D923" t="s">
        <v>189</v>
      </c>
      <c r="E923">
        <v>0</v>
      </c>
    </row>
    <row r="924" spans="1:5" x14ac:dyDescent="0.2">
      <c r="A924" s="13">
        <v>922</v>
      </c>
      <c r="B924" s="1">
        <v>43013</v>
      </c>
      <c r="C924" t="s">
        <v>103</v>
      </c>
      <c r="D924" t="s">
        <v>190</v>
      </c>
      <c r="E924">
        <v>0</v>
      </c>
    </row>
    <row r="925" spans="1:5" x14ac:dyDescent="0.2">
      <c r="A925" s="13">
        <v>923</v>
      </c>
      <c r="B925" s="1">
        <v>43013</v>
      </c>
      <c r="C925" t="s">
        <v>103</v>
      </c>
      <c r="D925" t="s">
        <v>191</v>
      </c>
      <c r="E925">
        <v>0</v>
      </c>
    </row>
    <row r="926" spans="1:5" x14ac:dyDescent="0.2">
      <c r="A926" s="13">
        <v>924</v>
      </c>
      <c r="B926" s="1">
        <v>43013</v>
      </c>
      <c r="C926" t="s">
        <v>104</v>
      </c>
      <c r="D926" t="s">
        <v>39</v>
      </c>
      <c r="E926">
        <v>7.4100662116379196E-2</v>
      </c>
    </row>
    <row r="927" spans="1:5" x14ac:dyDescent="0.2">
      <c r="A927" s="13">
        <v>925</v>
      </c>
      <c r="B927" s="1">
        <v>43013</v>
      </c>
      <c r="C927" t="s">
        <v>104</v>
      </c>
      <c r="D927" t="s">
        <v>32</v>
      </c>
      <c r="E927">
        <v>0</v>
      </c>
    </row>
    <row r="928" spans="1:5" x14ac:dyDescent="0.2">
      <c r="A928" s="13">
        <v>926</v>
      </c>
      <c r="B928" s="1">
        <v>43013</v>
      </c>
      <c r="C928" t="s">
        <v>104</v>
      </c>
      <c r="D928" t="s">
        <v>30</v>
      </c>
      <c r="E928">
        <v>0</v>
      </c>
    </row>
    <row r="929" spans="1:5" x14ac:dyDescent="0.2">
      <c r="A929" s="13">
        <v>927</v>
      </c>
      <c r="B929" s="1">
        <v>43013</v>
      </c>
      <c r="C929" t="s">
        <v>104</v>
      </c>
      <c r="D929" t="s">
        <v>49</v>
      </c>
      <c r="E929">
        <v>0</v>
      </c>
    </row>
    <row r="930" spans="1:5" x14ac:dyDescent="0.2">
      <c r="A930" s="13">
        <v>928</v>
      </c>
      <c r="B930" s="1">
        <v>43013</v>
      </c>
      <c r="C930" t="s">
        <v>104</v>
      </c>
      <c r="D930" t="s">
        <v>145</v>
      </c>
      <c r="E930">
        <v>0</v>
      </c>
    </row>
    <row r="931" spans="1:5" x14ac:dyDescent="0.2">
      <c r="A931" s="13">
        <v>929</v>
      </c>
      <c r="B931" s="1">
        <v>43013</v>
      </c>
      <c r="C931" t="s">
        <v>104</v>
      </c>
      <c r="D931" t="s">
        <v>233</v>
      </c>
      <c r="E931">
        <v>0</v>
      </c>
    </row>
    <row r="932" spans="1:5" x14ac:dyDescent="0.2">
      <c r="A932" s="13">
        <v>930</v>
      </c>
      <c r="B932" s="1">
        <v>43013</v>
      </c>
      <c r="C932" t="s">
        <v>104</v>
      </c>
      <c r="D932" t="s">
        <v>172</v>
      </c>
      <c r="E932">
        <v>0</v>
      </c>
    </row>
    <row r="933" spans="1:5" x14ac:dyDescent="0.2">
      <c r="A933" s="13">
        <v>931</v>
      </c>
      <c r="B933" s="1">
        <v>43013</v>
      </c>
      <c r="C933" t="s">
        <v>104</v>
      </c>
      <c r="D933" t="s">
        <v>72</v>
      </c>
      <c r="E933">
        <v>0</v>
      </c>
    </row>
    <row r="934" spans="1:5" x14ac:dyDescent="0.2">
      <c r="A934" s="13">
        <v>932</v>
      </c>
      <c r="B934" s="1">
        <v>43013</v>
      </c>
      <c r="C934" t="s">
        <v>104</v>
      </c>
      <c r="D934" t="s">
        <v>186</v>
      </c>
      <c r="E934">
        <v>7.4100662116379196E-2</v>
      </c>
    </row>
    <row r="935" spans="1:5" x14ac:dyDescent="0.2">
      <c r="A935" s="13">
        <v>933</v>
      </c>
      <c r="B935" s="1">
        <v>43013</v>
      </c>
      <c r="C935" t="s">
        <v>104</v>
      </c>
      <c r="D935" t="s">
        <v>187</v>
      </c>
      <c r="E935">
        <v>0</v>
      </c>
    </row>
    <row r="936" spans="1:5" x14ac:dyDescent="0.2">
      <c r="A936" s="13">
        <v>934</v>
      </c>
      <c r="B936" s="1">
        <v>43013</v>
      </c>
      <c r="C936" t="s">
        <v>104</v>
      </c>
      <c r="D936" t="s">
        <v>188</v>
      </c>
      <c r="E936">
        <v>0</v>
      </c>
    </row>
    <row r="937" spans="1:5" x14ac:dyDescent="0.2">
      <c r="A937" s="13">
        <v>935</v>
      </c>
      <c r="B937" s="1">
        <v>43013</v>
      </c>
      <c r="C937" t="s">
        <v>104</v>
      </c>
      <c r="D937" t="s">
        <v>189</v>
      </c>
      <c r="E937">
        <v>0</v>
      </c>
    </row>
    <row r="938" spans="1:5" x14ac:dyDescent="0.2">
      <c r="A938" s="13">
        <v>936</v>
      </c>
      <c r="B938" s="1">
        <v>43013</v>
      </c>
      <c r="C938" t="s">
        <v>104</v>
      </c>
      <c r="D938" t="s">
        <v>190</v>
      </c>
      <c r="E938">
        <v>0</v>
      </c>
    </row>
    <row r="939" spans="1:5" x14ac:dyDescent="0.2">
      <c r="A939" s="13">
        <v>937</v>
      </c>
      <c r="B939" s="1">
        <v>43013</v>
      </c>
      <c r="C939" t="s">
        <v>104</v>
      </c>
      <c r="D939" t="s">
        <v>191</v>
      </c>
      <c r="E939">
        <v>0</v>
      </c>
    </row>
    <row r="940" spans="1:5" x14ac:dyDescent="0.2">
      <c r="A940" s="13">
        <v>938</v>
      </c>
      <c r="B940" s="1">
        <v>43013</v>
      </c>
      <c r="C940" t="s">
        <v>151</v>
      </c>
      <c r="D940" t="s">
        <v>39</v>
      </c>
      <c r="E940">
        <v>0</v>
      </c>
    </row>
    <row r="941" spans="1:5" x14ac:dyDescent="0.2">
      <c r="A941" s="13">
        <v>939</v>
      </c>
      <c r="B941" s="1">
        <v>43013</v>
      </c>
      <c r="C941" t="s">
        <v>151</v>
      </c>
      <c r="D941" t="s">
        <v>32</v>
      </c>
      <c r="E941">
        <v>0</v>
      </c>
    </row>
    <row r="942" spans="1:5" x14ac:dyDescent="0.2">
      <c r="A942" s="13">
        <v>940</v>
      </c>
      <c r="B942" s="1">
        <v>43013</v>
      </c>
      <c r="C942" t="s">
        <v>151</v>
      </c>
      <c r="D942" t="s">
        <v>30</v>
      </c>
      <c r="E942">
        <v>5.0802309233236656E-3</v>
      </c>
    </row>
    <row r="943" spans="1:5" x14ac:dyDescent="0.2">
      <c r="A943" s="13">
        <v>941</v>
      </c>
      <c r="B943" s="1">
        <v>43013</v>
      </c>
      <c r="C943" t="s">
        <v>151</v>
      </c>
      <c r="D943" t="s">
        <v>49</v>
      </c>
      <c r="E943">
        <v>0</v>
      </c>
    </row>
    <row r="944" spans="1:5" x14ac:dyDescent="0.2">
      <c r="A944" s="13">
        <v>942</v>
      </c>
      <c r="B944" s="1">
        <v>43013</v>
      </c>
      <c r="C944" t="s">
        <v>151</v>
      </c>
      <c r="D944" t="s">
        <v>145</v>
      </c>
      <c r="E944">
        <v>0</v>
      </c>
    </row>
    <row r="945" spans="1:5" x14ac:dyDescent="0.2">
      <c r="A945" s="13">
        <v>943</v>
      </c>
      <c r="B945" s="1">
        <v>43013</v>
      </c>
      <c r="C945" t="s">
        <v>151</v>
      </c>
      <c r="D945" t="s">
        <v>233</v>
      </c>
      <c r="E945">
        <v>0</v>
      </c>
    </row>
    <row r="946" spans="1:5" x14ac:dyDescent="0.2">
      <c r="A946" s="13">
        <v>944</v>
      </c>
      <c r="B946" s="1">
        <v>43013</v>
      </c>
      <c r="C946" t="s">
        <v>151</v>
      </c>
      <c r="D946" t="s">
        <v>172</v>
      </c>
      <c r="E946">
        <v>0</v>
      </c>
    </row>
    <row r="947" spans="1:5" x14ac:dyDescent="0.2">
      <c r="A947" s="13">
        <v>945</v>
      </c>
      <c r="B947" s="1">
        <v>43013</v>
      </c>
      <c r="C947" t="s">
        <v>151</v>
      </c>
      <c r="D947" t="s">
        <v>72</v>
      </c>
      <c r="E947">
        <v>6.6547879870869986</v>
      </c>
    </row>
    <row r="948" spans="1:5" x14ac:dyDescent="0.2">
      <c r="A948" s="13">
        <v>946</v>
      </c>
      <c r="B948" s="1">
        <v>43013</v>
      </c>
      <c r="C948" t="s">
        <v>151</v>
      </c>
      <c r="D948" t="s">
        <v>186</v>
      </c>
      <c r="E948">
        <v>5.8690312835279611E-4</v>
      </c>
    </row>
    <row r="949" spans="1:5" x14ac:dyDescent="0.2">
      <c r="A949" s="13">
        <v>947</v>
      </c>
      <c r="B949" s="1">
        <v>43013</v>
      </c>
      <c r="C949" t="s">
        <v>151</v>
      </c>
      <c r="D949" t="s">
        <v>187</v>
      </c>
      <c r="E949">
        <v>2.3568136025665437E-3</v>
      </c>
    </row>
    <row r="950" spans="1:5" x14ac:dyDescent="0.2">
      <c r="A950" s="13">
        <v>948</v>
      </c>
      <c r="B950" s="1">
        <v>43013</v>
      </c>
      <c r="C950" t="s">
        <v>151</v>
      </c>
      <c r="D950" t="s">
        <v>188</v>
      </c>
      <c r="E950">
        <v>9.5453217110162485E-4</v>
      </c>
    </row>
    <row r="951" spans="1:5" x14ac:dyDescent="0.2">
      <c r="A951" s="13">
        <v>949</v>
      </c>
      <c r="B951" s="1">
        <v>43013</v>
      </c>
      <c r="C951" t="s">
        <v>151</v>
      </c>
      <c r="D951" t="s">
        <v>189</v>
      </c>
      <c r="E951">
        <v>4.8874968251090458E-4</v>
      </c>
    </row>
    <row r="952" spans="1:5" x14ac:dyDescent="0.2">
      <c r="A952" s="13">
        <v>950</v>
      </c>
      <c r="B952" s="1">
        <v>43013</v>
      </c>
      <c r="C952" t="s">
        <v>151</v>
      </c>
      <c r="D952" t="s">
        <v>190</v>
      </c>
      <c r="E952">
        <v>1.2564744455566938E-3</v>
      </c>
    </row>
    <row r="953" spans="1:5" x14ac:dyDescent="0.2">
      <c r="A953" s="13">
        <v>951</v>
      </c>
      <c r="B953" s="1">
        <v>43013</v>
      </c>
      <c r="C953" t="s">
        <v>151</v>
      </c>
      <c r="D953" t="s">
        <v>191</v>
      </c>
      <c r="E953">
        <v>-5.632421067648985E-4</v>
      </c>
    </row>
    <row r="954" spans="1:5" x14ac:dyDescent="0.2">
      <c r="A954" s="13">
        <v>952</v>
      </c>
      <c r="B954" s="1">
        <v>43013</v>
      </c>
      <c r="C954" t="s">
        <v>29</v>
      </c>
      <c r="D954" t="s">
        <v>39</v>
      </c>
      <c r="E954">
        <v>-4.6763234631835248E-5</v>
      </c>
    </row>
    <row r="955" spans="1:5" x14ac:dyDescent="0.2">
      <c r="A955" s="13">
        <v>953</v>
      </c>
      <c r="B955" s="1">
        <v>43013</v>
      </c>
      <c r="C955" t="s">
        <v>29</v>
      </c>
      <c r="D955" t="s">
        <v>32</v>
      </c>
      <c r="E955">
        <v>1.90529832264621E-3</v>
      </c>
    </row>
    <row r="956" spans="1:5" x14ac:dyDescent="0.2">
      <c r="A956" s="13">
        <v>954</v>
      </c>
      <c r="B956" s="1">
        <v>43013</v>
      </c>
      <c r="C956" t="s">
        <v>29</v>
      </c>
      <c r="D956" t="s">
        <v>30</v>
      </c>
      <c r="E956">
        <v>1.1706295288138802E-5</v>
      </c>
    </row>
    <row r="957" spans="1:5" x14ac:dyDescent="0.2">
      <c r="A957" s="13">
        <v>955</v>
      </c>
      <c r="B957" s="1">
        <v>43013</v>
      </c>
      <c r="C957" t="s">
        <v>29</v>
      </c>
      <c r="D957" t="s">
        <v>49</v>
      </c>
      <c r="E957">
        <v>0</v>
      </c>
    </row>
    <row r="958" spans="1:5" x14ac:dyDescent="0.2">
      <c r="A958" s="13">
        <v>956</v>
      </c>
      <c r="B958" s="1">
        <v>43013</v>
      </c>
      <c r="C958" t="s">
        <v>29</v>
      </c>
      <c r="D958" t="s">
        <v>145</v>
      </c>
      <c r="E958">
        <v>0</v>
      </c>
    </row>
    <row r="959" spans="1:5" x14ac:dyDescent="0.2">
      <c r="A959" s="13">
        <v>957</v>
      </c>
      <c r="B959" s="1">
        <v>43013</v>
      </c>
      <c r="C959" t="s">
        <v>29</v>
      </c>
      <c r="D959" t="s">
        <v>233</v>
      </c>
      <c r="E959">
        <v>0</v>
      </c>
    </row>
    <row r="960" spans="1:5" x14ac:dyDescent="0.2">
      <c r="A960" s="13">
        <v>958</v>
      </c>
      <c r="B960" s="1">
        <v>43013</v>
      </c>
      <c r="C960" t="s">
        <v>29</v>
      </c>
      <c r="D960" t="s">
        <v>172</v>
      </c>
      <c r="E960">
        <v>0</v>
      </c>
    </row>
    <row r="961" spans="1:5" x14ac:dyDescent="0.2">
      <c r="A961" s="13">
        <v>959</v>
      </c>
      <c r="B961" s="1">
        <v>43013</v>
      </c>
      <c r="C961" t="s">
        <v>29</v>
      </c>
      <c r="D961" t="s">
        <v>72</v>
      </c>
      <c r="E961">
        <v>4.703873990891509</v>
      </c>
    </row>
    <row r="962" spans="1:5" x14ac:dyDescent="0.2">
      <c r="A962" s="13">
        <v>960</v>
      </c>
      <c r="B962" s="1">
        <v>43013</v>
      </c>
      <c r="C962" t="s">
        <v>29</v>
      </c>
      <c r="D962" t="s">
        <v>186</v>
      </c>
      <c r="E962">
        <v>7.8876736298499743E-4</v>
      </c>
    </row>
    <row r="963" spans="1:5" x14ac:dyDescent="0.2">
      <c r="A963" s="13">
        <v>961</v>
      </c>
      <c r="B963" s="1">
        <v>43013</v>
      </c>
      <c r="C963" t="s">
        <v>29</v>
      </c>
      <c r="D963" t="s">
        <v>187</v>
      </c>
      <c r="E963">
        <v>0</v>
      </c>
    </row>
    <row r="964" spans="1:5" x14ac:dyDescent="0.2">
      <c r="A964" s="13">
        <v>962</v>
      </c>
      <c r="B964" s="1">
        <v>43013</v>
      </c>
      <c r="C964" t="s">
        <v>29</v>
      </c>
      <c r="D964" t="s">
        <v>188</v>
      </c>
      <c r="E964">
        <v>0</v>
      </c>
    </row>
    <row r="965" spans="1:5" x14ac:dyDescent="0.2">
      <c r="A965" s="13">
        <v>963</v>
      </c>
      <c r="B965" s="1">
        <v>43013</v>
      </c>
      <c r="C965" t="s">
        <v>29</v>
      </c>
      <c r="D965" t="s">
        <v>189</v>
      </c>
      <c r="E965">
        <v>0</v>
      </c>
    </row>
    <row r="966" spans="1:5" x14ac:dyDescent="0.2">
      <c r="A966" s="13">
        <v>964</v>
      </c>
      <c r="B966" s="1">
        <v>43013</v>
      </c>
      <c r="C966" t="s">
        <v>29</v>
      </c>
      <c r="D966" t="s">
        <v>190</v>
      </c>
      <c r="E966">
        <v>0</v>
      </c>
    </row>
    <row r="967" spans="1:5" x14ac:dyDescent="0.2">
      <c r="A967" s="13">
        <v>965</v>
      </c>
      <c r="B967" s="1">
        <v>43013</v>
      </c>
      <c r="C967" t="s">
        <v>29</v>
      </c>
      <c r="D967" t="s">
        <v>191</v>
      </c>
      <c r="E967">
        <v>1.081474020317517E-3</v>
      </c>
    </row>
    <row r="968" spans="1:5" x14ac:dyDescent="0.2">
      <c r="A968" s="13">
        <v>966</v>
      </c>
      <c r="B968" s="1">
        <v>43013</v>
      </c>
      <c r="C968" t="s">
        <v>87</v>
      </c>
      <c r="D968" t="s">
        <v>39</v>
      </c>
      <c r="E968">
        <v>4.1767000365808974E-3</v>
      </c>
    </row>
    <row r="969" spans="1:5" x14ac:dyDescent="0.2">
      <c r="A969" s="13">
        <v>967</v>
      </c>
      <c r="B969" s="1">
        <v>43013</v>
      </c>
      <c r="C969" t="s">
        <v>87</v>
      </c>
      <c r="D969" t="s">
        <v>32</v>
      </c>
      <c r="E969">
        <v>1.691106244055908E-2</v>
      </c>
    </row>
    <row r="970" spans="1:5" x14ac:dyDescent="0.2">
      <c r="A970" s="13">
        <v>968</v>
      </c>
      <c r="B970" s="1">
        <v>43013</v>
      </c>
      <c r="C970" t="s">
        <v>87</v>
      </c>
      <c r="D970" t="s">
        <v>30</v>
      </c>
      <c r="E970">
        <v>2.1439826336282149E-4</v>
      </c>
    </row>
    <row r="971" spans="1:5" x14ac:dyDescent="0.2">
      <c r="A971" s="13">
        <v>969</v>
      </c>
      <c r="B971" s="1">
        <v>43013</v>
      </c>
      <c r="C971" t="s">
        <v>87</v>
      </c>
      <c r="D971" t="s">
        <v>49</v>
      </c>
      <c r="E971">
        <v>0</v>
      </c>
    </row>
    <row r="972" spans="1:5" x14ac:dyDescent="0.2">
      <c r="A972" s="13">
        <v>970</v>
      </c>
      <c r="B972" s="1">
        <v>43013</v>
      </c>
      <c r="C972" t="s">
        <v>87</v>
      </c>
      <c r="D972" t="s">
        <v>145</v>
      </c>
      <c r="E972">
        <v>3.7909990845228295E-4</v>
      </c>
    </row>
    <row r="973" spans="1:5" x14ac:dyDescent="0.2">
      <c r="A973" s="13">
        <v>971</v>
      </c>
      <c r="B973" s="1">
        <v>43013</v>
      </c>
      <c r="C973" t="s">
        <v>87</v>
      </c>
      <c r="D973" t="s">
        <v>233</v>
      </c>
      <c r="E973">
        <v>0</v>
      </c>
    </row>
    <row r="974" spans="1:5" x14ac:dyDescent="0.2">
      <c r="A974" s="13">
        <v>972</v>
      </c>
      <c r="B974" s="1">
        <v>43013</v>
      </c>
      <c r="C974" t="s">
        <v>87</v>
      </c>
      <c r="D974" t="s">
        <v>172</v>
      </c>
      <c r="E974">
        <v>0</v>
      </c>
    </row>
    <row r="975" spans="1:5" x14ac:dyDescent="0.2">
      <c r="A975" s="13">
        <v>973</v>
      </c>
      <c r="B975" s="1">
        <v>43013</v>
      </c>
      <c r="C975" t="s">
        <v>87</v>
      </c>
      <c r="D975" t="s">
        <v>72</v>
      </c>
      <c r="E975">
        <v>9.4218485255787687</v>
      </c>
    </row>
    <row r="976" spans="1:5" x14ac:dyDescent="0.2">
      <c r="A976" s="13">
        <v>974</v>
      </c>
      <c r="B976" s="1">
        <v>43013</v>
      </c>
      <c r="C976" t="s">
        <v>87</v>
      </c>
      <c r="D976" t="s">
        <v>186</v>
      </c>
      <c r="E976">
        <v>2.1149391850770669E-2</v>
      </c>
    </row>
    <row r="977" spans="1:5" x14ac:dyDescent="0.2">
      <c r="A977" s="13">
        <v>975</v>
      </c>
      <c r="B977" s="1">
        <v>43013</v>
      </c>
      <c r="C977" t="s">
        <v>87</v>
      </c>
      <c r="D977" t="s">
        <v>187</v>
      </c>
      <c r="E977">
        <v>4.5172203893228144E-4</v>
      </c>
    </row>
    <row r="978" spans="1:5" x14ac:dyDescent="0.2">
      <c r="A978" s="13">
        <v>976</v>
      </c>
      <c r="B978" s="1">
        <v>43013</v>
      </c>
      <c r="C978" t="s">
        <v>87</v>
      </c>
      <c r="D978" t="s">
        <v>188</v>
      </c>
      <c r="E978">
        <v>5.4294865148032741E-5</v>
      </c>
    </row>
    <row r="979" spans="1:5" x14ac:dyDescent="0.2">
      <c r="A979" s="13">
        <v>977</v>
      </c>
      <c r="B979" s="1">
        <v>43013</v>
      </c>
      <c r="C979" t="s">
        <v>87</v>
      </c>
      <c r="D979" t="s">
        <v>189</v>
      </c>
      <c r="E979">
        <v>6.5026762181752211E-5</v>
      </c>
    </row>
    <row r="980" spans="1:5" x14ac:dyDescent="0.2">
      <c r="A980" s="13">
        <v>978</v>
      </c>
      <c r="B980" s="1">
        <v>43013</v>
      </c>
      <c r="C980" t="s">
        <v>87</v>
      </c>
      <c r="D980" t="s">
        <v>190</v>
      </c>
      <c r="E980">
        <v>3.8940159524613893E-5</v>
      </c>
    </row>
    <row r="981" spans="1:5" x14ac:dyDescent="0.2">
      <c r="A981" s="13">
        <v>979</v>
      </c>
      <c r="B981" s="1">
        <v>43013</v>
      </c>
      <c r="C981" t="s">
        <v>87</v>
      </c>
      <c r="D981" t="s">
        <v>191</v>
      </c>
      <c r="E981">
        <v>-7.8115027602259827E-5</v>
      </c>
    </row>
    <row r="982" spans="1:5" x14ac:dyDescent="0.2">
      <c r="A982" s="13">
        <v>980</v>
      </c>
      <c r="B982" s="1">
        <v>43013</v>
      </c>
      <c r="C982" t="s">
        <v>61</v>
      </c>
      <c r="D982" t="s">
        <v>39</v>
      </c>
      <c r="E982">
        <v>2.2313128363250657E-3</v>
      </c>
    </row>
    <row r="983" spans="1:5" x14ac:dyDescent="0.2">
      <c r="A983" s="13">
        <v>981</v>
      </c>
      <c r="B983" s="1">
        <v>43013</v>
      </c>
      <c r="C983" t="s">
        <v>61</v>
      </c>
      <c r="D983" t="s">
        <v>32</v>
      </c>
      <c r="E983">
        <v>1.2709036738460328E-2</v>
      </c>
    </row>
    <row r="984" spans="1:5" x14ac:dyDescent="0.2">
      <c r="A984" s="13">
        <v>982</v>
      </c>
      <c r="B984" s="1">
        <v>43013</v>
      </c>
      <c r="C984" t="s">
        <v>61</v>
      </c>
      <c r="D984" t="s">
        <v>30</v>
      </c>
      <c r="E984">
        <v>0</v>
      </c>
    </row>
    <row r="985" spans="1:5" x14ac:dyDescent="0.2">
      <c r="A985" s="13">
        <v>983</v>
      </c>
      <c r="B985" s="1">
        <v>43013</v>
      </c>
      <c r="C985" t="s">
        <v>61</v>
      </c>
      <c r="D985" t="s">
        <v>49</v>
      </c>
      <c r="E985">
        <v>0</v>
      </c>
    </row>
    <row r="986" spans="1:5" x14ac:dyDescent="0.2">
      <c r="A986" s="13">
        <v>984</v>
      </c>
      <c r="B986" s="1">
        <v>43013</v>
      </c>
      <c r="C986" t="s">
        <v>61</v>
      </c>
      <c r="D986" t="s">
        <v>145</v>
      </c>
      <c r="E986">
        <v>0</v>
      </c>
    </row>
    <row r="987" spans="1:5" x14ac:dyDescent="0.2">
      <c r="A987" s="13">
        <v>985</v>
      </c>
      <c r="B987" s="1">
        <v>43013</v>
      </c>
      <c r="C987" t="s">
        <v>61</v>
      </c>
      <c r="D987" t="s">
        <v>233</v>
      </c>
      <c r="E987">
        <v>0</v>
      </c>
    </row>
    <row r="988" spans="1:5" x14ac:dyDescent="0.2">
      <c r="A988" s="13">
        <v>986</v>
      </c>
      <c r="B988" s="1">
        <v>43013</v>
      </c>
      <c r="C988" t="s">
        <v>61</v>
      </c>
      <c r="D988" t="s">
        <v>172</v>
      </c>
      <c r="E988">
        <v>0</v>
      </c>
    </row>
    <row r="989" spans="1:5" x14ac:dyDescent="0.2">
      <c r="A989" s="13">
        <v>987</v>
      </c>
      <c r="B989" s="1">
        <v>43013</v>
      </c>
      <c r="C989" t="s">
        <v>61</v>
      </c>
      <c r="D989" t="s">
        <v>72</v>
      </c>
      <c r="E989">
        <v>5.5570028885054068</v>
      </c>
    </row>
    <row r="990" spans="1:5" x14ac:dyDescent="0.2">
      <c r="A990" s="13">
        <v>988</v>
      </c>
      <c r="B990" s="1">
        <v>43013</v>
      </c>
      <c r="C990" t="s">
        <v>61</v>
      </c>
      <c r="D990" t="s">
        <v>186</v>
      </c>
      <c r="E990">
        <v>1.4940349574785388E-2</v>
      </c>
    </row>
    <row r="991" spans="1:5" x14ac:dyDescent="0.2">
      <c r="A991" s="13">
        <v>989</v>
      </c>
      <c r="B991" s="1">
        <v>43013</v>
      </c>
      <c r="C991" t="s">
        <v>61</v>
      </c>
      <c r="D991" t="s">
        <v>187</v>
      </c>
      <c r="E991">
        <v>0</v>
      </c>
    </row>
    <row r="992" spans="1:5" x14ac:dyDescent="0.2">
      <c r="A992" s="13">
        <v>990</v>
      </c>
      <c r="B992" s="1">
        <v>43013</v>
      </c>
      <c r="C992" t="s">
        <v>61</v>
      </c>
      <c r="D992" t="s">
        <v>188</v>
      </c>
      <c r="E992">
        <v>0</v>
      </c>
    </row>
    <row r="993" spans="1:5" x14ac:dyDescent="0.2">
      <c r="A993" s="13">
        <v>991</v>
      </c>
      <c r="B993" s="1">
        <v>43013</v>
      </c>
      <c r="C993" t="s">
        <v>61</v>
      </c>
      <c r="D993" t="s">
        <v>189</v>
      </c>
      <c r="E993">
        <v>0</v>
      </c>
    </row>
    <row r="994" spans="1:5" x14ac:dyDescent="0.2">
      <c r="A994" s="13">
        <v>992</v>
      </c>
      <c r="B994" s="1">
        <v>43013</v>
      </c>
      <c r="C994" t="s">
        <v>61</v>
      </c>
      <c r="D994" t="s">
        <v>190</v>
      </c>
      <c r="E994">
        <v>0</v>
      </c>
    </row>
    <row r="995" spans="1:5" x14ac:dyDescent="0.2">
      <c r="A995" s="13">
        <v>993</v>
      </c>
      <c r="B995" s="1">
        <v>43013</v>
      </c>
      <c r="C995" t="s">
        <v>61</v>
      </c>
      <c r="D995" t="s">
        <v>191</v>
      </c>
      <c r="E995">
        <v>0</v>
      </c>
    </row>
    <row r="996" spans="1:5" x14ac:dyDescent="0.2">
      <c r="A996" s="13">
        <v>994</v>
      </c>
      <c r="B996" s="1">
        <v>43013</v>
      </c>
      <c r="C996" t="s">
        <v>53</v>
      </c>
      <c r="D996" t="s">
        <v>39</v>
      </c>
      <c r="E996">
        <v>2.9121720668274556E-5</v>
      </c>
    </row>
    <row r="997" spans="1:5" x14ac:dyDescent="0.2">
      <c r="A997" s="13">
        <v>995</v>
      </c>
      <c r="B997" s="1">
        <v>43013</v>
      </c>
      <c r="C997" t="s">
        <v>53</v>
      </c>
      <c r="D997" t="s">
        <v>32</v>
      </c>
      <c r="E997">
        <v>4.808788886613148E-3</v>
      </c>
    </row>
    <row r="998" spans="1:5" x14ac:dyDescent="0.2">
      <c r="A998" s="13">
        <v>996</v>
      </c>
      <c r="B998" s="1">
        <v>43013</v>
      </c>
      <c r="C998" t="s">
        <v>53</v>
      </c>
      <c r="D998" t="s">
        <v>30</v>
      </c>
      <c r="E998">
        <v>8.3162481826931786E-4</v>
      </c>
    </row>
    <row r="999" spans="1:5" x14ac:dyDescent="0.2">
      <c r="A999" s="13">
        <v>997</v>
      </c>
      <c r="B999" s="1">
        <v>43013</v>
      </c>
      <c r="C999" t="s">
        <v>53</v>
      </c>
      <c r="D999" t="s">
        <v>49</v>
      </c>
      <c r="E999">
        <v>0</v>
      </c>
    </row>
    <row r="1000" spans="1:5" x14ac:dyDescent="0.2">
      <c r="A1000" s="13">
        <v>998</v>
      </c>
      <c r="B1000" s="1">
        <v>43013</v>
      </c>
      <c r="C1000" t="s">
        <v>53</v>
      </c>
      <c r="D1000" t="s">
        <v>145</v>
      </c>
      <c r="E1000">
        <v>0</v>
      </c>
    </row>
    <row r="1001" spans="1:5" x14ac:dyDescent="0.2">
      <c r="A1001" s="13">
        <v>999</v>
      </c>
      <c r="B1001" s="1">
        <v>43013</v>
      </c>
      <c r="C1001" t="s">
        <v>53</v>
      </c>
      <c r="D1001" t="s">
        <v>233</v>
      </c>
      <c r="E1001">
        <v>0</v>
      </c>
    </row>
    <row r="1002" spans="1:5" x14ac:dyDescent="0.2">
      <c r="A1002" s="13">
        <v>1000</v>
      </c>
      <c r="B1002" s="1">
        <v>43013</v>
      </c>
      <c r="C1002" t="s">
        <v>53</v>
      </c>
      <c r="D1002" t="s">
        <v>172</v>
      </c>
      <c r="E1002">
        <v>0</v>
      </c>
    </row>
    <row r="1003" spans="1:5" x14ac:dyDescent="0.2">
      <c r="A1003" s="13">
        <v>1001</v>
      </c>
      <c r="B1003" s="1">
        <v>43013</v>
      </c>
      <c r="C1003" t="s">
        <v>53</v>
      </c>
      <c r="D1003" t="s">
        <v>72</v>
      </c>
      <c r="E1003">
        <v>6.397881378552019</v>
      </c>
    </row>
    <row r="1004" spans="1:5" x14ac:dyDescent="0.2">
      <c r="A1004" s="13">
        <v>1002</v>
      </c>
      <c r="B1004" s="1">
        <v>43013</v>
      </c>
      <c r="C1004" t="s">
        <v>53</v>
      </c>
      <c r="D1004" t="s">
        <v>186</v>
      </c>
      <c r="E1004">
        <v>4.7977577531383552E-3</v>
      </c>
    </row>
    <row r="1005" spans="1:5" x14ac:dyDescent="0.2">
      <c r="A1005" s="13">
        <v>1003</v>
      </c>
      <c r="B1005" s="1">
        <v>43013</v>
      </c>
      <c r="C1005" t="s">
        <v>53</v>
      </c>
      <c r="D1005" t="s">
        <v>187</v>
      </c>
      <c r="E1005">
        <v>0</v>
      </c>
    </row>
    <row r="1006" spans="1:5" x14ac:dyDescent="0.2">
      <c r="A1006" s="13">
        <v>1004</v>
      </c>
      <c r="B1006" s="1">
        <v>43013</v>
      </c>
      <c r="C1006" t="s">
        <v>53</v>
      </c>
      <c r="D1006" t="s">
        <v>188</v>
      </c>
      <c r="E1006">
        <v>0</v>
      </c>
    </row>
    <row r="1007" spans="1:5" x14ac:dyDescent="0.2">
      <c r="A1007" s="13">
        <v>1005</v>
      </c>
      <c r="B1007" s="1">
        <v>43013</v>
      </c>
      <c r="C1007" t="s">
        <v>53</v>
      </c>
      <c r="D1007" t="s">
        <v>189</v>
      </c>
      <c r="E1007">
        <v>0</v>
      </c>
    </row>
    <row r="1008" spans="1:5" x14ac:dyDescent="0.2">
      <c r="A1008" s="13">
        <v>1006</v>
      </c>
      <c r="B1008" s="1">
        <v>43013</v>
      </c>
      <c r="C1008" t="s">
        <v>53</v>
      </c>
      <c r="D1008" t="s">
        <v>190</v>
      </c>
      <c r="E1008">
        <v>0</v>
      </c>
    </row>
    <row r="1009" spans="1:5" x14ac:dyDescent="0.2">
      <c r="A1009" s="13">
        <v>1007</v>
      </c>
      <c r="B1009" s="1">
        <v>43013</v>
      </c>
      <c r="C1009" t="s">
        <v>53</v>
      </c>
      <c r="D1009" t="s">
        <v>191</v>
      </c>
      <c r="E1009">
        <v>8.7177767241238447E-4</v>
      </c>
    </row>
    <row r="1010" spans="1:5" x14ac:dyDescent="0.2">
      <c r="A1010" s="13">
        <v>1008</v>
      </c>
      <c r="B1010" s="1">
        <v>43012</v>
      </c>
      <c r="C1010" t="s">
        <v>62</v>
      </c>
      <c r="D1010" t="s">
        <v>39</v>
      </c>
      <c r="E1010">
        <v>5.9148979989989848E-3</v>
      </c>
    </row>
    <row r="1011" spans="1:5" x14ac:dyDescent="0.2">
      <c r="A1011" s="13">
        <v>1009</v>
      </c>
      <c r="B1011" s="1">
        <v>43012</v>
      </c>
      <c r="C1011" t="s">
        <v>62</v>
      </c>
      <c r="D1011" t="s">
        <v>32</v>
      </c>
      <c r="E1011">
        <v>3.5672088320649908E-3</v>
      </c>
    </row>
    <row r="1012" spans="1:5" x14ac:dyDescent="0.2">
      <c r="A1012" s="13">
        <v>1010</v>
      </c>
      <c r="B1012" s="1">
        <v>43012</v>
      </c>
      <c r="C1012" t="s">
        <v>62</v>
      </c>
      <c r="D1012" t="s">
        <v>30</v>
      </c>
      <c r="E1012">
        <v>-2.642941618068351E-5</v>
      </c>
    </row>
    <row r="1013" spans="1:5" x14ac:dyDescent="0.2">
      <c r="A1013" s="13">
        <v>1011</v>
      </c>
      <c r="B1013" s="1">
        <v>43012</v>
      </c>
      <c r="C1013" t="s">
        <v>62</v>
      </c>
      <c r="D1013" t="s">
        <v>49</v>
      </c>
      <c r="E1013">
        <v>-6.7534668620515058E-8</v>
      </c>
    </row>
    <row r="1014" spans="1:5" x14ac:dyDescent="0.2">
      <c r="A1014" s="13">
        <v>1012</v>
      </c>
      <c r="B1014" s="1">
        <v>43012</v>
      </c>
      <c r="C1014" t="s">
        <v>62</v>
      </c>
      <c r="D1014" t="s">
        <v>145</v>
      </c>
      <c r="E1014">
        <v>0</v>
      </c>
    </row>
    <row r="1015" spans="1:5" x14ac:dyDescent="0.2">
      <c r="A1015" s="13">
        <v>1013</v>
      </c>
      <c r="B1015" s="1">
        <v>43012</v>
      </c>
      <c r="C1015" t="s">
        <v>62</v>
      </c>
      <c r="D1015" t="s">
        <v>233</v>
      </c>
      <c r="E1015">
        <v>0</v>
      </c>
    </row>
    <row r="1016" spans="1:5" x14ac:dyDescent="0.2">
      <c r="A1016" s="13">
        <v>1014</v>
      </c>
      <c r="B1016" s="1">
        <v>43012</v>
      </c>
      <c r="C1016" t="s">
        <v>62</v>
      </c>
      <c r="D1016" t="s">
        <v>172</v>
      </c>
      <c r="E1016">
        <v>0</v>
      </c>
    </row>
    <row r="1017" spans="1:5" x14ac:dyDescent="0.2">
      <c r="A1017" s="13">
        <v>1015</v>
      </c>
      <c r="B1017" s="1">
        <v>43012</v>
      </c>
      <c r="C1017" t="s">
        <v>62</v>
      </c>
      <c r="D1017" t="s">
        <v>72</v>
      </c>
      <c r="E1017">
        <v>3.3863939152623734</v>
      </c>
    </row>
    <row r="1018" spans="1:5" x14ac:dyDescent="0.2">
      <c r="A1018" s="13">
        <v>1016</v>
      </c>
      <c r="B1018" s="1">
        <v>43012</v>
      </c>
      <c r="C1018" t="s">
        <v>62</v>
      </c>
      <c r="D1018" t="s">
        <v>186</v>
      </c>
      <c r="E1018">
        <v>9.4821068310639769E-3</v>
      </c>
    </row>
    <row r="1019" spans="1:5" x14ac:dyDescent="0.2">
      <c r="A1019" s="13">
        <v>1017</v>
      </c>
      <c r="B1019" s="1">
        <v>43012</v>
      </c>
      <c r="C1019" t="s">
        <v>62</v>
      </c>
      <c r="D1019" t="s">
        <v>187</v>
      </c>
      <c r="E1019">
        <v>0</v>
      </c>
    </row>
    <row r="1020" spans="1:5" x14ac:dyDescent="0.2">
      <c r="A1020" s="13">
        <v>1018</v>
      </c>
      <c r="B1020" s="1">
        <v>43012</v>
      </c>
      <c r="C1020" t="s">
        <v>62</v>
      </c>
      <c r="D1020" t="s">
        <v>188</v>
      </c>
      <c r="E1020">
        <v>0</v>
      </c>
    </row>
    <row r="1021" spans="1:5" x14ac:dyDescent="0.2">
      <c r="A1021" s="13">
        <v>1019</v>
      </c>
      <c r="B1021" s="1">
        <v>43012</v>
      </c>
      <c r="C1021" t="s">
        <v>62</v>
      </c>
      <c r="D1021" t="s">
        <v>189</v>
      </c>
      <c r="E1021">
        <v>0</v>
      </c>
    </row>
    <row r="1022" spans="1:5" x14ac:dyDescent="0.2">
      <c r="A1022" s="13">
        <v>1020</v>
      </c>
      <c r="B1022" s="1">
        <v>43012</v>
      </c>
      <c r="C1022" t="s">
        <v>62</v>
      </c>
      <c r="D1022" t="s">
        <v>190</v>
      </c>
      <c r="E1022">
        <v>0</v>
      </c>
    </row>
    <row r="1023" spans="1:5" x14ac:dyDescent="0.2">
      <c r="A1023" s="13">
        <v>1021</v>
      </c>
      <c r="B1023" s="1">
        <v>43012</v>
      </c>
      <c r="C1023" t="s">
        <v>62</v>
      </c>
      <c r="D1023" t="s">
        <v>191</v>
      </c>
      <c r="E1023">
        <v>-2.6496950849304026E-5</v>
      </c>
    </row>
    <row r="1024" spans="1:5" x14ac:dyDescent="0.2">
      <c r="A1024" s="13">
        <v>1022</v>
      </c>
      <c r="B1024" s="1">
        <v>43012</v>
      </c>
      <c r="C1024" t="s">
        <v>63</v>
      </c>
      <c r="D1024" t="s">
        <v>39</v>
      </c>
      <c r="E1024">
        <v>1.0142825942983926E-2</v>
      </c>
    </row>
    <row r="1025" spans="1:5" x14ac:dyDescent="0.2">
      <c r="A1025" s="13">
        <v>1023</v>
      </c>
      <c r="B1025" s="1">
        <v>43012</v>
      </c>
      <c r="C1025" t="s">
        <v>63</v>
      </c>
      <c r="D1025" t="s">
        <v>32</v>
      </c>
      <c r="E1025">
        <v>6.4760098689509655E-3</v>
      </c>
    </row>
    <row r="1026" spans="1:5" x14ac:dyDescent="0.2">
      <c r="A1026" s="13">
        <v>1024</v>
      </c>
      <c r="B1026" s="1">
        <v>43012</v>
      </c>
      <c r="C1026" t="s">
        <v>63</v>
      </c>
      <c r="D1026" t="s">
        <v>30</v>
      </c>
      <c r="E1026">
        <v>-3.3818988077783737E-5</v>
      </c>
    </row>
    <row r="1027" spans="1:5" x14ac:dyDescent="0.2">
      <c r="A1027" s="13">
        <v>1025</v>
      </c>
      <c r="B1027" s="1">
        <v>43012</v>
      </c>
      <c r="C1027" t="s">
        <v>63</v>
      </c>
      <c r="D1027" t="s">
        <v>49</v>
      </c>
      <c r="E1027">
        <v>-3.4729461111329244E-7</v>
      </c>
    </row>
    <row r="1028" spans="1:5" x14ac:dyDescent="0.2">
      <c r="A1028" s="13">
        <v>1026</v>
      </c>
      <c r="B1028" s="1">
        <v>43012</v>
      </c>
      <c r="C1028" t="s">
        <v>63</v>
      </c>
      <c r="D1028" t="s">
        <v>145</v>
      </c>
      <c r="E1028">
        <v>0</v>
      </c>
    </row>
    <row r="1029" spans="1:5" x14ac:dyDescent="0.2">
      <c r="A1029" s="13">
        <v>1027</v>
      </c>
      <c r="B1029" s="1">
        <v>43012</v>
      </c>
      <c r="C1029" t="s">
        <v>63</v>
      </c>
      <c r="D1029" t="s">
        <v>233</v>
      </c>
      <c r="E1029">
        <v>0</v>
      </c>
    </row>
    <row r="1030" spans="1:5" x14ac:dyDescent="0.2">
      <c r="A1030" s="13">
        <v>1028</v>
      </c>
      <c r="B1030" s="1">
        <v>43012</v>
      </c>
      <c r="C1030" t="s">
        <v>63</v>
      </c>
      <c r="D1030" t="s">
        <v>172</v>
      </c>
      <c r="E1030">
        <v>0</v>
      </c>
    </row>
    <row r="1031" spans="1:5" x14ac:dyDescent="0.2">
      <c r="A1031" s="13">
        <v>1029</v>
      </c>
      <c r="B1031" s="1">
        <v>43012</v>
      </c>
      <c r="C1031" t="s">
        <v>63</v>
      </c>
      <c r="D1031" t="s">
        <v>72</v>
      </c>
      <c r="E1031">
        <v>5.8853835087687623</v>
      </c>
    </row>
    <row r="1032" spans="1:5" x14ac:dyDescent="0.2">
      <c r="A1032" s="13">
        <v>1030</v>
      </c>
      <c r="B1032" s="1">
        <v>43012</v>
      </c>
      <c r="C1032" t="s">
        <v>63</v>
      </c>
      <c r="D1032" t="s">
        <v>186</v>
      </c>
      <c r="E1032">
        <v>1.6618835811934907E-2</v>
      </c>
    </row>
    <row r="1033" spans="1:5" x14ac:dyDescent="0.2">
      <c r="A1033" s="13">
        <v>1031</v>
      </c>
      <c r="B1033" s="1">
        <v>43012</v>
      </c>
      <c r="C1033" t="s">
        <v>63</v>
      </c>
      <c r="D1033" t="s">
        <v>187</v>
      </c>
      <c r="E1033">
        <v>0</v>
      </c>
    </row>
    <row r="1034" spans="1:5" x14ac:dyDescent="0.2">
      <c r="A1034" s="13">
        <v>1032</v>
      </c>
      <c r="B1034" s="1">
        <v>43012</v>
      </c>
      <c r="C1034" t="s">
        <v>63</v>
      </c>
      <c r="D1034" t="s">
        <v>188</v>
      </c>
      <c r="E1034">
        <v>0</v>
      </c>
    </row>
    <row r="1035" spans="1:5" x14ac:dyDescent="0.2">
      <c r="A1035" s="13">
        <v>1033</v>
      </c>
      <c r="B1035" s="1">
        <v>43012</v>
      </c>
      <c r="C1035" t="s">
        <v>63</v>
      </c>
      <c r="D1035" t="s">
        <v>189</v>
      </c>
      <c r="E1035">
        <v>0</v>
      </c>
    </row>
    <row r="1036" spans="1:5" x14ac:dyDescent="0.2">
      <c r="A1036" s="13">
        <v>1034</v>
      </c>
      <c r="B1036" s="1">
        <v>43012</v>
      </c>
      <c r="C1036" t="s">
        <v>63</v>
      </c>
      <c r="D1036" t="s">
        <v>190</v>
      </c>
      <c r="E1036">
        <v>0</v>
      </c>
    </row>
    <row r="1037" spans="1:5" x14ac:dyDescent="0.2">
      <c r="A1037" s="13">
        <v>1035</v>
      </c>
      <c r="B1037" s="1">
        <v>43012</v>
      </c>
      <c r="C1037" t="s">
        <v>63</v>
      </c>
      <c r="D1037" t="s">
        <v>191</v>
      </c>
      <c r="E1037">
        <v>-3.4166282688897028E-5</v>
      </c>
    </row>
    <row r="1038" spans="1:5" x14ac:dyDescent="0.2">
      <c r="A1038" s="13">
        <v>1036</v>
      </c>
      <c r="B1038" s="1">
        <v>43012</v>
      </c>
      <c r="C1038" t="s">
        <v>103</v>
      </c>
      <c r="D1038" t="s">
        <v>39</v>
      </c>
      <c r="E1038">
        <v>1.6920924843879678E-2</v>
      </c>
    </row>
    <row r="1039" spans="1:5" x14ac:dyDescent="0.2">
      <c r="A1039" s="13">
        <v>1037</v>
      </c>
      <c r="B1039" s="1">
        <v>43012</v>
      </c>
      <c r="C1039" t="s">
        <v>103</v>
      </c>
      <c r="D1039" t="s">
        <v>32</v>
      </c>
      <c r="E1039">
        <v>0</v>
      </c>
    </row>
    <row r="1040" spans="1:5" x14ac:dyDescent="0.2">
      <c r="A1040" s="13">
        <v>1038</v>
      </c>
      <c r="B1040" s="1">
        <v>43012</v>
      </c>
      <c r="C1040" t="s">
        <v>103</v>
      </c>
      <c r="D1040" t="s">
        <v>30</v>
      </c>
      <c r="E1040">
        <v>0</v>
      </c>
    </row>
    <row r="1041" spans="1:5" x14ac:dyDescent="0.2">
      <c r="A1041" s="13">
        <v>1039</v>
      </c>
      <c r="B1041" s="1">
        <v>43012</v>
      </c>
      <c r="C1041" t="s">
        <v>103</v>
      </c>
      <c r="D1041" t="s">
        <v>49</v>
      </c>
      <c r="E1041">
        <v>0</v>
      </c>
    </row>
    <row r="1042" spans="1:5" x14ac:dyDescent="0.2">
      <c r="A1042" s="13">
        <v>1040</v>
      </c>
      <c r="B1042" s="1">
        <v>43012</v>
      </c>
      <c r="C1042" t="s">
        <v>103</v>
      </c>
      <c r="D1042" t="s">
        <v>145</v>
      </c>
      <c r="E1042">
        <v>0</v>
      </c>
    </row>
    <row r="1043" spans="1:5" x14ac:dyDescent="0.2">
      <c r="A1043" s="13">
        <v>1041</v>
      </c>
      <c r="B1043" s="1">
        <v>43012</v>
      </c>
      <c r="C1043" t="s">
        <v>103</v>
      </c>
      <c r="D1043" t="s">
        <v>233</v>
      </c>
      <c r="E1043">
        <v>0</v>
      </c>
    </row>
    <row r="1044" spans="1:5" x14ac:dyDescent="0.2">
      <c r="A1044" s="13">
        <v>1042</v>
      </c>
      <c r="B1044" s="1">
        <v>43012</v>
      </c>
      <c r="C1044" t="s">
        <v>103</v>
      </c>
      <c r="D1044" t="s">
        <v>172</v>
      </c>
      <c r="E1044">
        <v>0</v>
      </c>
    </row>
    <row r="1045" spans="1:5" x14ac:dyDescent="0.2">
      <c r="A1045" s="13">
        <v>1043</v>
      </c>
      <c r="B1045" s="1">
        <v>43012</v>
      </c>
      <c r="C1045" t="s">
        <v>103</v>
      </c>
      <c r="D1045" t="s">
        <v>72</v>
      </c>
      <c r="E1045">
        <v>0</v>
      </c>
    </row>
    <row r="1046" spans="1:5" x14ac:dyDescent="0.2">
      <c r="A1046" s="13">
        <v>1044</v>
      </c>
      <c r="B1046" s="1">
        <v>43012</v>
      </c>
      <c r="C1046" t="s">
        <v>103</v>
      </c>
      <c r="D1046" t="s">
        <v>186</v>
      </c>
      <c r="E1046">
        <v>1.6920924843879678E-2</v>
      </c>
    </row>
    <row r="1047" spans="1:5" x14ac:dyDescent="0.2">
      <c r="A1047" s="13">
        <v>1045</v>
      </c>
      <c r="B1047" s="1">
        <v>43012</v>
      </c>
      <c r="C1047" t="s">
        <v>103</v>
      </c>
      <c r="D1047" t="s">
        <v>187</v>
      </c>
      <c r="E1047">
        <v>0</v>
      </c>
    </row>
    <row r="1048" spans="1:5" x14ac:dyDescent="0.2">
      <c r="A1048" s="13">
        <v>1046</v>
      </c>
      <c r="B1048" s="1">
        <v>43012</v>
      </c>
      <c r="C1048" t="s">
        <v>103</v>
      </c>
      <c r="D1048" t="s">
        <v>188</v>
      </c>
      <c r="E1048">
        <v>0</v>
      </c>
    </row>
    <row r="1049" spans="1:5" x14ac:dyDescent="0.2">
      <c r="A1049" s="13">
        <v>1047</v>
      </c>
      <c r="B1049" s="1">
        <v>43012</v>
      </c>
      <c r="C1049" t="s">
        <v>103</v>
      </c>
      <c r="D1049" t="s">
        <v>189</v>
      </c>
      <c r="E1049">
        <v>0</v>
      </c>
    </row>
    <row r="1050" spans="1:5" x14ac:dyDescent="0.2">
      <c r="A1050" s="13">
        <v>1048</v>
      </c>
      <c r="B1050" s="1">
        <v>43012</v>
      </c>
      <c r="C1050" t="s">
        <v>103</v>
      </c>
      <c r="D1050" t="s">
        <v>190</v>
      </c>
      <c r="E1050">
        <v>0</v>
      </c>
    </row>
    <row r="1051" spans="1:5" x14ac:dyDescent="0.2">
      <c r="A1051" s="13">
        <v>1049</v>
      </c>
      <c r="B1051" s="1">
        <v>43012</v>
      </c>
      <c r="C1051" t="s">
        <v>103</v>
      </c>
      <c r="D1051" t="s">
        <v>191</v>
      </c>
      <c r="E1051">
        <v>0</v>
      </c>
    </row>
    <row r="1052" spans="1:5" x14ac:dyDescent="0.2">
      <c r="A1052" s="13">
        <v>1050</v>
      </c>
      <c r="B1052" s="1">
        <v>43012</v>
      </c>
      <c r="C1052" t="s">
        <v>104</v>
      </c>
      <c r="D1052" t="s">
        <v>39</v>
      </c>
      <c r="E1052">
        <v>7.6259751021470201E-2</v>
      </c>
    </row>
    <row r="1053" spans="1:5" x14ac:dyDescent="0.2">
      <c r="A1053" s="13">
        <v>1051</v>
      </c>
      <c r="B1053" s="1">
        <v>43012</v>
      </c>
      <c r="C1053" t="s">
        <v>104</v>
      </c>
      <c r="D1053" t="s">
        <v>32</v>
      </c>
      <c r="E1053">
        <v>0</v>
      </c>
    </row>
    <row r="1054" spans="1:5" x14ac:dyDescent="0.2">
      <c r="A1054" s="13">
        <v>1052</v>
      </c>
      <c r="B1054" s="1">
        <v>43012</v>
      </c>
      <c r="C1054" t="s">
        <v>104</v>
      </c>
      <c r="D1054" t="s">
        <v>30</v>
      </c>
      <c r="E1054">
        <v>0</v>
      </c>
    </row>
    <row r="1055" spans="1:5" x14ac:dyDescent="0.2">
      <c r="A1055" s="13">
        <v>1053</v>
      </c>
      <c r="B1055" s="1">
        <v>43012</v>
      </c>
      <c r="C1055" t="s">
        <v>104</v>
      </c>
      <c r="D1055" t="s">
        <v>49</v>
      </c>
      <c r="E1055">
        <v>0</v>
      </c>
    </row>
    <row r="1056" spans="1:5" x14ac:dyDescent="0.2">
      <c r="A1056" s="13">
        <v>1054</v>
      </c>
      <c r="B1056" s="1">
        <v>43012</v>
      </c>
      <c r="C1056" t="s">
        <v>104</v>
      </c>
      <c r="D1056" t="s">
        <v>145</v>
      </c>
      <c r="E1056">
        <v>0</v>
      </c>
    </row>
    <row r="1057" spans="1:5" x14ac:dyDescent="0.2">
      <c r="A1057" s="13">
        <v>1055</v>
      </c>
      <c r="B1057" s="1">
        <v>43012</v>
      </c>
      <c r="C1057" t="s">
        <v>104</v>
      </c>
      <c r="D1057" t="s">
        <v>233</v>
      </c>
      <c r="E1057">
        <v>0</v>
      </c>
    </row>
    <row r="1058" spans="1:5" x14ac:dyDescent="0.2">
      <c r="A1058" s="13">
        <v>1056</v>
      </c>
      <c r="B1058" s="1">
        <v>43012</v>
      </c>
      <c r="C1058" t="s">
        <v>104</v>
      </c>
      <c r="D1058" t="s">
        <v>172</v>
      </c>
      <c r="E1058">
        <v>0</v>
      </c>
    </row>
    <row r="1059" spans="1:5" x14ac:dyDescent="0.2">
      <c r="A1059" s="13">
        <v>1057</v>
      </c>
      <c r="B1059" s="1">
        <v>43012</v>
      </c>
      <c r="C1059" t="s">
        <v>104</v>
      </c>
      <c r="D1059" t="s">
        <v>72</v>
      </c>
      <c r="E1059">
        <v>0</v>
      </c>
    </row>
    <row r="1060" spans="1:5" x14ac:dyDescent="0.2">
      <c r="A1060" s="13">
        <v>1058</v>
      </c>
      <c r="B1060" s="1">
        <v>43012</v>
      </c>
      <c r="C1060" t="s">
        <v>104</v>
      </c>
      <c r="D1060" t="s">
        <v>186</v>
      </c>
      <c r="E1060">
        <v>7.6259751021470201E-2</v>
      </c>
    </row>
    <row r="1061" spans="1:5" x14ac:dyDescent="0.2">
      <c r="A1061" s="13">
        <v>1059</v>
      </c>
      <c r="B1061" s="1">
        <v>43012</v>
      </c>
      <c r="C1061" t="s">
        <v>104</v>
      </c>
      <c r="D1061" t="s">
        <v>187</v>
      </c>
      <c r="E1061">
        <v>0</v>
      </c>
    </row>
    <row r="1062" spans="1:5" x14ac:dyDescent="0.2">
      <c r="A1062" s="13">
        <v>1060</v>
      </c>
      <c r="B1062" s="1">
        <v>43012</v>
      </c>
      <c r="C1062" t="s">
        <v>104</v>
      </c>
      <c r="D1062" t="s">
        <v>188</v>
      </c>
      <c r="E1062">
        <v>0</v>
      </c>
    </row>
    <row r="1063" spans="1:5" x14ac:dyDescent="0.2">
      <c r="A1063" s="13">
        <v>1061</v>
      </c>
      <c r="B1063" s="1">
        <v>43012</v>
      </c>
      <c r="C1063" t="s">
        <v>104</v>
      </c>
      <c r="D1063" t="s">
        <v>189</v>
      </c>
      <c r="E1063">
        <v>0</v>
      </c>
    </row>
    <row r="1064" spans="1:5" x14ac:dyDescent="0.2">
      <c r="A1064" s="13">
        <v>1062</v>
      </c>
      <c r="B1064" s="1">
        <v>43012</v>
      </c>
      <c r="C1064" t="s">
        <v>104</v>
      </c>
      <c r="D1064" t="s">
        <v>190</v>
      </c>
      <c r="E1064">
        <v>0</v>
      </c>
    </row>
    <row r="1065" spans="1:5" x14ac:dyDescent="0.2">
      <c r="A1065" s="13">
        <v>1063</v>
      </c>
      <c r="B1065" s="1">
        <v>43012</v>
      </c>
      <c r="C1065" t="s">
        <v>104</v>
      </c>
      <c r="D1065" t="s">
        <v>191</v>
      </c>
      <c r="E1065">
        <v>0</v>
      </c>
    </row>
    <row r="1066" spans="1:5" x14ac:dyDescent="0.2">
      <c r="A1066" s="13">
        <v>1064</v>
      </c>
      <c r="B1066" s="1">
        <v>43012</v>
      </c>
      <c r="C1066" t="s">
        <v>151</v>
      </c>
      <c r="D1066" t="s">
        <v>39</v>
      </c>
      <c r="E1066">
        <v>0</v>
      </c>
    </row>
    <row r="1067" spans="1:5" x14ac:dyDescent="0.2">
      <c r="A1067" s="13">
        <v>1065</v>
      </c>
      <c r="B1067" s="1">
        <v>43012</v>
      </c>
      <c r="C1067" t="s">
        <v>151</v>
      </c>
      <c r="D1067" t="s">
        <v>32</v>
      </c>
      <c r="E1067">
        <v>0</v>
      </c>
    </row>
    <row r="1068" spans="1:5" x14ac:dyDescent="0.2">
      <c r="A1068" s="13">
        <v>1066</v>
      </c>
      <c r="B1068" s="1">
        <v>43012</v>
      </c>
      <c r="C1068" t="s">
        <v>151</v>
      </c>
      <c r="D1068" t="s">
        <v>30</v>
      </c>
      <c r="E1068">
        <v>4.9863518621090161E-3</v>
      </c>
    </row>
    <row r="1069" spans="1:5" x14ac:dyDescent="0.2">
      <c r="A1069" s="13">
        <v>1067</v>
      </c>
      <c r="B1069" s="1">
        <v>43012</v>
      </c>
      <c r="C1069" t="s">
        <v>151</v>
      </c>
      <c r="D1069" t="s">
        <v>49</v>
      </c>
      <c r="E1069">
        <v>0</v>
      </c>
    </row>
    <row r="1070" spans="1:5" x14ac:dyDescent="0.2">
      <c r="A1070" s="13">
        <v>1068</v>
      </c>
      <c r="B1070" s="1">
        <v>43012</v>
      </c>
      <c r="C1070" t="s">
        <v>151</v>
      </c>
      <c r="D1070" t="s">
        <v>145</v>
      </c>
      <c r="E1070">
        <v>0</v>
      </c>
    </row>
    <row r="1071" spans="1:5" x14ac:dyDescent="0.2">
      <c r="A1071" s="13">
        <v>1069</v>
      </c>
      <c r="B1071" s="1">
        <v>43012</v>
      </c>
      <c r="C1071" t="s">
        <v>151</v>
      </c>
      <c r="D1071" t="s">
        <v>233</v>
      </c>
      <c r="E1071">
        <v>0</v>
      </c>
    </row>
    <row r="1072" spans="1:5" x14ac:dyDescent="0.2">
      <c r="A1072" s="13">
        <v>1070</v>
      </c>
      <c r="B1072" s="1">
        <v>43012</v>
      </c>
      <c r="C1072" t="s">
        <v>151</v>
      </c>
      <c r="D1072" t="s">
        <v>172</v>
      </c>
      <c r="E1072">
        <v>0</v>
      </c>
    </row>
    <row r="1073" spans="1:5" x14ac:dyDescent="0.2">
      <c r="A1073" s="13">
        <v>1071</v>
      </c>
      <c r="B1073" s="1">
        <v>43012</v>
      </c>
      <c r="C1073" t="s">
        <v>151</v>
      </c>
      <c r="D1073" t="s">
        <v>72</v>
      </c>
      <c r="E1073">
        <v>6.6328352663160235</v>
      </c>
    </row>
    <row r="1074" spans="1:5" x14ac:dyDescent="0.2">
      <c r="A1074" s="13">
        <v>1072</v>
      </c>
      <c r="B1074" s="1">
        <v>43012</v>
      </c>
      <c r="C1074" t="s">
        <v>151</v>
      </c>
      <c r="D1074" t="s">
        <v>186</v>
      </c>
      <c r="E1074">
        <v>5.6148223889053797E-4</v>
      </c>
    </row>
    <row r="1075" spans="1:5" x14ac:dyDescent="0.2">
      <c r="A1075" s="13">
        <v>1073</v>
      </c>
      <c r="B1075" s="1">
        <v>43012</v>
      </c>
      <c r="C1075" t="s">
        <v>151</v>
      </c>
      <c r="D1075" t="s">
        <v>187</v>
      </c>
      <c r="E1075">
        <v>2.3927376855818533E-3</v>
      </c>
    </row>
    <row r="1076" spans="1:5" x14ac:dyDescent="0.2">
      <c r="A1076" s="13">
        <v>1074</v>
      </c>
      <c r="B1076" s="1">
        <v>43012</v>
      </c>
      <c r="C1076" t="s">
        <v>151</v>
      </c>
      <c r="D1076" t="s">
        <v>188</v>
      </c>
      <c r="E1076">
        <v>9.2503425448553413E-4</v>
      </c>
    </row>
    <row r="1077" spans="1:5" x14ac:dyDescent="0.2">
      <c r="A1077" s="13">
        <v>1075</v>
      </c>
      <c r="B1077" s="1">
        <v>43012</v>
      </c>
      <c r="C1077" t="s">
        <v>151</v>
      </c>
      <c r="D1077" t="s">
        <v>189</v>
      </c>
      <c r="E1077">
        <v>4.7068667030995674E-4</v>
      </c>
    </row>
    <row r="1078" spans="1:5" x14ac:dyDescent="0.2">
      <c r="A1078" s="13">
        <v>1076</v>
      </c>
      <c r="B1078" s="1">
        <v>43012</v>
      </c>
      <c r="C1078" t="s">
        <v>151</v>
      </c>
      <c r="D1078" t="s">
        <v>190</v>
      </c>
      <c r="E1078">
        <v>1.2553664219402368E-3</v>
      </c>
    </row>
    <row r="1079" spans="1:5" x14ac:dyDescent="0.2">
      <c r="A1079" s="13">
        <v>1077</v>
      </c>
      <c r="B1079" s="1">
        <v>43012</v>
      </c>
      <c r="C1079" t="s">
        <v>151</v>
      </c>
      <c r="D1079" t="s">
        <v>191</v>
      </c>
      <c r="E1079">
        <v>-6.1895540909910856E-4</v>
      </c>
    </row>
    <row r="1080" spans="1:5" x14ac:dyDescent="0.2">
      <c r="A1080" s="13">
        <v>1078</v>
      </c>
      <c r="B1080" s="1">
        <v>43012</v>
      </c>
      <c r="C1080" t="s">
        <v>29</v>
      </c>
      <c r="D1080" t="s">
        <v>39</v>
      </c>
      <c r="E1080">
        <v>-8.2855418252884358E-5</v>
      </c>
    </row>
    <row r="1081" spans="1:5" x14ac:dyDescent="0.2">
      <c r="A1081" s="13">
        <v>1079</v>
      </c>
      <c r="B1081" s="1">
        <v>43012</v>
      </c>
      <c r="C1081" t="s">
        <v>29</v>
      </c>
      <c r="D1081" t="s">
        <v>32</v>
      </c>
      <c r="E1081">
        <v>1.963707951131204E-3</v>
      </c>
    </row>
    <row r="1082" spans="1:5" x14ac:dyDescent="0.2">
      <c r="A1082" s="13">
        <v>1080</v>
      </c>
      <c r="B1082" s="1">
        <v>43012</v>
      </c>
      <c r="C1082" t="s">
        <v>29</v>
      </c>
      <c r="D1082" t="s">
        <v>30</v>
      </c>
      <c r="E1082">
        <v>7.4154000438823614E-6</v>
      </c>
    </row>
    <row r="1083" spans="1:5" x14ac:dyDescent="0.2">
      <c r="A1083" s="13">
        <v>1081</v>
      </c>
      <c r="B1083" s="1">
        <v>43012</v>
      </c>
      <c r="C1083" t="s">
        <v>29</v>
      </c>
      <c r="D1083" t="s">
        <v>49</v>
      </c>
      <c r="E1083">
        <v>0</v>
      </c>
    </row>
    <row r="1084" spans="1:5" x14ac:dyDescent="0.2">
      <c r="A1084" s="13">
        <v>1082</v>
      </c>
      <c r="B1084" s="1">
        <v>43012</v>
      </c>
      <c r="C1084" t="s">
        <v>29</v>
      </c>
      <c r="D1084" t="s">
        <v>145</v>
      </c>
      <c r="E1084">
        <v>0</v>
      </c>
    </row>
    <row r="1085" spans="1:5" x14ac:dyDescent="0.2">
      <c r="A1085" s="13">
        <v>1083</v>
      </c>
      <c r="B1085" s="1">
        <v>43012</v>
      </c>
      <c r="C1085" t="s">
        <v>29</v>
      </c>
      <c r="D1085" t="s">
        <v>233</v>
      </c>
      <c r="E1085">
        <v>0</v>
      </c>
    </row>
    <row r="1086" spans="1:5" x14ac:dyDescent="0.2">
      <c r="A1086" s="13">
        <v>1084</v>
      </c>
      <c r="B1086" s="1">
        <v>43012</v>
      </c>
      <c r="C1086" t="s">
        <v>29</v>
      </c>
      <c r="D1086" t="s">
        <v>172</v>
      </c>
      <c r="E1086">
        <v>0</v>
      </c>
    </row>
    <row r="1087" spans="1:5" x14ac:dyDescent="0.2">
      <c r="A1087" s="13">
        <v>1085</v>
      </c>
      <c r="B1087" s="1">
        <v>43012</v>
      </c>
      <c r="C1087" t="s">
        <v>29</v>
      </c>
      <c r="D1087" t="s">
        <v>72</v>
      </c>
      <c r="E1087">
        <v>4.7147718941707968</v>
      </c>
    </row>
    <row r="1088" spans="1:5" x14ac:dyDescent="0.2">
      <c r="A1088" s="13">
        <v>1086</v>
      </c>
      <c r="B1088" s="1">
        <v>43012</v>
      </c>
      <c r="C1088" t="s">
        <v>29</v>
      </c>
      <c r="D1088" t="s">
        <v>186</v>
      </c>
      <c r="E1088">
        <v>3.4437915224596184E-4</v>
      </c>
    </row>
    <row r="1089" spans="1:5" x14ac:dyDescent="0.2">
      <c r="A1089" s="13">
        <v>1087</v>
      </c>
      <c r="B1089" s="1">
        <v>43012</v>
      </c>
      <c r="C1089" t="s">
        <v>29</v>
      </c>
      <c r="D1089" t="s">
        <v>187</v>
      </c>
      <c r="E1089">
        <v>0</v>
      </c>
    </row>
    <row r="1090" spans="1:5" x14ac:dyDescent="0.2">
      <c r="A1090" s="13">
        <v>1088</v>
      </c>
      <c r="B1090" s="1">
        <v>43012</v>
      </c>
      <c r="C1090" t="s">
        <v>29</v>
      </c>
      <c r="D1090" t="s">
        <v>188</v>
      </c>
      <c r="E1090">
        <v>0</v>
      </c>
    </row>
    <row r="1091" spans="1:5" x14ac:dyDescent="0.2">
      <c r="A1091" s="13">
        <v>1089</v>
      </c>
      <c r="B1091" s="1">
        <v>43012</v>
      </c>
      <c r="C1091" t="s">
        <v>29</v>
      </c>
      <c r="D1091" t="s">
        <v>189</v>
      </c>
      <c r="E1091">
        <v>0</v>
      </c>
    </row>
    <row r="1092" spans="1:5" x14ac:dyDescent="0.2">
      <c r="A1092" s="13">
        <v>1090</v>
      </c>
      <c r="B1092" s="1">
        <v>43012</v>
      </c>
      <c r="C1092" t="s">
        <v>29</v>
      </c>
      <c r="D1092" t="s">
        <v>190</v>
      </c>
      <c r="E1092">
        <v>0</v>
      </c>
    </row>
    <row r="1093" spans="1:5" x14ac:dyDescent="0.2">
      <c r="A1093" s="13">
        <v>1091</v>
      </c>
      <c r="B1093" s="1">
        <v>43012</v>
      </c>
      <c r="C1093" t="s">
        <v>29</v>
      </c>
      <c r="D1093" t="s">
        <v>191</v>
      </c>
      <c r="E1093">
        <v>1.5438887806762415E-3</v>
      </c>
    </row>
    <row r="1094" spans="1:5" x14ac:dyDescent="0.2">
      <c r="A1094" s="13">
        <v>1092</v>
      </c>
      <c r="B1094" s="1">
        <v>43012</v>
      </c>
      <c r="C1094" t="s">
        <v>87</v>
      </c>
      <c r="D1094" t="s">
        <v>39</v>
      </c>
      <c r="E1094">
        <v>4.6629260856846299E-3</v>
      </c>
    </row>
    <row r="1095" spans="1:5" x14ac:dyDescent="0.2">
      <c r="A1095" s="13">
        <v>1093</v>
      </c>
      <c r="B1095" s="1">
        <v>43012</v>
      </c>
      <c r="C1095" t="s">
        <v>87</v>
      </c>
      <c r="D1095" t="s">
        <v>32</v>
      </c>
      <c r="E1095">
        <v>1.590040579899888E-2</v>
      </c>
    </row>
    <row r="1096" spans="1:5" x14ac:dyDescent="0.2">
      <c r="A1096" s="13">
        <v>1094</v>
      </c>
      <c r="B1096" s="1">
        <v>43012</v>
      </c>
      <c r="C1096" t="s">
        <v>87</v>
      </c>
      <c r="D1096" t="s">
        <v>30</v>
      </c>
      <c r="E1096">
        <v>-1.6627543277614767E-4</v>
      </c>
    </row>
    <row r="1097" spans="1:5" x14ac:dyDescent="0.2">
      <c r="A1097" s="13">
        <v>1095</v>
      </c>
      <c r="B1097" s="1">
        <v>43012</v>
      </c>
      <c r="C1097" t="s">
        <v>87</v>
      </c>
      <c r="D1097" t="s">
        <v>49</v>
      </c>
      <c r="E1097">
        <v>0</v>
      </c>
    </row>
    <row r="1098" spans="1:5" x14ac:dyDescent="0.2">
      <c r="A1098" s="13">
        <v>1096</v>
      </c>
      <c r="B1098" s="1">
        <v>43012</v>
      </c>
      <c r="C1098" t="s">
        <v>87</v>
      </c>
      <c r="D1098" t="s">
        <v>145</v>
      </c>
      <c r="E1098">
        <v>2.6727007731709783E-4</v>
      </c>
    </row>
    <row r="1099" spans="1:5" x14ac:dyDescent="0.2">
      <c r="A1099" s="13">
        <v>1097</v>
      </c>
      <c r="B1099" s="1">
        <v>43012</v>
      </c>
      <c r="C1099" t="s">
        <v>87</v>
      </c>
      <c r="D1099" t="s">
        <v>233</v>
      </c>
      <c r="E1099">
        <v>0</v>
      </c>
    </row>
    <row r="1100" spans="1:5" x14ac:dyDescent="0.2">
      <c r="A1100" s="13">
        <v>1098</v>
      </c>
      <c r="B1100" s="1">
        <v>43012</v>
      </c>
      <c r="C1100" t="s">
        <v>87</v>
      </c>
      <c r="D1100" t="s">
        <v>172</v>
      </c>
      <c r="E1100">
        <v>0</v>
      </c>
    </row>
    <row r="1101" spans="1:5" x14ac:dyDescent="0.2">
      <c r="A1101" s="13">
        <v>1099</v>
      </c>
      <c r="B1101" s="1">
        <v>43012</v>
      </c>
      <c r="C1101" t="s">
        <v>87</v>
      </c>
      <c r="D1101" t="s">
        <v>72</v>
      </c>
      <c r="E1101">
        <v>9.4166156608210123</v>
      </c>
    </row>
    <row r="1102" spans="1:5" x14ac:dyDescent="0.2">
      <c r="A1102" s="13">
        <v>1100</v>
      </c>
      <c r="B1102" s="1">
        <v>43012</v>
      </c>
      <c r="C1102" t="s">
        <v>87</v>
      </c>
      <c r="D1102" t="s">
        <v>186</v>
      </c>
      <c r="E1102">
        <v>2.0516999472073853E-2</v>
      </c>
    </row>
    <row r="1103" spans="1:5" x14ac:dyDescent="0.2">
      <c r="A1103" s="13">
        <v>1101</v>
      </c>
      <c r="B1103" s="1">
        <v>43012</v>
      </c>
      <c r="C1103" t="s">
        <v>87</v>
      </c>
      <c r="D1103" t="s">
        <v>187</v>
      </c>
      <c r="E1103">
        <v>2.0773012900088923E-4</v>
      </c>
    </row>
    <row r="1104" spans="1:5" x14ac:dyDescent="0.2">
      <c r="A1104" s="13">
        <v>1102</v>
      </c>
      <c r="B1104" s="1">
        <v>43012</v>
      </c>
      <c r="C1104" t="s">
        <v>87</v>
      </c>
      <c r="D1104" t="s">
        <v>188</v>
      </c>
      <c r="E1104">
        <v>-4.4527432813351147E-5</v>
      </c>
    </row>
    <row r="1105" spans="1:5" x14ac:dyDescent="0.2">
      <c r="A1105" s="13">
        <v>1103</v>
      </c>
      <c r="B1105" s="1">
        <v>43012</v>
      </c>
      <c r="C1105" t="s">
        <v>87</v>
      </c>
      <c r="D1105" t="s">
        <v>189</v>
      </c>
      <c r="E1105">
        <v>-5.3356020536990486E-5</v>
      </c>
    </row>
    <row r="1106" spans="1:5" x14ac:dyDescent="0.2">
      <c r="A1106" s="13">
        <v>1104</v>
      </c>
      <c r="B1106" s="1">
        <v>43012</v>
      </c>
      <c r="C1106" t="s">
        <v>87</v>
      </c>
      <c r="D1106" t="s">
        <v>190</v>
      </c>
      <c r="E1106">
        <v>-2.7772747264224001E-5</v>
      </c>
    </row>
    <row r="1107" spans="1:5" x14ac:dyDescent="0.2">
      <c r="A1107" s="13">
        <v>1105</v>
      </c>
      <c r="B1107" s="1">
        <v>43012</v>
      </c>
      <c r="C1107" t="s">
        <v>87</v>
      </c>
      <c r="D1107" t="s">
        <v>191</v>
      </c>
      <c r="E1107">
        <v>6.5253128764280712E-5</v>
      </c>
    </row>
    <row r="1108" spans="1:5" x14ac:dyDescent="0.2">
      <c r="A1108" s="13">
        <v>1106</v>
      </c>
      <c r="B1108" s="1">
        <v>43012</v>
      </c>
      <c r="C1108" t="s">
        <v>61</v>
      </c>
      <c r="D1108" t="s">
        <v>39</v>
      </c>
      <c r="E1108">
        <v>2.3617956767104245E-3</v>
      </c>
    </row>
    <row r="1109" spans="1:5" x14ac:dyDescent="0.2">
      <c r="A1109" s="13">
        <v>1107</v>
      </c>
      <c r="B1109" s="1">
        <v>43012</v>
      </c>
      <c r="C1109" t="s">
        <v>61</v>
      </c>
      <c r="D1109" t="s">
        <v>32</v>
      </c>
      <c r="E1109">
        <v>1.213437840241093E-2</v>
      </c>
    </row>
    <row r="1110" spans="1:5" x14ac:dyDescent="0.2">
      <c r="A1110" s="13">
        <v>1108</v>
      </c>
      <c r="B1110" s="1">
        <v>43012</v>
      </c>
      <c r="C1110" t="s">
        <v>61</v>
      </c>
      <c r="D1110" t="s">
        <v>30</v>
      </c>
      <c r="E1110">
        <v>0</v>
      </c>
    </row>
    <row r="1111" spans="1:5" x14ac:dyDescent="0.2">
      <c r="A1111" s="13">
        <v>1109</v>
      </c>
      <c r="B1111" s="1">
        <v>43012</v>
      </c>
      <c r="C1111" t="s">
        <v>61</v>
      </c>
      <c r="D1111" t="s">
        <v>49</v>
      </c>
      <c r="E1111">
        <v>0</v>
      </c>
    </row>
    <row r="1112" spans="1:5" x14ac:dyDescent="0.2">
      <c r="A1112" s="13">
        <v>1110</v>
      </c>
      <c r="B1112" s="1">
        <v>43012</v>
      </c>
      <c r="C1112" t="s">
        <v>61</v>
      </c>
      <c r="D1112" t="s">
        <v>145</v>
      </c>
      <c r="E1112">
        <v>0</v>
      </c>
    </row>
    <row r="1113" spans="1:5" x14ac:dyDescent="0.2">
      <c r="A1113" s="13">
        <v>1111</v>
      </c>
      <c r="B1113" s="1">
        <v>43012</v>
      </c>
      <c r="C1113" t="s">
        <v>61</v>
      </c>
      <c r="D1113" t="s">
        <v>233</v>
      </c>
      <c r="E1113">
        <v>0</v>
      </c>
    </row>
    <row r="1114" spans="1:5" x14ac:dyDescent="0.2">
      <c r="A1114" s="13">
        <v>1112</v>
      </c>
      <c r="B1114" s="1">
        <v>43012</v>
      </c>
      <c r="C1114" t="s">
        <v>61</v>
      </c>
      <c r="D1114" t="s">
        <v>172</v>
      </c>
      <c r="E1114">
        <v>0</v>
      </c>
    </row>
    <row r="1115" spans="1:5" x14ac:dyDescent="0.2">
      <c r="A1115" s="13">
        <v>1113</v>
      </c>
      <c r="B1115" s="1">
        <v>43012</v>
      </c>
      <c r="C1115" t="s">
        <v>61</v>
      </c>
      <c r="D1115" t="s">
        <v>72</v>
      </c>
      <c r="E1115">
        <v>5.5855908482188221</v>
      </c>
    </row>
    <row r="1116" spans="1:5" x14ac:dyDescent="0.2">
      <c r="A1116" s="13">
        <v>1114</v>
      </c>
      <c r="B1116" s="1">
        <v>43012</v>
      </c>
      <c r="C1116" t="s">
        <v>61</v>
      </c>
      <c r="D1116" t="s">
        <v>186</v>
      </c>
      <c r="E1116">
        <v>1.4496174079121349E-2</v>
      </c>
    </row>
    <row r="1117" spans="1:5" x14ac:dyDescent="0.2">
      <c r="A1117" s="13">
        <v>1115</v>
      </c>
      <c r="B1117" s="1">
        <v>43012</v>
      </c>
      <c r="C1117" t="s">
        <v>61</v>
      </c>
      <c r="D1117" t="s">
        <v>187</v>
      </c>
      <c r="E1117">
        <v>0</v>
      </c>
    </row>
    <row r="1118" spans="1:5" x14ac:dyDescent="0.2">
      <c r="A1118" s="13">
        <v>1116</v>
      </c>
      <c r="B1118" s="1">
        <v>43012</v>
      </c>
      <c r="C1118" t="s">
        <v>61</v>
      </c>
      <c r="D1118" t="s">
        <v>188</v>
      </c>
      <c r="E1118">
        <v>0</v>
      </c>
    </row>
    <row r="1119" spans="1:5" x14ac:dyDescent="0.2">
      <c r="A1119" s="13">
        <v>1117</v>
      </c>
      <c r="B1119" s="1">
        <v>43012</v>
      </c>
      <c r="C1119" t="s">
        <v>61</v>
      </c>
      <c r="D1119" t="s">
        <v>189</v>
      </c>
      <c r="E1119">
        <v>0</v>
      </c>
    </row>
    <row r="1120" spans="1:5" x14ac:dyDescent="0.2">
      <c r="A1120" s="13">
        <v>1118</v>
      </c>
      <c r="B1120" s="1">
        <v>43012</v>
      </c>
      <c r="C1120" t="s">
        <v>61</v>
      </c>
      <c r="D1120" t="s">
        <v>190</v>
      </c>
      <c r="E1120">
        <v>0</v>
      </c>
    </row>
    <row r="1121" spans="1:5" x14ac:dyDescent="0.2">
      <c r="A1121" s="13">
        <v>1119</v>
      </c>
      <c r="B1121" s="1">
        <v>43012</v>
      </c>
      <c r="C1121" t="s">
        <v>61</v>
      </c>
      <c r="D1121" t="s">
        <v>191</v>
      </c>
      <c r="E1121">
        <v>0</v>
      </c>
    </row>
    <row r="1122" spans="1:5" x14ac:dyDescent="0.2">
      <c r="A1122" s="13">
        <v>1120</v>
      </c>
      <c r="B1122" s="1">
        <v>43012</v>
      </c>
      <c r="C1122" t="s">
        <v>53</v>
      </c>
      <c r="D1122" t="s">
        <v>39</v>
      </c>
      <c r="E1122">
        <v>2.0299571261058345E-5</v>
      </c>
    </row>
    <row r="1123" spans="1:5" x14ac:dyDescent="0.2">
      <c r="A1123" s="13">
        <v>1121</v>
      </c>
      <c r="B1123" s="1">
        <v>43012</v>
      </c>
      <c r="C1123" t="s">
        <v>53</v>
      </c>
      <c r="D1123" t="s">
        <v>32</v>
      </c>
      <c r="E1123">
        <v>4.8018599464839662E-3</v>
      </c>
    </row>
    <row r="1124" spans="1:5" x14ac:dyDescent="0.2">
      <c r="A1124" s="13">
        <v>1122</v>
      </c>
      <c r="B1124" s="1">
        <v>43012</v>
      </c>
      <c r="C1124" t="s">
        <v>53</v>
      </c>
      <c r="D1124" t="s">
        <v>30</v>
      </c>
      <c r="E1124">
        <v>6.9580610408186204E-4</v>
      </c>
    </row>
    <row r="1125" spans="1:5" x14ac:dyDescent="0.2">
      <c r="A1125" s="13">
        <v>1123</v>
      </c>
      <c r="B1125" s="1">
        <v>43012</v>
      </c>
      <c r="C1125" t="s">
        <v>53</v>
      </c>
      <c r="D1125" t="s">
        <v>49</v>
      </c>
      <c r="E1125">
        <v>0</v>
      </c>
    </row>
    <row r="1126" spans="1:5" x14ac:dyDescent="0.2">
      <c r="A1126" s="13">
        <v>1124</v>
      </c>
      <c r="B1126" s="1">
        <v>43012</v>
      </c>
      <c r="C1126" t="s">
        <v>53</v>
      </c>
      <c r="D1126" t="s">
        <v>145</v>
      </c>
      <c r="E1126">
        <v>0</v>
      </c>
    </row>
    <row r="1127" spans="1:5" x14ac:dyDescent="0.2">
      <c r="A1127" s="13">
        <v>1125</v>
      </c>
      <c r="B1127" s="1">
        <v>43012</v>
      </c>
      <c r="C1127" t="s">
        <v>53</v>
      </c>
      <c r="D1127" t="s">
        <v>233</v>
      </c>
      <c r="E1127">
        <v>0</v>
      </c>
    </row>
    <row r="1128" spans="1:5" x14ac:dyDescent="0.2">
      <c r="A1128" s="13">
        <v>1126</v>
      </c>
      <c r="B1128" s="1">
        <v>43012</v>
      </c>
      <c r="C1128" t="s">
        <v>53</v>
      </c>
      <c r="D1128" t="s">
        <v>172</v>
      </c>
      <c r="E1128">
        <v>0</v>
      </c>
    </row>
    <row r="1129" spans="1:5" x14ac:dyDescent="0.2">
      <c r="A1129" s="13">
        <v>1127</v>
      </c>
      <c r="B1129" s="1">
        <v>43012</v>
      </c>
      <c r="C1129" t="s">
        <v>53</v>
      </c>
      <c r="D1129" t="s">
        <v>72</v>
      </c>
      <c r="E1129">
        <v>6.410053965494015</v>
      </c>
    </row>
    <row r="1130" spans="1:5" x14ac:dyDescent="0.2">
      <c r="A1130" s="13">
        <v>1128</v>
      </c>
      <c r="B1130" s="1">
        <v>43012</v>
      </c>
      <c r="C1130" t="s">
        <v>53</v>
      </c>
      <c r="D1130" t="s">
        <v>186</v>
      </c>
      <c r="E1130">
        <v>3.8197063257545119E-3</v>
      </c>
    </row>
    <row r="1131" spans="1:5" x14ac:dyDescent="0.2">
      <c r="A1131" s="13">
        <v>1129</v>
      </c>
      <c r="B1131" s="1">
        <v>43012</v>
      </c>
      <c r="C1131" t="s">
        <v>53</v>
      </c>
      <c r="D1131" t="s">
        <v>187</v>
      </c>
      <c r="E1131">
        <v>0</v>
      </c>
    </row>
    <row r="1132" spans="1:5" x14ac:dyDescent="0.2">
      <c r="A1132" s="13">
        <v>1130</v>
      </c>
      <c r="B1132" s="1">
        <v>43012</v>
      </c>
      <c r="C1132" t="s">
        <v>53</v>
      </c>
      <c r="D1132" t="s">
        <v>188</v>
      </c>
      <c r="E1132">
        <v>0</v>
      </c>
    </row>
    <row r="1133" spans="1:5" x14ac:dyDescent="0.2">
      <c r="A1133" s="13">
        <v>1131</v>
      </c>
      <c r="B1133" s="1">
        <v>43012</v>
      </c>
      <c r="C1133" t="s">
        <v>53</v>
      </c>
      <c r="D1133" t="s">
        <v>189</v>
      </c>
      <c r="E1133">
        <v>0</v>
      </c>
    </row>
    <row r="1134" spans="1:5" x14ac:dyDescent="0.2">
      <c r="A1134" s="13">
        <v>1132</v>
      </c>
      <c r="B1134" s="1">
        <v>43012</v>
      </c>
      <c r="C1134" t="s">
        <v>53</v>
      </c>
      <c r="D1134" t="s">
        <v>190</v>
      </c>
      <c r="E1134">
        <v>0</v>
      </c>
    </row>
    <row r="1135" spans="1:5" x14ac:dyDescent="0.2">
      <c r="A1135" s="13">
        <v>1133</v>
      </c>
      <c r="B1135" s="1">
        <v>43012</v>
      </c>
      <c r="C1135" t="s">
        <v>53</v>
      </c>
      <c r="D1135" t="s">
        <v>191</v>
      </c>
      <c r="E1135">
        <v>1.6982592960723764E-3</v>
      </c>
    </row>
    <row r="1136" spans="1:5" x14ac:dyDescent="0.2">
      <c r="A1136" s="13">
        <v>1134</v>
      </c>
      <c r="B1136" s="1">
        <v>43011</v>
      </c>
      <c r="C1136" t="s">
        <v>62</v>
      </c>
      <c r="D1136" t="s">
        <v>39</v>
      </c>
      <c r="E1136">
        <v>5.6936284344669841E-3</v>
      </c>
    </row>
    <row r="1137" spans="1:5" x14ac:dyDescent="0.2">
      <c r="A1137" s="13">
        <v>1135</v>
      </c>
      <c r="B1137" s="1">
        <v>43011</v>
      </c>
      <c r="C1137" t="s">
        <v>62</v>
      </c>
      <c r="D1137" t="s">
        <v>32</v>
      </c>
      <c r="E1137">
        <v>3.7372085347957256E-3</v>
      </c>
    </row>
    <row r="1138" spans="1:5" x14ac:dyDescent="0.2">
      <c r="A1138" s="13">
        <v>1136</v>
      </c>
      <c r="B1138" s="1">
        <v>43011</v>
      </c>
      <c r="C1138" t="s">
        <v>62</v>
      </c>
      <c r="D1138" t="s">
        <v>30</v>
      </c>
      <c r="E1138">
        <v>-2.2386801910324486E-5</v>
      </c>
    </row>
    <row r="1139" spans="1:5" x14ac:dyDescent="0.2">
      <c r="A1139" s="13">
        <v>1137</v>
      </c>
      <c r="B1139" s="1">
        <v>43011</v>
      </c>
      <c r="C1139" t="s">
        <v>62</v>
      </c>
      <c r="D1139" t="s">
        <v>49</v>
      </c>
      <c r="E1139">
        <v>-1.8550668035089319E-7</v>
      </c>
    </row>
    <row r="1140" spans="1:5" x14ac:dyDescent="0.2">
      <c r="A1140" s="13">
        <v>1138</v>
      </c>
      <c r="B1140" s="1">
        <v>43011</v>
      </c>
      <c r="C1140" t="s">
        <v>62</v>
      </c>
      <c r="D1140" t="s">
        <v>145</v>
      </c>
      <c r="E1140">
        <v>0</v>
      </c>
    </row>
    <row r="1141" spans="1:5" x14ac:dyDescent="0.2">
      <c r="A1141" s="13">
        <v>1139</v>
      </c>
      <c r="B1141" s="1">
        <v>43011</v>
      </c>
      <c r="C1141" t="s">
        <v>62</v>
      </c>
      <c r="D1141" t="s">
        <v>233</v>
      </c>
      <c r="E1141">
        <v>0</v>
      </c>
    </row>
    <row r="1142" spans="1:5" x14ac:dyDescent="0.2">
      <c r="A1142" s="13">
        <v>1140</v>
      </c>
      <c r="B1142" s="1">
        <v>43011</v>
      </c>
      <c r="C1142" t="s">
        <v>62</v>
      </c>
      <c r="D1142" t="s">
        <v>172</v>
      </c>
      <c r="E1142">
        <v>0</v>
      </c>
    </row>
    <row r="1143" spans="1:5" x14ac:dyDescent="0.2">
      <c r="A1143" s="13">
        <v>1141</v>
      </c>
      <c r="B1143" s="1">
        <v>43011</v>
      </c>
      <c r="C1143" t="s">
        <v>62</v>
      </c>
      <c r="D1143" t="s">
        <v>72</v>
      </c>
      <c r="E1143">
        <v>3.3885099767416009</v>
      </c>
    </row>
    <row r="1144" spans="1:5" x14ac:dyDescent="0.2">
      <c r="A1144" s="13">
        <v>1142</v>
      </c>
      <c r="B1144" s="1">
        <v>43011</v>
      </c>
      <c r="C1144" t="s">
        <v>62</v>
      </c>
      <c r="D1144" t="s">
        <v>186</v>
      </c>
      <c r="E1144">
        <v>9.4308369692627098E-3</v>
      </c>
    </row>
    <row r="1145" spans="1:5" x14ac:dyDescent="0.2">
      <c r="A1145" s="13">
        <v>1143</v>
      </c>
      <c r="B1145" s="1">
        <v>43011</v>
      </c>
      <c r="C1145" t="s">
        <v>62</v>
      </c>
      <c r="D1145" t="s">
        <v>187</v>
      </c>
      <c r="E1145">
        <v>0</v>
      </c>
    </row>
    <row r="1146" spans="1:5" x14ac:dyDescent="0.2">
      <c r="A1146" s="13">
        <v>1144</v>
      </c>
      <c r="B1146" s="1">
        <v>43011</v>
      </c>
      <c r="C1146" t="s">
        <v>62</v>
      </c>
      <c r="D1146" t="s">
        <v>188</v>
      </c>
      <c r="E1146">
        <v>0</v>
      </c>
    </row>
    <row r="1147" spans="1:5" x14ac:dyDescent="0.2">
      <c r="A1147" s="13">
        <v>1145</v>
      </c>
      <c r="B1147" s="1">
        <v>43011</v>
      </c>
      <c r="C1147" t="s">
        <v>62</v>
      </c>
      <c r="D1147" t="s">
        <v>189</v>
      </c>
      <c r="E1147">
        <v>0</v>
      </c>
    </row>
    <row r="1148" spans="1:5" x14ac:dyDescent="0.2">
      <c r="A1148" s="13">
        <v>1146</v>
      </c>
      <c r="B1148" s="1">
        <v>43011</v>
      </c>
      <c r="C1148" t="s">
        <v>62</v>
      </c>
      <c r="D1148" t="s">
        <v>190</v>
      </c>
      <c r="E1148">
        <v>0</v>
      </c>
    </row>
    <row r="1149" spans="1:5" x14ac:dyDescent="0.2">
      <c r="A1149" s="13">
        <v>1147</v>
      </c>
      <c r="B1149" s="1">
        <v>43011</v>
      </c>
      <c r="C1149" t="s">
        <v>62</v>
      </c>
      <c r="D1149" t="s">
        <v>191</v>
      </c>
      <c r="E1149">
        <v>-2.2572308590675379E-5</v>
      </c>
    </row>
    <row r="1150" spans="1:5" x14ac:dyDescent="0.2">
      <c r="A1150" s="13">
        <v>1148</v>
      </c>
      <c r="B1150" s="1">
        <v>43011</v>
      </c>
      <c r="C1150" t="s">
        <v>63</v>
      </c>
      <c r="D1150" t="s">
        <v>39</v>
      </c>
      <c r="E1150">
        <v>9.7461964451057703E-3</v>
      </c>
    </row>
    <row r="1151" spans="1:5" x14ac:dyDescent="0.2">
      <c r="A1151" s="13">
        <v>1149</v>
      </c>
      <c r="B1151" s="1">
        <v>43011</v>
      </c>
      <c r="C1151" t="s">
        <v>63</v>
      </c>
      <c r="D1151" t="s">
        <v>32</v>
      </c>
      <c r="E1151">
        <v>6.8632829093433923E-3</v>
      </c>
    </row>
    <row r="1152" spans="1:5" x14ac:dyDescent="0.2">
      <c r="A1152" s="13">
        <v>1150</v>
      </c>
      <c r="B1152" s="1">
        <v>43011</v>
      </c>
      <c r="C1152" t="s">
        <v>63</v>
      </c>
      <c r="D1152" t="s">
        <v>30</v>
      </c>
      <c r="E1152">
        <v>-2.8389858808047584E-5</v>
      </c>
    </row>
    <row r="1153" spans="1:5" x14ac:dyDescent="0.2">
      <c r="A1153" s="13">
        <v>1151</v>
      </c>
      <c r="B1153" s="1">
        <v>43011</v>
      </c>
      <c r="C1153" t="s">
        <v>63</v>
      </c>
      <c r="D1153" t="s">
        <v>49</v>
      </c>
      <c r="E1153">
        <v>-1.3077893406582224E-6</v>
      </c>
    </row>
    <row r="1154" spans="1:5" x14ac:dyDescent="0.2">
      <c r="A1154" s="13">
        <v>1152</v>
      </c>
      <c r="B1154" s="1">
        <v>43011</v>
      </c>
      <c r="C1154" t="s">
        <v>63</v>
      </c>
      <c r="D1154" t="s">
        <v>145</v>
      </c>
      <c r="E1154">
        <v>0</v>
      </c>
    </row>
    <row r="1155" spans="1:5" x14ac:dyDescent="0.2">
      <c r="A1155" s="13">
        <v>1153</v>
      </c>
      <c r="B1155" s="1">
        <v>43011</v>
      </c>
      <c r="C1155" t="s">
        <v>63</v>
      </c>
      <c r="D1155" t="s">
        <v>233</v>
      </c>
      <c r="E1155">
        <v>0</v>
      </c>
    </row>
    <row r="1156" spans="1:5" x14ac:dyDescent="0.2">
      <c r="A1156" s="13">
        <v>1154</v>
      </c>
      <c r="B1156" s="1">
        <v>43011</v>
      </c>
      <c r="C1156" t="s">
        <v>63</v>
      </c>
      <c r="D1156" t="s">
        <v>172</v>
      </c>
      <c r="E1156">
        <v>0</v>
      </c>
    </row>
    <row r="1157" spans="1:5" x14ac:dyDescent="0.2">
      <c r="A1157" s="13">
        <v>1155</v>
      </c>
      <c r="B1157" s="1">
        <v>43011</v>
      </c>
      <c r="C1157" t="s">
        <v>63</v>
      </c>
      <c r="D1157" t="s">
        <v>72</v>
      </c>
      <c r="E1157">
        <v>5.9327529157491581</v>
      </c>
    </row>
    <row r="1158" spans="1:5" x14ac:dyDescent="0.2">
      <c r="A1158" s="13">
        <v>1156</v>
      </c>
      <c r="B1158" s="1">
        <v>43011</v>
      </c>
      <c r="C1158" t="s">
        <v>63</v>
      </c>
      <c r="D1158" t="s">
        <v>186</v>
      </c>
      <c r="E1158">
        <v>1.6609479354449157E-2</v>
      </c>
    </row>
    <row r="1159" spans="1:5" x14ac:dyDescent="0.2">
      <c r="A1159" s="13">
        <v>1157</v>
      </c>
      <c r="B1159" s="1">
        <v>43011</v>
      </c>
      <c r="C1159" t="s">
        <v>63</v>
      </c>
      <c r="D1159" t="s">
        <v>187</v>
      </c>
      <c r="E1159">
        <v>0</v>
      </c>
    </row>
    <row r="1160" spans="1:5" x14ac:dyDescent="0.2">
      <c r="A1160" s="13">
        <v>1158</v>
      </c>
      <c r="B1160" s="1">
        <v>43011</v>
      </c>
      <c r="C1160" t="s">
        <v>63</v>
      </c>
      <c r="D1160" t="s">
        <v>188</v>
      </c>
      <c r="E1160">
        <v>0</v>
      </c>
    </row>
    <row r="1161" spans="1:5" x14ac:dyDescent="0.2">
      <c r="A1161" s="13">
        <v>1159</v>
      </c>
      <c r="B1161" s="1">
        <v>43011</v>
      </c>
      <c r="C1161" t="s">
        <v>63</v>
      </c>
      <c r="D1161" t="s">
        <v>189</v>
      </c>
      <c r="E1161">
        <v>0</v>
      </c>
    </row>
    <row r="1162" spans="1:5" x14ac:dyDescent="0.2">
      <c r="A1162" s="13">
        <v>1160</v>
      </c>
      <c r="B1162" s="1">
        <v>43011</v>
      </c>
      <c r="C1162" t="s">
        <v>63</v>
      </c>
      <c r="D1162" t="s">
        <v>190</v>
      </c>
      <c r="E1162">
        <v>0</v>
      </c>
    </row>
    <row r="1163" spans="1:5" x14ac:dyDescent="0.2">
      <c r="A1163" s="13">
        <v>1161</v>
      </c>
      <c r="B1163" s="1">
        <v>43011</v>
      </c>
      <c r="C1163" t="s">
        <v>63</v>
      </c>
      <c r="D1163" t="s">
        <v>191</v>
      </c>
      <c r="E1163">
        <v>-2.9697648148705805E-5</v>
      </c>
    </row>
    <row r="1164" spans="1:5" x14ac:dyDescent="0.2">
      <c r="A1164" s="13">
        <v>1162</v>
      </c>
      <c r="B1164" s="1">
        <v>43011</v>
      </c>
      <c r="C1164" t="s">
        <v>103</v>
      </c>
      <c r="D1164" t="s">
        <v>39</v>
      </c>
      <c r="E1164">
        <v>1.7536227651404675E-2</v>
      </c>
    </row>
    <row r="1165" spans="1:5" x14ac:dyDescent="0.2">
      <c r="A1165" s="13">
        <v>1163</v>
      </c>
      <c r="B1165" s="1">
        <v>43011</v>
      </c>
      <c r="C1165" t="s">
        <v>103</v>
      </c>
      <c r="D1165" t="s">
        <v>32</v>
      </c>
      <c r="E1165">
        <v>0</v>
      </c>
    </row>
    <row r="1166" spans="1:5" x14ac:dyDescent="0.2">
      <c r="A1166" s="13">
        <v>1164</v>
      </c>
      <c r="B1166" s="1">
        <v>43011</v>
      </c>
      <c r="C1166" t="s">
        <v>103</v>
      </c>
      <c r="D1166" t="s">
        <v>30</v>
      </c>
      <c r="E1166">
        <v>0</v>
      </c>
    </row>
    <row r="1167" spans="1:5" x14ac:dyDescent="0.2">
      <c r="A1167" s="13">
        <v>1165</v>
      </c>
      <c r="B1167" s="1">
        <v>43011</v>
      </c>
      <c r="C1167" t="s">
        <v>103</v>
      </c>
      <c r="D1167" t="s">
        <v>49</v>
      </c>
      <c r="E1167">
        <v>0</v>
      </c>
    </row>
    <row r="1168" spans="1:5" x14ac:dyDescent="0.2">
      <c r="A1168" s="13">
        <v>1166</v>
      </c>
      <c r="B1168" s="1">
        <v>43011</v>
      </c>
      <c r="C1168" t="s">
        <v>103</v>
      </c>
      <c r="D1168" t="s">
        <v>145</v>
      </c>
      <c r="E1168">
        <v>0</v>
      </c>
    </row>
    <row r="1169" spans="1:5" x14ac:dyDescent="0.2">
      <c r="A1169" s="13">
        <v>1167</v>
      </c>
      <c r="B1169" s="1">
        <v>43011</v>
      </c>
      <c r="C1169" t="s">
        <v>103</v>
      </c>
      <c r="D1169" t="s">
        <v>233</v>
      </c>
      <c r="E1169">
        <v>0</v>
      </c>
    </row>
    <row r="1170" spans="1:5" x14ac:dyDescent="0.2">
      <c r="A1170" s="13">
        <v>1168</v>
      </c>
      <c r="B1170" s="1">
        <v>43011</v>
      </c>
      <c r="C1170" t="s">
        <v>103</v>
      </c>
      <c r="D1170" t="s">
        <v>172</v>
      </c>
      <c r="E1170">
        <v>0</v>
      </c>
    </row>
    <row r="1171" spans="1:5" x14ac:dyDescent="0.2">
      <c r="A1171" s="13">
        <v>1169</v>
      </c>
      <c r="B1171" s="1">
        <v>43011</v>
      </c>
      <c r="C1171" t="s">
        <v>103</v>
      </c>
      <c r="D1171" t="s">
        <v>72</v>
      </c>
      <c r="E1171">
        <v>0</v>
      </c>
    </row>
    <row r="1172" spans="1:5" x14ac:dyDescent="0.2">
      <c r="A1172" s="13">
        <v>1170</v>
      </c>
      <c r="B1172" s="1">
        <v>43011</v>
      </c>
      <c r="C1172" t="s">
        <v>103</v>
      </c>
      <c r="D1172" t="s">
        <v>186</v>
      </c>
      <c r="E1172">
        <v>1.7536227651404675E-2</v>
      </c>
    </row>
    <row r="1173" spans="1:5" x14ac:dyDescent="0.2">
      <c r="A1173" s="13">
        <v>1171</v>
      </c>
      <c r="B1173" s="1">
        <v>43011</v>
      </c>
      <c r="C1173" t="s">
        <v>103</v>
      </c>
      <c r="D1173" t="s">
        <v>187</v>
      </c>
      <c r="E1173">
        <v>0</v>
      </c>
    </row>
    <row r="1174" spans="1:5" x14ac:dyDescent="0.2">
      <c r="A1174" s="13">
        <v>1172</v>
      </c>
      <c r="B1174" s="1">
        <v>43011</v>
      </c>
      <c r="C1174" t="s">
        <v>103</v>
      </c>
      <c r="D1174" t="s">
        <v>188</v>
      </c>
      <c r="E1174">
        <v>0</v>
      </c>
    </row>
    <row r="1175" spans="1:5" x14ac:dyDescent="0.2">
      <c r="A1175" s="13">
        <v>1173</v>
      </c>
      <c r="B1175" s="1">
        <v>43011</v>
      </c>
      <c r="C1175" t="s">
        <v>103</v>
      </c>
      <c r="D1175" t="s">
        <v>189</v>
      </c>
      <c r="E1175">
        <v>0</v>
      </c>
    </row>
    <row r="1176" spans="1:5" x14ac:dyDescent="0.2">
      <c r="A1176" s="13">
        <v>1174</v>
      </c>
      <c r="B1176" s="1">
        <v>43011</v>
      </c>
      <c r="C1176" t="s">
        <v>103</v>
      </c>
      <c r="D1176" t="s">
        <v>190</v>
      </c>
      <c r="E1176">
        <v>0</v>
      </c>
    </row>
    <row r="1177" spans="1:5" x14ac:dyDescent="0.2">
      <c r="A1177" s="13">
        <v>1175</v>
      </c>
      <c r="B1177" s="1">
        <v>43011</v>
      </c>
      <c r="C1177" t="s">
        <v>103</v>
      </c>
      <c r="D1177" t="s">
        <v>191</v>
      </c>
      <c r="E1177">
        <v>0</v>
      </c>
    </row>
    <row r="1178" spans="1:5" x14ac:dyDescent="0.2">
      <c r="A1178" s="13">
        <v>1176</v>
      </c>
      <c r="B1178" s="1">
        <v>43011</v>
      </c>
      <c r="C1178" t="s">
        <v>104</v>
      </c>
      <c r="D1178" t="s">
        <v>39</v>
      </c>
      <c r="E1178">
        <v>7.7281876417120782E-2</v>
      </c>
    </row>
    <row r="1179" spans="1:5" x14ac:dyDescent="0.2">
      <c r="A1179" s="13">
        <v>1177</v>
      </c>
      <c r="B1179" s="1">
        <v>43011</v>
      </c>
      <c r="C1179" t="s">
        <v>104</v>
      </c>
      <c r="D1179" t="s">
        <v>32</v>
      </c>
      <c r="E1179">
        <v>0</v>
      </c>
    </row>
    <row r="1180" spans="1:5" x14ac:dyDescent="0.2">
      <c r="A1180" s="13">
        <v>1178</v>
      </c>
      <c r="B1180" s="1">
        <v>43011</v>
      </c>
      <c r="C1180" t="s">
        <v>104</v>
      </c>
      <c r="D1180" t="s">
        <v>30</v>
      </c>
      <c r="E1180">
        <v>0</v>
      </c>
    </row>
    <row r="1181" spans="1:5" x14ac:dyDescent="0.2">
      <c r="A1181" s="13">
        <v>1179</v>
      </c>
      <c r="B1181" s="1">
        <v>43011</v>
      </c>
      <c r="C1181" t="s">
        <v>104</v>
      </c>
      <c r="D1181" t="s">
        <v>49</v>
      </c>
      <c r="E1181">
        <v>0</v>
      </c>
    </row>
    <row r="1182" spans="1:5" x14ac:dyDescent="0.2">
      <c r="A1182" s="13">
        <v>1180</v>
      </c>
      <c r="B1182" s="1">
        <v>43011</v>
      </c>
      <c r="C1182" t="s">
        <v>104</v>
      </c>
      <c r="D1182" t="s">
        <v>145</v>
      </c>
      <c r="E1182">
        <v>0</v>
      </c>
    </row>
    <row r="1183" spans="1:5" x14ac:dyDescent="0.2">
      <c r="A1183" s="13">
        <v>1181</v>
      </c>
      <c r="B1183" s="1">
        <v>43011</v>
      </c>
      <c r="C1183" t="s">
        <v>104</v>
      </c>
      <c r="D1183" t="s">
        <v>233</v>
      </c>
      <c r="E1183">
        <v>0</v>
      </c>
    </row>
    <row r="1184" spans="1:5" x14ac:dyDescent="0.2">
      <c r="A1184" s="13">
        <v>1182</v>
      </c>
      <c r="B1184" s="1">
        <v>43011</v>
      </c>
      <c r="C1184" t="s">
        <v>104</v>
      </c>
      <c r="D1184" t="s">
        <v>172</v>
      </c>
      <c r="E1184">
        <v>0</v>
      </c>
    </row>
    <row r="1185" spans="1:5" x14ac:dyDescent="0.2">
      <c r="A1185" s="13">
        <v>1183</v>
      </c>
      <c r="B1185" s="1">
        <v>43011</v>
      </c>
      <c r="C1185" t="s">
        <v>104</v>
      </c>
      <c r="D1185" t="s">
        <v>72</v>
      </c>
      <c r="E1185">
        <v>0</v>
      </c>
    </row>
    <row r="1186" spans="1:5" x14ac:dyDescent="0.2">
      <c r="A1186" s="13">
        <v>1184</v>
      </c>
      <c r="B1186" s="1">
        <v>43011</v>
      </c>
      <c r="C1186" t="s">
        <v>104</v>
      </c>
      <c r="D1186" t="s">
        <v>186</v>
      </c>
      <c r="E1186">
        <v>7.7281876417120782E-2</v>
      </c>
    </row>
    <row r="1187" spans="1:5" x14ac:dyDescent="0.2">
      <c r="A1187" s="13">
        <v>1185</v>
      </c>
      <c r="B1187" s="1">
        <v>43011</v>
      </c>
      <c r="C1187" t="s">
        <v>104</v>
      </c>
      <c r="D1187" t="s">
        <v>187</v>
      </c>
      <c r="E1187">
        <v>0</v>
      </c>
    </row>
    <row r="1188" spans="1:5" x14ac:dyDescent="0.2">
      <c r="A1188" s="13">
        <v>1186</v>
      </c>
      <c r="B1188" s="1">
        <v>43011</v>
      </c>
      <c r="C1188" t="s">
        <v>104</v>
      </c>
      <c r="D1188" t="s">
        <v>188</v>
      </c>
      <c r="E1188">
        <v>0</v>
      </c>
    </row>
    <row r="1189" spans="1:5" x14ac:dyDescent="0.2">
      <c r="A1189" s="13">
        <v>1187</v>
      </c>
      <c r="B1189" s="1">
        <v>43011</v>
      </c>
      <c r="C1189" t="s">
        <v>104</v>
      </c>
      <c r="D1189" t="s">
        <v>189</v>
      </c>
      <c r="E1189">
        <v>0</v>
      </c>
    </row>
    <row r="1190" spans="1:5" x14ac:dyDescent="0.2">
      <c r="A1190" s="13">
        <v>1188</v>
      </c>
      <c r="B1190" s="1">
        <v>43011</v>
      </c>
      <c r="C1190" t="s">
        <v>104</v>
      </c>
      <c r="D1190" t="s">
        <v>190</v>
      </c>
      <c r="E1190">
        <v>0</v>
      </c>
    </row>
    <row r="1191" spans="1:5" x14ac:dyDescent="0.2">
      <c r="A1191" s="13">
        <v>1189</v>
      </c>
      <c r="B1191" s="1">
        <v>43011</v>
      </c>
      <c r="C1191" t="s">
        <v>104</v>
      </c>
      <c r="D1191" t="s">
        <v>191</v>
      </c>
      <c r="E1191">
        <v>0</v>
      </c>
    </row>
    <row r="1192" spans="1:5" x14ac:dyDescent="0.2">
      <c r="A1192" s="13">
        <v>1190</v>
      </c>
      <c r="B1192" s="1">
        <v>43011</v>
      </c>
      <c r="C1192" t="s">
        <v>151</v>
      </c>
      <c r="D1192" t="s">
        <v>39</v>
      </c>
      <c r="E1192">
        <v>0</v>
      </c>
    </row>
    <row r="1193" spans="1:5" x14ac:dyDescent="0.2">
      <c r="A1193" s="13">
        <v>1191</v>
      </c>
      <c r="B1193" s="1">
        <v>43011</v>
      </c>
      <c r="C1193" t="s">
        <v>151</v>
      </c>
      <c r="D1193" t="s">
        <v>32</v>
      </c>
      <c r="E1193">
        <v>0</v>
      </c>
    </row>
    <row r="1194" spans="1:5" x14ac:dyDescent="0.2">
      <c r="A1194" s="13">
        <v>1192</v>
      </c>
      <c r="B1194" s="1">
        <v>43011</v>
      </c>
      <c r="C1194" t="s">
        <v>151</v>
      </c>
      <c r="D1194" t="s">
        <v>30</v>
      </c>
      <c r="E1194">
        <v>5.0129343390000027E-3</v>
      </c>
    </row>
    <row r="1195" spans="1:5" x14ac:dyDescent="0.2">
      <c r="A1195" s="13">
        <v>1193</v>
      </c>
      <c r="B1195" s="1">
        <v>43011</v>
      </c>
      <c r="C1195" t="s">
        <v>151</v>
      </c>
      <c r="D1195" t="s">
        <v>49</v>
      </c>
      <c r="E1195">
        <v>0</v>
      </c>
    </row>
    <row r="1196" spans="1:5" x14ac:dyDescent="0.2">
      <c r="A1196" s="13">
        <v>1194</v>
      </c>
      <c r="B1196" s="1">
        <v>43011</v>
      </c>
      <c r="C1196" t="s">
        <v>151</v>
      </c>
      <c r="D1196" t="s">
        <v>145</v>
      </c>
      <c r="E1196">
        <v>0</v>
      </c>
    </row>
    <row r="1197" spans="1:5" x14ac:dyDescent="0.2">
      <c r="A1197" s="13">
        <v>1195</v>
      </c>
      <c r="B1197" s="1">
        <v>43011</v>
      </c>
      <c r="C1197" t="s">
        <v>151</v>
      </c>
      <c r="D1197" t="s">
        <v>233</v>
      </c>
      <c r="E1197">
        <v>0</v>
      </c>
    </row>
    <row r="1198" spans="1:5" x14ac:dyDescent="0.2">
      <c r="A1198" s="13">
        <v>1196</v>
      </c>
      <c r="B1198" s="1">
        <v>43011</v>
      </c>
      <c r="C1198" t="s">
        <v>151</v>
      </c>
      <c r="D1198" t="s">
        <v>172</v>
      </c>
      <c r="E1198">
        <v>0</v>
      </c>
    </row>
    <row r="1199" spans="1:5" x14ac:dyDescent="0.2">
      <c r="A1199" s="13">
        <v>1197</v>
      </c>
      <c r="B1199" s="1">
        <v>43011</v>
      </c>
      <c r="C1199" t="s">
        <v>151</v>
      </c>
      <c r="D1199" t="s">
        <v>72</v>
      </c>
      <c r="E1199">
        <v>6.6675042289619766</v>
      </c>
    </row>
    <row r="1200" spans="1:5" x14ac:dyDescent="0.2">
      <c r="A1200" s="13">
        <v>1198</v>
      </c>
      <c r="B1200" s="1">
        <v>43011</v>
      </c>
      <c r="C1200" t="s">
        <v>151</v>
      </c>
      <c r="D1200" t="s">
        <v>186</v>
      </c>
      <c r="E1200">
        <v>3.9181397944646227E-4</v>
      </c>
    </row>
    <row r="1201" spans="1:5" x14ac:dyDescent="0.2">
      <c r="A1201" s="13">
        <v>1199</v>
      </c>
      <c r="B1201" s="1">
        <v>43011</v>
      </c>
      <c r="C1201" t="s">
        <v>151</v>
      </c>
      <c r="D1201" t="s">
        <v>187</v>
      </c>
      <c r="E1201">
        <v>2.5041712727744418E-3</v>
      </c>
    </row>
    <row r="1202" spans="1:5" x14ac:dyDescent="0.2">
      <c r="A1202" s="13">
        <v>1200</v>
      </c>
      <c r="B1202" s="1">
        <v>43011</v>
      </c>
      <c r="C1202" t="s">
        <v>151</v>
      </c>
      <c r="D1202" t="s">
        <v>188</v>
      </c>
      <c r="E1202">
        <v>9.7371041756593596E-4</v>
      </c>
    </row>
    <row r="1203" spans="1:5" x14ac:dyDescent="0.2">
      <c r="A1203" s="13">
        <v>1201</v>
      </c>
      <c r="B1203" s="1">
        <v>43011</v>
      </c>
      <c r="C1203" t="s">
        <v>151</v>
      </c>
      <c r="D1203" t="s">
        <v>189</v>
      </c>
      <c r="E1203">
        <v>4.9100238279077709E-4</v>
      </c>
    </row>
    <row r="1204" spans="1:5" x14ac:dyDescent="0.2">
      <c r="A1204" s="13">
        <v>1202</v>
      </c>
      <c r="B1204" s="1">
        <v>43011</v>
      </c>
      <c r="C1204" t="s">
        <v>151</v>
      </c>
      <c r="D1204" t="s">
        <v>190</v>
      </c>
      <c r="E1204">
        <v>1.268714451007332E-3</v>
      </c>
    </row>
    <row r="1205" spans="1:5" x14ac:dyDescent="0.2">
      <c r="A1205" s="13">
        <v>1203</v>
      </c>
      <c r="B1205" s="1">
        <v>43011</v>
      </c>
      <c r="C1205" t="s">
        <v>151</v>
      </c>
      <c r="D1205" t="s">
        <v>191</v>
      </c>
      <c r="E1205">
        <v>-6.1647816458494783E-4</v>
      </c>
    </row>
    <row r="1206" spans="1:5" x14ac:dyDescent="0.2">
      <c r="A1206" s="13">
        <v>1204</v>
      </c>
      <c r="B1206" s="1">
        <v>43011</v>
      </c>
      <c r="C1206" t="s">
        <v>29</v>
      </c>
      <c r="D1206" t="s">
        <v>39</v>
      </c>
      <c r="E1206">
        <v>-2.5763444544214601E-5</v>
      </c>
    </row>
    <row r="1207" spans="1:5" x14ac:dyDescent="0.2">
      <c r="A1207" s="13">
        <v>1205</v>
      </c>
      <c r="B1207" s="1">
        <v>43011</v>
      </c>
      <c r="C1207" t="s">
        <v>29</v>
      </c>
      <c r="D1207" t="s">
        <v>32</v>
      </c>
      <c r="E1207">
        <v>1.8606242969684856E-3</v>
      </c>
    </row>
    <row r="1208" spans="1:5" x14ac:dyDescent="0.2">
      <c r="A1208" s="13">
        <v>1206</v>
      </c>
      <c r="B1208" s="1">
        <v>43011</v>
      </c>
      <c r="C1208" t="s">
        <v>29</v>
      </c>
      <c r="D1208" t="s">
        <v>30</v>
      </c>
      <c r="E1208">
        <v>8.9260964562905618E-6</v>
      </c>
    </row>
    <row r="1209" spans="1:5" x14ac:dyDescent="0.2">
      <c r="A1209" s="13">
        <v>1207</v>
      </c>
      <c r="B1209" s="1">
        <v>43011</v>
      </c>
      <c r="C1209" t="s">
        <v>29</v>
      </c>
      <c r="D1209" t="s">
        <v>49</v>
      </c>
      <c r="E1209">
        <v>0</v>
      </c>
    </row>
    <row r="1210" spans="1:5" x14ac:dyDescent="0.2">
      <c r="A1210" s="13">
        <v>1208</v>
      </c>
      <c r="B1210" s="1">
        <v>43011</v>
      </c>
      <c r="C1210" t="s">
        <v>29</v>
      </c>
      <c r="D1210" t="s">
        <v>145</v>
      </c>
      <c r="E1210">
        <v>0</v>
      </c>
    </row>
    <row r="1211" spans="1:5" x14ac:dyDescent="0.2">
      <c r="A1211" s="13">
        <v>1209</v>
      </c>
      <c r="B1211" s="1">
        <v>43011</v>
      </c>
      <c r="C1211" t="s">
        <v>29</v>
      </c>
      <c r="D1211" t="s">
        <v>233</v>
      </c>
      <c r="E1211">
        <v>0</v>
      </c>
    </row>
    <row r="1212" spans="1:5" x14ac:dyDescent="0.2">
      <c r="A1212" s="13">
        <v>1210</v>
      </c>
      <c r="B1212" s="1">
        <v>43011</v>
      </c>
      <c r="C1212" t="s">
        <v>29</v>
      </c>
      <c r="D1212" t="s">
        <v>172</v>
      </c>
      <c r="E1212">
        <v>0</v>
      </c>
    </row>
    <row r="1213" spans="1:5" x14ac:dyDescent="0.2">
      <c r="A1213" s="13">
        <v>1211</v>
      </c>
      <c r="B1213" s="1">
        <v>43011</v>
      </c>
      <c r="C1213" t="s">
        <v>29</v>
      </c>
      <c r="D1213" t="s">
        <v>72</v>
      </c>
      <c r="E1213">
        <v>4.7483515795038622</v>
      </c>
    </row>
    <row r="1214" spans="1:5" x14ac:dyDescent="0.2">
      <c r="A1214" s="13">
        <v>1212</v>
      </c>
      <c r="B1214" s="1">
        <v>43011</v>
      </c>
      <c r="C1214" t="s">
        <v>29</v>
      </c>
      <c r="D1214" t="s">
        <v>186</v>
      </c>
      <c r="E1214">
        <v>8.7310706244398317E-4</v>
      </c>
    </row>
    <row r="1215" spans="1:5" x14ac:dyDescent="0.2">
      <c r="A1215" s="13">
        <v>1213</v>
      </c>
      <c r="B1215" s="1">
        <v>43011</v>
      </c>
      <c r="C1215" t="s">
        <v>29</v>
      </c>
      <c r="D1215" t="s">
        <v>187</v>
      </c>
      <c r="E1215">
        <v>0</v>
      </c>
    </row>
    <row r="1216" spans="1:5" x14ac:dyDescent="0.2">
      <c r="A1216" s="13">
        <v>1214</v>
      </c>
      <c r="B1216" s="1">
        <v>43011</v>
      </c>
      <c r="C1216" t="s">
        <v>29</v>
      </c>
      <c r="D1216" t="s">
        <v>188</v>
      </c>
      <c r="E1216">
        <v>0</v>
      </c>
    </row>
    <row r="1217" spans="1:5" x14ac:dyDescent="0.2">
      <c r="A1217" s="13">
        <v>1215</v>
      </c>
      <c r="B1217" s="1">
        <v>43011</v>
      </c>
      <c r="C1217" t="s">
        <v>29</v>
      </c>
      <c r="D1217" t="s">
        <v>189</v>
      </c>
      <c r="E1217">
        <v>0</v>
      </c>
    </row>
    <row r="1218" spans="1:5" x14ac:dyDescent="0.2">
      <c r="A1218" s="13">
        <v>1216</v>
      </c>
      <c r="B1218" s="1">
        <v>43011</v>
      </c>
      <c r="C1218" t="s">
        <v>29</v>
      </c>
      <c r="D1218" t="s">
        <v>190</v>
      </c>
      <c r="E1218">
        <v>0</v>
      </c>
    </row>
    <row r="1219" spans="1:5" x14ac:dyDescent="0.2">
      <c r="A1219" s="13">
        <v>1217</v>
      </c>
      <c r="B1219" s="1">
        <v>43011</v>
      </c>
      <c r="C1219" t="s">
        <v>29</v>
      </c>
      <c r="D1219" t="s">
        <v>191</v>
      </c>
      <c r="E1219">
        <v>9.7067988643657758E-4</v>
      </c>
    </row>
    <row r="1220" spans="1:5" x14ac:dyDescent="0.2">
      <c r="A1220" s="13">
        <v>1218</v>
      </c>
      <c r="B1220" s="1">
        <v>43011</v>
      </c>
      <c r="C1220" t="s">
        <v>87</v>
      </c>
      <c r="D1220" t="s">
        <v>39</v>
      </c>
      <c r="E1220">
        <v>3.98995041669346E-3</v>
      </c>
    </row>
    <row r="1221" spans="1:5" x14ac:dyDescent="0.2">
      <c r="A1221" s="13">
        <v>1219</v>
      </c>
      <c r="B1221" s="1">
        <v>43011</v>
      </c>
      <c r="C1221" t="s">
        <v>87</v>
      </c>
      <c r="D1221" t="s">
        <v>32</v>
      </c>
      <c r="E1221">
        <v>1.6076053473361898E-2</v>
      </c>
    </row>
    <row r="1222" spans="1:5" x14ac:dyDescent="0.2">
      <c r="A1222" s="13">
        <v>1220</v>
      </c>
      <c r="B1222" s="1">
        <v>43011</v>
      </c>
      <c r="C1222" t="s">
        <v>87</v>
      </c>
      <c r="D1222" t="s">
        <v>30</v>
      </c>
      <c r="E1222">
        <v>2.2287243531724838E-5</v>
      </c>
    </row>
    <row r="1223" spans="1:5" x14ac:dyDescent="0.2">
      <c r="A1223" s="13">
        <v>1221</v>
      </c>
      <c r="B1223" s="1">
        <v>43011</v>
      </c>
      <c r="C1223" t="s">
        <v>87</v>
      </c>
      <c r="D1223" t="s">
        <v>49</v>
      </c>
      <c r="E1223">
        <v>0</v>
      </c>
    </row>
    <row r="1224" spans="1:5" x14ac:dyDescent="0.2">
      <c r="A1224" s="13">
        <v>1222</v>
      </c>
      <c r="B1224" s="1">
        <v>43011</v>
      </c>
      <c r="C1224" t="s">
        <v>87</v>
      </c>
      <c r="D1224" t="s">
        <v>145</v>
      </c>
      <c r="E1224">
        <v>1.09292447510729E-4</v>
      </c>
    </row>
    <row r="1225" spans="1:5" x14ac:dyDescent="0.2">
      <c r="A1225" s="13">
        <v>1223</v>
      </c>
      <c r="B1225" s="1">
        <v>43011</v>
      </c>
      <c r="C1225" t="s">
        <v>87</v>
      </c>
      <c r="D1225" t="s">
        <v>233</v>
      </c>
      <c r="E1225">
        <v>0</v>
      </c>
    </row>
    <row r="1226" spans="1:5" x14ac:dyDescent="0.2">
      <c r="A1226" s="13">
        <v>1224</v>
      </c>
      <c r="B1226" s="1">
        <v>43011</v>
      </c>
      <c r="C1226" t="s">
        <v>87</v>
      </c>
      <c r="D1226" t="s">
        <v>172</v>
      </c>
      <c r="E1226">
        <v>0</v>
      </c>
    </row>
    <row r="1227" spans="1:5" x14ac:dyDescent="0.2">
      <c r="A1227" s="13">
        <v>1225</v>
      </c>
      <c r="B1227" s="1">
        <v>43011</v>
      </c>
      <c r="C1227" t="s">
        <v>87</v>
      </c>
      <c r="D1227" t="s">
        <v>72</v>
      </c>
      <c r="E1227">
        <v>9.4395997368721893</v>
      </c>
    </row>
    <row r="1228" spans="1:5" x14ac:dyDescent="0.2">
      <c r="A1228" s="13">
        <v>1226</v>
      </c>
      <c r="B1228" s="1">
        <v>43011</v>
      </c>
      <c r="C1228" t="s">
        <v>87</v>
      </c>
      <c r="D1228" t="s">
        <v>186</v>
      </c>
      <c r="E1228">
        <v>2.0072098211113543E-2</v>
      </c>
    </row>
    <row r="1229" spans="1:5" x14ac:dyDescent="0.2">
      <c r="A1229" s="13">
        <v>1227</v>
      </c>
      <c r="B1229" s="1">
        <v>43011</v>
      </c>
      <c r="C1229" t="s">
        <v>87</v>
      </c>
      <c r="D1229" t="s">
        <v>187</v>
      </c>
      <c r="E1229">
        <v>1.1640814361348965E-4</v>
      </c>
    </row>
    <row r="1230" spans="1:5" x14ac:dyDescent="0.2">
      <c r="A1230" s="13">
        <v>1228</v>
      </c>
      <c r="B1230" s="1">
        <v>43011</v>
      </c>
      <c r="C1230" t="s">
        <v>87</v>
      </c>
      <c r="D1230" t="s">
        <v>188</v>
      </c>
      <c r="E1230">
        <v>5.1333658793628429E-6</v>
      </c>
    </row>
    <row r="1231" spans="1:5" x14ac:dyDescent="0.2">
      <c r="A1231" s="13">
        <v>1229</v>
      </c>
      <c r="B1231" s="1">
        <v>43011</v>
      </c>
      <c r="C1231" t="s">
        <v>87</v>
      </c>
      <c r="D1231" t="s">
        <v>189</v>
      </c>
      <c r="E1231">
        <v>6.1559463811148985E-6</v>
      </c>
    </row>
    <row r="1232" spans="1:5" x14ac:dyDescent="0.2">
      <c r="A1232" s="13">
        <v>1230</v>
      </c>
      <c r="B1232" s="1">
        <v>43011</v>
      </c>
      <c r="C1232" t="s">
        <v>87</v>
      </c>
      <c r="D1232" t="s">
        <v>190</v>
      </c>
      <c r="E1232">
        <v>3.198460105341115E-6</v>
      </c>
    </row>
    <row r="1233" spans="1:5" x14ac:dyDescent="0.2">
      <c r="A1233" s="13">
        <v>1231</v>
      </c>
      <c r="B1233" s="1">
        <v>43011</v>
      </c>
      <c r="C1233" t="s">
        <v>87</v>
      </c>
      <c r="D1233" t="s">
        <v>191</v>
      </c>
      <c r="E1233">
        <v>-5.4105459950367733E-6</v>
      </c>
    </row>
    <row r="1234" spans="1:5" x14ac:dyDescent="0.2">
      <c r="A1234" s="13">
        <v>1232</v>
      </c>
      <c r="B1234" s="1">
        <v>43011</v>
      </c>
      <c r="C1234" t="s">
        <v>61</v>
      </c>
      <c r="D1234" t="s">
        <v>39</v>
      </c>
      <c r="E1234">
        <v>2.0772330454760131E-3</v>
      </c>
    </row>
    <row r="1235" spans="1:5" x14ac:dyDescent="0.2">
      <c r="A1235" s="13">
        <v>1233</v>
      </c>
      <c r="B1235" s="1">
        <v>43011</v>
      </c>
      <c r="C1235" t="s">
        <v>61</v>
      </c>
      <c r="D1235" t="s">
        <v>32</v>
      </c>
      <c r="E1235">
        <v>1.2497529807164603E-2</v>
      </c>
    </row>
    <row r="1236" spans="1:5" x14ac:dyDescent="0.2">
      <c r="A1236" s="13">
        <v>1234</v>
      </c>
      <c r="B1236" s="1">
        <v>43011</v>
      </c>
      <c r="C1236" t="s">
        <v>61</v>
      </c>
      <c r="D1236" t="s">
        <v>30</v>
      </c>
      <c r="E1236">
        <v>0</v>
      </c>
    </row>
    <row r="1237" spans="1:5" x14ac:dyDescent="0.2">
      <c r="A1237" s="13">
        <v>1235</v>
      </c>
      <c r="B1237" s="1">
        <v>43011</v>
      </c>
      <c r="C1237" t="s">
        <v>61</v>
      </c>
      <c r="D1237" t="s">
        <v>49</v>
      </c>
      <c r="E1237">
        <v>0</v>
      </c>
    </row>
    <row r="1238" spans="1:5" x14ac:dyDescent="0.2">
      <c r="A1238" s="13">
        <v>1236</v>
      </c>
      <c r="B1238" s="1">
        <v>43011</v>
      </c>
      <c r="C1238" t="s">
        <v>61</v>
      </c>
      <c r="D1238" t="s">
        <v>145</v>
      </c>
      <c r="E1238">
        <v>0</v>
      </c>
    </row>
    <row r="1239" spans="1:5" x14ac:dyDescent="0.2">
      <c r="A1239" s="13">
        <v>1237</v>
      </c>
      <c r="B1239" s="1">
        <v>43011</v>
      </c>
      <c r="C1239" t="s">
        <v>61</v>
      </c>
      <c r="D1239" t="s">
        <v>233</v>
      </c>
      <c r="E1239">
        <v>0</v>
      </c>
    </row>
    <row r="1240" spans="1:5" x14ac:dyDescent="0.2">
      <c r="A1240" s="13">
        <v>1238</v>
      </c>
      <c r="B1240" s="1">
        <v>43011</v>
      </c>
      <c r="C1240" t="s">
        <v>61</v>
      </c>
      <c r="D1240" t="s">
        <v>172</v>
      </c>
      <c r="E1240">
        <v>0</v>
      </c>
    </row>
    <row r="1241" spans="1:5" x14ac:dyDescent="0.2">
      <c r="A1241" s="13">
        <v>1239</v>
      </c>
      <c r="B1241" s="1">
        <v>43011</v>
      </c>
      <c r="C1241" t="s">
        <v>61</v>
      </c>
      <c r="D1241" t="s">
        <v>72</v>
      </c>
      <c r="E1241">
        <v>5.6886825673697832</v>
      </c>
    </row>
    <row r="1242" spans="1:5" x14ac:dyDescent="0.2">
      <c r="A1242" s="13">
        <v>1240</v>
      </c>
      <c r="B1242" s="1">
        <v>43011</v>
      </c>
      <c r="C1242" t="s">
        <v>61</v>
      </c>
      <c r="D1242" t="s">
        <v>186</v>
      </c>
      <c r="E1242">
        <v>1.4574762852640625E-2</v>
      </c>
    </row>
    <row r="1243" spans="1:5" x14ac:dyDescent="0.2">
      <c r="A1243" s="13">
        <v>1241</v>
      </c>
      <c r="B1243" s="1">
        <v>43011</v>
      </c>
      <c r="C1243" t="s">
        <v>61</v>
      </c>
      <c r="D1243" t="s">
        <v>187</v>
      </c>
      <c r="E1243">
        <v>0</v>
      </c>
    </row>
    <row r="1244" spans="1:5" x14ac:dyDescent="0.2">
      <c r="A1244" s="13">
        <v>1242</v>
      </c>
      <c r="B1244" s="1">
        <v>43011</v>
      </c>
      <c r="C1244" t="s">
        <v>61</v>
      </c>
      <c r="D1244" t="s">
        <v>188</v>
      </c>
      <c r="E1244">
        <v>0</v>
      </c>
    </row>
    <row r="1245" spans="1:5" x14ac:dyDescent="0.2">
      <c r="A1245" s="13">
        <v>1243</v>
      </c>
      <c r="B1245" s="1">
        <v>43011</v>
      </c>
      <c r="C1245" t="s">
        <v>61</v>
      </c>
      <c r="D1245" t="s">
        <v>189</v>
      </c>
      <c r="E1245">
        <v>0</v>
      </c>
    </row>
    <row r="1246" spans="1:5" x14ac:dyDescent="0.2">
      <c r="A1246" s="13">
        <v>1244</v>
      </c>
      <c r="B1246" s="1">
        <v>43011</v>
      </c>
      <c r="C1246" t="s">
        <v>61</v>
      </c>
      <c r="D1246" t="s">
        <v>190</v>
      </c>
      <c r="E1246">
        <v>0</v>
      </c>
    </row>
    <row r="1247" spans="1:5" x14ac:dyDescent="0.2">
      <c r="A1247" s="13">
        <v>1245</v>
      </c>
      <c r="B1247" s="1">
        <v>43011</v>
      </c>
      <c r="C1247" t="s">
        <v>61</v>
      </c>
      <c r="D1247" t="s">
        <v>191</v>
      </c>
      <c r="E1247">
        <v>0</v>
      </c>
    </row>
    <row r="1248" spans="1:5" x14ac:dyDescent="0.2">
      <c r="A1248" s="13">
        <v>1246</v>
      </c>
      <c r="B1248" s="1">
        <v>43011</v>
      </c>
      <c r="C1248" t="s">
        <v>53</v>
      </c>
      <c r="D1248" t="s">
        <v>39</v>
      </c>
      <c r="E1248">
        <v>3.34815996339838E-6</v>
      </c>
    </row>
    <row r="1249" spans="1:5" x14ac:dyDescent="0.2">
      <c r="A1249" s="13">
        <v>1247</v>
      </c>
      <c r="B1249" s="1">
        <v>43011</v>
      </c>
      <c r="C1249" t="s">
        <v>53</v>
      </c>
      <c r="D1249" t="s">
        <v>32</v>
      </c>
      <c r="E1249">
        <v>4.7643428544204922E-3</v>
      </c>
    </row>
    <row r="1250" spans="1:5" x14ac:dyDescent="0.2">
      <c r="A1250" s="13">
        <v>1248</v>
      </c>
      <c r="B1250" s="1">
        <v>43011</v>
      </c>
      <c r="C1250" t="s">
        <v>53</v>
      </c>
      <c r="D1250" t="s">
        <v>30</v>
      </c>
      <c r="E1250">
        <v>7.6744488575751187E-4</v>
      </c>
    </row>
    <row r="1251" spans="1:5" x14ac:dyDescent="0.2">
      <c r="A1251" s="13">
        <v>1249</v>
      </c>
      <c r="B1251" s="1">
        <v>43011</v>
      </c>
      <c r="C1251" t="s">
        <v>53</v>
      </c>
      <c r="D1251" t="s">
        <v>49</v>
      </c>
      <c r="E1251">
        <v>0</v>
      </c>
    </row>
    <row r="1252" spans="1:5" x14ac:dyDescent="0.2">
      <c r="A1252" s="13">
        <v>1250</v>
      </c>
      <c r="B1252" s="1">
        <v>43011</v>
      </c>
      <c r="C1252" t="s">
        <v>53</v>
      </c>
      <c r="D1252" t="s">
        <v>145</v>
      </c>
      <c r="E1252">
        <v>0</v>
      </c>
    </row>
    <row r="1253" spans="1:5" x14ac:dyDescent="0.2">
      <c r="A1253" s="13">
        <v>1251</v>
      </c>
      <c r="B1253" s="1">
        <v>43011</v>
      </c>
      <c r="C1253" t="s">
        <v>53</v>
      </c>
      <c r="D1253" t="s">
        <v>233</v>
      </c>
      <c r="E1253">
        <v>0</v>
      </c>
    </row>
    <row r="1254" spans="1:5" x14ac:dyDescent="0.2">
      <c r="A1254" s="13">
        <v>1252</v>
      </c>
      <c r="B1254" s="1">
        <v>43011</v>
      </c>
      <c r="C1254" t="s">
        <v>53</v>
      </c>
      <c r="D1254" t="s">
        <v>172</v>
      </c>
      <c r="E1254">
        <v>0</v>
      </c>
    </row>
    <row r="1255" spans="1:5" x14ac:dyDescent="0.2">
      <c r="A1255" s="13">
        <v>1253</v>
      </c>
      <c r="B1255" s="1">
        <v>43011</v>
      </c>
      <c r="C1255" t="s">
        <v>53</v>
      </c>
      <c r="D1255" t="s">
        <v>72</v>
      </c>
      <c r="E1255">
        <v>6.4482824871548088</v>
      </c>
    </row>
    <row r="1256" spans="1:5" x14ac:dyDescent="0.2">
      <c r="A1256" s="13">
        <v>1254</v>
      </c>
      <c r="B1256" s="1">
        <v>43011</v>
      </c>
      <c r="C1256" t="s">
        <v>53</v>
      </c>
      <c r="D1256" t="s">
        <v>186</v>
      </c>
      <c r="E1256">
        <v>3.8911224298475533E-3</v>
      </c>
    </row>
    <row r="1257" spans="1:5" x14ac:dyDescent="0.2">
      <c r="A1257" s="13">
        <v>1255</v>
      </c>
      <c r="B1257" s="1">
        <v>43011</v>
      </c>
      <c r="C1257" t="s">
        <v>53</v>
      </c>
      <c r="D1257" t="s">
        <v>187</v>
      </c>
      <c r="E1257">
        <v>0</v>
      </c>
    </row>
    <row r="1258" spans="1:5" x14ac:dyDescent="0.2">
      <c r="A1258" s="13">
        <v>1256</v>
      </c>
      <c r="B1258" s="1">
        <v>43011</v>
      </c>
      <c r="C1258" t="s">
        <v>53</v>
      </c>
      <c r="D1258" t="s">
        <v>188</v>
      </c>
      <c r="E1258">
        <v>0</v>
      </c>
    </row>
    <row r="1259" spans="1:5" x14ac:dyDescent="0.2">
      <c r="A1259" s="13">
        <v>1257</v>
      </c>
      <c r="B1259" s="1">
        <v>43011</v>
      </c>
      <c r="C1259" t="s">
        <v>53</v>
      </c>
      <c r="D1259" t="s">
        <v>189</v>
      </c>
      <c r="E1259">
        <v>0</v>
      </c>
    </row>
    <row r="1260" spans="1:5" x14ac:dyDescent="0.2">
      <c r="A1260" s="13">
        <v>1258</v>
      </c>
      <c r="B1260" s="1">
        <v>43011</v>
      </c>
      <c r="C1260" t="s">
        <v>53</v>
      </c>
      <c r="D1260" t="s">
        <v>190</v>
      </c>
      <c r="E1260">
        <v>0</v>
      </c>
    </row>
    <row r="1261" spans="1:5" x14ac:dyDescent="0.2">
      <c r="A1261" s="13">
        <v>1259</v>
      </c>
      <c r="B1261" s="1">
        <v>43011</v>
      </c>
      <c r="C1261" t="s">
        <v>53</v>
      </c>
      <c r="D1261" t="s">
        <v>191</v>
      </c>
      <c r="E1261">
        <v>1.64401347029385E-3</v>
      </c>
    </row>
    <row r="1262" spans="1:5" x14ac:dyDescent="0.2">
      <c r="A1262" s="13">
        <v>1260</v>
      </c>
      <c r="B1262" s="1">
        <v>43010</v>
      </c>
      <c r="C1262" t="s">
        <v>62</v>
      </c>
      <c r="D1262" t="s">
        <v>39</v>
      </c>
      <c r="E1262">
        <v>5.8821102779872654E-3</v>
      </c>
    </row>
    <row r="1263" spans="1:5" x14ac:dyDescent="0.2">
      <c r="A1263" s="13">
        <v>1261</v>
      </c>
      <c r="B1263" s="1">
        <v>43010</v>
      </c>
      <c r="C1263" t="s">
        <v>62</v>
      </c>
      <c r="D1263" t="s">
        <v>32</v>
      </c>
      <c r="E1263">
        <v>3.8381133753509636E-3</v>
      </c>
    </row>
    <row r="1264" spans="1:5" x14ac:dyDescent="0.2">
      <c r="A1264" s="13">
        <v>1262</v>
      </c>
      <c r="B1264" s="1">
        <v>43010</v>
      </c>
      <c r="C1264" t="s">
        <v>62</v>
      </c>
      <c r="D1264" t="s">
        <v>30</v>
      </c>
      <c r="E1264">
        <v>-2.2553537018715218E-5</v>
      </c>
    </row>
    <row r="1265" spans="1:5" x14ac:dyDescent="0.2">
      <c r="A1265" s="13">
        <v>1263</v>
      </c>
      <c r="B1265" s="1">
        <v>43010</v>
      </c>
      <c r="C1265" t="s">
        <v>62</v>
      </c>
      <c r="D1265" t="s">
        <v>49</v>
      </c>
      <c r="E1265">
        <v>-2.0886738151206008E-7</v>
      </c>
    </row>
    <row r="1266" spans="1:5" x14ac:dyDescent="0.2">
      <c r="A1266" s="13">
        <v>1264</v>
      </c>
      <c r="B1266" s="1">
        <v>43010</v>
      </c>
      <c r="C1266" t="s">
        <v>62</v>
      </c>
      <c r="D1266" t="s">
        <v>145</v>
      </c>
      <c r="E1266">
        <v>0</v>
      </c>
    </row>
    <row r="1267" spans="1:5" x14ac:dyDescent="0.2">
      <c r="A1267" s="13">
        <v>1265</v>
      </c>
      <c r="B1267" s="1">
        <v>43010</v>
      </c>
      <c r="C1267" t="s">
        <v>62</v>
      </c>
      <c r="D1267" t="s">
        <v>233</v>
      </c>
      <c r="E1267">
        <v>0</v>
      </c>
    </row>
    <row r="1268" spans="1:5" x14ac:dyDescent="0.2">
      <c r="A1268" s="13">
        <v>1266</v>
      </c>
      <c r="B1268" s="1">
        <v>43010</v>
      </c>
      <c r="C1268" t="s">
        <v>62</v>
      </c>
      <c r="D1268" t="s">
        <v>172</v>
      </c>
      <c r="E1268">
        <v>0</v>
      </c>
    </row>
    <row r="1269" spans="1:5" x14ac:dyDescent="0.2">
      <c r="A1269" s="13">
        <v>1267</v>
      </c>
      <c r="B1269" s="1">
        <v>43010</v>
      </c>
      <c r="C1269" t="s">
        <v>62</v>
      </c>
      <c r="D1269" t="s">
        <v>72</v>
      </c>
      <c r="E1269">
        <v>3.3935182515948092</v>
      </c>
    </row>
    <row r="1270" spans="1:5" x14ac:dyDescent="0.2">
      <c r="A1270" s="13">
        <v>1268</v>
      </c>
      <c r="B1270" s="1">
        <v>43010</v>
      </c>
      <c r="C1270" t="s">
        <v>62</v>
      </c>
      <c r="D1270" t="s">
        <v>186</v>
      </c>
      <c r="E1270">
        <v>9.7202236533382308E-3</v>
      </c>
    </row>
    <row r="1271" spans="1:5" x14ac:dyDescent="0.2">
      <c r="A1271" s="13">
        <v>1269</v>
      </c>
      <c r="B1271" s="1">
        <v>43010</v>
      </c>
      <c r="C1271" t="s">
        <v>62</v>
      </c>
      <c r="D1271" t="s">
        <v>187</v>
      </c>
      <c r="E1271">
        <v>0</v>
      </c>
    </row>
    <row r="1272" spans="1:5" x14ac:dyDescent="0.2">
      <c r="A1272" s="13">
        <v>1270</v>
      </c>
      <c r="B1272" s="1">
        <v>43010</v>
      </c>
      <c r="C1272" t="s">
        <v>62</v>
      </c>
      <c r="D1272" t="s">
        <v>188</v>
      </c>
      <c r="E1272">
        <v>0</v>
      </c>
    </row>
    <row r="1273" spans="1:5" x14ac:dyDescent="0.2">
      <c r="A1273" s="13">
        <v>1271</v>
      </c>
      <c r="B1273" s="1">
        <v>43010</v>
      </c>
      <c r="C1273" t="s">
        <v>62</v>
      </c>
      <c r="D1273" t="s">
        <v>189</v>
      </c>
      <c r="E1273">
        <v>0</v>
      </c>
    </row>
    <row r="1274" spans="1:5" x14ac:dyDescent="0.2">
      <c r="A1274" s="13">
        <v>1272</v>
      </c>
      <c r="B1274" s="1">
        <v>43010</v>
      </c>
      <c r="C1274" t="s">
        <v>62</v>
      </c>
      <c r="D1274" t="s">
        <v>190</v>
      </c>
      <c r="E1274">
        <v>0</v>
      </c>
    </row>
    <row r="1275" spans="1:5" x14ac:dyDescent="0.2">
      <c r="A1275" s="13">
        <v>1273</v>
      </c>
      <c r="B1275" s="1">
        <v>43010</v>
      </c>
      <c r="C1275" t="s">
        <v>62</v>
      </c>
      <c r="D1275" t="s">
        <v>191</v>
      </c>
      <c r="E1275">
        <v>-2.2762404400227277E-5</v>
      </c>
    </row>
    <row r="1276" spans="1:5" x14ac:dyDescent="0.2">
      <c r="A1276" s="13">
        <v>1274</v>
      </c>
      <c r="B1276" s="1">
        <v>43010</v>
      </c>
      <c r="C1276" t="s">
        <v>63</v>
      </c>
      <c r="D1276" t="s">
        <v>39</v>
      </c>
      <c r="E1276">
        <v>1.0029508512152964E-2</v>
      </c>
    </row>
    <row r="1277" spans="1:5" x14ac:dyDescent="0.2">
      <c r="A1277" s="13">
        <v>1275</v>
      </c>
      <c r="B1277" s="1">
        <v>43010</v>
      </c>
      <c r="C1277" t="s">
        <v>63</v>
      </c>
      <c r="D1277" t="s">
        <v>32</v>
      </c>
      <c r="E1277">
        <v>7.0120090619146223E-3</v>
      </c>
    </row>
    <row r="1278" spans="1:5" x14ac:dyDescent="0.2">
      <c r="A1278" s="13">
        <v>1276</v>
      </c>
      <c r="B1278" s="1">
        <v>43010</v>
      </c>
      <c r="C1278" t="s">
        <v>63</v>
      </c>
      <c r="D1278" t="s">
        <v>30</v>
      </c>
      <c r="E1278">
        <v>-2.8019216952800465E-5</v>
      </c>
    </row>
    <row r="1279" spans="1:5" x14ac:dyDescent="0.2">
      <c r="A1279" s="13">
        <v>1277</v>
      </c>
      <c r="B1279" s="1">
        <v>43010</v>
      </c>
      <c r="C1279" t="s">
        <v>63</v>
      </c>
      <c r="D1279" t="s">
        <v>49</v>
      </c>
      <c r="E1279">
        <v>-1.6182620761855418E-6</v>
      </c>
    </row>
    <row r="1280" spans="1:5" x14ac:dyDescent="0.2">
      <c r="A1280" s="13">
        <v>1278</v>
      </c>
      <c r="B1280" s="1">
        <v>43010</v>
      </c>
      <c r="C1280" t="s">
        <v>63</v>
      </c>
      <c r="D1280" t="s">
        <v>145</v>
      </c>
      <c r="E1280">
        <v>0</v>
      </c>
    </row>
    <row r="1281" spans="1:5" x14ac:dyDescent="0.2">
      <c r="A1281" s="13">
        <v>1279</v>
      </c>
      <c r="B1281" s="1">
        <v>43010</v>
      </c>
      <c r="C1281" t="s">
        <v>63</v>
      </c>
      <c r="D1281" t="s">
        <v>233</v>
      </c>
      <c r="E1281">
        <v>0</v>
      </c>
    </row>
    <row r="1282" spans="1:5" x14ac:dyDescent="0.2">
      <c r="A1282" s="13">
        <v>1280</v>
      </c>
      <c r="B1282" s="1">
        <v>43010</v>
      </c>
      <c r="C1282" t="s">
        <v>63</v>
      </c>
      <c r="D1282" t="s">
        <v>172</v>
      </c>
      <c r="E1282">
        <v>0</v>
      </c>
    </row>
    <row r="1283" spans="1:5" x14ac:dyDescent="0.2">
      <c r="A1283" s="13">
        <v>1281</v>
      </c>
      <c r="B1283" s="1">
        <v>43010</v>
      </c>
      <c r="C1283" t="s">
        <v>63</v>
      </c>
      <c r="D1283" t="s">
        <v>72</v>
      </c>
      <c r="E1283">
        <v>5.9396947429302118</v>
      </c>
    </row>
    <row r="1284" spans="1:5" x14ac:dyDescent="0.2">
      <c r="A1284" s="13">
        <v>1282</v>
      </c>
      <c r="B1284" s="1">
        <v>43010</v>
      </c>
      <c r="C1284" t="s">
        <v>63</v>
      </c>
      <c r="D1284" t="s">
        <v>186</v>
      </c>
      <c r="E1284">
        <v>1.7041517574067577E-2</v>
      </c>
    </row>
    <row r="1285" spans="1:5" x14ac:dyDescent="0.2">
      <c r="A1285" s="13">
        <v>1283</v>
      </c>
      <c r="B1285" s="1">
        <v>43010</v>
      </c>
      <c r="C1285" t="s">
        <v>63</v>
      </c>
      <c r="D1285" t="s">
        <v>187</v>
      </c>
      <c r="E1285">
        <v>0</v>
      </c>
    </row>
    <row r="1286" spans="1:5" x14ac:dyDescent="0.2">
      <c r="A1286" s="13">
        <v>1284</v>
      </c>
      <c r="B1286" s="1">
        <v>43010</v>
      </c>
      <c r="C1286" t="s">
        <v>63</v>
      </c>
      <c r="D1286" t="s">
        <v>188</v>
      </c>
      <c r="E1286">
        <v>0</v>
      </c>
    </row>
    <row r="1287" spans="1:5" x14ac:dyDescent="0.2">
      <c r="A1287" s="13">
        <v>1285</v>
      </c>
      <c r="B1287" s="1">
        <v>43010</v>
      </c>
      <c r="C1287" t="s">
        <v>63</v>
      </c>
      <c r="D1287" t="s">
        <v>189</v>
      </c>
      <c r="E1287">
        <v>0</v>
      </c>
    </row>
    <row r="1288" spans="1:5" x14ac:dyDescent="0.2">
      <c r="A1288" s="13">
        <v>1286</v>
      </c>
      <c r="B1288" s="1">
        <v>43010</v>
      </c>
      <c r="C1288" t="s">
        <v>63</v>
      </c>
      <c r="D1288" t="s">
        <v>190</v>
      </c>
      <c r="E1288">
        <v>0</v>
      </c>
    </row>
    <row r="1289" spans="1:5" x14ac:dyDescent="0.2">
      <c r="A1289" s="13">
        <v>1287</v>
      </c>
      <c r="B1289" s="1">
        <v>43010</v>
      </c>
      <c r="C1289" t="s">
        <v>63</v>
      </c>
      <c r="D1289" t="s">
        <v>191</v>
      </c>
      <c r="E1289">
        <v>-2.9637479028986007E-5</v>
      </c>
    </row>
    <row r="1290" spans="1:5" x14ac:dyDescent="0.2">
      <c r="A1290" s="13">
        <v>1288</v>
      </c>
      <c r="B1290" s="1">
        <v>43010</v>
      </c>
      <c r="C1290" t="s">
        <v>103</v>
      </c>
      <c r="D1290" t="s">
        <v>39</v>
      </c>
      <c r="E1290">
        <v>1.9870790421324645E-2</v>
      </c>
    </row>
    <row r="1291" spans="1:5" x14ac:dyDescent="0.2">
      <c r="A1291" s="13">
        <v>1289</v>
      </c>
      <c r="B1291" s="1">
        <v>43010</v>
      </c>
      <c r="C1291" t="s">
        <v>103</v>
      </c>
      <c r="D1291" t="s">
        <v>32</v>
      </c>
      <c r="E1291">
        <v>0</v>
      </c>
    </row>
    <row r="1292" spans="1:5" x14ac:dyDescent="0.2">
      <c r="A1292" s="13">
        <v>1290</v>
      </c>
      <c r="B1292" s="1">
        <v>43010</v>
      </c>
      <c r="C1292" t="s">
        <v>103</v>
      </c>
      <c r="D1292" t="s">
        <v>30</v>
      </c>
      <c r="E1292">
        <v>0</v>
      </c>
    </row>
    <row r="1293" spans="1:5" x14ac:dyDescent="0.2">
      <c r="A1293" s="13">
        <v>1291</v>
      </c>
      <c r="B1293" s="1">
        <v>43010</v>
      </c>
      <c r="C1293" t="s">
        <v>103</v>
      </c>
      <c r="D1293" t="s">
        <v>49</v>
      </c>
      <c r="E1293">
        <v>0</v>
      </c>
    </row>
    <row r="1294" spans="1:5" x14ac:dyDescent="0.2">
      <c r="A1294" s="13">
        <v>1292</v>
      </c>
      <c r="B1294" s="1">
        <v>43010</v>
      </c>
      <c r="C1294" t="s">
        <v>103</v>
      </c>
      <c r="D1294" t="s">
        <v>145</v>
      </c>
      <c r="E1294">
        <v>0</v>
      </c>
    </row>
    <row r="1295" spans="1:5" x14ac:dyDescent="0.2">
      <c r="A1295" s="13">
        <v>1293</v>
      </c>
      <c r="B1295" s="1">
        <v>43010</v>
      </c>
      <c r="C1295" t="s">
        <v>103</v>
      </c>
      <c r="D1295" t="s">
        <v>233</v>
      </c>
      <c r="E1295">
        <v>0</v>
      </c>
    </row>
    <row r="1296" spans="1:5" x14ac:dyDescent="0.2">
      <c r="A1296" s="13">
        <v>1294</v>
      </c>
      <c r="B1296" s="1">
        <v>43010</v>
      </c>
      <c r="C1296" t="s">
        <v>103</v>
      </c>
      <c r="D1296" t="s">
        <v>172</v>
      </c>
      <c r="E1296">
        <v>0</v>
      </c>
    </row>
    <row r="1297" spans="1:5" x14ac:dyDescent="0.2">
      <c r="A1297" s="13">
        <v>1295</v>
      </c>
      <c r="B1297" s="1">
        <v>43010</v>
      </c>
      <c r="C1297" t="s">
        <v>103</v>
      </c>
      <c r="D1297" t="s">
        <v>72</v>
      </c>
      <c r="E1297">
        <v>0</v>
      </c>
    </row>
    <row r="1298" spans="1:5" x14ac:dyDescent="0.2">
      <c r="A1298" s="13">
        <v>1296</v>
      </c>
      <c r="B1298" s="1">
        <v>43010</v>
      </c>
      <c r="C1298" t="s">
        <v>103</v>
      </c>
      <c r="D1298" t="s">
        <v>186</v>
      </c>
      <c r="E1298">
        <v>1.9870790421324645E-2</v>
      </c>
    </row>
    <row r="1299" spans="1:5" x14ac:dyDescent="0.2">
      <c r="A1299" s="13">
        <v>1297</v>
      </c>
      <c r="B1299" s="1">
        <v>43010</v>
      </c>
      <c r="C1299" t="s">
        <v>103</v>
      </c>
      <c r="D1299" t="s">
        <v>187</v>
      </c>
      <c r="E1299">
        <v>0</v>
      </c>
    </row>
    <row r="1300" spans="1:5" x14ac:dyDescent="0.2">
      <c r="A1300" s="13">
        <v>1298</v>
      </c>
      <c r="B1300" s="1">
        <v>43010</v>
      </c>
      <c r="C1300" t="s">
        <v>103</v>
      </c>
      <c r="D1300" t="s">
        <v>188</v>
      </c>
      <c r="E1300">
        <v>0</v>
      </c>
    </row>
    <row r="1301" spans="1:5" x14ac:dyDescent="0.2">
      <c r="A1301" s="13">
        <v>1299</v>
      </c>
      <c r="B1301" s="1">
        <v>43010</v>
      </c>
      <c r="C1301" t="s">
        <v>103</v>
      </c>
      <c r="D1301" t="s">
        <v>189</v>
      </c>
      <c r="E1301">
        <v>0</v>
      </c>
    </row>
    <row r="1302" spans="1:5" x14ac:dyDescent="0.2">
      <c r="A1302" s="13">
        <v>1300</v>
      </c>
      <c r="B1302" s="1">
        <v>43010</v>
      </c>
      <c r="C1302" t="s">
        <v>103</v>
      </c>
      <c r="D1302" t="s">
        <v>190</v>
      </c>
      <c r="E1302">
        <v>0</v>
      </c>
    </row>
    <row r="1303" spans="1:5" x14ac:dyDescent="0.2">
      <c r="A1303" s="13">
        <v>1301</v>
      </c>
      <c r="B1303" s="1">
        <v>43010</v>
      </c>
      <c r="C1303" t="s">
        <v>103</v>
      </c>
      <c r="D1303" t="s">
        <v>191</v>
      </c>
      <c r="E1303">
        <v>0</v>
      </c>
    </row>
    <row r="1304" spans="1:5" x14ac:dyDescent="0.2">
      <c r="A1304" s="13">
        <v>1302</v>
      </c>
      <c r="B1304" s="1">
        <v>43010</v>
      </c>
      <c r="C1304" t="s">
        <v>104</v>
      </c>
      <c r="D1304" t="s">
        <v>39</v>
      </c>
      <c r="E1304">
        <v>7.1866525513602425E-2</v>
      </c>
    </row>
    <row r="1305" spans="1:5" x14ac:dyDescent="0.2">
      <c r="A1305" s="13">
        <v>1303</v>
      </c>
      <c r="B1305" s="1">
        <v>43010</v>
      </c>
      <c r="C1305" t="s">
        <v>104</v>
      </c>
      <c r="D1305" t="s">
        <v>32</v>
      </c>
      <c r="E1305">
        <v>0</v>
      </c>
    </row>
    <row r="1306" spans="1:5" x14ac:dyDescent="0.2">
      <c r="A1306" s="13">
        <v>1304</v>
      </c>
      <c r="B1306" s="1">
        <v>43010</v>
      </c>
      <c r="C1306" t="s">
        <v>104</v>
      </c>
      <c r="D1306" t="s">
        <v>30</v>
      </c>
      <c r="E1306">
        <v>0</v>
      </c>
    </row>
    <row r="1307" spans="1:5" x14ac:dyDescent="0.2">
      <c r="A1307" s="13">
        <v>1305</v>
      </c>
      <c r="B1307" s="1">
        <v>43010</v>
      </c>
      <c r="C1307" t="s">
        <v>104</v>
      </c>
      <c r="D1307" t="s">
        <v>49</v>
      </c>
      <c r="E1307">
        <v>0</v>
      </c>
    </row>
    <row r="1308" spans="1:5" x14ac:dyDescent="0.2">
      <c r="A1308" s="13">
        <v>1306</v>
      </c>
      <c r="B1308" s="1">
        <v>43010</v>
      </c>
      <c r="C1308" t="s">
        <v>104</v>
      </c>
      <c r="D1308" t="s">
        <v>145</v>
      </c>
      <c r="E1308">
        <v>0</v>
      </c>
    </row>
    <row r="1309" spans="1:5" x14ac:dyDescent="0.2">
      <c r="A1309" s="13">
        <v>1307</v>
      </c>
      <c r="B1309" s="1">
        <v>43010</v>
      </c>
      <c r="C1309" t="s">
        <v>104</v>
      </c>
      <c r="D1309" t="s">
        <v>233</v>
      </c>
      <c r="E1309">
        <v>0</v>
      </c>
    </row>
    <row r="1310" spans="1:5" x14ac:dyDescent="0.2">
      <c r="A1310" s="13">
        <v>1308</v>
      </c>
      <c r="B1310" s="1">
        <v>43010</v>
      </c>
      <c r="C1310" t="s">
        <v>104</v>
      </c>
      <c r="D1310" t="s">
        <v>172</v>
      </c>
      <c r="E1310">
        <v>0</v>
      </c>
    </row>
    <row r="1311" spans="1:5" x14ac:dyDescent="0.2">
      <c r="A1311" s="13">
        <v>1309</v>
      </c>
      <c r="B1311" s="1">
        <v>43010</v>
      </c>
      <c r="C1311" t="s">
        <v>104</v>
      </c>
      <c r="D1311" t="s">
        <v>72</v>
      </c>
      <c r="E1311">
        <v>0</v>
      </c>
    </row>
    <row r="1312" spans="1:5" x14ac:dyDescent="0.2">
      <c r="A1312" s="13">
        <v>1310</v>
      </c>
      <c r="B1312" s="1">
        <v>43010</v>
      </c>
      <c r="C1312" t="s">
        <v>104</v>
      </c>
      <c r="D1312" t="s">
        <v>186</v>
      </c>
      <c r="E1312">
        <v>7.1866525513602425E-2</v>
      </c>
    </row>
    <row r="1313" spans="1:5" x14ac:dyDescent="0.2">
      <c r="A1313" s="13">
        <v>1311</v>
      </c>
      <c r="B1313" s="1">
        <v>43010</v>
      </c>
      <c r="C1313" t="s">
        <v>104</v>
      </c>
      <c r="D1313" t="s">
        <v>187</v>
      </c>
      <c r="E1313">
        <v>0</v>
      </c>
    </row>
    <row r="1314" spans="1:5" x14ac:dyDescent="0.2">
      <c r="A1314" s="13">
        <v>1312</v>
      </c>
      <c r="B1314" s="1">
        <v>43010</v>
      </c>
      <c r="C1314" t="s">
        <v>104</v>
      </c>
      <c r="D1314" t="s">
        <v>188</v>
      </c>
      <c r="E1314">
        <v>0</v>
      </c>
    </row>
    <row r="1315" spans="1:5" x14ac:dyDescent="0.2">
      <c r="A1315" s="13">
        <v>1313</v>
      </c>
      <c r="B1315" s="1">
        <v>43010</v>
      </c>
      <c r="C1315" t="s">
        <v>104</v>
      </c>
      <c r="D1315" t="s">
        <v>189</v>
      </c>
      <c r="E1315">
        <v>0</v>
      </c>
    </row>
    <row r="1316" spans="1:5" x14ac:dyDescent="0.2">
      <c r="A1316" s="13">
        <v>1314</v>
      </c>
      <c r="B1316" s="1">
        <v>43010</v>
      </c>
      <c r="C1316" t="s">
        <v>104</v>
      </c>
      <c r="D1316" t="s">
        <v>190</v>
      </c>
      <c r="E1316">
        <v>0</v>
      </c>
    </row>
    <row r="1317" spans="1:5" x14ac:dyDescent="0.2">
      <c r="A1317" s="13">
        <v>1315</v>
      </c>
      <c r="B1317" s="1">
        <v>43010</v>
      </c>
      <c r="C1317" t="s">
        <v>104</v>
      </c>
      <c r="D1317" t="s">
        <v>191</v>
      </c>
      <c r="E1317">
        <v>0</v>
      </c>
    </row>
    <row r="1318" spans="1:5" x14ac:dyDescent="0.2">
      <c r="A1318" s="13">
        <v>1316</v>
      </c>
      <c r="B1318" s="1">
        <v>43010</v>
      </c>
      <c r="C1318" t="s">
        <v>151</v>
      </c>
      <c r="D1318" t="s">
        <v>39</v>
      </c>
      <c r="E1318">
        <v>0</v>
      </c>
    </row>
    <row r="1319" spans="1:5" x14ac:dyDescent="0.2">
      <c r="A1319" s="13">
        <v>1317</v>
      </c>
      <c r="B1319" s="1">
        <v>43010</v>
      </c>
      <c r="C1319" t="s">
        <v>151</v>
      </c>
      <c r="D1319" t="s">
        <v>32</v>
      </c>
      <c r="E1319">
        <v>0</v>
      </c>
    </row>
    <row r="1320" spans="1:5" x14ac:dyDescent="0.2">
      <c r="A1320" s="13">
        <v>1318</v>
      </c>
      <c r="B1320" s="1">
        <v>43010</v>
      </c>
      <c r="C1320" t="s">
        <v>151</v>
      </c>
      <c r="D1320" t="s">
        <v>30</v>
      </c>
      <c r="E1320">
        <v>5.1239413596947366E-3</v>
      </c>
    </row>
    <row r="1321" spans="1:5" x14ac:dyDescent="0.2">
      <c r="A1321" s="13">
        <v>1319</v>
      </c>
      <c r="B1321" s="1">
        <v>43010</v>
      </c>
      <c r="C1321" t="s">
        <v>151</v>
      </c>
      <c r="D1321" t="s">
        <v>49</v>
      </c>
      <c r="E1321">
        <v>0</v>
      </c>
    </row>
    <row r="1322" spans="1:5" x14ac:dyDescent="0.2">
      <c r="A1322" s="13">
        <v>1320</v>
      </c>
      <c r="B1322" s="1">
        <v>43010</v>
      </c>
      <c r="C1322" t="s">
        <v>151</v>
      </c>
      <c r="D1322" t="s">
        <v>145</v>
      </c>
      <c r="E1322">
        <v>0</v>
      </c>
    </row>
    <row r="1323" spans="1:5" x14ac:dyDescent="0.2">
      <c r="A1323" s="13">
        <v>1321</v>
      </c>
      <c r="B1323" s="1">
        <v>43010</v>
      </c>
      <c r="C1323" t="s">
        <v>151</v>
      </c>
      <c r="D1323" t="s">
        <v>233</v>
      </c>
      <c r="E1323">
        <v>0</v>
      </c>
    </row>
    <row r="1324" spans="1:5" x14ac:dyDescent="0.2">
      <c r="A1324" s="13">
        <v>1322</v>
      </c>
      <c r="B1324" s="1">
        <v>43010</v>
      </c>
      <c r="C1324" t="s">
        <v>151</v>
      </c>
      <c r="D1324" t="s">
        <v>172</v>
      </c>
      <c r="E1324">
        <v>0</v>
      </c>
    </row>
    <row r="1325" spans="1:5" x14ac:dyDescent="0.2">
      <c r="A1325" s="13">
        <v>1323</v>
      </c>
      <c r="B1325" s="1">
        <v>43010</v>
      </c>
      <c r="C1325" t="s">
        <v>151</v>
      </c>
      <c r="D1325" t="s">
        <v>72</v>
      </c>
      <c r="E1325">
        <v>6.6504736037481695</v>
      </c>
    </row>
    <row r="1326" spans="1:5" x14ac:dyDescent="0.2">
      <c r="A1326" s="13">
        <v>1324</v>
      </c>
      <c r="B1326" s="1">
        <v>43010</v>
      </c>
      <c r="C1326" t="s">
        <v>151</v>
      </c>
      <c r="D1326" t="s">
        <v>186</v>
      </c>
      <c r="E1326">
        <v>4.1176834417070525E-4</v>
      </c>
    </row>
    <row r="1327" spans="1:5" x14ac:dyDescent="0.2">
      <c r="A1327" s="13">
        <v>1325</v>
      </c>
      <c r="B1327" s="1">
        <v>43010</v>
      </c>
      <c r="C1327" t="s">
        <v>151</v>
      </c>
      <c r="D1327" t="s">
        <v>187</v>
      </c>
      <c r="E1327">
        <v>2.4771016032953809E-3</v>
      </c>
    </row>
    <row r="1328" spans="1:5" x14ac:dyDescent="0.2">
      <c r="A1328" s="13">
        <v>1326</v>
      </c>
      <c r="B1328" s="1">
        <v>43010</v>
      </c>
      <c r="C1328" t="s">
        <v>151</v>
      </c>
      <c r="D1328" t="s">
        <v>188</v>
      </c>
      <c r="E1328">
        <v>1.0198408063411769E-3</v>
      </c>
    </row>
    <row r="1329" spans="1:5" x14ac:dyDescent="0.2">
      <c r="A1329" s="13">
        <v>1327</v>
      </c>
      <c r="B1329" s="1">
        <v>43010</v>
      </c>
      <c r="C1329" t="s">
        <v>151</v>
      </c>
      <c r="D1329" t="s">
        <v>189</v>
      </c>
      <c r="E1329">
        <v>5.0351061251830602E-4</v>
      </c>
    </row>
    <row r="1330" spans="1:5" x14ac:dyDescent="0.2">
      <c r="A1330" s="13">
        <v>1328</v>
      </c>
      <c r="B1330" s="1">
        <v>43010</v>
      </c>
      <c r="C1330" t="s">
        <v>151</v>
      </c>
      <c r="D1330" t="s">
        <v>190</v>
      </c>
      <c r="E1330">
        <v>1.5198175322903924E-3</v>
      </c>
    </row>
    <row r="1331" spans="1:5" x14ac:dyDescent="0.2">
      <c r="A1331" s="13">
        <v>1329</v>
      </c>
      <c r="B1331" s="1">
        <v>43010</v>
      </c>
      <c r="C1331" t="s">
        <v>151</v>
      </c>
      <c r="D1331" t="s">
        <v>191</v>
      </c>
      <c r="E1331">
        <v>-8.0809753892122061E-4</v>
      </c>
    </row>
    <row r="1332" spans="1:5" x14ac:dyDescent="0.2">
      <c r="A1332" s="13">
        <v>1330</v>
      </c>
      <c r="B1332" s="1">
        <v>43010</v>
      </c>
      <c r="C1332" t="s">
        <v>29</v>
      </c>
      <c r="D1332" t="s">
        <v>39</v>
      </c>
      <c r="E1332">
        <v>2.0037467378072635E-6</v>
      </c>
    </row>
    <row r="1333" spans="1:5" x14ac:dyDescent="0.2">
      <c r="A1333" s="13">
        <v>1331</v>
      </c>
      <c r="B1333" s="1">
        <v>43010</v>
      </c>
      <c r="C1333" t="s">
        <v>29</v>
      </c>
      <c r="D1333" t="s">
        <v>32</v>
      </c>
      <c r="E1333">
        <v>1.532306215863013E-3</v>
      </c>
    </row>
    <row r="1334" spans="1:5" x14ac:dyDescent="0.2">
      <c r="A1334" s="13">
        <v>1332</v>
      </c>
      <c r="B1334" s="1">
        <v>43010</v>
      </c>
      <c r="C1334" t="s">
        <v>29</v>
      </c>
      <c r="D1334" t="s">
        <v>30</v>
      </c>
      <c r="E1334">
        <v>9.5314117499441454E-6</v>
      </c>
    </row>
    <row r="1335" spans="1:5" x14ac:dyDescent="0.2">
      <c r="A1335" s="13">
        <v>1333</v>
      </c>
      <c r="B1335" s="1">
        <v>43010</v>
      </c>
      <c r="C1335" t="s">
        <v>29</v>
      </c>
      <c r="D1335" t="s">
        <v>49</v>
      </c>
      <c r="E1335">
        <v>0</v>
      </c>
    </row>
    <row r="1336" spans="1:5" x14ac:dyDescent="0.2">
      <c r="A1336" s="13">
        <v>1334</v>
      </c>
      <c r="B1336" s="1">
        <v>43010</v>
      </c>
      <c r="C1336" t="s">
        <v>29</v>
      </c>
      <c r="D1336" t="s">
        <v>145</v>
      </c>
      <c r="E1336">
        <v>0</v>
      </c>
    </row>
    <row r="1337" spans="1:5" x14ac:dyDescent="0.2">
      <c r="A1337" s="13">
        <v>1335</v>
      </c>
      <c r="B1337" s="1">
        <v>43010</v>
      </c>
      <c r="C1337" t="s">
        <v>29</v>
      </c>
      <c r="D1337" t="s">
        <v>233</v>
      </c>
      <c r="E1337">
        <v>0</v>
      </c>
    </row>
    <row r="1338" spans="1:5" x14ac:dyDescent="0.2">
      <c r="A1338" s="13">
        <v>1336</v>
      </c>
      <c r="B1338" s="1">
        <v>43010</v>
      </c>
      <c r="C1338" t="s">
        <v>29</v>
      </c>
      <c r="D1338" t="s">
        <v>172</v>
      </c>
      <c r="E1338">
        <v>0</v>
      </c>
    </row>
    <row r="1339" spans="1:5" x14ac:dyDescent="0.2">
      <c r="A1339" s="13">
        <v>1337</v>
      </c>
      <c r="B1339" s="1">
        <v>43010</v>
      </c>
      <c r="C1339" t="s">
        <v>29</v>
      </c>
      <c r="D1339" t="s">
        <v>72</v>
      </c>
      <c r="E1339">
        <v>4.7491329890081042</v>
      </c>
    </row>
    <row r="1340" spans="1:5" x14ac:dyDescent="0.2">
      <c r="A1340" s="13">
        <v>1338</v>
      </c>
      <c r="B1340" s="1">
        <v>43010</v>
      </c>
      <c r="C1340" t="s">
        <v>29</v>
      </c>
      <c r="D1340" t="s">
        <v>186</v>
      </c>
      <c r="E1340">
        <v>1.0488254470201893E-3</v>
      </c>
    </row>
    <row r="1341" spans="1:5" x14ac:dyDescent="0.2">
      <c r="A1341" s="13">
        <v>1339</v>
      </c>
      <c r="B1341" s="1">
        <v>43010</v>
      </c>
      <c r="C1341" t="s">
        <v>29</v>
      </c>
      <c r="D1341" t="s">
        <v>187</v>
      </c>
      <c r="E1341">
        <v>0</v>
      </c>
    </row>
    <row r="1342" spans="1:5" x14ac:dyDescent="0.2">
      <c r="A1342" s="13">
        <v>1340</v>
      </c>
      <c r="B1342" s="1">
        <v>43010</v>
      </c>
      <c r="C1342" t="s">
        <v>29</v>
      </c>
      <c r="D1342" t="s">
        <v>188</v>
      </c>
      <c r="E1342">
        <v>0</v>
      </c>
    </row>
    <row r="1343" spans="1:5" x14ac:dyDescent="0.2">
      <c r="A1343" s="13">
        <v>1341</v>
      </c>
      <c r="B1343" s="1">
        <v>43010</v>
      </c>
      <c r="C1343" t="s">
        <v>29</v>
      </c>
      <c r="D1343" t="s">
        <v>189</v>
      </c>
      <c r="E1343">
        <v>0</v>
      </c>
    </row>
    <row r="1344" spans="1:5" x14ac:dyDescent="0.2">
      <c r="A1344" s="13">
        <v>1342</v>
      </c>
      <c r="B1344" s="1">
        <v>43010</v>
      </c>
      <c r="C1344" t="s">
        <v>29</v>
      </c>
      <c r="D1344" t="s">
        <v>190</v>
      </c>
      <c r="E1344">
        <v>0</v>
      </c>
    </row>
    <row r="1345" spans="1:5" x14ac:dyDescent="0.2">
      <c r="A1345" s="13">
        <v>1343</v>
      </c>
      <c r="B1345" s="1">
        <v>43010</v>
      </c>
      <c r="C1345" t="s">
        <v>29</v>
      </c>
      <c r="D1345" t="s">
        <v>191</v>
      </c>
      <c r="E1345">
        <v>4.9501592733057563E-4</v>
      </c>
    </row>
    <row r="1346" spans="1:5" x14ac:dyDescent="0.2">
      <c r="A1346" s="13">
        <v>1344</v>
      </c>
      <c r="B1346" s="1">
        <v>43010</v>
      </c>
      <c r="C1346" t="s">
        <v>87</v>
      </c>
      <c r="D1346" t="s">
        <v>39</v>
      </c>
      <c r="E1346">
        <v>4.0311344650956361E-3</v>
      </c>
    </row>
    <row r="1347" spans="1:5" x14ac:dyDescent="0.2">
      <c r="A1347" s="13">
        <v>1345</v>
      </c>
      <c r="B1347" s="1">
        <v>43010</v>
      </c>
      <c r="C1347" t="s">
        <v>87</v>
      </c>
      <c r="D1347" t="s">
        <v>32</v>
      </c>
      <c r="E1347">
        <v>1.6161165473015004E-2</v>
      </c>
    </row>
    <row r="1348" spans="1:5" x14ac:dyDescent="0.2">
      <c r="A1348" s="13">
        <v>1346</v>
      </c>
      <c r="B1348" s="1">
        <v>43010</v>
      </c>
      <c r="C1348" t="s">
        <v>87</v>
      </c>
      <c r="D1348" t="s">
        <v>30</v>
      </c>
      <c r="E1348">
        <v>7.5206937881778585E-5</v>
      </c>
    </row>
    <row r="1349" spans="1:5" x14ac:dyDescent="0.2">
      <c r="A1349" s="13">
        <v>1347</v>
      </c>
      <c r="B1349" s="1">
        <v>43010</v>
      </c>
      <c r="C1349" t="s">
        <v>87</v>
      </c>
      <c r="D1349" t="s">
        <v>49</v>
      </c>
      <c r="E1349">
        <v>0</v>
      </c>
    </row>
    <row r="1350" spans="1:5" x14ac:dyDescent="0.2">
      <c r="A1350" s="13">
        <v>1348</v>
      </c>
      <c r="B1350" s="1">
        <v>43010</v>
      </c>
      <c r="C1350" t="s">
        <v>87</v>
      </c>
      <c r="D1350" t="s">
        <v>145</v>
      </c>
      <c r="E1350">
        <v>4.2872113089752276E-5</v>
      </c>
    </row>
    <row r="1351" spans="1:5" x14ac:dyDescent="0.2">
      <c r="A1351" s="13">
        <v>1349</v>
      </c>
      <c r="B1351" s="1">
        <v>43010</v>
      </c>
      <c r="C1351" t="s">
        <v>87</v>
      </c>
      <c r="D1351" t="s">
        <v>233</v>
      </c>
      <c r="E1351">
        <v>0</v>
      </c>
    </row>
    <row r="1352" spans="1:5" x14ac:dyDescent="0.2">
      <c r="A1352" s="13">
        <v>1350</v>
      </c>
      <c r="B1352" s="1">
        <v>43010</v>
      </c>
      <c r="C1352" t="s">
        <v>87</v>
      </c>
      <c r="D1352" t="s">
        <v>172</v>
      </c>
      <c r="E1352">
        <v>0</v>
      </c>
    </row>
    <row r="1353" spans="1:5" x14ac:dyDescent="0.2">
      <c r="A1353" s="13">
        <v>1351</v>
      </c>
      <c r="B1353" s="1">
        <v>43010</v>
      </c>
      <c r="C1353" t="s">
        <v>87</v>
      </c>
      <c r="D1353" t="s">
        <v>72</v>
      </c>
      <c r="E1353">
        <v>9.4132935519428962</v>
      </c>
    </row>
    <row r="1354" spans="1:5" x14ac:dyDescent="0.2">
      <c r="A1354" s="13">
        <v>1352</v>
      </c>
      <c r="B1354" s="1">
        <v>43010</v>
      </c>
      <c r="C1354" t="s">
        <v>87</v>
      </c>
      <c r="D1354" t="s">
        <v>186</v>
      </c>
      <c r="E1354">
        <v>2.0213770938894083E-2</v>
      </c>
    </row>
    <row r="1355" spans="1:5" x14ac:dyDescent="0.2">
      <c r="A1355" s="13">
        <v>1353</v>
      </c>
      <c r="B1355" s="1">
        <v>43010</v>
      </c>
      <c r="C1355" t="s">
        <v>87</v>
      </c>
      <c r="D1355" t="s">
        <v>187</v>
      </c>
      <c r="E1355">
        <v>6.7932196338778527E-5</v>
      </c>
    </row>
    <row r="1356" spans="1:5" x14ac:dyDescent="0.2">
      <c r="A1356" s="13">
        <v>1354</v>
      </c>
      <c r="B1356" s="1">
        <v>43010</v>
      </c>
      <c r="C1356" t="s">
        <v>87</v>
      </c>
      <c r="D1356" t="s">
        <v>188</v>
      </c>
      <c r="E1356">
        <v>1.8078666204407093E-5</v>
      </c>
    </row>
    <row r="1357" spans="1:5" x14ac:dyDescent="0.2">
      <c r="A1357" s="13">
        <v>1355</v>
      </c>
      <c r="B1357" s="1">
        <v>43010</v>
      </c>
      <c r="C1357" t="s">
        <v>87</v>
      </c>
      <c r="D1357" t="s">
        <v>189</v>
      </c>
      <c r="E1357">
        <v>2.1697407056294402E-5</v>
      </c>
    </row>
    <row r="1358" spans="1:5" x14ac:dyDescent="0.2">
      <c r="A1358" s="13">
        <v>1356</v>
      </c>
      <c r="B1358" s="1">
        <v>43010</v>
      </c>
      <c r="C1358" t="s">
        <v>87</v>
      </c>
      <c r="D1358" t="s">
        <v>190</v>
      </c>
      <c r="E1358">
        <v>1.1259952560659149E-5</v>
      </c>
    </row>
    <row r="1359" spans="1:5" x14ac:dyDescent="0.2">
      <c r="A1359" s="13">
        <v>1357</v>
      </c>
      <c r="B1359" s="1">
        <v>43010</v>
      </c>
      <c r="C1359" t="s">
        <v>87</v>
      </c>
      <c r="D1359" t="s">
        <v>191</v>
      </c>
      <c r="E1359">
        <v>-2.2360171972052615E-5</v>
      </c>
    </row>
    <row r="1360" spans="1:5" x14ac:dyDescent="0.2">
      <c r="A1360" s="13">
        <v>1358</v>
      </c>
      <c r="B1360" s="1">
        <v>43010</v>
      </c>
      <c r="C1360" t="s">
        <v>61</v>
      </c>
      <c r="D1360" t="s">
        <v>39</v>
      </c>
      <c r="E1360">
        <v>2.098257385042027E-3</v>
      </c>
    </row>
    <row r="1361" spans="1:5" x14ac:dyDescent="0.2">
      <c r="A1361" s="13">
        <v>1359</v>
      </c>
      <c r="B1361" s="1">
        <v>43010</v>
      </c>
      <c r="C1361" t="s">
        <v>61</v>
      </c>
      <c r="D1361" t="s">
        <v>32</v>
      </c>
      <c r="E1361">
        <v>1.2534337770816802E-2</v>
      </c>
    </row>
    <row r="1362" spans="1:5" x14ac:dyDescent="0.2">
      <c r="A1362" s="13">
        <v>1360</v>
      </c>
      <c r="B1362" s="1">
        <v>43010</v>
      </c>
      <c r="C1362" t="s">
        <v>61</v>
      </c>
      <c r="D1362" t="s">
        <v>30</v>
      </c>
      <c r="E1362">
        <v>0</v>
      </c>
    </row>
    <row r="1363" spans="1:5" x14ac:dyDescent="0.2">
      <c r="A1363" s="13">
        <v>1361</v>
      </c>
      <c r="B1363" s="1">
        <v>43010</v>
      </c>
      <c r="C1363" t="s">
        <v>61</v>
      </c>
      <c r="D1363" t="s">
        <v>49</v>
      </c>
      <c r="E1363">
        <v>0</v>
      </c>
    </row>
    <row r="1364" spans="1:5" x14ac:dyDescent="0.2">
      <c r="A1364" s="13">
        <v>1362</v>
      </c>
      <c r="B1364" s="1">
        <v>43010</v>
      </c>
      <c r="C1364" t="s">
        <v>61</v>
      </c>
      <c r="D1364" t="s">
        <v>145</v>
      </c>
      <c r="E1364">
        <v>0</v>
      </c>
    </row>
    <row r="1365" spans="1:5" x14ac:dyDescent="0.2">
      <c r="A1365" s="13">
        <v>1363</v>
      </c>
      <c r="B1365" s="1">
        <v>43010</v>
      </c>
      <c r="C1365" t="s">
        <v>61</v>
      </c>
      <c r="D1365" t="s">
        <v>233</v>
      </c>
      <c r="E1365">
        <v>0</v>
      </c>
    </row>
    <row r="1366" spans="1:5" x14ac:dyDescent="0.2">
      <c r="A1366" s="13">
        <v>1364</v>
      </c>
      <c r="B1366" s="1">
        <v>43010</v>
      </c>
      <c r="C1366" t="s">
        <v>61</v>
      </c>
      <c r="D1366" t="s">
        <v>172</v>
      </c>
      <c r="E1366">
        <v>0</v>
      </c>
    </row>
    <row r="1367" spans="1:5" x14ac:dyDescent="0.2">
      <c r="A1367" s="13">
        <v>1365</v>
      </c>
      <c r="B1367" s="1">
        <v>43010</v>
      </c>
      <c r="C1367" t="s">
        <v>61</v>
      </c>
      <c r="D1367" t="s">
        <v>72</v>
      </c>
      <c r="E1367">
        <v>5.6760669953059555</v>
      </c>
    </row>
    <row r="1368" spans="1:5" x14ac:dyDescent="0.2">
      <c r="A1368" s="13">
        <v>1366</v>
      </c>
      <c r="B1368" s="1">
        <v>43010</v>
      </c>
      <c r="C1368" t="s">
        <v>61</v>
      </c>
      <c r="D1368" t="s">
        <v>186</v>
      </c>
      <c r="E1368">
        <v>1.4632595155858829E-2</v>
      </c>
    </row>
    <row r="1369" spans="1:5" x14ac:dyDescent="0.2">
      <c r="A1369" s="13">
        <v>1367</v>
      </c>
      <c r="B1369" s="1">
        <v>43010</v>
      </c>
      <c r="C1369" t="s">
        <v>61</v>
      </c>
      <c r="D1369" t="s">
        <v>187</v>
      </c>
      <c r="E1369">
        <v>0</v>
      </c>
    </row>
    <row r="1370" spans="1:5" x14ac:dyDescent="0.2">
      <c r="A1370" s="13">
        <v>1368</v>
      </c>
      <c r="B1370" s="1">
        <v>43010</v>
      </c>
      <c r="C1370" t="s">
        <v>61</v>
      </c>
      <c r="D1370" t="s">
        <v>188</v>
      </c>
      <c r="E1370">
        <v>0</v>
      </c>
    </row>
    <row r="1371" spans="1:5" x14ac:dyDescent="0.2">
      <c r="A1371" s="13">
        <v>1369</v>
      </c>
      <c r="B1371" s="1">
        <v>43010</v>
      </c>
      <c r="C1371" t="s">
        <v>61</v>
      </c>
      <c r="D1371" t="s">
        <v>189</v>
      </c>
      <c r="E1371">
        <v>0</v>
      </c>
    </row>
    <row r="1372" spans="1:5" x14ac:dyDescent="0.2">
      <c r="A1372" s="13">
        <v>1370</v>
      </c>
      <c r="B1372" s="1">
        <v>43010</v>
      </c>
      <c r="C1372" t="s">
        <v>61</v>
      </c>
      <c r="D1372" t="s">
        <v>190</v>
      </c>
      <c r="E1372">
        <v>0</v>
      </c>
    </row>
    <row r="1373" spans="1:5" x14ac:dyDescent="0.2">
      <c r="A1373" s="13">
        <v>1371</v>
      </c>
      <c r="B1373" s="1">
        <v>43010</v>
      </c>
      <c r="C1373" t="s">
        <v>61</v>
      </c>
      <c r="D1373" t="s">
        <v>191</v>
      </c>
      <c r="E1373">
        <v>0</v>
      </c>
    </row>
    <row r="1374" spans="1:5" x14ac:dyDescent="0.2">
      <c r="A1374" s="13">
        <v>1372</v>
      </c>
      <c r="B1374" s="1">
        <v>43010</v>
      </c>
      <c r="C1374" t="s">
        <v>53</v>
      </c>
      <c r="D1374" t="s">
        <v>39</v>
      </c>
      <c r="E1374">
        <v>8.9360904643481085E-6</v>
      </c>
    </row>
    <row r="1375" spans="1:5" x14ac:dyDescent="0.2">
      <c r="A1375" s="13">
        <v>1373</v>
      </c>
      <c r="B1375" s="1">
        <v>43010</v>
      </c>
      <c r="C1375" t="s">
        <v>53</v>
      </c>
      <c r="D1375" t="s">
        <v>32</v>
      </c>
      <c r="E1375">
        <v>4.8908125299631953E-3</v>
      </c>
    </row>
    <row r="1376" spans="1:5" x14ac:dyDescent="0.2">
      <c r="A1376" s="13">
        <v>1374</v>
      </c>
      <c r="B1376" s="1">
        <v>43010</v>
      </c>
      <c r="C1376" t="s">
        <v>53</v>
      </c>
      <c r="D1376" t="s">
        <v>30</v>
      </c>
      <c r="E1376">
        <v>8.0868437770629836E-4</v>
      </c>
    </row>
    <row r="1377" spans="1:5" x14ac:dyDescent="0.2">
      <c r="A1377" s="13">
        <v>1375</v>
      </c>
      <c r="B1377" s="1">
        <v>43010</v>
      </c>
      <c r="C1377" t="s">
        <v>53</v>
      </c>
      <c r="D1377" t="s">
        <v>49</v>
      </c>
      <c r="E1377">
        <v>0</v>
      </c>
    </row>
    <row r="1378" spans="1:5" x14ac:dyDescent="0.2">
      <c r="A1378" s="13">
        <v>1376</v>
      </c>
      <c r="B1378" s="1">
        <v>43010</v>
      </c>
      <c r="C1378" t="s">
        <v>53</v>
      </c>
      <c r="D1378" t="s">
        <v>145</v>
      </c>
      <c r="E1378">
        <v>0</v>
      </c>
    </row>
    <row r="1379" spans="1:5" x14ac:dyDescent="0.2">
      <c r="A1379" s="13">
        <v>1377</v>
      </c>
      <c r="B1379" s="1">
        <v>43010</v>
      </c>
      <c r="C1379" t="s">
        <v>53</v>
      </c>
      <c r="D1379" t="s">
        <v>233</v>
      </c>
      <c r="E1379">
        <v>0</v>
      </c>
    </row>
    <row r="1380" spans="1:5" x14ac:dyDescent="0.2">
      <c r="A1380" s="13">
        <v>1378</v>
      </c>
      <c r="B1380" s="1">
        <v>43010</v>
      </c>
      <c r="C1380" t="s">
        <v>53</v>
      </c>
      <c r="D1380" t="s">
        <v>172</v>
      </c>
      <c r="E1380">
        <v>0</v>
      </c>
    </row>
    <row r="1381" spans="1:5" x14ac:dyDescent="0.2">
      <c r="A1381" s="13">
        <v>1379</v>
      </c>
      <c r="B1381" s="1">
        <v>43010</v>
      </c>
      <c r="C1381" t="s">
        <v>53</v>
      </c>
      <c r="D1381" t="s">
        <v>72</v>
      </c>
      <c r="E1381">
        <v>6.4509071778415024</v>
      </c>
    </row>
    <row r="1382" spans="1:5" x14ac:dyDescent="0.2">
      <c r="A1382" s="13">
        <v>1380</v>
      </c>
      <c r="B1382" s="1">
        <v>43010</v>
      </c>
      <c r="C1382" t="s">
        <v>53</v>
      </c>
      <c r="D1382" t="s">
        <v>186</v>
      </c>
      <c r="E1382">
        <v>4.0648203132408328E-3</v>
      </c>
    </row>
    <row r="1383" spans="1:5" x14ac:dyDescent="0.2">
      <c r="A1383" s="13">
        <v>1381</v>
      </c>
      <c r="B1383" s="1">
        <v>43010</v>
      </c>
      <c r="C1383" t="s">
        <v>53</v>
      </c>
      <c r="D1383" t="s">
        <v>187</v>
      </c>
      <c r="E1383">
        <v>0</v>
      </c>
    </row>
    <row r="1384" spans="1:5" x14ac:dyDescent="0.2">
      <c r="A1384" s="13">
        <v>1382</v>
      </c>
      <c r="B1384" s="1">
        <v>43010</v>
      </c>
      <c r="C1384" t="s">
        <v>53</v>
      </c>
      <c r="D1384" t="s">
        <v>188</v>
      </c>
      <c r="E1384">
        <v>0</v>
      </c>
    </row>
    <row r="1385" spans="1:5" x14ac:dyDescent="0.2">
      <c r="A1385" s="13">
        <v>1383</v>
      </c>
      <c r="B1385" s="1">
        <v>43010</v>
      </c>
      <c r="C1385" t="s">
        <v>53</v>
      </c>
      <c r="D1385" t="s">
        <v>189</v>
      </c>
      <c r="E1385">
        <v>0</v>
      </c>
    </row>
    <row r="1386" spans="1:5" x14ac:dyDescent="0.2">
      <c r="A1386" s="13">
        <v>1384</v>
      </c>
      <c r="B1386" s="1">
        <v>43010</v>
      </c>
      <c r="C1386" t="s">
        <v>53</v>
      </c>
      <c r="D1386" t="s">
        <v>190</v>
      </c>
      <c r="E1386">
        <v>0</v>
      </c>
    </row>
    <row r="1387" spans="1:5" x14ac:dyDescent="0.2">
      <c r="A1387" s="13">
        <v>1385</v>
      </c>
      <c r="B1387" s="1">
        <v>43010</v>
      </c>
      <c r="C1387" t="s">
        <v>53</v>
      </c>
      <c r="D1387" t="s">
        <v>191</v>
      </c>
      <c r="E1387">
        <v>1.6436126848930054E-3</v>
      </c>
    </row>
    <row r="1388" spans="1:5" x14ac:dyDescent="0.2">
      <c r="A1388" s="13">
        <v>1386</v>
      </c>
      <c r="B1388" s="1">
        <v>43007</v>
      </c>
      <c r="C1388" t="s">
        <v>62</v>
      </c>
      <c r="D1388" t="s">
        <v>39</v>
      </c>
      <c r="E1388">
        <v>4.9252169336846518E-3</v>
      </c>
    </row>
    <row r="1389" spans="1:5" x14ac:dyDescent="0.2">
      <c r="A1389" s="13">
        <v>1387</v>
      </c>
      <c r="B1389" s="1">
        <v>43007</v>
      </c>
      <c r="C1389" t="s">
        <v>62</v>
      </c>
      <c r="D1389" t="s">
        <v>32</v>
      </c>
      <c r="E1389">
        <v>3.1997495838648193E-3</v>
      </c>
    </row>
    <row r="1390" spans="1:5" x14ac:dyDescent="0.2">
      <c r="A1390" s="13">
        <v>1388</v>
      </c>
      <c r="B1390" s="1">
        <v>43007</v>
      </c>
      <c r="C1390" t="s">
        <v>62</v>
      </c>
      <c r="D1390" t="s">
        <v>30</v>
      </c>
      <c r="E1390">
        <v>-4.6023526284778991E-5</v>
      </c>
    </row>
    <row r="1391" spans="1:5" x14ac:dyDescent="0.2">
      <c r="A1391" s="13">
        <v>1389</v>
      </c>
      <c r="B1391" s="1">
        <v>43007</v>
      </c>
      <c r="C1391" t="s">
        <v>62</v>
      </c>
      <c r="D1391" t="s">
        <v>49</v>
      </c>
      <c r="E1391">
        <v>3.7226181803726277E-8</v>
      </c>
    </row>
    <row r="1392" spans="1:5" x14ac:dyDescent="0.2">
      <c r="A1392" s="13">
        <v>1390</v>
      </c>
      <c r="B1392" s="1">
        <v>43007</v>
      </c>
      <c r="C1392" t="s">
        <v>62</v>
      </c>
      <c r="D1392" t="s">
        <v>145</v>
      </c>
      <c r="E1392">
        <v>0</v>
      </c>
    </row>
    <row r="1393" spans="1:5" x14ac:dyDescent="0.2">
      <c r="A1393" s="13">
        <v>1391</v>
      </c>
      <c r="B1393" s="1">
        <v>43007</v>
      </c>
      <c r="C1393" t="s">
        <v>62</v>
      </c>
      <c r="D1393" t="s">
        <v>233</v>
      </c>
      <c r="E1393">
        <v>0</v>
      </c>
    </row>
    <row r="1394" spans="1:5" x14ac:dyDescent="0.2">
      <c r="A1394" s="13">
        <v>1392</v>
      </c>
      <c r="B1394" s="1">
        <v>43007</v>
      </c>
      <c r="C1394" t="s">
        <v>62</v>
      </c>
      <c r="D1394" t="s">
        <v>172</v>
      </c>
      <c r="E1394">
        <v>0</v>
      </c>
    </row>
    <row r="1395" spans="1:5" x14ac:dyDescent="0.2">
      <c r="A1395" s="13">
        <v>1393</v>
      </c>
      <c r="B1395" s="1">
        <v>43007</v>
      </c>
      <c r="C1395" t="s">
        <v>62</v>
      </c>
      <c r="D1395" t="s">
        <v>72</v>
      </c>
      <c r="E1395">
        <v>3.4041671002410716</v>
      </c>
    </row>
    <row r="1396" spans="1:5" x14ac:dyDescent="0.2">
      <c r="A1396" s="13">
        <v>1394</v>
      </c>
      <c r="B1396" s="1">
        <v>43007</v>
      </c>
      <c r="C1396" t="s">
        <v>62</v>
      </c>
      <c r="D1396" t="s">
        <v>186</v>
      </c>
      <c r="E1396">
        <v>8.1249665175494694E-3</v>
      </c>
    </row>
    <row r="1397" spans="1:5" x14ac:dyDescent="0.2">
      <c r="A1397" s="13">
        <v>1395</v>
      </c>
      <c r="B1397" s="1">
        <v>43007</v>
      </c>
      <c r="C1397" t="s">
        <v>62</v>
      </c>
      <c r="D1397" t="s">
        <v>187</v>
      </c>
      <c r="E1397">
        <v>0</v>
      </c>
    </row>
    <row r="1398" spans="1:5" x14ac:dyDescent="0.2">
      <c r="A1398" s="13">
        <v>1396</v>
      </c>
      <c r="B1398" s="1">
        <v>43007</v>
      </c>
      <c r="C1398" t="s">
        <v>62</v>
      </c>
      <c r="D1398" t="s">
        <v>188</v>
      </c>
      <c r="E1398">
        <v>0</v>
      </c>
    </row>
    <row r="1399" spans="1:5" x14ac:dyDescent="0.2">
      <c r="A1399" s="13">
        <v>1397</v>
      </c>
      <c r="B1399" s="1">
        <v>43007</v>
      </c>
      <c r="C1399" t="s">
        <v>62</v>
      </c>
      <c r="D1399" t="s">
        <v>189</v>
      </c>
      <c r="E1399">
        <v>0</v>
      </c>
    </row>
    <row r="1400" spans="1:5" x14ac:dyDescent="0.2">
      <c r="A1400" s="13">
        <v>1398</v>
      </c>
      <c r="B1400" s="1">
        <v>43007</v>
      </c>
      <c r="C1400" t="s">
        <v>62</v>
      </c>
      <c r="D1400" t="s">
        <v>190</v>
      </c>
      <c r="E1400">
        <v>0</v>
      </c>
    </row>
    <row r="1401" spans="1:5" x14ac:dyDescent="0.2">
      <c r="A1401" s="13">
        <v>1399</v>
      </c>
      <c r="B1401" s="1">
        <v>43007</v>
      </c>
      <c r="C1401" t="s">
        <v>62</v>
      </c>
      <c r="D1401" t="s">
        <v>191</v>
      </c>
      <c r="E1401">
        <v>-4.5986300102975263E-5</v>
      </c>
    </row>
    <row r="1402" spans="1:5" x14ac:dyDescent="0.2">
      <c r="A1402" s="13">
        <v>1400</v>
      </c>
      <c r="B1402" s="1">
        <v>43007</v>
      </c>
      <c r="C1402" t="s">
        <v>63</v>
      </c>
      <c r="D1402" t="s">
        <v>39</v>
      </c>
      <c r="E1402">
        <v>8.2875538801296042E-3</v>
      </c>
    </row>
    <row r="1403" spans="1:5" x14ac:dyDescent="0.2">
      <c r="A1403" s="13">
        <v>1401</v>
      </c>
      <c r="B1403" s="1">
        <v>43007</v>
      </c>
      <c r="C1403" t="s">
        <v>63</v>
      </c>
      <c r="D1403" t="s">
        <v>32</v>
      </c>
      <c r="E1403">
        <v>5.8774620544839139E-3</v>
      </c>
    </row>
    <row r="1404" spans="1:5" x14ac:dyDescent="0.2">
      <c r="A1404" s="13">
        <v>1402</v>
      </c>
      <c r="B1404" s="1">
        <v>43007</v>
      </c>
      <c r="C1404" t="s">
        <v>63</v>
      </c>
      <c r="D1404" t="s">
        <v>30</v>
      </c>
      <c r="E1404">
        <v>-5.9605705116879099E-5</v>
      </c>
    </row>
    <row r="1405" spans="1:5" x14ac:dyDescent="0.2">
      <c r="A1405" s="13">
        <v>1403</v>
      </c>
      <c r="B1405" s="1">
        <v>43007</v>
      </c>
      <c r="C1405" t="s">
        <v>63</v>
      </c>
      <c r="D1405" t="s">
        <v>49</v>
      </c>
      <c r="E1405">
        <v>3.7385863778130755E-7</v>
      </c>
    </row>
    <row r="1406" spans="1:5" x14ac:dyDescent="0.2">
      <c r="A1406" s="13">
        <v>1404</v>
      </c>
      <c r="B1406" s="1">
        <v>43007</v>
      </c>
      <c r="C1406" t="s">
        <v>63</v>
      </c>
      <c r="D1406" t="s">
        <v>145</v>
      </c>
      <c r="E1406">
        <v>0</v>
      </c>
    </row>
    <row r="1407" spans="1:5" x14ac:dyDescent="0.2">
      <c r="A1407" s="13">
        <v>1405</v>
      </c>
      <c r="B1407" s="1">
        <v>43007</v>
      </c>
      <c r="C1407" t="s">
        <v>63</v>
      </c>
      <c r="D1407" t="s">
        <v>233</v>
      </c>
      <c r="E1407">
        <v>0</v>
      </c>
    </row>
    <row r="1408" spans="1:5" x14ac:dyDescent="0.2">
      <c r="A1408" s="13">
        <v>1406</v>
      </c>
      <c r="B1408" s="1">
        <v>43007</v>
      </c>
      <c r="C1408" t="s">
        <v>63</v>
      </c>
      <c r="D1408" t="s">
        <v>172</v>
      </c>
      <c r="E1408">
        <v>0</v>
      </c>
    </row>
    <row r="1409" spans="1:5" x14ac:dyDescent="0.2">
      <c r="A1409" s="13">
        <v>1407</v>
      </c>
      <c r="B1409" s="1">
        <v>43007</v>
      </c>
      <c r="C1409" t="s">
        <v>63</v>
      </c>
      <c r="D1409" t="s">
        <v>72</v>
      </c>
      <c r="E1409">
        <v>5.9532423965463472</v>
      </c>
    </row>
    <row r="1410" spans="1:5" x14ac:dyDescent="0.2">
      <c r="A1410" s="13">
        <v>1408</v>
      </c>
      <c r="B1410" s="1">
        <v>43007</v>
      </c>
      <c r="C1410" t="s">
        <v>63</v>
      </c>
      <c r="D1410" t="s">
        <v>186</v>
      </c>
      <c r="E1410">
        <v>1.4165015934613518E-2</v>
      </c>
    </row>
    <row r="1411" spans="1:5" x14ac:dyDescent="0.2">
      <c r="A1411" s="13">
        <v>1409</v>
      </c>
      <c r="B1411" s="1">
        <v>43007</v>
      </c>
      <c r="C1411" t="s">
        <v>63</v>
      </c>
      <c r="D1411" t="s">
        <v>187</v>
      </c>
      <c r="E1411">
        <v>0</v>
      </c>
    </row>
    <row r="1412" spans="1:5" x14ac:dyDescent="0.2">
      <c r="A1412" s="13">
        <v>1410</v>
      </c>
      <c r="B1412" s="1">
        <v>43007</v>
      </c>
      <c r="C1412" t="s">
        <v>63</v>
      </c>
      <c r="D1412" t="s">
        <v>188</v>
      </c>
      <c r="E1412">
        <v>0</v>
      </c>
    </row>
    <row r="1413" spans="1:5" x14ac:dyDescent="0.2">
      <c r="A1413" s="13">
        <v>1411</v>
      </c>
      <c r="B1413" s="1">
        <v>43007</v>
      </c>
      <c r="C1413" t="s">
        <v>63</v>
      </c>
      <c r="D1413" t="s">
        <v>189</v>
      </c>
      <c r="E1413">
        <v>0</v>
      </c>
    </row>
    <row r="1414" spans="1:5" x14ac:dyDescent="0.2">
      <c r="A1414" s="13">
        <v>1412</v>
      </c>
      <c r="B1414" s="1">
        <v>43007</v>
      </c>
      <c r="C1414" t="s">
        <v>63</v>
      </c>
      <c r="D1414" t="s">
        <v>190</v>
      </c>
      <c r="E1414">
        <v>0</v>
      </c>
    </row>
    <row r="1415" spans="1:5" x14ac:dyDescent="0.2">
      <c r="A1415" s="13">
        <v>1413</v>
      </c>
      <c r="B1415" s="1">
        <v>43007</v>
      </c>
      <c r="C1415" t="s">
        <v>63</v>
      </c>
      <c r="D1415" t="s">
        <v>191</v>
      </c>
      <c r="E1415">
        <v>-5.923184647909779E-5</v>
      </c>
    </row>
    <row r="1416" spans="1:5" x14ac:dyDescent="0.2">
      <c r="A1416" s="13">
        <v>1414</v>
      </c>
      <c r="B1416" s="1">
        <v>43007</v>
      </c>
      <c r="C1416" t="s">
        <v>103</v>
      </c>
      <c r="D1416" t="s">
        <v>39</v>
      </c>
      <c r="E1416">
        <v>2.2357858910400485E-2</v>
      </c>
    </row>
    <row r="1417" spans="1:5" x14ac:dyDescent="0.2">
      <c r="A1417" s="13">
        <v>1415</v>
      </c>
      <c r="B1417" s="1">
        <v>43007</v>
      </c>
      <c r="C1417" t="s">
        <v>103</v>
      </c>
      <c r="D1417" t="s">
        <v>32</v>
      </c>
      <c r="E1417">
        <v>0</v>
      </c>
    </row>
    <row r="1418" spans="1:5" x14ac:dyDescent="0.2">
      <c r="A1418" s="13">
        <v>1416</v>
      </c>
      <c r="B1418" s="1">
        <v>43007</v>
      </c>
      <c r="C1418" t="s">
        <v>103</v>
      </c>
      <c r="D1418" t="s">
        <v>30</v>
      </c>
      <c r="E1418">
        <v>0</v>
      </c>
    </row>
    <row r="1419" spans="1:5" x14ac:dyDescent="0.2">
      <c r="A1419" s="13">
        <v>1417</v>
      </c>
      <c r="B1419" s="1">
        <v>43007</v>
      </c>
      <c r="C1419" t="s">
        <v>103</v>
      </c>
      <c r="D1419" t="s">
        <v>49</v>
      </c>
      <c r="E1419">
        <v>0</v>
      </c>
    </row>
    <row r="1420" spans="1:5" x14ac:dyDescent="0.2">
      <c r="A1420" s="13">
        <v>1418</v>
      </c>
      <c r="B1420" s="1">
        <v>43007</v>
      </c>
      <c r="C1420" t="s">
        <v>103</v>
      </c>
      <c r="D1420" t="s">
        <v>145</v>
      </c>
      <c r="E1420">
        <v>0</v>
      </c>
    </row>
    <row r="1421" spans="1:5" x14ac:dyDescent="0.2">
      <c r="A1421" s="13">
        <v>1419</v>
      </c>
      <c r="B1421" s="1">
        <v>43007</v>
      </c>
      <c r="C1421" t="s">
        <v>103</v>
      </c>
      <c r="D1421" t="s">
        <v>233</v>
      </c>
      <c r="E1421">
        <v>0</v>
      </c>
    </row>
    <row r="1422" spans="1:5" x14ac:dyDescent="0.2">
      <c r="A1422" s="13">
        <v>1420</v>
      </c>
      <c r="B1422" s="1">
        <v>43007</v>
      </c>
      <c r="C1422" t="s">
        <v>103</v>
      </c>
      <c r="D1422" t="s">
        <v>172</v>
      </c>
      <c r="E1422">
        <v>0</v>
      </c>
    </row>
    <row r="1423" spans="1:5" x14ac:dyDescent="0.2">
      <c r="A1423" s="13">
        <v>1421</v>
      </c>
      <c r="B1423" s="1">
        <v>43007</v>
      </c>
      <c r="C1423" t="s">
        <v>103</v>
      </c>
      <c r="D1423" t="s">
        <v>72</v>
      </c>
      <c r="E1423">
        <v>0</v>
      </c>
    </row>
    <row r="1424" spans="1:5" x14ac:dyDescent="0.2">
      <c r="A1424" s="13">
        <v>1422</v>
      </c>
      <c r="B1424" s="1">
        <v>43007</v>
      </c>
      <c r="C1424" t="s">
        <v>103</v>
      </c>
      <c r="D1424" t="s">
        <v>186</v>
      </c>
      <c r="E1424">
        <v>2.2357858910400485E-2</v>
      </c>
    </row>
    <row r="1425" spans="1:5" x14ac:dyDescent="0.2">
      <c r="A1425" s="13">
        <v>1423</v>
      </c>
      <c r="B1425" s="1">
        <v>43007</v>
      </c>
      <c r="C1425" t="s">
        <v>103</v>
      </c>
      <c r="D1425" t="s">
        <v>187</v>
      </c>
      <c r="E1425">
        <v>0</v>
      </c>
    </row>
    <row r="1426" spans="1:5" x14ac:dyDescent="0.2">
      <c r="A1426" s="13">
        <v>1424</v>
      </c>
      <c r="B1426" s="1">
        <v>43007</v>
      </c>
      <c r="C1426" t="s">
        <v>103</v>
      </c>
      <c r="D1426" t="s">
        <v>188</v>
      </c>
      <c r="E1426">
        <v>0</v>
      </c>
    </row>
    <row r="1427" spans="1:5" x14ac:dyDescent="0.2">
      <c r="A1427" s="13">
        <v>1425</v>
      </c>
      <c r="B1427" s="1">
        <v>43007</v>
      </c>
      <c r="C1427" t="s">
        <v>103</v>
      </c>
      <c r="D1427" t="s">
        <v>189</v>
      </c>
      <c r="E1427">
        <v>0</v>
      </c>
    </row>
    <row r="1428" spans="1:5" x14ac:dyDescent="0.2">
      <c r="A1428" s="13">
        <v>1426</v>
      </c>
      <c r="B1428" s="1">
        <v>43007</v>
      </c>
      <c r="C1428" t="s">
        <v>103</v>
      </c>
      <c r="D1428" t="s">
        <v>190</v>
      </c>
      <c r="E1428">
        <v>0</v>
      </c>
    </row>
    <row r="1429" spans="1:5" x14ac:dyDescent="0.2">
      <c r="A1429" s="13">
        <v>1427</v>
      </c>
      <c r="B1429" s="1">
        <v>43007</v>
      </c>
      <c r="C1429" t="s">
        <v>103</v>
      </c>
      <c r="D1429" t="s">
        <v>191</v>
      </c>
      <c r="E1429">
        <v>0</v>
      </c>
    </row>
    <row r="1430" spans="1:5" x14ac:dyDescent="0.2">
      <c r="A1430" s="13">
        <v>1428</v>
      </c>
      <c r="B1430" s="1">
        <v>43007</v>
      </c>
      <c r="C1430" t="s">
        <v>104</v>
      </c>
      <c r="D1430" t="s">
        <v>39</v>
      </c>
      <c r="E1430">
        <v>7.1650671709567113E-2</v>
      </c>
    </row>
    <row r="1431" spans="1:5" x14ac:dyDescent="0.2">
      <c r="A1431" s="13">
        <v>1429</v>
      </c>
      <c r="B1431" s="1">
        <v>43007</v>
      </c>
      <c r="C1431" t="s">
        <v>104</v>
      </c>
      <c r="D1431" t="s">
        <v>32</v>
      </c>
      <c r="E1431">
        <v>0</v>
      </c>
    </row>
    <row r="1432" spans="1:5" x14ac:dyDescent="0.2">
      <c r="A1432" s="13">
        <v>1430</v>
      </c>
      <c r="B1432" s="1">
        <v>43007</v>
      </c>
      <c r="C1432" t="s">
        <v>104</v>
      </c>
      <c r="D1432" t="s">
        <v>30</v>
      </c>
      <c r="E1432">
        <v>0</v>
      </c>
    </row>
    <row r="1433" spans="1:5" x14ac:dyDescent="0.2">
      <c r="A1433" s="13">
        <v>1431</v>
      </c>
      <c r="B1433" s="1">
        <v>43007</v>
      </c>
      <c r="C1433" t="s">
        <v>104</v>
      </c>
      <c r="D1433" t="s">
        <v>49</v>
      </c>
      <c r="E1433">
        <v>0</v>
      </c>
    </row>
    <row r="1434" spans="1:5" x14ac:dyDescent="0.2">
      <c r="A1434" s="13">
        <v>1432</v>
      </c>
      <c r="B1434" s="1">
        <v>43007</v>
      </c>
      <c r="C1434" t="s">
        <v>104</v>
      </c>
      <c r="D1434" t="s">
        <v>145</v>
      </c>
      <c r="E1434">
        <v>0</v>
      </c>
    </row>
    <row r="1435" spans="1:5" x14ac:dyDescent="0.2">
      <c r="A1435" s="13">
        <v>1433</v>
      </c>
      <c r="B1435" s="1">
        <v>43007</v>
      </c>
      <c r="C1435" t="s">
        <v>104</v>
      </c>
      <c r="D1435" t="s">
        <v>233</v>
      </c>
      <c r="E1435">
        <v>0</v>
      </c>
    </row>
    <row r="1436" spans="1:5" x14ac:dyDescent="0.2">
      <c r="A1436" s="13">
        <v>1434</v>
      </c>
      <c r="B1436" s="1">
        <v>43007</v>
      </c>
      <c r="C1436" t="s">
        <v>104</v>
      </c>
      <c r="D1436" t="s">
        <v>172</v>
      </c>
      <c r="E1436">
        <v>0</v>
      </c>
    </row>
    <row r="1437" spans="1:5" x14ac:dyDescent="0.2">
      <c r="A1437" s="13">
        <v>1435</v>
      </c>
      <c r="B1437" s="1">
        <v>43007</v>
      </c>
      <c r="C1437" t="s">
        <v>104</v>
      </c>
      <c r="D1437" t="s">
        <v>72</v>
      </c>
      <c r="E1437">
        <v>0</v>
      </c>
    </row>
    <row r="1438" spans="1:5" x14ac:dyDescent="0.2">
      <c r="A1438" s="13">
        <v>1436</v>
      </c>
      <c r="B1438" s="1">
        <v>43007</v>
      </c>
      <c r="C1438" t="s">
        <v>104</v>
      </c>
      <c r="D1438" t="s">
        <v>186</v>
      </c>
      <c r="E1438">
        <v>7.1650671709567113E-2</v>
      </c>
    </row>
    <row r="1439" spans="1:5" x14ac:dyDescent="0.2">
      <c r="A1439" s="13">
        <v>1437</v>
      </c>
      <c r="B1439" s="1">
        <v>43007</v>
      </c>
      <c r="C1439" t="s">
        <v>104</v>
      </c>
      <c r="D1439" t="s">
        <v>187</v>
      </c>
      <c r="E1439">
        <v>0</v>
      </c>
    </row>
    <row r="1440" spans="1:5" x14ac:dyDescent="0.2">
      <c r="A1440" s="13">
        <v>1438</v>
      </c>
      <c r="B1440" s="1">
        <v>43007</v>
      </c>
      <c r="C1440" t="s">
        <v>104</v>
      </c>
      <c r="D1440" t="s">
        <v>188</v>
      </c>
      <c r="E1440">
        <v>0</v>
      </c>
    </row>
    <row r="1441" spans="1:5" x14ac:dyDescent="0.2">
      <c r="A1441" s="13">
        <v>1439</v>
      </c>
      <c r="B1441" s="1">
        <v>43007</v>
      </c>
      <c r="C1441" t="s">
        <v>104</v>
      </c>
      <c r="D1441" t="s">
        <v>189</v>
      </c>
      <c r="E1441">
        <v>0</v>
      </c>
    </row>
    <row r="1442" spans="1:5" x14ac:dyDescent="0.2">
      <c r="A1442" s="13">
        <v>1440</v>
      </c>
      <c r="B1442" s="1">
        <v>43007</v>
      </c>
      <c r="C1442" t="s">
        <v>104</v>
      </c>
      <c r="D1442" t="s">
        <v>190</v>
      </c>
      <c r="E1442">
        <v>0</v>
      </c>
    </row>
    <row r="1443" spans="1:5" x14ac:dyDescent="0.2">
      <c r="A1443" s="13">
        <v>1441</v>
      </c>
      <c r="B1443" s="1">
        <v>43007</v>
      </c>
      <c r="C1443" t="s">
        <v>104</v>
      </c>
      <c r="D1443" t="s">
        <v>191</v>
      </c>
      <c r="E1443">
        <v>0</v>
      </c>
    </row>
    <row r="1444" spans="1:5" x14ac:dyDescent="0.2">
      <c r="A1444" s="13">
        <v>1442</v>
      </c>
      <c r="B1444" s="1">
        <v>43007</v>
      </c>
      <c r="C1444" t="s">
        <v>151</v>
      </c>
      <c r="D1444" t="s">
        <v>39</v>
      </c>
      <c r="E1444">
        <v>0</v>
      </c>
    </row>
    <row r="1445" spans="1:5" x14ac:dyDescent="0.2">
      <c r="A1445" s="13">
        <v>1443</v>
      </c>
      <c r="B1445" s="1">
        <v>43007</v>
      </c>
      <c r="C1445" t="s">
        <v>151</v>
      </c>
      <c r="D1445" t="s">
        <v>32</v>
      </c>
      <c r="E1445">
        <v>0</v>
      </c>
    </row>
    <row r="1446" spans="1:5" x14ac:dyDescent="0.2">
      <c r="A1446" s="13">
        <v>1444</v>
      </c>
      <c r="B1446" s="1">
        <v>43007</v>
      </c>
      <c r="C1446" t="s">
        <v>151</v>
      </c>
      <c r="D1446" t="s">
        <v>30</v>
      </c>
      <c r="E1446">
        <v>5.1226989428603707E-3</v>
      </c>
    </row>
    <row r="1447" spans="1:5" x14ac:dyDescent="0.2">
      <c r="A1447" s="13">
        <v>1445</v>
      </c>
      <c r="B1447" s="1">
        <v>43007</v>
      </c>
      <c r="C1447" t="s">
        <v>151</v>
      </c>
      <c r="D1447" t="s">
        <v>49</v>
      </c>
      <c r="E1447">
        <v>0</v>
      </c>
    </row>
    <row r="1448" spans="1:5" x14ac:dyDescent="0.2">
      <c r="A1448" s="13">
        <v>1446</v>
      </c>
      <c r="B1448" s="1">
        <v>43007</v>
      </c>
      <c r="C1448" t="s">
        <v>151</v>
      </c>
      <c r="D1448" t="s">
        <v>145</v>
      </c>
      <c r="E1448">
        <v>0</v>
      </c>
    </row>
    <row r="1449" spans="1:5" x14ac:dyDescent="0.2">
      <c r="A1449" s="13">
        <v>1447</v>
      </c>
      <c r="B1449" s="1">
        <v>43007</v>
      </c>
      <c r="C1449" t="s">
        <v>151</v>
      </c>
      <c r="D1449" t="s">
        <v>233</v>
      </c>
      <c r="E1449">
        <v>0</v>
      </c>
    </row>
    <row r="1450" spans="1:5" x14ac:dyDescent="0.2">
      <c r="A1450" s="13">
        <v>1448</v>
      </c>
      <c r="B1450" s="1">
        <v>43007</v>
      </c>
      <c r="C1450" t="s">
        <v>151</v>
      </c>
      <c r="D1450" t="s">
        <v>172</v>
      </c>
      <c r="E1450">
        <v>0</v>
      </c>
    </row>
    <row r="1451" spans="1:5" x14ac:dyDescent="0.2">
      <c r="A1451" s="13">
        <v>1449</v>
      </c>
      <c r="B1451" s="1">
        <v>43007</v>
      </c>
      <c r="C1451" t="s">
        <v>151</v>
      </c>
      <c r="D1451" t="s">
        <v>72</v>
      </c>
      <c r="E1451">
        <v>6.6236740699851637</v>
      </c>
    </row>
    <row r="1452" spans="1:5" x14ac:dyDescent="0.2">
      <c r="A1452" s="13">
        <v>1450</v>
      </c>
      <c r="B1452" s="1">
        <v>43007</v>
      </c>
      <c r="C1452" t="s">
        <v>151</v>
      </c>
      <c r="D1452" t="s">
        <v>186</v>
      </c>
      <c r="E1452">
        <v>3.6531769324343042E-4</v>
      </c>
    </row>
    <row r="1453" spans="1:5" x14ac:dyDescent="0.2">
      <c r="A1453" s="13">
        <v>1451</v>
      </c>
      <c r="B1453" s="1">
        <v>43007</v>
      </c>
      <c r="C1453" t="s">
        <v>151</v>
      </c>
      <c r="D1453" t="s">
        <v>187</v>
      </c>
      <c r="E1453">
        <v>2.7595557439293863E-3</v>
      </c>
    </row>
    <row r="1454" spans="1:5" x14ac:dyDescent="0.2">
      <c r="A1454" s="13">
        <v>1452</v>
      </c>
      <c r="B1454" s="1">
        <v>43007</v>
      </c>
      <c r="C1454" t="s">
        <v>151</v>
      </c>
      <c r="D1454" t="s">
        <v>188</v>
      </c>
      <c r="E1454">
        <v>9.7651375159105798E-4</v>
      </c>
    </row>
    <row r="1455" spans="1:5" x14ac:dyDescent="0.2">
      <c r="A1455" s="13">
        <v>1453</v>
      </c>
      <c r="B1455" s="1">
        <v>43007</v>
      </c>
      <c r="C1455" t="s">
        <v>151</v>
      </c>
      <c r="D1455" t="s">
        <v>189</v>
      </c>
      <c r="E1455">
        <v>5.8228077480025685E-4</v>
      </c>
    </row>
    <row r="1456" spans="1:5" x14ac:dyDescent="0.2">
      <c r="A1456" s="13">
        <v>1454</v>
      </c>
      <c r="B1456" s="1">
        <v>43007</v>
      </c>
      <c r="C1456" t="s">
        <v>151</v>
      </c>
      <c r="D1456" t="s">
        <v>190</v>
      </c>
      <c r="E1456">
        <v>1.2873612226801307E-3</v>
      </c>
    </row>
    <row r="1457" spans="1:5" x14ac:dyDescent="0.2">
      <c r="A1457" s="13">
        <v>1455</v>
      </c>
      <c r="B1457" s="1">
        <v>43007</v>
      </c>
      <c r="C1457" t="s">
        <v>151</v>
      </c>
      <c r="D1457" t="s">
        <v>191</v>
      </c>
      <c r="E1457">
        <v>-8.4833024338389139E-4</v>
      </c>
    </row>
    <row r="1458" spans="1:5" x14ac:dyDescent="0.2">
      <c r="A1458" s="13">
        <v>1456</v>
      </c>
      <c r="B1458" s="1">
        <v>43007</v>
      </c>
      <c r="C1458" t="s">
        <v>29</v>
      </c>
      <c r="D1458" t="s">
        <v>39</v>
      </c>
      <c r="E1458">
        <v>8.9127713205260138E-5</v>
      </c>
    </row>
    <row r="1459" spans="1:5" x14ac:dyDescent="0.2">
      <c r="A1459" s="13">
        <v>1457</v>
      </c>
      <c r="B1459" s="1">
        <v>43007</v>
      </c>
      <c r="C1459" t="s">
        <v>29</v>
      </c>
      <c r="D1459" t="s">
        <v>32</v>
      </c>
      <c r="E1459">
        <v>1.3880590940270443E-3</v>
      </c>
    </row>
    <row r="1460" spans="1:5" x14ac:dyDescent="0.2">
      <c r="A1460" s="13">
        <v>1458</v>
      </c>
      <c r="B1460" s="1">
        <v>43007</v>
      </c>
      <c r="C1460" t="s">
        <v>29</v>
      </c>
      <c r="D1460" t="s">
        <v>30</v>
      </c>
      <c r="E1460">
        <v>2.7806903624712543E-6</v>
      </c>
    </row>
    <row r="1461" spans="1:5" x14ac:dyDescent="0.2">
      <c r="A1461" s="13">
        <v>1459</v>
      </c>
      <c r="B1461" s="1">
        <v>43007</v>
      </c>
      <c r="C1461" t="s">
        <v>29</v>
      </c>
      <c r="D1461" t="s">
        <v>49</v>
      </c>
      <c r="E1461">
        <v>0</v>
      </c>
    </row>
    <row r="1462" spans="1:5" x14ac:dyDescent="0.2">
      <c r="A1462" s="13">
        <v>1460</v>
      </c>
      <c r="B1462" s="1">
        <v>43007</v>
      </c>
      <c r="C1462" t="s">
        <v>29</v>
      </c>
      <c r="D1462" t="s">
        <v>145</v>
      </c>
      <c r="E1462">
        <v>0</v>
      </c>
    </row>
    <row r="1463" spans="1:5" x14ac:dyDescent="0.2">
      <c r="A1463" s="13">
        <v>1461</v>
      </c>
      <c r="B1463" s="1">
        <v>43007</v>
      </c>
      <c r="C1463" t="s">
        <v>29</v>
      </c>
      <c r="D1463" t="s">
        <v>233</v>
      </c>
      <c r="E1463">
        <v>0</v>
      </c>
    </row>
    <row r="1464" spans="1:5" x14ac:dyDescent="0.2">
      <c r="A1464" s="13">
        <v>1462</v>
      </c>
      <c r="B1464" s="1">
        <v>43007</v>
      </c>
      <c r="C1464" t="s">
        <v>29</v>
      </c>
      <c r="D1464" t="s">
        <v>172</v>
      </c>
      <c r="E1464">
        <v>0</v>
      </c>
    </row>
    <row r="1465" spans="1:5" x14ac:dyDescent="0.2">
      <c r="A1465" s="13">
        <v>1463</v>
      </c>
      <c r="B1465" s="1">
        <v>43007</v>
      </c>
      <c r="C1465" t="s">
        <v>29</v>
      </c>
      <c r="D1465" t="s">
        <v>72</v>
      </c>
      <c r="E1465">
        <v>4.7325181214560263</v>
      </c>
    </row>
    <row r="1466" spans="1:5" x14ac:dyDescent="0.2">
      <c r="A1466" s="13">
        <v>1464</v>
      </c>
      <c r="B1466" s="1">
        <v>43007</v>
      </c>
      <c r="C1466" t="s">
        <v>29</v>
      </c>
      <c r="D1466" t="s">
        <v>186</v>
      </c>
      <c r="E1466">
        <v>9.3982822531404496E-4</v>
      </c>
    </row>
    <row r="1467" spans="1:5" x14ac:dyDescent="0.2">
      <c r="A1467" s="13">
        <v>1465</v>
      </c>
      <c r="B1467" s="1">
        <v>43007</v>
      </c>
      <c r="C1467" t="s">
        <v>29</v>
      </c>
      <c r="D1467" t="s">
        <v>187</v>
      </c>
      <c r="E1467">
        <v>0</v>
      </c>
    </row>
    <row r="1468" spans="1:5" x14ac:dyDescent="0.2">
      <c r="A1468" s="13">
        <v>1466</v>
      </c>
      <c r="B1468" s="1">
        <v>43007</v>
      </c>
      <c r="C1468" t="s">
        <v>29</v>
      </c>
      <c r="D1468" t="s">
        <v>188</v>
      </c>
      <c r="E1468">
        <v>0</v>
      </c>
    </row>
    <row r="1469" spans="1:5" x14ac:dyDescent="0.2">
      <c r="A1469" s="13">
        <v>1467</v>
      </c>
      <c r="B1469" s="1">
        <v>43007</v>
      </c>
      <c r="C1469" t="s">
        <v>29</v>
      </c>
      <c r="D1469" t="s">
        <v>189</v>
      </c>
      <c r="E1469">
        <v>0</v>
      </c>
    </row>
    <row r="1470" spans="1:5" x14ac:dyDescent="0.2">
      <c r="A1470" s="13">
        <v>1468</v>
      </c>
      <c r="B1470" s="1">
        <v>43007</v>
      </c>
      <c r="C1470" t="s">
        <v>29</v>
      </c>
      <c r="D1470" t="s">
        <v>190</v>
      </c>
      <c r="E1470">
        <v>0</v>
      </c>
    </row>
    <row r="1471" spans="1:5" x14ac:dyDescent="0.2">
      <c r="A1471" s="13">
        <v>1469</v>
      </c>
      <c r="B1471" s="1">
        <v>43007</v>
      </c>
      <c r="C1471" t="s">
        <v>29</v>
      </c>
      <c r="D1471" t="s">
        <v>191</v>
      </c>
      <c r="E1471">
        <v>5.401392722807313E-4</v>
      </c>
    </row>
    <row r="1472" spans="1:5" x14ac:dyDescent="0.2">
      <c r="A1472" s="13">
        <v>1470</v>
      </c>
      <c r="B1472" s="1">
        <v>43007</v>
      </c>
      <c r="C1472" t="s">
        <v>87</v>
      </c>
      <c r="D1472" t="s">
        <v>39</v>
      </c>
      <c r="E1472">
        <v>3.35286899296973E-3</v>
      </c>
    </row>
    <row r="1473" spans="1:5" x14ac:dyDescent="0.2">
      <c r="A1473" s="13">
        <v>1471</v>
      </c>
      <c r="B1473" s="1">
        <v>43007</v>
      </c>
      <c r="C1473" t="s">
        <v>87</v>
      </c>
      <c r="D1473" t="s">
        <v>32</v>
      </c>
      <c r="E1473">
        <v>1.198874838943529E-2</v>
      </c>
    </row>
    <row r="1474" spans="1:5" x14ac:dyDescent="0.2">
      <c r="A1474" s="13">
        <v>1472</v>
      </c>
      <c r="B1474" s="1">
        <v>43007</v>
      </c>
      <c r="C1474" t="s">
        <v>87</v>
      </c>
      <c r="D1474" t="s">
        <v>30</v>
      </c>
      <c r="E1474">
        <v>-3.3939513956000893E-4</v>
      </c>
    </row>
    <row r="1475" spans="1:5" x14ac:dyDescent="0.2">
      <c r="A1475" s="13">
        <v>1473</v>
      </c>
      <c r="B1475" s="1">
        <v>43007</v>
      </c>
      <c r="C1475" t="s">
        <v>87</v>
      </c>
      <c r="D1475" t="s">
        <v>49</v>
      </c>
      <c r="E1475">
        <v>0</v>
      </c>
    </row>
    <row r="1476" spans="1:5" x14ac:dyDescent="0.2">
      <c r="A1476" s="13">
        <v>1474</v>
      </c>
      <c r="B1476" s="1">
        <v>43007</v>
      </c>
      <c r="C1476" t="s">
        <v>87</v>
      </c>
      <c r="D1476" t="s">
        <v>145</v>
      </c>
      <c r="E1476">
        <v>5.8655311410651825E-4</v>
      </c>
    </row>
    <row r="1477" spans="1:5" x14ac:dyDescent="0.2">
      <c r="A1477" s="13">
        <v>1475</v>
      </c>
      <c r="B1477" s="1">
        <v>43007</v>
      </c>
      <c r="C1477" t="s">
        <v>87</v>
      </c>
      <c r="D1477" t="s">
        <v>233</v>
      </c>
      <c r="E1477">
        <v>0</v>
      </c>
    </row>
    <row r="1478" spans="1:5" x14ac:dyDescent="0.2">
      <c r="A1478" s="13">
        <v>1476</v>
      </c>
      <c r="B1478" s="1">
        <v>43007</v>
      </c>
      <c r="C1478" t="s">
        <v>87</v>
      </c>
      <c r="D1478" t="s">
        <v>172</v>
      </c>
      <c r="E1478">
        <v>0</v>
      </c>
    </row>
    <row r="1479" spans="1:5" x14ac:dyDescent="0.2">
      <c r="A1479" s="13">
        <v>1477</v>
      </c>
      <c r="B1479" s="1">
        <v>43007</v>
      </c>
      <c r="C1479" t="s">
        <v>87</v>
      </c>
      <c r="D1479" t="s">
        <v>72</v>
      </c>
      <c r="E1479">
        <v>9.3338537340225862</v>
      </c>
    </row>
    <row r="1480" spans="1:5" x14ac:dyDescent="0.2">
      <c r="A1480" s="13">
        <v>1478</v>
      </c>
      <c r="B1480" s="1">
        <v>43007</v>
      </c>
      <c r="C1480" t="s">
        <v>87</v>
      </c>
      <c r="D1480" t="s">
        <v>186</v>
      </c>
      <c r="E1480">
        <v>1.5235967346972894E-2</v>
      </c>
    </row>
    <row r="1481" spans="1:5" x14ac:dyDescent="0.2">
      <c r="A1481" s="13">
        <v>1479</v>
      </c>
      <c r="B1481" s="1">
        <v>43007</v>
      </c>
      <c r="C1481" t="s">
        <v>87</v>
      </c>
      <c r="D1481" t="s">
        <v>187</v>
      </c>
      <c r="E1481">
        <v>4.6263554561132986E-4</v>
      </c>
    </row>
    <row r="1482" spans="1:5" x14ac:dyDescent="0.2">
      <c r="A1482" s="13">
        <v>1480</v>
      </c>
      <c r="B1482" s="1">
        <v>43007</v>
      </c>
      <c r="C1482" t="s">
        <v>87</v>
      </c>
      <c r="D1482" t="s">
        <v>188</v>
      </c>
      <c r="E1482">
        <v>-8.8847471896336391E-5</v>
      </c>
    </row>
    <row r="1483" spans="1:5" x14ac:dyDescent="0.2">
      <c r="A1483" s="13">
        <v>1481</v>
      </c>
      <c r="B1483" s="1">
        <v>43007</v>
      </c>
      <c r="C1483" t="s">
        <v>87</v>
      </c>
      <c r="D1483" t="s">
        <v>189</v>
      </c>
      <c r="E1483">
        <v>-1.0206379002908556E-4</v>
      </c>
    </row>
    <row r="1484" spans="1:5" x14ac:dyDescent="0.2">
      <c r="A1484" s="13">
        <v>1482</v>
      </c>
      <c r="B1484" s="1">
        <v>43007</v>
      </c>
      <c r="C1484" t="s">
        <v>87</v>
      </c>
      <c r="D1484" t="s">
        <v>190</v>
      </c>
      <c r="E1484">
        <v>-5.5385529672582351E-5</v>
      </c>
    </row>
    <row r="1485" spans="1:5" x14ac:dyDescent="0.2">
      <c r="A1485" s="13">
        <v>1483</v>
      </c>
      <c r="B1485" s="1">
        <v>43007</v>
      </c>
      <c r="C1485" t="s">
        <v>87</v>
      </c>
      <c r="D1485" t="s">
        <v>191</v>
      </c>
      <c r="E1485">
        <v>1.3646925596530886E-4</v>
      </c>
    </row>
    <row r="1486" spans="1:5" x14ac:dyDescent="0.2">
      <c r="A1486" s="13">
        <v>1484</v>
      </c>
      <c r="B1486" s="1">
        <v>43007</v>
      </c>
      <c r="C1486" t="s">
        <v>61</v>
      </c>
      <c r="D1486" t="s">
        <v>39</v>
      </c>
      <c r="E1486">
        <v>1.5851707714547225E-3</v>
      </c>
    </row>
    <row r="1487" spans="1:5" x14ac:dyDescent="0.2">
      <c r="A1487" s="13">
        <v>1485</v>
      </c>
      <c r="B1487" s="1">
        <v>43007</v>
      </c>
      <c r="C1487" t="s">
        <v>61</v>
      </c>
      <c r="D1487" t="s">
        <v>32</v>
      </c>
      <c r="E1487">
        <v>9.5617125490049283E-3</v>
      </c>
    </row>
    <row r="1488" spans="1:5" x14ac:dyDescent="0.2">
      <c r="A1488" s="13">
        <v>1486</v>
      </c>
      <c r="B1488" s="1">
        <v>43007</v>
      </c>
      <c r="C1488" t="s">
        <v>61</v>
      </c>
      <c r="D1488" t="s">
        <v>30</v>
      </c>
      <c r="E1488">
        <v>0</v>
      </c>
    </row>
    <row r="1489" spans="1:5" x14ac:dyDescent="0.2">
      <c r="A1489" s="13">
        <v>1487</v>
      </c>
      <c r="B1489" s="1">
        <v>43007</v>
      </c>
      <c r="C1489" t="s">
        <v>61</v>
      </c>
      <c r="D1489" t="s">
        <v>49</v>
      </c>
      <c r="E1489">
        <v>0</v>
      </c>
    </row>
    <row r="1490" spans="1:5" x14ac:dyDescent="0.2">
      <c r="A1490" s="13">
        <v>1488</v>
      </c>
      <c r="B1490" s="1">
        <v>43007</v>
      </c>
      <c r="C1490" t="s">
        <v>61</v>
      </c>
      <c r="D1490" t="s">
        <v>145</v>
      </c>
      <c r="E1490">
        <v>0</v>
      </c>
    </row>
    <row r="1491" spans="1:5" x14ac:dyDescent="0.2">
      <c r="A1491" s="13">
        <v>1489</v>
      </c>
      <c r="B1491" s="1">
        <v>43007</v>
      </c>
      <c r="C1491" t="s">
        <v>61</v>
      </c>
      <c r="D1491" t="s">
        <v>233</v>
      </c>
      <c r="E1491">
        <v>0</v>
      </c>
    </row>
    <row r="1492" spans="1:5" x14ac:dyDescent="0.2">
      <c r="A1492" s="13">
        <v>1490</v>
      </c>
      <c r="B1492" s="1">
        <v>43007</v>
      </c>
      <c r="C1492" t="s">
        <v>61</v>
      </c>
      <c r="D1492" t="s">
        <v>172</v>
      </c>
      <c r="E1492">
        <v>0</v>
      </c>
    </row>
    <row r="1493" spans="1:5" x14ac:dyDescent="0.2">
      <c r="A1493" s="13">
        <v>1491</v>
      </c>
      <c r="B1493" s="1">
        <v>43007</v>
      </c>
      <c r="C1493" t="s">
        <v>61</v>
      </c>
      <c r="D1493" t="s">
        <v>72</v>
      </c>
      <c r="E1493">
        <v>5.6356872354711633</v>
      </c>
    </row>
    <row r="1494" spans="1:5" x14ac:dyDescent="0.2">
      <c r="A1494" s="13">
        <v>1492</v>
      </c>
      <c r="B1494" s="1">
        <v>43007</v>
      </c>
      <c r="C1494" t="s">
        <v>61</v>
      </c>
      <c r="D1494" t="s">
        <v>186</v>
      </c>
      <c r="E1494">
        <v>1.1146883320459655E-2</v>
      </c>
    </row>
    <row r="1495" spans="1:5" x14ac:dyDescent="0.2">
      <c r="A1495" s="13">
        <v>1493</v>
      </c>
      <c r="B1495" s="1">
        <v>43007</v>
      </c>
      <c r="C1495" t="s">
        <v>61</v>
      </c>
      <c r="D1495" t="s">
        <v>187</v>
      </c>
      <c r="E1495">
        <v>0</v>
      </c>
    </row>
    <row r="1496" spans="1:5" x14ac:dyDescent="0.2">
      <c r="A1496" s="13">
        <v>1494</v>
      </c>
      <c r="B1496" s="1">
        <v>43007</v>
      </c>
      <c r="C1496" t="s">
        <v>61</v>
      </c>
      <c r="D1496" t="s">
        <v>188</v>
      </c>
      <c r="E1496">
        <v>0</v>
      </c>
    </row>
    <row r="1497" spans="1:5" x14ac:dyDescent="0.2">
      <c r="A1497" s="13">
        <v>1495</v>
      </c>
      <c r="B1497" s="1">
        <v>43007</v>
      </c>
      <c r="C1497" t="s">
        <v>61</v>
      </c>
      <c r="D1497" t="s">
        <v>189</v>
      </c>
      <c r="E1497">
        <v>0</v>
      </c>
    </row>
    <row r="1498" spans="1:5" x14ac:dyDescent="0.2">
      <c r="A1498" s="13">
        <v>1496</v>
      </c>
      <c r="B1498" s="1">
        <v>43007</v>
      </c>
      <c r="C1498" t="s">
        <v>61</v>
      </c>
      <c r="D1498" t="s">
        <v>190</v>
      </c>
      <c r="E1498">
        <v>0</v>
      </c>
    </row>
    <row r="1499" spans="1:5" x14ac:dyDescent="0.2">
      <c r="A1499" s="13">
        <v>1497</v>
      </c>
      <c r="B1499" s="1">
        <v>43007</v>
      </c>
      <c r="C1499" t="s">
        <v>61</v>
      </c>
      <c r="D1499" t="s">
        <v>191</v>
      </c>
      <c r="E1499">
        <v>0</v>
      </c>
    </row>
    <row r="1500" spans="1:5" x14ac:dyDescent="0.2">
      <c r="A1500" s="13">
        <v>1498</v>
      </c>
      <c r="B1500" s="1">
        <v>43007</v>
      </c>
      <c r="C1500" t="s">
        <v>53</v>
      </c>
      <c r="D1500" t="s">
        <v>39</v>
      </c>
      <c r="E1500">
        <v>-5.8106097307274093E-6</v>
      </c>
    </row>
    <row r="1501" spans="1:5" x14ac:dyDescent="0.2">
      <c r="A1501" s="13">
        <v>1499</v>
      </c>
      <c r="B1501" s="1">
        <v>43007</v>
      </c>
      <c r="C1501" t="s">
        <v>53</v>
      </c>
      <c r="D1501" t="s">
        <v>32</v>
      </c>
      <c r="E1501">
        <v>5.0742983083809983E-3</v>
      </c>
    </row>
    <row r="1502" spans="1:5" x14ac:dyDescent="0.2">
      <c r="A1502" s="13">
        <v>1500</v>
      </c>
      <c r="B1502" s="1">
        <v>43007</v>
      </c>
      <c r="C1502" t="s">
        <v>53</v>
      </c>
      <c r="D1502" t="s">
        <v>30</v>
      </c>
      <c r="E1502">
        <v>5.2324568115982102E-4</v>
      </c>
    </row>
    <row r="1503" spans="1:5" x14ac:dyDescent="0.2">
      <c r="A1503" s="13">
        <v>1501</v>
      </c>
      <c r="B1503" s="1">
        <v>43007</v>
      </c>
      <c r="C1503" t="s">
        <v>53</v>
      </c>
      <c r="D1503" t="s">
        <v>49</v>
      </c>
      <c r="E1503">
        <v>0</v>
      </c>
    </row>
    <row r="1504" spans="1:5" x14ac:dyDescent="0.2">
      <c r="A1504" s="13">
        <v>1502</v>
      </c>
      <c r="B1504" s="1">
        <v>43007</v>
      </c>
      <c r="C1504" t="s">
        <v>53</v>
      </c>
      <c r="D1504" t="s">
        <v>145</v>
      </c>
      <c r="E1504">
        <v>0</v>
      </c>
    </row>
    <row r="1505" spans="1:5" x14ac:dyDescent="0.2">
      <c r="A1505" s="13">
        <v>1503</v>
      </c>
      <c r="B1505" s="1">
        <v>43007</v>
      </c>
      <c r="C1505" t="s">
        <v>53</v>
      </c>
      <c r="D1505" t="s">
        <v>233</v>
      </c>
      <c r="E1505">
        <v>0</v>
      </c>
    </row>
    <row r="1506" spans="1:5" x14ac:dyDescent="0.2">
      <c r="A1506" s="13">
        <v>1504</v>
      </c>
      <c r="B1506" s="1">
        <v>43007</v>
      </c>
      <c r="C1506" t="s">
        <v>53</v>
      </c>
      <c r="D1506" t="s">
        <v>172</v>
      </c>
      <c r="E1506">
        <v>0</v>
      </c>
    </row>
    <row r="1507" spans="1:5" x14ac:dyDescent="0.2">
      <c r="A1507" s="13">
        <v>1505</v>
      </c>
      <c r="B1507" s="1">
        <v>43007</v>
      </c>
      <c r="C1507" t="s">
        <v>53</v>
      </c>
      <c r="D1507" t="s">
        <v>72</v>
      </c>
      <c r="E1507">
        <v>6.3730607345182309</v>
      </c>
    </row>
    <row r="1508" spans="1:5" x14ac:dyDescent="0.2">
      <c r="A1508" s="13">
        <v>1506</v>
      </c>
      <c r="B1508" s="1">
        <v>43007</v>
      </c>
      <c r="C1508" t="s">
        <v>53</v>
      </c>
      <c r="D1508" t="s">
        <v>186</v>
      </c>
      <c r="E1508">
        <v>3.121643599397836E-3</v>
      </c>
    </row>
    <row r="1509" spans="1:5" x14ac:dyDescent="0.2">
      <c r="A1509" s="13">
        <v>1507</v>
      </c>
      <c r="B1509" s="1">
        <v>43007</v>
      </c>
      <c r="C1509" t="s">
        <v>53</v>
      </c>
      <c r="D1509" t="s">
        <v>187</v>
      </c>
      <c r="E1509">
        <v>0</v>
      </c>
    </row>
    <row r="1510" spans="1:5" x14ac:dyDescent="0.2">
      <c r="A1510" s="13">
        <v>1508</v>
      </c>
      <c r="B1510" s="1">
        <v>43007</v>
      </c>
      <c r="C1510" t="s">
        <v>53</v>
      </c>
      <c r="D1510" t="s">
        <v>188</v>
      </c>
      <c r="E1510">
        <v>0</v>
      </c>
    </row>
    <row r="1511" spans="1:5" x14ac:dyDescent="0.2">
      <c r="A1511" s="13">
        <v>1509</v>
      </c>
      <c r="B1511" s="1">
        <v>43007</v>
      </c>
      <c r="C1511" t="s">
        <v>53</v>
      </c>
      <c r="D1511" t="s">
        <v>189</v>
      </c>
      <c r="E1511">
        <v>0</v>
      </c>
    </row>
    <row r="1512" spans="1:5" x14ac:dyDescent="0.2">
      <c r="A1512" s="13">
        <v>1510</v>
      </c>
      <c r="B1512" s="1">
        <v>43007</v>
      </c>
      <c r="C1512" t="s">
        <v>53</v>
      </c>
      <c r="D1512" t="s">
        <v>190</v>
      </c>
      <c r="E1512">
        <v>0</v>
      </c>
    </row>
    <row r="1513" spans="1:5" x14ac:dyDescent="0.2">
      <c r="A1513" s="13">
        <v>1511</v>
      </c>
      <c r="B1513" s="1">
        <v>43007</v>
      </c>
      <c r="C1513" t="s">
        <v>53</v>
      </c>
      <c r="D1513" t="s">
        <v>191</v>
      </c>
      <c r="E1513">
        <v>2.4700897804122569E-3</v>
      </c>
    </row>
    <row r="1514" spans="1:5" x14ac:dyDescent="0.2">
      <c r="A1514" s="13">
        <v>1512</v>
      </c>
      <c r="B1514" s="1">
        <v>43006</v>
      </c>
      <c r="C1514" t="s">
        <v>62</v>
      </c>
      <c r="D1514" t="s">
        <v>39</v>
      </c>
      <c r="E1514">
        <v>4.9241803670027305E-3</v>
      </c>
    </row>
    <row r="1515" spans="1:5" x14ac:dyDescent="0.2">
      <c r="A1515" s="13">
        <v>1513</v>
      </c>
      <c r="B1515" s="1">
        <v>43006</v>
      </c>
      <c r="C1515" t="s">
        <v>62</v>
      </c>
      <c r="D1515" t="s">
        <v>32</v>
      </c>
      <c r="E1515">
        <v>3.0236203104349988E-3</v>
      </c>
    </row>
    <row r="1516" spans="1:5" x14ac:dyDescent="0.2">
      <c r="A1516" s="13">
        <v>1514</v>
      </c>
      <c r="B1516" s="1">
        <v>43006</v>
      </c>
      <c r="C1516" t="s">
        <v>62</v>
      </c>
      <c r="D1516" t="s">
        <v>30</v>
      </c>
      <c r="E1516">
        <v>-3.6417843330508007E-5</v>
      </c>
    </row>
    <row r="1517" spans="1:5" x14ac:dyDescent="0.2">
      <c r="A1517" s="13">
        <v>1515</v>
      </c>
      <c r="B1517" s="1">
        <v>43006</v>
      </c>
      <c r="C1517" t="s">
        <v>62</v>
      </c>
      <c r="D1517" t="s">
        <v>49</v>
      </c>
      <c r="E1517">
        <v>3.1352546391454772E-8</v>
      </c>
    </row>
    <row r="1518" spans="1:5" x14ac:dyDescent="0.2">
      <c r="A1518" s="13">
        <v>1516</v>
      </c>
      <c r="B1518" s="1">
        <v>43006</v>
      </c>
      <c r="C1518" t="s">
        <v>62</v>
      </c>
      <c r="D1518" t="s">
        <v>145</v>
      </c>
      <c r="E1518">
        <v>0</v>
      </c>
    </row>
    <row r="1519" spans="1:5" x14ac:dyDescent="0.2">
      <c r="A1519" s="13">
        <v>1517</v>
      </c>
      <c r="B1519" s="1">
        <v>43006</v>
      </c>
      <c r="C1519" t="s">
        <v>62</v>
      </c>
      <c r="D1519" t="s">
        <v>233</v>
      </c>
      <c r="E1519">
        <v>0</v>
      </c>
    </row>
    <row r="1520" spans="1:5" x14ac:dyDescent="0.2">
      <c r="A1520" s="13">
        <v>1518</v>
      </c>
      <c r="B1520" s="1">
        <v>43006</v>
      </c>
      <c r="C1520" t="s">
        <v>62</v>
      </c>
      <c r="D1520" t="s">
        <v>172</v>
      </c>
      <c r="E1520">
        <v>0</v>
      </c>
    </row>
    <row r="1521" spans="1:5" x14ac:dyDescent="0.2">
      <c r="A1521" s="13">
        <v>1519</v>
      </c>
      <c r="B1521" s="1">
        <v>43006</v>
      </c>
      <c r="C1521" t="s">
        <v>62</v>
      </c>
      <c r="D1521" t="s">
        <v>72</v>
      </c>
      <c r="E1521">
        <v>3.4133525625979808</v>
      </c>
    </row>
    <row r="1522" spans="1:5" x14ac:dyDescent="0.2">
      <c r="A1522" s="13">
        <v>1520</v>
      </c>
      <c r="B1522" s="1">
        <v>43006</v>
      </c>
      <c r="C1522" t="s">
        <v>62</v>
      </c>
      <c r="D1522" t="s">
        <v>186</v>
      </c>
      <c r="E1522">
        <v>7.9478006774377288E-3</v>
      </c>
    </row>
    <row r="1523" spans="1:5" x14ac:dyDescent="0.2">
      <c r="A1523" s="13">
        <v>1521</v>
      </c>
      <c r="B1523" s="1">
        <v>43006</v>
      </c>
      <c r="C1523" t="s">
        <v>62</v>
      </c>
      <c r="D1523" t="s">
        <v>187</v>
      </c>
      <c r="E1523">
        <v>0</v>
      </c>
    </row>
    <row r="1524" spans="1:5" x14ac:dyDescent="0.2">
      <c r="A1524" s="13">
        <v>1522</v>
      </c>
      <c r="B1524" s="1">
        <v>43006</v>
      </c>
      <c r="C1524" t="s">
        <v>62</v>
      </c>
      <c r="D1524" t="s">
        <v>188</v>
      </c>
      <c r="E1524">
        <v>0</v>
      </c>
    </row>
    <row r="1525" spans="1:5" x14ac:dyDescent="0.2">
      <c r="A1525" s="13">
        <v>1523</v>
      </c>
      <c r="B1525" s="1">
        <v>43006</v>
      </c>
      <c r="C1525" t="s">
        <v>62</v>
      </c>
      <c r="D1525" t="s">
        <v>189</v>
      </c>
      <c r="E1525">
        <v>0</v>
      </c>
    </row>
    <row r="1526" spans="1:5" x14ac:dyDescent="0.2">
      <c r="A1526" s="13">
        <v>1524</v>
      </c>
      <c r="B1526" s="1">
        <v>43006</v>
      </c>
      <c r="C1526" t="s">
        <v>62</v>
      </c>
      <c r="D1526" t="s">
        <v>190</v>
      </c>
      <c r="E1526">
        <v>0</v>
      </c>
    </row>
    <row r="1527" spans="1:5" x14ac:dyDescent="0.2">
      <c r="A1527" s="13">
        <v>1525</v>
      </c>
      <c r="B1527" s="1">
        <v>43006</v>
      </c>
      <c r="C1527" t="s">
        <v>62</v>
      </c>
      <c r="D1527" t="s">
        <v>191</v>
      </c>
      <c r="E1527">
        <v>-3.6386490784116554E-5</v>
      </c>
    </row>
    <row r="1528" spans="1:5" x14ac:dyDescent="0.2">
      <c r="A1528" s="13">
        <v>1526</v>
      </c>
      <c r="B1528" s="1">
        <v>43006</v>
      </c>
      <c r="C1528" t="s">
        <v>63</v>
      </c>
      <c r="D1528" t="s">
        <v>39</v>
      </c>
      <c r="E1528">
        <v>8.2819428561502397E-3</v>
      </c>
    </row>
    <row r="1529" spans="1:5" x14ac:dyDescent="0.2">
      <c r="A1529" s="13">
        <v>1527</v>
      </c>
      <c r="B1529" s="1">
        <v>43006</v>
      </c>
      <c r="C1529" t="s">
        <v>63</v>
      </c>
      <c r="D1529" t="s">
        <v>32</v>
      </c>
      <c r="E1529">
        <v>5.5056002899059138E-3</v>
      </c>
    </row>
    <row r="1530" spans="1:5" x14ac:dyDescent="0.2">
      <c r="A1530" s="13">
        <v>1528</v>
      </c>
      <c r="B1530" s="1">
        <v>43006</v>
      </c>
      <c r="C1530" t="s">
        <v>63</v>
      </c>
      <c r="D1530" t="s">
        <v>30</v>
      </c>
      <c r="E1530">
        <v>-4.6088441619135348E-5</v>
      </c>
    </row>
    <row r="1531" spans="1:5" x14ac:dyDescent="0.2">
      <c r="A1531" s="13">
        <v>1529</v>
      </c>
      <c r="B1531" s="1">
        <v>43006</v>
      </c>
      <c r="C1531" t="s">
        <v>63</v>
      </c>
      <c r="D1531" t="s">
        <v>49</v>
      </c>
      <c r="E1531">
        <v>3.3344499008397961E-7</v>
      </c>
    </row>
    <row r="1532" spans="1:5" x14ac:dyDescent="0.2">
      <c r="A1532" s="13">
        <v>1530</v>
      </c>
      <c r="B1532" s="1">
        <v>43006</v>
      </c>
      <c r="C1532" t="s">
        <v>63</v>
      </c>
      <c r="D1532" t="s">
        <v>145</v>
      </c>
      <c r="E1532">
        <v>0</v>
      </c>
    </row>
    <row r="1533" spans="1:5" x14ac:dyDescent="0.2">
      <c r="A1533" s="13">
        <v>1531</v>
      </c>
      <c r="B1533" s="1">
        <v>43006</v>
      </c>
      <c r="C1533" t="s">
        <v>63</v>
      </c>
      <c r="D1533" t="s">
        <v>233</v>
      </c>
      <c r="E1533">
        <v>0</v>
      </c>
    </row>
    <row r="1534" spans="1:5" x14ac:dyDescent="0.2">
      <c r="A1534" s="13">
        <v>1532</v>
      </c>
      <c r="B1534" s="1">
        <v>43006</v>
      </c>
      <c r="C1534" t="s">
        <v>63</v>
      </c>
      <c r="D1534" t="s">
        <v>172</v>
      </c>
      <c r="E1534">
        <v>0</v>
      </c>
    </row>
    <row r="1535" spans="1:5" x14ac:dyDescent="0.2">
      <c r="A1535" s="13">
        <v>1533</v>
      </c>
      <c r="B1535" s="1">
        <v>43006</v>
      </c>
      <c r="C1535" t="s">
        <v>63</v>
      </c>
      <c r="D1535" t="s">
        <v>72</v>
      </c>
      <c r="E1535">
        <v>5.9596463014860088</v>
      </c>
    </row>
    <row r="1536" spans="1:5" x14ac:dyDescent="0.2">
      <c r="A1536" s="13">
        <v>1534</v>
      </c>
      <c r="B1536" s="1">
        <v>43006</v>
      </c>
      <c r="C1536" t="s">
        <v>63</v>
      </c>
      <c r="D1536" t="s">
        <v>186</v>
      </c>
      <c r="E1536">
        <v>1.3787543146056154E-2</v>
      </c>
    </row>
    <row r="1537" spans="1:5" x14ac:dyDescent="0.2">
      <c r="A1537" s="13">
        <v>1535</v>
      </c>
      <c r="B1537" s="1">
        <v>43006</v>
      </c>
      <c r="C1537" t="s">
        <v>63</v>
      </c>
      <c r="D1537" t="s">
        <v>187</v>
      </c>
      <c r="E1537">
        <v>0</v>
      </c>
    </row>
    <row r="1538" spans="1:5" x14ac:dyDescent="0.2">
      <c r="A1538" s="13">
        <v>1536</v>
      </c>
      <c r="B1538" s="1">
        <v>43006</v>
      </c>
      <c r="C1538" t="s">
        <v>63</v>
      </c>
      <c r="D1538" t="s">
        <v>188</v>
      </c>
      <c r="E1538">
        <v>0</v>
      </c>
    </row>
    <row r="1539" spans="1:5" x14ac:dyDescent="0.2">
      <c r="A1539" s="13">
        <v>1537</v>
      </c>
      <c r="B1539" s="1">
        <v>43006</v>
      </c>
      <c r="C1539" t="s">
        <v>63</v>
      </c>
      <c r="D1539" t="s">
        <v>189</v>
      </c>
      <c r="E1539">
        <v>0</v>
      </c>
    </row>
    <row r="1540" spans="1:5" x14ac:dyDescent="0.2">
      <c r="A1540" s="13">
        <v>1538</v>
      </c>
      <c r="B1540" s="1">
        <v>43006</v>
      </c>
      <c r="C1540" t="s">
        <v>63</v>
      </c>
      <c r="D1540" t="s">
        <v>190</v>
      </c>
      <c r="E1540">
        <v>0</v>
      </c>
    </row>
    <row r="1541" spans="1:5" x14ac:dyDescent="0.2">
      <c r="A1541" s="13">
        <v>1539</v>
      </c>
      <c r="B1541" s="1">
        <v>43006</v>
      </c>
      <c r="C1541" t="s">
        <v>63</v>
      </c>
      <c r="D1541" t="s">
        <v>191</v>
      </c>
      <c r="E1541">
        <v>-4.575499662905137E-5</v>
      </c>
    </row>
    <row r="1542" spans="1:5" x14ac:dyDescent="0.2">
      <c r="A1542" s="13">
        <v>1540</v>
      </c>
      <c r="B1542" s="1">
        <v>43006</v>
      </c>
      <c r="C1542" t="s">
        <v>103</v>
      </c>
      <c r="D1542" t="s">
        <v>39</v>
      </c>
      <c r="E1542">
        <v>2.2630637610423835E-2</v>
      </c>
    </row>
    <row r="1543" spans="1:5" x14ac:dyDescent="0.2">
      <c r="A1543" s="13">
        <v>1541</v>
      </c>
      <c r="B1543" s="1">
        <v>43006</v>
      </c>
      <c r="C1543" t="s">
        <v>103</v>
      </c>
      <c r="D1543" t="s">
        <v>32</v>
      </c>
      <c r="E1543">
        <v>0</v>
      </c>
    </row>
    <row r="1544" spans="1:5" x14ac:dyDescent="0.2">
      <c r="A1544" s="13">
        <v>1542</v>
      </c>
      <c r="B1544" s="1">
        <v>43006</v>
      </c>
      <c r="C1544" t="s">
        <v>103</v>
      </c>
      <c r="D1544" t="s">
        <v>30</v>
      </c>
      <c r="E1544">
        <v>0</v>
      </c>
    </row>
    <row r="1545" spans="1:5" x14ac:dyDescent="0.2">
      <c r="A1545" s="13">
        <v>1543</v>
      </c>
      <c r="B1545" s="1">
        <v>43006</v>
      </c>
      <c r="C1545" t="s">
        <v>103</v>
      </c>
      <c r="D1545" t="s">
        <v>49</v>
      </c>
      <c r="E1545">
        <v>0</v>
      </c>
    </row>
    <row r="1546" spans="1:5" x14ac:dyDescent="0.2">
      <c r="A1546" s="13">
        <v>1544</v>
      </c>
      <c r="B1546" s="1">
        <v>43006</v>
      </c>
      <c r="C1546" t="s">
        <v>103</v>
      </c>
      <c r="D1546" t="s">
        <v>145</v>
      </c>
      <c r="E1546">
        <v>0</v>
      </c>
    </row>
    <row r="1547" spans="1:5" x14ac:dyDescent="0.2">
      <c r="A1547" s="13">
        <v>1545</v>
      </c>
      <c r="B1547" s="1">
        <v>43006</v>
      </c>
      <c r="C1547" t="s">
        <v>103</v>
      </c>
      <c r="D1547" t="s">
        <v>233</v>
      </c>
      <c r="E1547">
        <v>0</v>
      </c>
    </row>
    <row r="1548" spans="1:5" x14ac:dyDescent="0.2">
      <c r="A1548" s="13">
        <v>1546</v>
      </c>
      <c r="B1548" s="1">
        <v>43006</v>
      </c>
      <c r="C1548" t="s">
        <v>103</v>
      </c>
      <c r="D1548" t="s">
        <v>172</v>
      </c>
      <c r="E1548">
        <v>0</v>
      </c>
    </row>
    <row r="1549" spans="1:5" x14ac:dyDescent="0.2">
      <c r="A1549" s="13">
        <v>1547</v>
      </c>
      <c r="B1549" s="1">
        <v>43006</v>
      </c>
      <c r="C1549" t="s">
        <v>103</v>
      </c>
      <c r="D1549" t="s">
        <v>72</v>
      </c>
      <c r="E1549">
        <v>0</v>
      </c>
    </row>
    <row r="1550" spans="1:5" x14ac:dyDescent="0.2">
      <c r="A1550" s="13">
        <v>1548</v>
      </c>
      <c r="B1550" s="1">
        <v>43006</v>
      </c>
      <c r="C1550" t="s">
        <v>103</v>
      </c>
      <c r="D1550" t="s">
        <v>186</v>
      </c>
      <c r="E1550">
        <v>2.2630637610423835E-2</v>
      </c>
    </row>
    <row r="1551" spans="1:5" x14ac:dyDescent="0.2">
      <c r="A1551" s="13">
        <v>1549</v>
      </c>
      <c r="B1551" s="1">
        <v>43006</v>
      </c>
      <c r="C1551" t="s">
        <v>103</v>
      </c>
      <c r="D1551" t="s">
        <v>187</v>
      </c>
      <c r="E1551">
        <v>0</v>
      </c>
    </row>
    <row r="1552" spans="1:5" x14ac:dyDescent="0.2">
      <c r="A1552" s="13">
        <v>1550</v>
      </c>
      <c r="B1552" s="1">
        <v>43006</v>
      </c>
      <c r="C1552" t="s">
        <v>103</v>
      </c>
      <c r="D1552" t="s">
        <v>188</v>
      </c>
      <c r="E1552">
        <v>0</v>
      </c>
    </row>
    <row r="1553" spans="1:5" x14ac:dyDescent="0.2">
      <c r="A1553" s="13">
        <v>1551</v>
      </c>
      <c r="B1553" s="1">
        <v>43006</v>
      </c>
      <c r="C1553" t="s">
        <v>103</v>
      </c>
      <c r="D1553" t="s">
        <v>189</v>
      </c>
      <c r="E1553">
        <v>0</v>
      </c>
    </row>
    <row r="1554" spans="1:5" x14ac:dyDescent="0.2">
      <c r="A1554" s="13">
        <v>1552</v>
      </c>
      <c r="B1554" s="1">
        <v>43006</v>
      </c>
      <c r="C1554" t="s">
        <v>103</v>
      </c>
      <c r="D1554" t="s">
        <v>190</v>
      </c>
      <c r="E1554">
        <v>0</v>
      </c>
    </row>
    <row r="1555" spans="1:5" x14ac:dyDescent="0.2">
      <c r="A1555" s="13">
        <v>1553</v>
      </c>
      <c r="B1555" s="1">
        <v>43006</v>
      </c>
      <c r="C1555" t="s">
        <v>103</v>
      </c>
      <c r="D1555" t="s">
        <v>191</v>
      </c>
      <c r="E1555">
        <v>0</v>
      </c>
    </row>
    <row r="1556" spans="1:5" x14ac:dyDescent="0.2">
      <c r="A1556" s="13">
        <v>1554</v>
      </c>
      <c r="B1556" s="1">
        <v>43006</v>
      </c>
      <c r="C1556" t="s">
        <v>104</v>
      </c>
      <c r="D1556" t="s">
        <v>39</v>
      </c>
      <c r="E1556">
        <v>7.4337632595728759E-2</v>
      </c>
    </row>
    <row r="1557" spans="1:5" x14ac:dyDescent="0.2">
      <c r="A1557" s="13">
        <v>1555</v>
      </c>
      <c r="B1557" s="1">
        <v>43006</v>
      </c>
      <c r="C1557" t="s">
        <v>104</v>
      </c>
      <c r="D1557" t="s">
        <v>32</v>
      </c>
      <c r="E1557">
        <v>0</v>
      </c>
    </row>
    <row r="1558" spans="1:5" x14ac:dyDescent="0.2">
      <c r="A1558" s="13">
        <v>1556</v>
      </c>
      <c r="B1558" s="1">
        <v>43006</v>
      </c>
      <c r="C1558" t="s">
        <v>104</v>
      </c>
      <c r="D1558" t="s">
        <v>30</v>
      </c>
      <c r="E1558">
        <v>0</v>
      </c>
    </row>
    <row r="1559" spans="1:5" x14ac:dyDescent="0.2">
      <c r="A1559" s="13">
        <v>1557</v>
      </c>
      <c r="B1559" s="1">
        <v>43006</v>
      </c>
      <c r="C1559" t="s">
        <v>104</v>
      </c>
      <c r="D1559" t="s">
        <v>49</v>
      </c>
      <c r="E1559">
        <v>0</v>
      </c>
    </row>
    <row r="1560" spans="1:5" x14ac:dyDescent="0.2">
      <c r="A1560" s="13">
        <v>1558</v>
      </c>
      <c r="B1560" s="1">
        <v>43006</v>
      </c>
      <c r="C1560" t="s">
        <v>104</v>
      </c>
      <c r="D1560" t="s">
        <v>145</v>
      </c>
      <c r="E1560">
        <v>0</v>
      </c>
    </row>
    <row r="1561" spans="1:5" x14ac:dyDescent="0.2">
      <c r="A1561" s="13">
        <v>1559</v>
      </c>
      <c r="B1561" s="1">
        <v>43006</v>
      </c>
      <c r="C1561" t="s">
        <v>104</v>
      </c>
      <c r="D1561" t="s">
        <v>233</v>
      </c>
      <c r="E1561">
        <v>0</v>
      </c>
    </row>
    <row r="1562" spans="1:5" x14ac:dyDescent="0.2">
      <c r="A1562" s="13">
        <v>1560</v>
      </c>
      <c r="B1562" s="1">
        <v>43006</v>
      </c>
      <c r="C1562" t="s">
        <v>104</v>
      </c>
      <c r="D1562" t="s">
        <v>172</v>
      </c>
      <c r="E1562">
        <v>0</v>
      </c>
    </row>
    <row r="1563" spans="1:5" x14ac:dyDescent="0.2">
      <c r="A1563" s="13">
        <v>1561</v>
      </c>
      <c r="B1563" s="1">
        <v>43006</v>
      </c>
      <c r="C1563" t="s">
        <v>104</v>
      </c>
      <c r="D1563" t="s">
        <v>72</v>
      </c>
      <c r="E1563">
        <v>0</v>
      </c>
    </row>
    <row r="1564" spans="1:5" x14ac:dyDescent="0.2">
      <c r="A1564" s="13">
        <v>1562</v>
      </c>
      <c r="B1564" s="1">
        <v>43006</v>
      </c>
      <c r="C1564" t="s">
        <v>104</v>
      </c>
      <c r="D1564" t="s">
        <v>186</v>
      </c>
      <c r="E1564">
        <v>7.4337632595728759E-2</v>
      </c>
    </row>
    <row r="1565" spans="1:5" x14ac:dyDescent="0.2">
      <c r="A1565" s="13">
        <v>1563</v>
      </c>
      <c r="B1565" s="1">
        <v>43006</v>
      </c>
      <c r="C1565" t="s">
        <v>104</v>
      </c>
      <c r="D1565" t="s">
        <v>187</v>
      </c>
      <c r="E1565">
        <v>0</v>
      </c>
    </row>
    <row r="1566" spans="1:5" x14ac:dyDescent="0.2">
      <c r="A1566" s="13">
        <v>1564</v>
      </c>
      <c r="B1566" s="1">
        <v>43006</v>
      </c>
      <c r="C1566" t="s">
        <v>104</v>
      </c>
      <c r="D1566" t="s">
        <v>188</v>
      </c>
      <c r="E1566">
        <v>0</v>
      </c>
    </row>
    <row r="1567" spans="1:5" x14ac:dyDescent="0.2">
      <c r="A1567" s="13">
        <v>1565</v>
      </c>
      <c r="B1567" s="1">
        <v>43006</v>
      </c>
      <c r="C1567" t="s">
        <v>104</v>
      </c>
      <c r="D1567" t="s">
        <v>189</v>
      </c>
      <c r="E1567">
        <v>0</v>
      </c>
    </row>
    <row r="1568" spans="1:5" x14ac:dyDescent="0.2">
      <c r="A1568" s="13">
        <v>1566</v>
      </c>
      <c r="B1568" s="1">
        <v>43006</v>
      </c>
      <c r="C1568" t="s">
        <v>104</v>
      </c>
      <c r="D1568" t="s">
        <v>190</v>
      </c>
      <c r="E1568">
        <v>0</v>
      </c>
    </row>
    <row r="1569" spans="1:5" x14ac:dyDescent="0.2">
      <c r="A1569" s="13">
        <v>1567</v>
      </c>
      <c r="B1569" s="1">
        <v>43006</v>
      </c>
      <c r="C1569" t="s">
        <v>104</v>
      </c>
      <c r="D1569" t="s">
        <v>191</v>
      </c>
      <c r="E1569">
        <v>0</v>
      </c>
    </row>
    <row r="1570" spans="1:5" x14ac:dyDescent="0.2">
      <c r="A1570" s="13">
        <v>1568</v>
      </c>
      <c r="B1570" s="1">
        <v>43006</v>
      </c>
      <c r="C1570" t="s">
        <v>151</v>
      </c>
      <c r="D1570" t="s">
        <v>39</v>
      </c>
      <c r="E1570">
        <v>0</v>
      </c>
    </row>
    <row r="1571" spans="1:5" x14ac:dyDescent="0.2">
      <c r="A1571" s="13">
        <v>1569</v>
      </c>
      <c r="B1571" s="1">
        <v>43006</v>
      </c>
      <c r="C1571" t="s">
        <v>151</v>
      </c>
      <c r="D1571" t="s">
        <v>32</v>
      </c>
      <c r="E1571">
        <v>0</v>
      </c>
    </row>
    <row r="1572" spans="1:5" x14ac:dyDescent="0.2">
      <c r="A1572" s="13">
        <v>1570</v>
      </c>
      <c r="B1572" s="1">
        <v>43006</v>
      </c>
      <c r="C1572" t="s">
        <v>151</v>
      </c>
      <c r="D1572" t="s">
        <v>30</v>
      </c>
      <c r="E1572">
        <v>5.1944120858852354E-3</v>
      </c>
    </row>
    <row r="1573" spans="1:5" x14ac:dyDescent="0.2">
      <c r="A1573" s="13">
        <v>1571</v>
      </c>
      <c r="B1573" s="1">
        <v>43006</v>
      </c>
      <c r="C1573" t="s">
        <v>151</v>
      </c>
      <c r="D1573" t="s">
        <v>49</v>
      </c>
      <c r="E1573">
        <v>0</v>
      </c>
    </row>
    <row r="1574" spans="1:5" x14ac:dyDescent="0.2">
      <c r="A1574" s="13">
        <v>1572</v>
      </c>
      <c r="B1574" s="1">
        <v>43006</v>
      </c>
      <c r="C1574" t="s">
        <v>151</v>
      </c>
      <c r="D1574" t="s">
        <v>145</v>
      </c>
      <c r="E1574">
        <v>0</v>
      </c>
    </row>
    <row r="1575" spans="1:5" x14ac:dyDescent="0.2">
      <c r="A1575" s="13">
        <v>1573</v>
      </c>
      <c r="B1575" s="1">
        <v>43006</v>
      </c>
      <c r="C1575" t="s">
        <v>151</v>
      </c>
      <c r="D1575" t="s">
        <v>233</v>
      </c>
      <c r="E1575">
        <v>0</v>
      </c>
    </row>
    <row r="1576" spans="1:5" x14ac:dyDescent="0.2">
      <c r="A1576" s="13">
        <v>1574</v>
      </c>
      <c r="B1576" s="1">
        <v>43006</v>
      </c>
      <c r="C1576" t="s">
        <v>151</v>
      </c>
      <c r="D1576" t="s">
        <v>172</v>
      </c>
      <c r="E1576">
        <v>0</v>
      </c>
    </row>
    <row r="1577" spans="1:5" x14ac:dyDescent="0.2">
      <c r="A1577" s="13">
        <v>1575</v>
      </c>
      <c r="B1577" s="1">
        <v>43006</v>
      </c>
      <c r="C1577" t="s">
        <v>151</v>
      </c>
      <c r="D1577" t="s">
        <v>72</v>
      </c>
      <c r="E1577">
        <v>6.5916674769536776</v>
      </c>
    </row>
    <row r="1578" spans="1:5" x14ac:dyDescent="0.2">
      <c r="A1578" s="13">
        <v>1576</v>
      </c>
      <c r="B1578" s="1">
        <v>43006</v>
      </c>
      <c r="C1578" t="s">
        <v>151</v>
      </c>
      <c r="D1578" t="s">
        <v>186</v>
      </c>
      <c r="E1578">
        <v>3.4569179299252215E-4</v>
      </c>
    </row>
    <row r="1579" spans="1:5" x14ac:dyDescent="0.2">
      <c r="A1579" s="13">
        <v>1577</v>
      </c>
      <c r="B1579" s="1">
        <v>43006</v>
      </c>
      <c r="C1579" t="s">
        <v>151</v>
      </c>
      <c r="D1579" t="s">
        <v>187</v>
      </c>
      <c r="E1579">
        <v>2.8790186476088811E-3</v>
      </c>
    </row>
    <row r="1580" spans="1:5" x14ac:dyDescent="0.2">
      <c r="A1580" s="13">
        <v>1578</v>
      </c>
      <c r="B1580" s="1">
        <v>43006</v>
      </c>
      <c r="C1580" t="s">
        <v>151</v>
      </c>
      <c r="D1580" t="s">
        <v>188</v>
      </c>
      <c r="E1580">
        <v>1.0127621057752338E-3</v>
      </c>
    </row>
    <row r="1581" spans="1:5" x14ac:dyDescent="0.2">
      <c r="A1581" s="13">
        <v>1579</v>
      </c>
      <c r="B1581" s="1">
        <v>43006</v>
      </c>
      <c r="C1581" t="s">
        <v>151</v>
      </c>
      <c r="D1581" t="s">
        <v>189</v>
      </c>
      <c r="E1581">
        <v>5.521713266830779E-4</v>
      </c>
    </row>
    <row r="1582" spans="1:5" x14ac:dyDescent="0.2">
      <c r="A1582" s="13">
        <v>1580</v>
      </c>
      <c r="B1582" s="1">
        <v>43006</v>
      </c>
      <c r="C1582" t="s">
        <v>151</v>
      </c>
      <c r="D1582" t="s">
        <v>190</v>
      </c>
      <c r="E1582">
        <v>1.2776942514419584E-3</v>
      </c>
    </row>
    <row r="1583" spans="1:5" x14ac:dyDescent="0.2">
      <c r="A1583" s="13">
        <v>1581</v>
      </c>
      <c r="B1583" s="1">
        <v>43006</v>
      </c>
      <c r="C1583" t="s">
        <v>151</v>
      </c>
      <c r="D1583" t="s">
        <v>191</v>
      </c>
      <c r="E1583">
        <v>-8.7292603861644153E-4</v>
      </c>
    </row>
    <row r="1584" spans="1:5" x14ac:dyDescent="0.2">
      <c r="A1584" s="13">
        <v>1582</v>
      </c>
      <c r="B1584" s="1">
        <v>43006</v>
      </c>
      <c r="C1584" t="s">
        <v>29</v>
      </c>
      <c r="D1584" t="s">
        <v>39</v>
      </c>
      <c r="E1584">
        <v>9.8256434146113742E-5</v>
      </c>
    </row>
    <row r="1585" spans="1:5" x14ac:dyDescent="0.2">
      <c r="A1585" s="13">
        <v>1583</v>
      </c>
      <c r="B1585" s="1">
        <v>43006</v>
      </c>
      <c r="C1585" t="s">
        <v>29</v>
      </c>
      <c r="D1585" t="s">
        <v>32</v>
      </c>
      <c r="E1585">
        <v>1.4243851695622291E-3</v>
      </c>
    </row>
    <row r="1586" spans="1:5" x14ac:dyDescent="0.2">
      <c r="A1586" s="13">
        <v>1584</v>
      </c>
      <c r="B1586" s="1">
        <v>43006</v>
      </c>
      <c r="C1586" t="s">
        <v>29</v>
      </c>
      <c r="D1586" t="s">
        <v>30</v>
      </c>
      <c r="E1586">
        <v>1.6203484545318081E-6</v>
      </c>
    </row>
    <row r="1587" spans="1:5" x14ac:dyDescent="0.2">
      <c r="A1587" s="13">
        <v>1585</v>
      </c>
      <c r="B1587" s="1">
        <v>43006</v>
      </c>
      <c r="C1587" t="s">
        <v>29</v>
      </c>
      <c r="D1587" t="s">
        <v>49</v>
      </c>
      <c r="E1587">
        <v>0</v>
      </c>
    </row>
    <row r="1588" spans="1:5" x14ac:dyDescent="0.2">
      <c r="A1588" s="13">
        <v>1586</v>
      </c>
      <c r="B1588" s="1">
        <v>43006</v>
      </c>
      <c r="C1588" t="s">
        <v>29</v>
      </c>
      <c r="D1588" t="s">
        <v>145</v>
      </c>
      <c r="E1588">
        <v>0</v>
      </c>
    </row>
    <row r="1589" spans="1:5" x14ac:dyDescent="0.2">
      <c r="A1589" s="13">
        <v>1587</v>
      </c>
      <c r="B1589" s="1">
        <v>43006</v>
      </c>
      <c r="C1589" t="s">
        <v>29</v>
      </c>
      <c r="D1589" t="s">
        <v>233</v>
      </c>
      <c r="E1589">
        <v>0</v>
      </c>
    </row>
    <row r="1590" spans="1:5" x14ac:dyDescent="0.2">
      <c r="A1590" s="13">
        <v>1588</v>
      </c>
      <c r="B1590" s="1">
        <v>43006</v>
      </c>
      <c r="C1590" t="s">
        <v>29</v>
      </c>
      <c r="D1590" t="s">
        <v>172</v>
      </c>
      <c r="E1590">
        <v>0</v>
      </c>
    </row>
    <row r="1591" spans="1:5" x14ac:dyDescent="0.2">
      <c r="A1591" s="13">
        <v>1589</v>
      </c>
      <c r="B1591" s="1">
        <v>43006</v>
      </c>
      <c r="C1591" t="s">
        <v>29</v>
      </c>
      <c r="D1591" t="s">
        <v>72</v>
      </c>
      <c r="E1591">
        <v>4.7338100559397693</v>
      </c>
    </row>
    <row r="1592" spans="1:5" x14ac:dyDescent="0.2">
      <c r="A1592" s="13">
        <v>1590</v>
      </c>
      <c r="B1592" s="1">
        <v>43006</v>
      </c>
      <c r="C1592" t="s">
        <v>29</v>
      </c>
      <c r="D1592" t="s">
        <v>186</v>
      </c>
      <c r="E1592">
        <v>9.5299299337666082E-4</v>
      </c>
    </row>
    <row r="1593" spans="1:5" x14ac:dyDescent="0.2">
      <c r="A1593" s="13">
        <v>1591</v>
      </c>
      <c r="B1593" s="1">
        <v>43006</v>
      </c>
      <c r="C1593" t="s">
        <v>29</v>
      </c>
      <c r="D1593" t="s">
        <v>187</v>
      </c>
      <c r="E1593">
        <v>0</v>
      </c>
    </row>
    <row r="1594" spans="1:5" x14ac:dyDescent="0.2">
      <c r="A1594" s="13">
        <v>1592</v>
      </c>
      <c r="B1594" s="1">
        <v>43006</v>
      </c>
      <c r="C1594" t="s">
        <v>29</v>
      </c>
      <c r="D1594" t="s">
        <v>188</v>
      </c>
      <c r="E1594">
        <v>0</v>
      </c>
    </row>
    <row r="1595" spans="1:5" x14ac:dyDescent="0.2">
      <c r="A1595" s="13">
        <v>1593</v>
      </c>
      <c r="B1595" s="1">
        <v>43006</v>
      </c>
      <c r="C1595" t="s">
        <v>29</v>
      </c>
      <c r="D1595" t="s">
        <v>189</v>
      </c>
      <c r="E1595">
        <v>0</v>
      </c>
    </row>
    <row r="1596" spans="1:5" x14ac:dyDescent="0.2">
      <c r="A1596" s="13">
        <v>1594</v>
      </c>
      <c r="B1596" s="1">
        <v>43006</v>
      </c>
      <c r="C1596" t="s">
        <v>29</v>
      </c>
      <c r="D1596" t="s">
        <v>190</v>
      </c>
      <c r="E1596">
        <v>0</v>
      </c>
    </row>
    <row r="1597" spans="1:5" x14ac:dyDescent="0.2">
      <c r="A1597" s="13">
        <v>1595</v>
      </c>
      <c r="B1597" s="1">
        <v>43006</v>
      </c>
      <c r="C1597" t="s">
        <v>29</v>
      </c>
      <c r="D1597" t="s">
        <v>191</v>
      </c>
      <c r="E1597">
        <v>5.7126895878621307E-4</v>
      </c>
    </row>
    <row r="1598" spans="1:5" x14ac:dyDescent="0.2">
      <c r="A1598" s="13">
        <v>1596</v>
      </c>
      <c r="B1598" s="1">
        <v>43006</v>
      </c>
      <c r="C1598" t="s">
        <v>87</v>
      </c>
      <c r="D1598" t="s">
        <v>39</v>
      </c>
      <c r="E1598">
        <v>3.44690863831981E-3</v>
      </c>
    </row>
    <row r="1599" spans="1:5" x14ac:dyDescent="0.2">
      <c r="A1599" s="13">
        <v>1597</v>
      </c>
      <c r="B1599" s="1">
        <v>43006</v>
      </c>
      <c r="C1599" t="s">
        <v>87</v>
      </c>
      <c r="D1599" t="s">
        <v>32</v>
      </c>
      <c r="E1599">
        <v>1.2426390234859266E-2</v>
      </c>
    </row>
    <row r="1600" spans="1:5" x14ac:dyDescent="0.2">
      <c r="A1600" s="13">
        <v>1598</v>
      </c>
      <c r="B1600" s="1">
        <v>43006</v>
      </c>
      <c r="C1600" t="s">
        <v>87</v>
      </c>
      <c r="D1600" t="s">
        <v>30</v>
      </c>
      <c r="E1600">
        <v>-2.8889906793145588E-4</v>
      </c>
    </row>
    <row r="1601" spans="1:5" x14ac:dyDescent="0.2">
      <c r="A1601" s="13">
        <v>1599</v>
      </c>
      <c r="B1601" s="1">
        <v>43006</v>
      </c>
      <c r="C1601" t="s">
        <v>87</v>
      </c>
      <c r="D1601" t="s">
        <v>49</v>
      </c>
      <c r="E1601">
        <v>0</v>
      </c>
    </row>
    <row r="1602" spans="1:5" x14ac:dyDescent="0.2">
      <c r="A1602" s="13">
        <v>1600</v>
      </c>
      <c r="B1602" s="1">
        <v>43006</v>
      </c>
      <c r="C1602" t="s">
        <v>87</v>
      </c>
      <c r="D1602" t="s">
        <v>145</v>
      </c>
      <c r="E1602">
        <v>5.6358430663586167E-4</v>
      </c>
    </row>
    <row r="1603" spans="1:5" x14ac:dyDescent="0.2">
      <c r="A1603" s="13">
        <v>1601</v>
      </c>
      <c r="B1603" s="1">
        <v>43006</v>
      </c>
      <c r="C1603" t="s">
        <v>87</v>
      </c>
      <c r="D1603" t="s">
        <v>233</v>
      </c>
      <c r="E1603">
        <v>0</v>
      </c>
    </row>
    <row r="1604" spans="1:5" x14ac:dyDescent="0.2">
      <c r="A1604" s="13">
        <v>1602</v>
      </c>
      <c r="B1604" s="1">
        <v>43006</v>
      </c>
      <c r="C1604" t="s">
        <v>87</v>
      </c>
      <c r="D1604" t="s">
        <v>172</v>
      </c>
      <c r="E1604">
        <v>0</v>
      </c>
    </row>
    <row r="1605" spans="1:5" x14ac:dyDescent="0.2">
      <c r="A1605" s="13">
        <v>1603</v>
      </c>
      <c r="B1605" s="1">
        <v>43006</v>
      </c>
      <c r="C1605" t="s">
        <v>87</v>
      </c>
      <c r="D1605" t="s">
        <v>72</v>
      </c>
      <c r="E1605">
        <v>9.3453958421852388</v>
      </c>
    </row>
    <row r="1606" spans="1:5" x14ac:dyDescent="0.2">
      <c r="A1606" s="13">
        <v>1604</v>
      </c>
      <c r="B1606" s="1">
        <v>43006</v>
      </c>
      <c r="C1606" t="s">
        <v>87</v>
      </c>
      <c r="D1606" t="s">
        <v>186</v>
      </c>
      <c r="E1606">
        <v>1.5782529824212358E-2</v>
      </c>
    </row>
    <row r="1607" spans="1:5" x14ac:dyDescent="0.2">
      <c r="A1607" s="13">
        <v>1605</v>
      </c>
      <c r="B1607" s="1">
        <v>43006</v>
      </c>
      <c r="C1607" t="s">
        <v>87</v>
      </c>
      <c r="D1607" t="s">
        <v>187</v>
      </c>
      <c r="E1607">
        <v>4.5860102628377366E-4</v>
      </c>
    </row>
    <row r="1608" spans="1:5" x14ac:dyDescent="0.2">
      <c r="A1608" s="13">
        <v>1606</v>
      </c>
      <c r="B1608" s="1">
        <v>43006</v>
      </c>
      <c r="C1608" t="s">
        <v>87</v>
      </c>
      <c r="D1608" t="s">
        <v>188</v>
      </c>
      <c r="E1608">
        <v>-7.6356276513605035E-5</v>
      </c>
    </row>
    <row r="1609" spans="1:5" x14ac:dyDescent="0.2">
      <c r="A1609" s="13">
        <v>1607</v>
      </c>
      <c r="B1609" s="1">
        <v>43006</v>
      </c>
      <c r="C1609" t="s">
        <v>87</v>
      </c>
      <c r="D1609" t="s">
        <v>189</v>
      </c>
      <c r="E1609">
        <v>-8.759893719337523E-5</v>
      </c>
    </row>
    <row r="1610" spans="1:5" x14ac:dyDescent="0.2">
      <c r="A1610" s="13">
        <v>1608</v>
      </c>
      <c r="B1610" s="1">
        <v>43006</v>
      </c>
      <c r="C1610" t="s">
        <v>87</v>
      </c>
      <c r="D1610" t="s">
        <v>190</v>
      </c>
      <c r="E1610">
        <v>-4.7664255929954302E-5</v>
      </c>
    </row>
    <row r="1611" spans="1:5" x14ac:dyDescent="0.2">
      <c r="A1611" s="13">
        <v>1609</v>
      </c>
      <c r="B1611" s="1">
        <v>43006</v>
      </c>
      <c r="C1611" t="s">
        <v>87</v>
      </c>
      <c r="D1611" t="s">
        <v>191</v>
      </c>
      <c r="E1611">
        <v>1.184727310242754E-4</v>
      </c>
    </row>
    <row r="1612" spans="1:5" x14ac:dyDescent="0.2">
      <c r="A1612" s="13">
        <v>1610</v>
      </c>
      <c r="B1612" s="1">
        <v>43006</v>
      </c>
      <c r="C1612" t="s">
        <v>61</v>
      </c>
      <c r="D1612" t="s">
        <v>39</v>
      </c>
      <c r="E1612">
        <v>1.5438538749979384E-3</v>
      </c>
    </row>
    <row r="1613" spans="1:5" x14ac:dyDescent="0.2">
      <c r="A1613" s="13">
        <v>1611</v>
      </c>
      <c r="B1613" s="1">
        <v>43006</v>
      </c>
      <c r="C1613" t="s">
        <v>61</v>
      </c>
      <c r="D1613" t="s">
        <v>32</v>
      </c>
      <c r="E1613">
        <v>9.689311176078021E-3</v>
      </c>
    </row>
    <row r="1614" spans="1:5" x14ac:dyDescent="0.2">
      <c r="A1614" s="13">
        <v>1612</v>
      </c>
      <c r="B1614" s="1">
        <v>43006</v>
      </c>
      <c r="C1614" t="s">
        <v>61</v>
      </c>
      <c r="D1614" t="s">
        <v>30</v>
      </c>
      <c r="E1614">
        <v>0</v>
      </c>
    </row>
    <row r="1615" spans="1:5" x14ac:dyDescent="0.2">
      <c r="A1615" s="13">
        <v>1613</v>
      </c>
      <c r="B1615" s="1">
        <v>43006</v>
      </c>
      <c r="C1615" t="s">
        <v>61</v>
      </c>
      <c r="D1615" t="s">
        <v>49</v>
      </c>
      <c r="E1615">
        <v>0</v>
      </c>
    </row>
    <row r="1616" spans="1:5" x14ac:dyDescent="0.2">
      <c r="A1616" s="13">
        <v>1614</v>
      </c>
      <c r="B1616" s="1">
        <v>43006</v>
      </c>
      <c r="C1616" t="s">
        <v>61</v>
      </c>
      <c r="D1616" t="s">
        <v>145</v>
      </c>
      <c r="E1616">
        <v>0</v>
      </c>
    </row>
    <row r="1617" spans="1:5" x14ac:dyDescent="0.2">
      <c r="A1617" s="13">
        <v>1615</v>
      </c>
      <c r="B1617" s="1">
        <v>43006</v>
      </c>
      <c r="C1617" t="s">
        <v>61</v>
      </c>
      <c r="D1617" t="s">
        <v>233</v>
      </c>
      <c r="E1617">
        <v>0</v>
      </c>
    </row>
    <row r="1618" spans="1:5" x14ac:dyDescent="0.2">
      <c r="A1618" s="13">
        <v>1616</v>
      </c>
      <c r="B1618" s="1">
        <v>43006</v>
      </c>
      <c r="C1618" t="s">
        <v>61</v>
      </c>
      <c r="D1618" t="s">
        <v>172</v>
      </c>
      <c r="E1618">
        <v>0</v>
      </c>
    </row>
    <row r="1619" spans="1:5" x14ac:dyDescent="0.2">
      <c r="A1619" s="13">
        <v>1617</v>
      </c>
      <c r="B1619" s="1">
        <v>43006</v>
      </c>
      <c r="C1619" t="s">
        <v>61</v>
      </c>
      <c r="D1619" t="s">
        <v>72</v>
      </c>
      <c r="E1619">
        <v>5.6521269866276649</v>
      </c>
    </row>
    <row r="1620" spans="1:5" x14ac:dyDescent="0.2">
      <c r="A1620" s="13">
        <v>1618</v>
      </c>
      <c r="B1620" s="1">
        <v>43006</v>
      </c>
      <c r="C1620" t="s">
        <v>61</v>
      </c>
      <c r="D1620" t="s">
        <v>186</v>
      </c>
      <c r="E1620">
        <v>1.1233165051075958E-2</v>
      </c>
    </row>
    <row r="1621" spans="1:5" x14ac:dyDescent="0.2">
      <c r="A1621" s="13">
        <v>1619</v>
      </c>
      <c r="B1621" s="1">
        <v>43006</v>
      </c>
      <c r="C1621" t="s">
        <v>61</v>
      </c>
      <c r="D1621" t="s">
        <v>187</v>
      </c>
      <c r="E1621">
        <v>0</v>
      </c>
    </row>
    <row r="1622" spans="1:5" x14ac:dyDescent="0.2">
      <c r="A1622" s="13">
        <v>1620</v>
      </c>
      <c r="B1622" s="1">
        <v>43006</v>
      </c>
      <c r="C1622" t="s">
        <v>61</v>
      </c>
      <c r="D1622" t="s">
        <v>188</v>
      </c>
      <c r="E1622">
        <v>0</v>
      </c>
    </row>
    <row r="1623" spans="1:5" x14ac:dyDescent="0.2">
      <c r="A1623" s="13">
        <v>1621</v>
      </c>
      <c r="B1623" s="1">
        <v>43006</v>
      </c>
      <c r="C1623" t="s">
        <v>61</v>
      </c>
      <c r="D1623" t="s">
        <v>189</v>
      </c>
      <c r="E1623">
        <v>0</v>
      </c>
    </row>
    <row r="1624" spans="1:5" x14ac:dyDescent="0.2">
      <c r="A1624" s="13">
        <v>1622</v>
      </c>
      <c r="B1624" s="1">
        <v>43006</v>
      </c>
      <c r="C1624" t="s">
        <v>61</v>
      </c>
      <c r="D1624" t="s">
        <v>190</v>
      </c>
      <c r="E1624">
        <v>0</v>
      </c>
    </row>
    <row r="1625" spans="1:5" x14ac:dyDescent="0.2">
      <c r="A1625" s="13">
        <v>1623</v>
      </c>
      <c r="B1625" s="1">
        <v>43006</v>
      </c>
      <c r="C1625" t="s">
        <v>61</v>
      </c>
      <c r="D1625" t="s">
        <v>191</v>
      </c>
      <c r="E1625">
        <v>0</v>
      </c>
    </row>
    <row r="1626" spans="1:5" x14ac:dyDescent="0.2">
      <c r="A1626" s="13">
        <v>1624</v>
      </c>
      <c r="B1626" s="1">
        <v>43006</v>
      </c>
      <c r="C1626" t="s">
        <v>53</v>
      </c>
      <c r="D1626" t="s">
        <v>39</v>
      </c>
      <c r="E1626">
        <v>5.2324276158572405E-7</v>
      </c>
    </row>
    <row r="1627" spans="1:5" x14ac:dyDescent="0.2">
      <c r="A1627" s="13">
        <v>1625</v>
      </c>
      <c r="B1627" s="1">
        <v>43006</v>
      </c>
      <c r="C1627" t="s">
        <v>53</v>
      </c>
      <c r="D1627" t="s">
        <v>32</v>
      </c>
      <c r="E1627">
        <v>5.2279938505525236E-3</v>
      </c>
    </row>
    <row r="1628" spans="1:5" x14ac:dyDescent="0.2">
      <c r="A1628" s="13">
        <v>1626</v>
      </c>
      <c r="B1628" s="1">
        <v>43006</v>
      </c>
      <c r="C1628" t="s">
        <v>53</v>
      </c>
      <c r="D1628" t="s">
        <v>30</v>
      </c>
      <c r="E1628">
        <v>5.2231288081008203E-4</v>
      </c>
    </row>
    <row r="1629" spans="1:5" x14ac:dyDescent="0.2">
      <c r="A1629" s="13">
        <v>1627</v>
      </c>
      <c r="B1629" s="1">
        <v>43006</v>
      </c>
      <c r="C1629" t="s">
        <v>53</v>
      </c>
      <c r="D1629" t="s">
        <v>49</v>
      </c>
      <c r="E1629">
        <v>0</v>
      </c>
    </row>
    <row r="1630" spans="1:5" x14ac:dyDescent="0.2">
      <c r="A1630" s="13">
        <v>1628</v>
      </c>
      <c r="B1630" s="1">
        <v>43006</v>
      </c>
      <c r="C1630" t="s">
        <v>53</v>
      </c>
      <c r="D1630" t="s">
        <v>145</v>
      </c>
      <c r="E1630">
        <v>0</v>
      </c>
    </row>
    <row r="1631" spans="1:5" x14ac:dyDescent="0.2">
      <c r="A1631" s="13">
        <v>1629</v>
      </c>
      <c r="B1631" s="1">
        <v>43006</v>
      </c>
      <c r="C1631" t="s">
        <v>53</v>
      </c>
      <c r="D1631" t="s">
        <v>233</v>
      </c>
      <c r="E1631">
        <v>0</v>
      </c>
    </row>
    <row r="1632" spans="1:5" x14ac:dyDescent="0.2">
      <c r="A1632" s="13">
        <v>1630</v>
      </c>
      <c r="B1632" s="1">
        <v>43006</v>
      </c>
      <c r="C1632" t="s">
        <v>53</v>
      </c>
      <c r="D1632" t="s">
        <v>172</v>
      </c>
      <c r="E1632">
        <v>0</v>
      </c>
    </row>
    <row r="1633" spans="1:5" x14ac:dyDescent="0.2">
      <c r="A1633" s="13">
        <v>1631</v>
      </c>
      <c r="B1633" s="1">
        <v>43006</v>
      </c>
      <c r="C1633" t="s">
        <v>53</v>
      </c>
      <c r="D1633" t="s">
        <v>72</v>
      </c>
      <c r="E1633">
        <v>6.3481283920612759</v>
      </c>
    </row>
    <row r="1634" spans="1:5" x14ac:dyDescent="0.2">
      <c r="A1634" s="13">
        <v>1632</v>
      </c>
      <c r="B1634" s="1">
        <v>43006</v>
      </c>
      <c r="C1634" t="s">
        <v>53</v>
      </c>
      <c r="D1634" t="s">
        <v>186</v>
      </c>
      <c r="E1634">
        <v>3.1469969231935628E-3</v>
      </c>
    </row>
    <row r="1635" spans="1:5" x14ac:dyDescent="0.2">
      <c r="A1635" s="13">
        <v>1633</v>
      </c>
      <c r="B1635" s="1">
        <v>43006</v>
      </c>
      <c r="C1635" t="s">
        <v>53</v>
      </c>
      <c r="D1635" t="s">
        <v>187</v>
      </c>
      <c r="E1635">
        <v>0</v>
      </c>
    </row>
    <row r="1636" spans="1:5" x14ac:dyDescent="0.2">
      <c r="A1636" s="13">
        <v>1634</v>
      </c>
      <c r="B1636" s="1">
        <v>43006</v>
      </c>
      <c r="C1636" t="s">
        <v>53</v>
      </c>
      <c r="D1636" t="s">
        <v>188</v>
      </c>
      <c r="E1636">
        <v>0</v>
      </c>
    </row>
    <row r="1637" spans="1:5" x14ac:dyDescent="0.2">
      <c r="A1637" s="13">
        <v>1635</v>
      </c>
      <c r="B1637" s="1">
        <v>43006</v>
      </c>
      <c r="C1637" t="s">
        <v>53</v>
      </c>
      <c r="D1637" t="s">
        <v>189</v>
      </c>
      <c r="E1637">
        <v>0</v>
      </c>
    </row>
    <row r="1638" spans="1:5" x14ac:dyDescent="0.2">
      <c r="A1638" s="13">
        <v>1636</v>
      </c>
      <c r="B1638" s="1">
        <v>43006</v>
      </c>
      <c r="C1638" t="s">
        <v>53</v>
      </c>
      <c r="D1638" t="s">
        <v>190</v>
      </c>
      <c r="E1638">
        <v>0</v>
      </c>
    </row>
    <row r="1639" spans="1:5" x14ac:dyDescent="0.2">
      <c r="A1639" s="13">
        <v>1637</v>
      </c>
      <c r="B1639" s="1">
        <v>43006</v>
      </c>
      <c r="C1639" t="s">
        <v>53</v>
      </c>
      <c r="D1639" t="s">
        <v>191</v>
      </c>
      <c r="E1639">
        <v>2.6038330509306293E-3</v>
      </c>
    </row>
    <row r="1640" spans="1:5" x14ac:dyDescent="0.2">
      <c r="A1640" s="13">
        <v>1638</v>
      </c>
      <c r="B1640" s="1">
        <v>43005</v>
      </c>
      <c r="C1640" t="s">
        <v>62</v>
      </c>
      <c r="D1640" t="s">
        <v>39</v>
      </c>
      <c r="E1640">
        <v>4.8632073416322967E-3</v>
      </c>
    </row>
    <row r="1641" spans="1:5" x14ac:dyDescent="0.2">
      <c r="A1641" s="13">
        <v>1639</v>
      </c>
      <c r="B1641" s="1">
        <v>43005</v>
      </c>
      <c r="C1641" t="s">
        <v>62</v>
      </c>
      <c r="D1641" t="s">
        <v>32</v>
      </c>
      <c r="E1641">
        <v>2.902909683156131E-3</v>
      </c>
    </row>
    <row r="1642" spans="1:5" x14ac:dyDescent="0.2">
      <c r="A1642" s="13">
        <v>1640</v>
      </c>
      <c r="B1642" s="1">
        <v>43005</v>
      </c>
      <c r="C1642" t="s">
        <v>62</v>
      </c>
      <c r="D1642" t="s">
        <v>30</v>
      </c>
      <c r="E1642">
        <v>-2.7428112976934034E-5</v>
      </c>
    </row>
    <row r="1643" spans="1:5" x14ac:dyDescent="0.2">
      <c r="A1643" s="13">
        <v>1641</v>
      </c>
      <c r="B1643" s="1">
        <v>43005</v>
      </c>
      <c r="C1643" t="s">
        <v>62</v>
      </c>
      <c r="D1643" t="s">
        <v>49</v>
      </c>
      <c r="E1643">
        <v>7.427582673024509E-8</v>
      </c>
    </row>
    <row r="1644" spans="1:5" x14ac:dyDescent="0.2">
      <c r="A1644" s="13">
        <v>1642</v>
      </c>
      <c r="B1644" s="1">
        <v>43005</v>
      </c>
      <c r="C1644" t="s">
        <v>62</v>
      </c>
      <c r="D1644" t="s">
        <v>145</v>
      </c>
      <c r="E1644">
        <v>0</v>
      </c>
    </row>
    <row r="1645" spans="1:5" x14ac:dyDescent="0.2">
      <c r="A1645" s="13">
        <v>1643</v>
      </c>
      <c r="B1645" s="1">
        <v>43005</v>
      </c>
      <c r="C1645" t="s">
        <v>62</v>
      </c>
      <c r="D1645" t="s">
        <v>233</v>
      </c>
      <c r="E1645">
        <v>0</v>
      </c>
    </row>
    <row r="1646" spans="1:5" x14ac:dyDescent="0.2">
      <c r="A1646" s="13">
        <v>1644</v>
      </c>
      <c r="B1646" s="1">
        <v>43005</v>
      </c>
      <c r="C1646" t="s">
        <v>62</v>
      </c>
      <c r="D1646" t="s">
        <v>172</v>
      </c>
      <c r="E1646">
        <v>0</v>
      </c>
    </row>
    <row r="1647" spans="1:5" x14ac:dyDescent="0.2">
      <c r="A1647" s="13">
        <v>1645</v>
      </c>
      <c r="B1647" s="1">
        <v>43005</v>
      </c>
      <c r="C1647" t="s">
        <v>62</v>
      </c>
      <c r="D1647" t="s">
        <v>72</v>
      </c>
      <c r="E1647">
        <v>3.3575354871435334</v>
      </c>
    </row>
    <row r="1648" spans="1:5" x14ac:dyDescent="0.2">
      <c r="A1648" s="13">
        <v>1646</v>
      </c>
      <c r="B1648" s="1">
        <v>43005</v>
      </c>
      <c r="C1648" t="s">
        <v>62</v>
      </c>
      <c r="D1648" t="s">
        <v>186</v>
      </c>
      <c r="E1648">
        <v>7.7661170247884277E-3</v>
      </c>
    </row>
    <row r="1649" spans="1:5" x14ac:dyDescent="0.2">
      <c r="A1649" s="13">
        <v>1647</v>
      </c>
      <c r="B1649" s="1">
        <v>43005</v>
      </c>
      <c r="C1649" t="s">
        <v>62</v>
      </c>
      <c r="D1649" t="s">
        <v>187</v>
      </c>
      <c r="E1649">
        <v>0</v>
      </c>
    </row>
    <row r="1650" spans="1:5" x14ac:dyDescent="0.2">
      <c r="A1650" s="13">
        <v>1648</v>
      </c>
      <c r="B1650" s="1">
        <v>43005</v>
      </c>
      <c r="C1650" t="s">
        <v>62</v>
      </c>
      <c r="D1650" t="s">
        <v>188</v>
      </c>
      <c r="E1650">
        <v>0</v>
      </c>
    </row>
    <row r="1651" spans="1:5" x14ac:dyDescent="0.2">
      <c r="A1651" s="13">
        <v>1649</v>
      </c>
      <c r="B1651" s="1">
        <v>43005</v>
      </c>
      <c r="C1651" t="s">
        <v>62</v>
      </c>
      <c r="D1651" t="s">
        <v>189</v>
      </c>
      <c r="E1651">
        <v>0</v>
      </c>
    </row>
    <row r="1652" spans="1:5" x14ac:dyDescent="0.2">
      <c r="A1652" s="13">
        <v>1650</v>
      </c>
      <c r="B1652" s="1">
        <v>43005</v>
      </c>
      <c r="C1652" t="s">
        <v>62</v>
      </c>
      <c r="D1652" t="s">
        <v>190</v>
      </c>
      <c r="E1652">
        <v>0</v>
      </c>
    </row>
    <row r="1653" spans="1:5" x14ac:dyDescent="0.2">
      <c r="A1653" s="13">
        <v>1651</v>
      </c>
      <c r="B1653" s="1">
        <v>43005</v>
      </c>
      <c r="C1653" t="s">
        <v>62</v>
      </c>
      <c r="D1653" t="s">
        <v>191</v>
      </c>
      <c r="E1653">
        <v>-2.735383715020379E-5</v>
      </c>
    </row>
    <row r="1654" spans="1:5" x14ac:dyDescent="0.2">
      <c r="A1654" s="13">
        <v>1652</v>
      </c>
      <c r="B1654" s="1">
        <v>43005</v>
      </c>
      <c r="C1654" t="s">
        <v>63</v>
      </c>
      <c r="D1654" t="s">
        <v>39</v>
      </c>
      <c r="E1654">
        <v>8.2565432003523336E-3</v>
      </c>
    </row>
    <row r="1655" spans="1:5" x14ac:dyDescent="0.2">
      <c r="A1655" s="13">
        <v>1653</v>
      </c>
      <c r="B1655" s="1">
        <v>43005</v>
      </c>
      <c r="C1655" t="s">
        <v>63</v>
      </c>
      <c r="D1655" t="s">
        <v>32</v>
      </c>
      <c r="E1655">
        <v>5.592706257297745E-3</v>
      </c>
    </row>
    <row r="1656" spans="1:5" x14ac:dyDescent="0.2">
      <c r="A1656" s="13">
        <v>1654</v>
      </c>
      <c r="B1656" s="1">
        <v>43005</v>
      </c>
      <c r="C1656" t="s">
        <v>63</v>
      </c>
      <c r="D1656" t="s">
        <v>30</v>
      </c>
      <c r="E1656">
        <v>-3.5349978709247702E-5</v>
      </c>
    </row>
    <row r="1657" spans="1:5" x14ac:dyDescent="0.2">
      <c r="A1657" s="13">
        <v>1655</v>
      </c>
      <c r="B1657" s="1">
        <v>43005</v>
      </c>
      <c r="C1657" t="s">
        <v>63</v>
      </c>
      <c r="D1657" t="s">
        <v>49</v>
      </c>
      <c r="E1657">
        <v>6.0000897703958516E-7</v>
      </c>
    </row>
    <row r="1658" spans="1:5" x14ac:dyDescent="0.2">
      <c r="A1658" s="13">
        <v>1656</v>
      </c>
      <c r="B1658" s="1">
        <v>43005</v>
      </c>
      <c r="C1658" t="s">
        <v>63</v>
      </c>
      <c r="D1658" t="s">
        <v>145</v>
      </c>
      <c r="E1658">
        <v>0</v>
      </c>
    </row>
    <row r="1659" spans="1:5" x14ac:dyDescent="0.2">
      <c r="A1659" s="13">
        <v>1657</v>
      </c>
      <c r="B1659" s="1">
        <v>43005</v>
      </c>
      <c r="C1659" t="s">
        <v>63</v>
      </c>
      <c r="D1659" t="s">
        <v>233</v>
      </c>
      <c r="E1659">
        <v>0</v>
      </c>
    </row>
    <row r="1660" spans="1:5" x14ac:dyDescent="0.2">
      <c r="A1660" s="13">
        <v>1658</v>
      </c>
      <c r="B1660" s="1">
        <v>43005</v>
      </c>
      <c r="C1660" t="s">
        <v>63</v>
      </c>
      <c r="D1660" t="s">
        <v>172</v>
      </c>
      <c r="E1660">
        <v>0</v>
      </c>
    </row>
    <row r="1661" spans="1:5" x14ac:dyDescent="0.2">
      <c r="A1661" s="13">
        <v>1659</v>
      </c>
      <c r="B1661" s="1">
        <v>43005</v>
      </c>
      <c r="C1661" t="s">
        <v>63</v>
      </c>
      <c r="D1661" t="s">
        <v>72</v>
      </c>
      <c r="E1661">
        <v>5.9861936995124312</v>
      </c>
    </row>
    <row r="1662" spans="1:5" x14ac:dyDescent="0.2">
      <c r="A1662" s="13">
        <v>1660</v>
      </c>
      <c r="B1662" s="1">
        <v>43005</v>
      </c>
      <c r="C1662" t="s">
        <v>63</v>
      </c>
      <c r="D1662" t="s">
        <v>186</v>
      </c>
      <c r="E1662">
        <v>1.3849249457650079E-2</v>
      </c>
    </row>
    <row r="1663" spans="1:5" x14ac:dyDescent="0.2">
      <c r="A1663" s="13">
        <v>1661</v>
      </c>
      <c r="B1663" s="1">
        <v>43005</v>
      </c>
      <c r="C1663" t="s">
        <v>63</v>
      </c>
      <c r="D1663" t="s">
        <v>187</v>
      </c>
      <c r="E1663">
        <v>0</v>
      </c>
    </row>
    <row r="1664" spans="1:5" x14ac:dyDescent="0.2">
      <c r="A1664" s="13">
        <v>1662</v>
      </c>
      <c r="B1664" s="1">
        <v>43005</v>
      </c>
      <c r="C1664" t="s">
        <v>63</v>
      </c>
      <c r="D1664" t="s">
        <v>188</v>
      </c>
      <c r="E1664">
        <v>0</v>
      </c>
    </row>
    <row r="1665" spans="1:5" x14ac:dyDescent="0.2">
      <c r="A1665" s="13">
        <v>1663</v>
      </c>
      <c r="B1665" s="1">
        <v>43005</v>
      </c>
      <c r="C1665" t="s">
        <v>63</v>
      </c>
      <c r="D1665" t="s">
        <v>189</v>
      </c>
      <c r="E1665">
        <v>0</v>
      </c>
    </row>
    <row r="1666" spans="1:5" x14ac:dyDescent="0.2">
      <c r="A1666" s="13">
        <v>1664</v>
      </c>
      <c r="B1666" s="1">
        <v>43005</v>
      </c>
      <c r="C1666" t="s">
        <v>63</v>
      </c>
      <c r="D1666" t="s">
        <v>190</v>
      </c>
      <c r="E1666">
        <v>0</v>
      </c>
    </row>
    <row r="1667" spans="1:5" x14ac:dyDescent="0.2">
      <c r="A1667" s="13">
        <v>1665</v>
      </c>
      <c r="B1667" s="1">
        <v>43005</v>
      </c>
      <c r="C1667" t="s">
        <v>63</v>
      </c>
      <c r="D1667" t="s">
        <v>191</v>
      </c>
      <c r="E1667">
        <v>-3.4749969732208117E-5</v>
      </c>
    </row>
    <row r="1668" spans="1:5" x14ac:dyDescent="0.2">
      <c r="A1668" s="13">
        <v>1666</v>
      </c>
      <c r="B1668" s="1">
        <v>43005</v>
      </c>
      <c r="C1668" t="s">
        <v>103</v>
      </c>
      <c r="D1668" t="s">
        <v>39</v>
      </c>
      <c r="E1668">
        <v>2.2984167489917166E-2</v>
      </c>
    </row>
    <row r="1669" spans="1:5" x14ac:dyDescent="0.2">
      <c r="A1669" s="13">
        <v>1667</v>
      </c>
      <c r="B1669" s="1">
        <v>43005</v>
      </c>
      <c r="C1669" t="s">
        <v>103</v>
      </c>
      <c r="D1669" t="s">
        <v>32</v>
      </c>
      <c r="E1669">
        <v>0</v>
      </c>
    </row>
    <row r="1670" spans="1:5" x14ac:dyDescent="0.2">
      <c r="A1670" s="13">
        <v>1668</v>
      </c>
      <c r="B1670" s="1">
        <v>43005</v>
      </c>
      <c r="C1670" t="s">
        <v>103</v>
      </c>
      <c r="D1670" t="s">
        <v>30</v>
      </c>
      <c r="E1670">
        <v>0</v>
      </c>
    </row>
    <row r="1671" spans="1:5" x14ac:dyDescent="0.2">
      <c r="A1671" s="13">
        <v>1669</v>
      </c>
      <c r="B1671" s="1">
        <v>43005</v>
      </c>
      <c r="C1671" t="s">
        <v>103</v>
      </c>
      <c r="D1671" t="s">
        <v>49</v>
      </c>
      <c r="E1671">
        <v>0</v>
      </c>
    </row>
    <row r="1672" spans="1:5" x14ac:dyDescent="0.2">
      <c r="A1672" s="13">
        <v>1670</v>
      </c>
      <c r="B1672" s="1">
        <v>43005</v>
      </c>
      <c r="C1672" t="s">
        <v>103</v>
      </c>
      <c r="D1672" t="s">
        <v>145</v>
      </c>
      <c r="E1672">
        <v>0</v>
      </c>
    </row>
    <row r="1673" spans="1:5" x14ac:dyDescent="0.2">
      <c r="A1673" s="13">
        <v>1671</v>
      </c>
      <c r="B1673" s="1">
        <v>43005</v>
      </c>
      <c r="C1673" t="s">
        <v>103</v>
      </c>
      <c r="D1673" t="s">
        <v>233</v>
      </c>
      <c r="E1673">
        <v>0</v>
      </c>
    </row>
    <row r="1674" spans="1:5" x14ac:dyDescent="0.2">
      <c r="A1674" s="13">
        <v>1672</v>
      </c>
      <c r="B1674" s="1">
        <v>43005</v>
      </c>
      <c r="C1674" t="s">
        <v>103</v>
      </c>
      <c r="D1674" t="s">
        <v>172</v>
      </c>
      <c r="E1674">
        <v>0</v>
      </c>
    </row>
    <row r="1675" spans="1:5" x14ac:dyDescent="0.2">
      <c r="A1675" s="13">
        <v>1673</v>
      </c>
      <c r="B1675" s="1">
        <v>43005</v>
      </c>
      <c r="C1675" t="s">
        <v>103</v>
      </c>
      <c r="D1675" t="s">
        <v>72</v>
      </c>
      <c r="E1675">
        <v>0</v>
      </c>
    </row>
    <row r="1676" spans="1:5" x14ac:dyDescent="0.2">
      <c r="A1676" s="13">
        <v>1674</v>
      </c>
      <c r="B1676" s="1">
        <v>43005</v>
      </c>
      <c r="C1676" t="s">
        <v>103</v>
      </c>
      <c r="D1676" t="s">
        <v>186</v>
      </c>
      <c r="E1676">
        <v>2.2984167489917166E-2</v>
      </c>
    </row>
    <row r="1677" spans="1:5" x14ac:dyDescent="0.2">
      <c r="A1677" s="13">
        <v>1675</v>
      </c>
      <c r="B1677" s="1">
        <v>43005</v>
      </c>
      <c r="C1677" t="s">
        <v>103</v>
      </c>
      <c r="D1677" t="s">
        <v>187</v>
      </c>
      <c r="E1677">
        <v>0</v>
      </c>
    </row>
    <row r="1678" spans="1:5" x14ac:dyDescent="0.2">
      <c r="A1678" s="13">
        <v>1676</v>
      </c>
      <c r="B1678" s="1">
        <v>43005</v>
      </c>
      <c r="C1678" t="s">
        <v>103</v>
      </c>
      <c r="D1678" t="s">
        <v>188</v>
      </c>
      <c r="E1678">
        <v>0</v>
      </c>
    </row>
    <row r="1679" spans="1:5" x14ac:dyDescent="0.2">
      <c r="A1679" s="13">
        <v>1677</v>
      </c>
      <c r="B1679" s="1">
        <v>43005</v>
      </c>
      <c r="C1679" t="s">
        <v>103</v>
      </c>
      <c r="D1679" t="s">
        <v>189</v>
      </c>
      <c r="E1679">
        <v>0</v>
      </c>
    </row>
    <row r="1680" spans="1:5" x14ac:dyDescent="0.2">
      <c r="A1680" s="13">
        <v>1678</v>
      </c>
      <c r="B1680" s="1">
        <v>43005</v>
      </c>
      <c r="C1680" t="s">
        <v>103</v>
      </c>
      <c r="D1680" t="s">
        <v>190</v>
      </c>
      <c r="E1680">
        <v>0</v>
      </c>
    </row>
    <row r="1681" spans="1:5" x14ac:dyDescent="0.2">
      <c r="A1681" s="13">
        <v>1679</v>
      </c>
      <c r="B1681" s="1">
        <v>43005</v>
      </c>
      <c r="C1681" t="s">
        <v>103</v>
      </c>
      <c r="D1681" t="s">
        <v>191</v>
      </c>
      <c r="E1681">
        <v>0</v>
      </c>
    </row>
    <row r="1682" spans="1:5" x14ac:dyDescent="0.2">
      <c r="A1682" s="13">
        <v>1680</v>
      </c>
      <c r="B1682" s="1">
        <v>43005</v>
      </c>
      <c r="C1682" t="s">
        <v>104</v>
      </c>
      <c r="D1682" t="s">
        <v>39</v>
      </c>
      <c r="E1682">
        <v>7.6772940571191106E-2</v>
      </c>
    </row>
    <row r="1683" spans="1:5" x14ac:dyDescent="0.2">
      <c r="A1683" s="13">
        <v>1681</v>
      </c>
      <c r="B1683" s="1">
        <v>43005</v>
      </c>
      <c r="C1683" t="s">
        <v>104</v>
      </c>
      <c r="D1683" t="s">
        <v>32</v>
      </c>
      <c r="E1683">
        <v>0</v>
      </c>
    </row>
    <row r="1684" spans="1:5" x14ac:dyDescent="0.2">
      <c r="A1684" s="13">
        <v>1682</v>
      </c>
      <c r="B1684" s="1">
        <v>43005</v>
      </c>
      <c r="C1684" t="s">
        <v>104</v>
      </c>
      <c r="D1684" t="s">
        <v>30</v>
      </c>
      <c r="E1684">
        <v>0</v>
      </c>
    </row>
    <row r="1685" spans="1:5" x14ac:dyDescent="0.2">
      <c r="A1685" s="13">
        <v>1683</v>
      </c>
      <c r="B1685" s="1">
        <v>43005</v>
      </c>
      <c r="C1685" t="s">
        <v>104</v>
      </c>
      <c r="D1685" t="s">
        <v>49</v>
      </c>
      <c r="E1685">
        <v>0</v>
      </c>
    </row>
    <row r="1686" spans="1:5" x14ac:dyDescent="0.2">
      <c r="A1686" s="13">
        <v>1684</v>
      </c>
      <c r="B1686" s="1">
        <v>43005</v>
      </c>
      <c r="C1686" t="s">
        <v>104</v>
      </c>
      <c r="D1686" t="s">
        <v>145</v>
      </c>
      <c r="E1686">
        <v>0</v>
      </c>
    </row>
    <row r="1687" spans="1:5" x14ac:dyDescent="0.2">
      <c r="A1687" s="13">
        <v>1685</v>
      </c>
      <c r="B1687" s="1">
        <v>43005</v>
      </c>
      <c r="C1687" t="s">
        <v>104</v>
      </c>
      <c r="D1687" t="s">
        <v>233</v>
      </c>
      <c r="E1687">
        <v>0</v>
      </c>
    </row>
    <row r="1688" spans="1:5" x14ac:dyDescent="0.2">
      <c r="A1688" s="13">
        <v>1686</v>
      </c>
      <c r="B1688" s="1">
        <v>43005</v>
      </c>
      <c r="C1688" t="s">
        <v>104</v>
      </c>
      <c r="D1688" t="s">
        <v>172</v>
      </c>
      <c r="E1688">
        <v>0</v>
      </c>
    </row>
    <row r="1689" spans="1:5" x14ac:dyDescent="0.2">
      <c r="A1689" s="13">
        <v>1687</v>
      </c>
      <c r="B1689" s="1">
        <v>43005</v>
      </c>
      <c r="C1689" t="s">
        <v>104</v>
      </c>
      <c r="D1689" t="s">
        <v>72</v>
      </c>
      <c r="E1689">
        <v>0</v>
      </c>
    </row>
    <row r="1690" spans="1:5" x14ac:dyDescent="0.2">
      <c r="A1690" s="13">
        <v>1688</v>
      </c>
      <c r="B1690" s="1">
        <v>43005</v>
      </c>
      <c r="C1690" t="s">
        <v>104</v>
      </c>
      <c r="D1690" t="s">
        <v>186</v>
      </c>
      <c r="E1690">
        <v>7.6772940571191106E-2</v>
      </c>
    </row>
    <row r="1691" spans="1:5" x14ac:dyDescent="0.2">
      <c r="A1691" s="13">
        <v>1689</v>
      </c>
      <c r="B1691" s="1">
        <v>43005</v>
      </c>
      <c r="C1691" t="s">
        <v>104</v>
      </c>
      <c r="D1691" t="s">
        <v>187</v>
      </c>
      <c r="E1691">
        <v>0</v>
      </c>
    </row>
    <row r="1692" spans="1:5" x14ac:dyDescent="0.2">
      <c r="A1692" s="13">
        <v>1690</v>
      </c>
      <c r="B1692" s="1">
        <v>43005</v>
      </c>
      <c r="C1692" t="s">
        <v>104</v>
      </c>
      <c r="D1692" t="s">
        <v>188</v>
      </c>
      <c r="E1692">
        <v>0</v>
      </c>
    </row>
    <row r="1693" spans="1:5" x14ac:dyDescent="0.2">
      <c r="A1693" s="13">
        <v>1691</v>
      </c>
      <c r="B1693" s="1">
        <v>43005</v>
      </c>
      <c r="C1693" t="s">
        <v>104</v>
      </c>
      <c r="D1693" t="s">
        <v>189</v>
      </c>
      <c r="E1693">
        <v>0</v>
      </c>
    </row>
    <row r="1694" spans="1:5" x14ac:dyDescent="0.2">
      <c r="A1694" s="13">
        <v>1692</v>
      </c>
      <c r="B1694" s="1">
        <v>43005</v>
      </c>
      <c r="C1694" t="s">
        <v>104</v>
      </c>
      <c r="D1694" t="s">
        <v>190</v>
      </c>
      <c r="E1694">
        <v>0</v>
      </c>
    </row>
    <row r="1695" spans="1:5" x14ac:dyDescent="0.2">
      <c r="A1695" s="13">
        <v>1693</v>
      </c>
      <c r="B1695" s="1">
        <v>43005</v>
      </c>
      <c r="C1695" t="s">
        <v>104</v>
      </c>
      <c r="D1695" t="s">
        <v>191</v>
      </c>
      <c r="E1695">
        <v>0</v>
      </c>
    </row>
    <row r="1696" spans="1:5" x14ac:dyDescent="0.2">
      <c r="A1696" s="13">
        <v>1694</v>
      </c>
      <c r="B1696" s="1">
        <v>43005</v>
      </c>
      <c r="C1696" t="s">
        <v>151</v>
      </c>
      <c r="D1696" t="s">
        <v>39</v>
      </c>
      <c r="E1696">
        <v>0</v>
      </c>
    </row>
    <row r="1697" spans="1:5" x14ac:dyDescent="0.2">
      <c r="A1697" s="13">
        <v>1695</v>
      </c>
      <c r="B1697" s="1">
        <v>43005</v>
      </c>
      <c r="C1697" t="s">
        <v>151</v>
      </c>
      <c r="D1697" t="s">
        <v>32</v>
      </c>
      <c r="E1697">
        <v>0</v>
      </c>
    </row>
    <row r="1698" spans="1:5" x14ac:dyDescent="0.2">
      <c r="A1698" s="13">
        <v>1696</v>
      </c>
      <c r="B1698" s="1">
        <v>43005</v>
      </c>
      <c r="C1698" t="s">
        <v>151</v>
      </c>
      <c r="D1698" t="s">
        <v>30</v>
      </c>
      <c r="E1698">
        <v>4.7669769568172895E-3</v>
      </c>
    </row>
    <row r="1699" spans="1:5" x14ac:dyDescent="0.2">
      <c r="A1699" s="13">
        <v>1697</v>
      </c>
      <c r="B1699" s="1">
        <v>43005</v>
      </c>
      <c r="C1699" t="s">
        <v>151</v>
      </c>
      <c r="D1699" t="s">
        <v>49</v>
      </c>
      <c r="E1699">
        <v>0</v>
      </c>
    </row>
    <row r="1700" spans="1:5" x14ac:dyDescent="0.2">
      <c r="A1700" s="13">
        <v>1698</v>
      </c>
      <c r="B1700" s="1">
        <v>43005</v>
      </c>
      <c r="C1700" t="s">
        <v>151</v>
      </c>
      <c r="D1700" t="s">
        <v>145</v>
      </c>
      <c r="E1700">
        <v>0</v>
      </c>
    </row>
    <row r="1701" spans="1:5" x14ac:dyDescent="0.2">
      <c r="A1701" s="13">
        <v>1699</v>
      </c>
      <c r="B1701" s="1">
        <v>43005</v>
      </c>
      <c r="C1701" t="s">
        <v>151</v>
      </c>
      <c r="D1701" t="s">
        <v>233</v>
      </c>
      <c r="E1701">
        <v>0</v>
      </c>
    </row>
    <row r="1702" spans="1:5" x14ac:dyDescent="0.2">
      <c r="A1702" s="13">
        <v>1700</v>
      </c>
      <c r="B1702" s="1">
        <v>43005</v>
      </c>
      <c r="C1702" t="s">
        <v>151</v>
      </c>
      <c r="D1702" t="s">
        <v>172</v>
      </c>
      <c r="E1702">
        <v>0</v>
      </c>
    </row>
    <row r="1703" spans="1:5" x14ac:dyDescent="0.2">
      <c r="A1703" s="13">
        <v>1701</v>
      </c>
      <c r="B1703" s="1">
        <v>43005</v>
      </c>
      <c r="C1703" t="s">
        <v>151</v>
      </c>
      <c r="D1703" t="s">
        <v>72</v>
      </c>
      <c r="E1703">
        <v>6.5770296933129568</v>
      </c>
    </row>
    <row r="1704" spans="1:5" x14ac:dyDescent="0.2">
      <c r="A1704" s="13">
        <v>1702</v>
      </c>
      <c r="B1704" s="1">
        <v>43005</v>
      </c>
      <c r="C1704" t="s">
        <v>151</v>
      </c>
      <c r="D1704" t="s">
        <v>186</v>
      </c>
      <c r="E1704">
        <v>2.9903201746830471E-4</v>
      </c>
    </row>
    <row r="1705" spans="1:5" x14ac:dyDescent="0.2">
      <c r="A1705" s="13">
        <v>1703</v>
      </c>
      <c r="B1705" s="1">
        <v>43005</v>
      </c>
      <c r="C1705" t="s">
        <v>151</v>
      </c>
      <c r="D1705" t="s">
        <v>187</v>
      </c>
      <c r="E1705">
        <v>2.6371092417491111E-3</v>
      </c>
    </row>
    <row r="1706" spans="1:5" x14ac:dyDescent="0.2">
      <c r="A1706" s="13">
        <v>1704</v>
      </c>
      <c r="B1706" s="1">
        <v>43005</v>
      </c>
      <c r="C1706" t="s">
        <v>151</v>
      </c>
      <c r="D1706" t="s">
        <v>188</v>
      </c>
      <c r="E1706">
        <v>8.0759835568590854E-4</v>
      </c>
    </row>
    <row r="1707" spans="1:5" x14ac:dyDescent="0.2">
      <c r="A1707" s="13">
        <v>1705</v>
      </c>
      <c r="B1707" s="1">
        <v>43005</v>
      </c>
      <c r="C1707" t="s">
        <v>151</v>
      </c>
      <c r="D1707" t="s">
        <v>189</v>
      </c>
      <c r="E1707">
        <v>5.4952703352214899E-4</v>
      </c>
    </row>
    <row r="1708" spans="1:5" x14ac:dyDescent="0.2">
      <c r="A1708" s="13">
        <v>1706</v>
      </c>
      <c r="B1708" s="1">
        <v>43005</v>
      </c>
      <c r="C1708" t="s">
        <v>151</v>
      </c>
      <c r="D1708" t="s">
        <v>190</v>
      </c>
      <c r="E1708">
        <v>1.1291719531736147E-3</v>
      </c>
    </row>
    <row r="1709" spans="1:5" x14ac:dyDescent="0.2">
      <c r="A1709" s="13">
        <v>1707</v>
      </c>
      <c r="B1709" s="1">
        <v>43005</v>
      </c>
      <c r="C1709" t="s">
        <v>151</v>
      </c>
      <c r="D1709" t="s">
        <v>191</v>
      </c>
      <c r="E1709">
        <v>-6.5546164478179521E-4</v>
      </c>
    </row>
    <row r="1710" spans="1:5" x14ac:dyDescent="0.2">
      <c r="A1710" s="13">
        <v>1708</v>
      </c>
      <c r="B1710" s="1">
        <v>43005</v>
      </c>
      <c r="C1710" t="s">
        <v>29</v>
      </c>
      <c r="D1710" t="s">
        <v>39</v>
      </c>
      <c r="E1710">
        <v>5.7188454719411778E-5</v>
      </c>
    </row>
    <row r="1711" spans="1:5" x14ac:dyDescent="0.2">
      <c r="A1711" s="13">
        <v>1709</v>
      </c>
      <c r="B1711" s="1">
        <v>43005</v>
      </c>
      <c r="C1711" t="s">
        <v>29</v>
      </c>
      <c r="D1711" t="s">
        <v>32</v>
      </c>
      <c r="E1711">
        <v>1.5005655456743743E-3</v>
      </c>
    </row>
    <row r="1712" spans="1:5" x14ac:dyDescent="0.2">
      <c r="A1712" s="13">
        <v>1710</v>
      </c>
      <c r="B1712" s="1">
        <v>43005</v>
      </c>
      <c r="C1712" t="s">
        <v>29</v>
      </c>
      <c r="D1712" t="s">
        <v>30</v>
      </c>
      <c r="E1712">
        <v>8.7623310717824243E-6</v>
      </c>
    </row>
    <row r="1713" spans="1:5" x14ac:dyDescent="0.2">
      <c r="A1713" s="13">
        <v>1711</v>
      </c>
      <c r="B1713" s="1">
        <v>43005</v>
      </c>
      <c r="C1713" t="s">
        <v>29</v>
      </c>
      <c r="D1713" t="s">
        <v>49</v>
      </c>
      <c r="E1713">
        <v>0</v>
      </c>
    </row>
    <row r="1714" spans="1:5" x14ac:dyDescent="0.2">
      <c r="A1714" s="13">
        <v>1712</v>
      </c>
      <c r="B1714" s="1">
        <v>43005</v>
      </c>
      <c r="C1714" t="s">
        <v>29</v>
      </c>
      <c r="D1714" t="s">
        <v>145</v>
      </c>
      <c r="E1714">
        <v>0</v>
      </c>
    </row>
    <row r="1715" spans="1:5" x14ac:dyDescent="0.2">
      <c r="A1715" s="13">
        <v>1713</v>
      </c>
      <c r="B1715" s="1">
        <v>43005</v>
      </c>
      <c r="C1715" t="s">
        <v>29</v>
      </c>
      <c r="D1715" t="s">
        <v>233</v>
      </c>
      <c r="E1715">
        <v>0</v>
      </c>
    </row>
    <row r="1716" spans="1:5" x14ac:dyDescent="0.2">
      <c r="A1716" s="13">
        <v>1714</v>
      </c>
      <c r="B1716" s="1">
        <v>43005</v>
      </c>
      <c r="C1716" t="s">
        <v>29</v>
      </c>
      <c r="D1716" t="s">
        <v>172</v>
      </c>
      <c r="E1716">
        <v>0</v>
      </c>
    </row>
    <row r="1717" spans="1:5" x14ac:dyDescent="0.2">
      <c r="A1717" s="13">
        <v>1715</v>
      </c>
      <c r="B1717" s="1">
        <v>43005</v>
      </c>
      <c r="C1717" t="s">
        <v>29</v>
      </c>
      <c r="D1717" t="s">
        <v>72</v>
      </c>
      <c r="E1717">
        <v>4.7319701694073411</v>
      </c>
    </row>
    <row r="1718" spans="1:5" x14ac:dyDescent="0.2">
      <c r="A1718" s="13">
        <v>1716</v>
      </c>
      <c r="B1718" s="1">
        <v>43005</v>
      </c>
      <c r="C1718" t="s">
        <v>29</v>
      </c>
      <c r="D1718" t="s">
        <v>186</v>
      </c>
      <c r="E1718">
        <v>1.1987289853718553E-3</v>
      </c>
    </row>
    <row r="1719" spans="1:5" x14ac:dyDescent="0.2">
      <c r="A1719" s="13">
        <v>1717</v>
      </c>
      <c r="B1719" s="1">
        <v>43005</v>
      </c>
      <c r="C1719" t="s">
        <v>29</v>
      </c>
      <c r="D1719" t="s">
        <v>187</v>
      </c>
      <c r="E1719">
        <v>0</v>
      </c>
    </row>
    <row r="1720" spans="1:5" x14ac:dyDescent="0.2">
      <c r="A1720" s="13">
        <v>1718</v>
      </c>
      <c r="B1720" s="1">
        <v>43005</v>
      </c>
      <c r="C1720" t="s">
        <v>29</v>
      </c>
      <c r="D1720" t="s">
        <v>188</v>
      </c>
      <c r="E1720">
        <v>0</v>
      </c>
    </row>
    <row r="1721" spans="1:5" x14ac:dyDescent="0.2">
      <c r="A1721" s="13">
        <v>1719</v>
      </c>
      <c r="B1721" s="1">
        <v>43005</v>
      </c>
      <c r="C1721" t="s">
        <v>29</v>
      </c>
      <c r="D1721" t="s">
        <v>189</v>
      </c>
      <c r="E1721">
        <v>0</v>
      </c>
    </row>
    <row r="1722" spans="1:5" x14ac:dyDescent="0.2">
      <c r="A1722" s="13">
        <v>1720</v>
      </c>
      <c r="B1722" s="1">
        <v>43005</v>
      </c>
      <c r="C1722" t="s">
        <v>29</v>
      </c>
      <c r="D1722" t="s">
        <v>190</v>
      </c>
      <c r="E1722">
        <v>0</v>
      </c>
    </row>
    <row r="1723" spans="1:5" x14ac:dyDescent="0.2">
      <c r="A1723" s="13">
        <v>1721</v>
      </c>
      <c r="B1723" s="1">
        <v>43005</v>
      </c>
      <c r="C1723" t="s">
        <v>29</v>
      </c>
      <c r="D1723" t="s">
        <v>191</v>
      </c>
      <c r="E1723">
        <v>3.6778734609371419E-4</v>
      </c>
    </row>
    <row r="1724" spans="1:5" x14ac:dyDescent="0.2">
      <c r="A1724" s="13">
        <v>1722</v>
      </c>
      <c r="B1724" s="1">
        <v>43005</v>
      </c>
      <c r="C1724" t="s">
        <v>87</v>
      </c>
      <c r="D1724" t="s">
        <v>39</v>
      </c>
      <c r="E1724">
        <v>3.550949331509038E-3</v>
      </c>
    </row>
    <row r="1725" spans="1:5" x14ac:dyDescent="0.2">
      <c r="A1725" s="13">
        <v>1723</v>
      </c>
      <c r="B1725" s="1">
        <v>43005</v>
      </c>
      <c r="C1725" t="s">
        <v>87</v>
      </c>
      <c r="D1725" t="s">
        <v>32</v>
      </c>
      <c r="E1725">
        <v>1.2664395001557515E-2</v>
      </c>
    </row>
    <row r="1726" spans="1:5" x14ac:dyDescent="0.2">
      <c r="A1726" s="13">
        <v>1724</v>
      </c>
      <c r="B1726" s="1">
        <v>43005</v>
      </c>
      <c r="C1726" t="s">
        <v>87</v>
      </c>
      <c r="D1726" t="s">
        <v>30</v>
      </c>
      <c r="E1726">
        <v>-1.8466410793657642E-4</v>
      </c>
    </row>
    <row r="1727" spans="1:5" x14ac:dyDescent="0.2">
      <c r="A1727" s="13">
        <v>1725</v>
      </c>
      <c r="B1727" s="1">
        <v>43005</v>
      </c>
      <c r="C1727" t="s">
        <v>87</v>
      </c>
      <c r="D1727" t="s">
        <v>49</v>
      </c>
      <c r="E1727">
        <v>0</v>
      </c>
    </row>
    <row r="1728" spans="1:5" x14ac:dyDescent="0.2">
      <c r="A1728" s="13">
        <v>1726</v>
      </c>
      <c r="B1728" s="1">
        <v>43005</v>
      </c>
      <c r="C1728" t="s">
        <v>87</v>
      </c>
      <c r="D1728" t="s">
        <v>145</v>
      </c>
      <c r="E1728">
        <v>5.4203131372439878E-4</v>
      </c>
    </row>
    <row r="1729" spans="1:5" x14ac:dyDescent="0.2">
      <c r="A1729" s="13">
        <v>1727</v>
      </c>
      <c r="B1729" s="1">
        <v>43005</v>
      </c>
      <c r="C1729" t="s">
        <v>87</v>
      </c>
      <c r="D1729" t="s">
        <v>233</v>
      </c>
      <c r="E1729">
        <v>0</v>
      </c>
    </row>
    <row r="1730" spans="1:5" x14ac:dyDescent="0.2">
      <c r="A1730" s="13">
        <v>1728</v>
      </c>
      <c r="B1730" s="1">
        <v>43005</v>
      </c>
      <c r="C1730" t="s">
        <v>87</v>
      </c>
      <c r="D1730" t="s">
        <v>172</v>
      </c>
      <c r="E1730">
        <v>0</v>
      </c>
    </row>
    <row r="1731" spans="1:5" x14ac:dyDescent="0.2">
      <c r="A1731" s="13">
        <v>1729</v>
      </c>
      <c r="B1731" s="1">
        <v>43005</v>
      </c>
      <c r="C1731" t="s">
        <v>87</v>
      </c>
      <c r="D1731" t="s">
        <v>72</v>
      </c>
      <c r="E1731">
        <v>9.350351971578494</v>
      </c>
    </row>
    <row r="1732" spans="1:5" x14ac:dyDescent="0.2">
      <c r="A1732" s="13">
        <v>1730</v>
      </c>
      <c r="B1732" s="1">
        <v>43005</v>
      </c>
      <c r="C1732" t="s">
        <v>87</v>
      </c>
      <c r="D1732" t="s">
        <v>186</v>
      </c>
      <c r="E1732">
        <v>1.6156573818807852E-2</v>
      </c>
    </row>
    <row r="1733" spans="1:5" x14ac:dyDescent="0.2">
      <c r="A1733" s="13">
        <v>1731</v>
      </c>
      <c r="B1733" s="1">
        <v>43005</v>
      </c>
      <c r="C1733" t="s">
        <v>87</v>
      </c>
      <c r="D1733" t="s">
        <v>187</v>
      </c>
      <c r="E1733">
        <v>4.7638999479594134E-4</v>
      </c>
    </row>
    <row r="1734" spans="1:5" x14ac:dyDescent="0.2">
      <c r="A1734" s="13">
        <v>1732</v>
      </c>
      <c r="B1734" s="1">
        <v>43005</v>
      </c>
      <c r="C1734" t="s">
        <v>87</v>
      </c>
      <c r="D1734" t="s">
        <v>188</v>
      </c>
      <c r="E1734">
        <v>-4.9426988922198177E-5</v>
      </c>
    </row>
    <row r="1735" spans="1:5" x14ac:dyDescent="0.2">
      <c r="A1735" s="13">
        <v>1733</v>
      </c>
      <c r="B1735" s="1">
        <v>43005</v>
      </c>
      <c r="C1735" t="s">
        <v>87</v>
      </c>
      <c r="D1735" t="s">
        <v>189</v>
      </c>
      <c r="E1735">
        <v>-5.6754678636301071E-5</v>
      </c>
    </row>
    <row r="1736" spans="1:5" x14ac:dyDescent="0.2">
      <c r="A1736" s="13">
        <v>1734</v>
      </c>
      <c r="B1736" s="1">
        <v>43005</v>
      </c>
      <c r="C1736" t="s">
        <v>87</v>
      </c>
      <c r="D1736" t="s">
        <v>190</v>
      </c>
      <c r="E1736">
        <v>-3.0838326860241366E-5</v>
      </c>
    </row>
    <row r="1737" spans="1:5" x14ac:dyDescent="0.2">
      <c r="A1737" s="13">
        <v>1735</v>
      </c>
      <c r="B1737" s="1">
        <v>43005</v>
      </c>
      <c r="C1737" t="s">
        <v>87</v>
      </c>
      <c r="D1737" t="s">
        <v>191</v>
      </c>
      <c r="E1737">
        <v>7.6767719669326593E-5</v>
      </c>
    </row>
    <row r="1738" spans="1:5" x14ac:dyDescent="0.2">
      <c r="A1738" s="13">
        <v>1736</v>
      </c>
      <c r="B1738" s="1">
        <v>43005</v>
      </c>
      <c r="C1738" t="s">
        <v>61</v>
      </c>
      <c r="D1738" t="s">
        <v>39</v>
      </c>
      <c r="E1738">
        <v>1.5666809260630804E-3</v>
      </c>
    </row>
    <row r="1739" spans="1:5" x14ac:dyDescent="0.2">
      <c r="A1739" s="13">
        <v>1737</v>
      </c>
      <c r="B1739" s="1">
        <v>43005</v>
      </c>
      <c r="C1739" t="s">
        <v>61</v>
      </c>
      <c r="D1739" t="s">
        <v>32</v>
      </c>
      <c r="E1739">
        <v>9.8589821811350901E-3</v>
      </c>
    </row>
    <row r="1740" spans="1:5" x14ac:dyDescent="0.2">
      <c r="A1740" s="13">
        <v>1738</v>
      </c>
      <c r="B1740" s="1">
        <v>43005</v>
      </c>
      <c r="C1740" t="s">
        <v>61</v>
      </c>
      <c r="D1740" t="s">
        <v>30</v>
      </c>
      <c r="E1740">
        <v>0</v>
      </c>
    </row>
    <row r="1741" spans="1:5" x14ac:dyDescent="0.2">
      <c r="A1741" s="13">
        <v>1739</v>
      </c>
      <c r="B1741" s="1">
        <v>43005</v>
      </c>
      <c r="C1741" t="s">
        <v>61</v>
      </c>
      <c r="D1741" t="s">
        <v>49</v>
      </c>
      <c r="E1741">
        <v>0</v>
      </c>
    </row>
    <row r="1742" spans="1:5" x14ac:dyDescent="0.2">
      <c r="A1742" s="13">
        <v>1740</v>
      </c>
      <c r="B1742" s="1">
        <v>43005</v>
      </c>
      <c r="C1742" t="s">
        <v>61</v>
      </c>
      <c r="D1742" t="s">
        <v>145</v>
      </c>
      <c r="E1742">
        <v>0</v>
      </c>
    </row>
    <row r="1743" spans="1:5" x14ac:dyDescent="0.2">
      <c r="A1743" s="13">
        <v>1741</v>
      </c>
      <c r="B1743" s="1">
        <v>43005</v>
      </c>
      <c r="C1743" t="s">
        <v>61</v>
      </c>
      <c r="D1743" t="s">
        <v>233</v>
      </c>
      <c r="E1743">
        <v>0</v>
      </c>
    </row>
    <row r="1744" spans="1:5" x14ac:dyDescent="0.2">
      <c r="A1744" s="13">
        <v>1742</v>
      </c>
      <c r="B1744" s="1">
        <v>43005</v>
      </c>
      <c r="C1744" t="s">
        <v>61</v>
      </c>
      <c r="D1744" t="s">
        <v>172</v>
      </c>
      <c r="E1744">
        <v>0</v>
      </c>
    </row>
    <row r="1745" spans="1:5" x14ac:dyDescent="0.2">
      <c r="A1745" s="13">
        <v>1743</v>
      </c>
      <c r="B1745" s="1">
        <v>43005</v>
      </c>
      <c r="C1745" t="s">
        <v>61</v>
      </c>
      <c r="D1745" t="s">
        <v>72</v>
      </c>
      <c r="E1745">
        <v>5.6494125661009038</v>
      </c>
    </row>
    <row r="1746" spans="1:5" x14ac:dyDescent="0.2">
      <c r="A1746" s="13">
        <v>1744</v>
      </c>
      <c r="B1746" s="1">
        <v>43005</v>
      </c>
      <c r="C1746" t="s">
        <v>61</v>
      </c>
      <c r="D1746" t="s">
        <v>186</v>
      </c>
      <c r="E1746">
        <v>1.1425663107198173E-2</v>
      </c>
    </row>
    <row r="1747" spans="1:5" x14ac:dyDescent="0.2">
      <c r="A1747" s="13">
        <v>1745</v>
      </c>
      <c r="B1747" s="1">
        <v>43005</v>
      </c>
      <c r="C1747" t="s">
        <v>61</v>
      </c>
      <c r="D1747" t="s">
        <v>187</v>
      </c>
      <c r="E1747">
        <v>0</v>
      </c>
    </row>
    <row r="1748" spans="1:5" x14ac:dyDescent="0.2">
      <c r="A1748" s="13">
        <v>1746</v>
      </c>
      <c r="B1748" s="1">
        <v>43005</v>
      </c>
      <c r="C1748" t="s">
        <v>61</v>
      </c>
      <c r="D1748" t="s">
        <v>188</v>
      </c>
      <c r="E1748">
        <v>0</v>
      </c>
    </row>
    <row r="1749" spans="1:5" x14ac:dyDescent="0.2">
      <c r="A1749" s="13">
        <v>1747</v>
      </c>
      <c r="B1749" s="1">
        <v>43005</v>
      </c>
      <c r="C1749" t="s">
        <v>61</v>
      </c>
      <c r="D1749" t="s">
        <v>189</v>
      </c>
      <c r="E1749">
        <v>0</v>
      </c>
    </row>
    <row r="1750" spans="1:5" x14ac:dyDescent="0.2">
      <c r="A1750" s="13">
        <v>1748</v>
      </c>
      <c r="B1750" s="1">
        <v>43005</v>
      </c>
      <c r="C1750" t="s">
        <v>61</v>
      </c>
      <c r="D1750" t="s">
        <v>190</v>
      </c>
      <c r="E1750">
        <v>0</v>
      </c>
    </row>
    <row r="1751" spans="1:5" x14ac:dyDescent="0.2">
      <c r="A1751" s="13">
        <v>1749</v>
      </c>
      <c r="B1751" s="1">
        <v>43005</v>
      </c>
      <c r="C1751" t="s">
        <v>61</v>
      </c>
      <c r="D1751" t="s">
        <v>191</v>
      </c>
      <c r="E1751">
        <v>0</v>
      </c>
    </row>
    <row r="1752" spans="1:5" x14ac:dyDescent="0.2">
      <c r="A1752" s="13">
        <v>1750</v>
      </c>
      <c r="B1752" s="1">
        <v>43005</v>
      </c>
      <c r="C1752" t="s">
        <v>53</v>
      </c>
      <c r="D1752" t="s">
        <v>39</v>
      </c>
      <c r="E1752">
        <v>1.2750691240791508E-5</v>
      </c>
    </row>
    <row r="1753" spans="1:5" x14ac:dyDescent="0.2">
      <c r="A1753" s="13">
        <v>1751</v>
      </c>
      <c r="B1753" s="1">
        <v>43005</v>
      </c>
      <c r="C1753" t="s">
        <v>53</v>
      </c>
      <c r="D1753" t="s">
        <v>32</v>
      </c>
      <c r="E1753">
        <v>5.4587193989362693E-3</v>
      </c>
    </row>
    <row r="1754" spans="1:5" x14ac:dyDescent="0.2">
      <c r="A1754" s="13">
        <v>1752</v>
      </c>
      <c r="B1754" s="1">
        <v>43005</v>
      </c>
      <c r="C1754" t="s">
        <v>53</v>
      </c>
      <c r="D1754" t="s">
        <v>30</v>
      </c>
      <c r="E1754">
        <v>5.1861701455046497E-4</v>
      </c>
    </row>
    <row r="1755" spans="1:5" x14ac:dyDescent="0.2">
      <c r="A1755" s="13">
        <v>1753</v>
      </c>
      <c r="B1755" s="1">
        <v>43005</v>
      </c>
      <c r="C1755" t="s">
        <v>53</v>
      </c>
      <c r="D1755" t="s">
        <v>49</v>
      </c>
      <c r="E1755">
        <v>0</v>
      </c>
    </row>
    <row r="1756" spans="1:5" x14ac:dyDescent="0.2">
      <c r="A1756" s="13">
        <v>1754</v>
      </c>
      <c r="B1756" s="1">
        <v>43005</v>
      </c>
      <c r="C1756" t="s">
        <v>53</v>
      </c>
      <c r="D1756" t="s">
        <v>145</v>
      </c>
      <c r="E1756">
        <v>0</v>
      </c>
    </row>
    <row r="1757" spans="1:5" x14ac:dyDescent="0.2">
      <c r="A1757" s="13">
        <v>1755</v>
      </c>
      <c r="B1757" s="1">
        <v>43005</v>
      </c>
      <c r="C1757" t="s">
        <v>53</v>
      </c>
      <c r="D1757" t="s">
        <v>233</v>
      </c>
      <c r="E1757">
        <v>0</v>
      </c>
    </row>
    <row r="1758" spans="1:5" x14ac:dyDescent="0.2">
      <c r="A1758" s="13">
        <v>1756</v>
      </c>
      <c r="B1758" s="1">
        <v>43005</v>
      </c>
      <c r="C1758" t="s">
        <v>53</v>
      </c>
      <c r="D1758" t="s">
        <v>172</v>
      </c>
      <c r="E1758">
        <v>0</v>
      </c>
    </row>
    <row r="1759" spans="1:5" x14ac:dyDescent="0.2">
      <c r="A1759" s="13">
        <v>1757</v>
      </c>
      <c r="B1759" s="1">
        <v>43005</v>
      </c>
      <c r="C1759" t="s">
        <v>53</v>
      </c>
      <c r="D1759" t="s">
        <v>72</v>
      </c>
      <c r="E1759">
        <v>6.3888519144258247</v>
      </c>
    </row>
    <row r="1760" spans="1:5" x14ac:dyDescent="0.2">
      <c r="A1760" s="13">
        <v>1758</v>
      </c>
      <c r="B1760" s="1">
        <v>43005</v>
      </c>
      <c r="C1760" t="s">
        <v>53</v>
      </c>
      <c r="D1760" t="s">
        <v>186</v>
      </c>
      <c r="E1760">
        <v>3.2503527234906482E-3</v>
      </c>
    </row>
    <row r="1761" spans="1:5" x14ac:dyDescent="0.2">
      <c r="A1761" s="13">
        <v>1759</v>
      </c>
      <c r="B1761" s="1">
        <v>43005</v>
      </c>
      <c r="C1761" t="s">
        <v>53</v>
      </c>
      <c r="D1761" t="s">
        <v>187</v>
      </c>
      <c r="E1761">
        <v>0</v>
      </c>
    </row>
    <row r="1762" spans="1:5" x14ac:dyDescent="0.2">
      <c r="A1762" s="13">
        <v>1760</v>
      </c>
      <c r="B1762" s="1">
        <v>43005</v>
      </c>
      <c r="C1762" t="s">
        <v>53</v>
      </c>
      <c r="D1762" t="s">
        <v>188</v>
      </c>
      <c r="E1762">
        <v>0</v>
      </c>
    </row>
    <row r="1763" spans="1:5" x14ac:dyDescent="0.2">
      <c r="A1763" s="13">
        <v>1761</v>
      </c>
      <c r="B1763" s="1">
        <v>43005</v>
      </c>
      <c r="C1763" t="s">
        <v>53</v>
      </c>
      <c r="D1763" t="s">
        <v>189</v>
      </c>
      <c r="E1763">
        <v>0</v>
      </c>
    </row>
    <row r="1764" spans="1:5" x14ac:dyDescent="0.2">
      <c r="A1764" s="13">
        <v>1762</v>
      </c>
      <c r="B1764" s="1">
        <v>43005</v>
      </c>
      <c r="C1764" t="s">
        <v>53</v>
      </c>
      <c r="D1764" t="s">
        <v>190</v>
      </c>
      <c r="E1764">
        <v>0</v>
      </c>
    </row>
    <row r="1765" spans="1:5" x14ac:dyDescent="0.2">
      <c r="A1765" s="13">
        <v>1763</v>
      </c>
      <c r="B1765" s="1">
        <v>43005</v>
      </c>
      <c r="C1765" t="s">
        <v>53</v>
      </c>
      <c r="D1765" t="s">
        <v>191</v>
      </c>
      <c r="E1765">
        <v>2.739734381236876E-3</v>
      </c>
    </row>
    <row r="1766" spans="1:5" x14ac:dyDescent="0.2">
      <c r="A1766" s="13">
        <v>1764</v>
      </c>
      <c r="B1766" s="1">
        <v>43004</v>
      </c>
      <c r="C1766" t="s">
        <v>62</v>
      </c>
      <c r="D1766" t="s">
        <v>39</v>
      </c>
      <c r="E1766">
        <v>4.7715094321950056E-3</v>
      </c>
    </row>
    <row r="1767" spans="1:5" x14ac:dyDescent="0.2">
      <c r="A1767" s="13">
        <v>1765</v>
      </c>
      <c r="B1767" s="1">
        <v>43004</v>
      </c>
      <c r="C1767" t="s">
        <v>62</v>
      </c>
      <c r="D1767" t="s">
        <v>32</v>
      </c>
      <c r="E1767">
        <v>3.1117434655549996E-3</v>
      </c>
    </row>
    <row r="1768" spans="1:5" x14ac:dyDescent="0.2">
      <c r="A1768" s="13">
        <v>1766</v>
      </c>
      <c r="B1768" s="1">
        <v>43004</v>
      </c>
      <c r="C1768" t="s">
        <v>62</v>
      </c>
      <c r="D1768" t="s">
        <v>30</v>
      </c>
      <c r="E1768">
        <v>-1.9505543547704222E-5</v>
      </c>
    </row>
    <row r="1769" spans="1:5" x14ac:dyDescent="0.2">
      <c r="A1769" s="13">
        <v>1767</v>
      </c>
      <c r="B1769" s="1">
        <v>43004</v>
      </c>
      <c r="C1769" t="s">
        <v>62</v>
      </c>
      <c r="D1769" t="s">
        <v>49</v>
      </c>
      <c r="E1769">
        <v>1.4211525326185588E-7</v>
      </c>
    </row>
    <row r="1770" spans="1:5" x14ac:dyDescent="0.2">
      <c r="A1770" s="13">
        <v>1768</v>
      </c>
      <c r="B1770" s="1">
        <v>43004</v>
      </c>
      <c r="C1770" t="s">
        <v>62</v>
      </c>
      <c r="D1770" t="s">
        <v>145</v>
      </c>
      <c r="E1770">
        <v>0</v>
      </c>
    </row>
    <row r="1771" spans="1:5" x14ac:dyDescent="0.2">
      <c r="A1771" s="13">
        <v>1769</v>
      </c>
      <c r="B1771" s="1">
        <v>43004</v>
      </c>
      <c r="C1771" t="s">
        <v>62</v>
      </c>
      <c r="D1771" t="s">
        <v>233</v>
      </c>
      <c r="E1771">
        <v>0</v>
      </c>
    </row>
    <row r="1772" spans="1:5" x14ac:dyDescent="0.2">
      <c r="A1772" s="13">
        <v>1770</v>
      </c>
      <c r="B1772" s="1">
        <v>43004</v>
      </c>
      <c r="C1772" t="s">
        <v>62</v>
      </c>
      <c r="D1772" t="s">
        <v>172</v>
      </c>
      <c r="E1772">
        <v>0</v>
      </c>
    </row>
    <row r="1773" spans="1:5" x14ac:dyDescent="0.2">
      <c r="A1773" s="13">
        <v>1771</v>
      </c>
      <c r="B1773" s="1">
        <v>43004</v>
      </c>
      <c r="C1773" t="s">
        <v>62</v>
      </c>
      <c r="D1773" t="s">
        <v>72</v>
      </c>
      <c r="E1773">
        <v>3.422012988682599</v>
      </c>
    </row>
    <row r="1774" spans="1:5" x14ac:dyDescent="0.2">
      <c r="A1774" s="13">
        <v>1772</v>
      </c>
      <c r="B1774" s="1">
        <v>43004</v>
      </c>
      <c r="C1774" t="s">
        <v>62</v>
      </c>
      <c r="D1774" t="s">
        <v>186</v>
      </c>
      <c r="E1774">
        <v>7.8832528977500049E-3</v>
      </c>
    </row>
    <row r="1775" spans="1:5" x14ac:dyDescent="0.2">
      <c r="A1775" s="13">
        <v>1773</v>
      </c>
      <c r="B1775" s="1">
        <v>43004</v>
      </c>
      <c r="C1775" t="s">
        <v>62</v>
      </c>
      <c r="D1775" t="s">
        <v>187</v>
      </c>
      <c r="E1775">
        <v>0</v>
      </c>
    </row>
    <row r="1776" spans="1:5" x14ac:dyDescent="0.2">
      <c r="A1776" s="13">
        <v>1774</v>
      </c>
      <c r="B1776" s="1">
        <v>43004</v>
      </c>
      <c r="C1776" t="s">
        <v>62</v>
      </c>
      <c r="D1776" t="s">
        <v>188</v>
      </c>
      <c r="E1776">
        <v>0</v>
      </c>
    </row>
    <row r="1777" spans="1:5" x14ac:dyDescent="0.2">
      <c r="A1777" s="13">
        <v>1775</v>
      </c>
      <c r="B1777" s="1">
        <v>43004</v>
      </c>
      <c r="C1777" t="s">
        <v>62</v>
      </c>
      <c r="D1777" t="s">
        <v>189</v>
      </c>
      <c r="E1777">
        <v>0</v>
      </c>
    </row>
    <row r="1778" spans="1:5" x14ac:dyDescent="0.2">
      <c r="A1778" s="13">
        <v>1776</v>
      </c>
      <c r="B1778" s="1">
        <v>43004</v>
      </c>
      <c r="C1778" t="s">
        <v>62</v>
      </c>
      <c r="D1778" t="s">
        <v>190</v>
      </c>
      <c r="E1778">
        <v>0</v>
      </c>
    </row>
    <row r="1779" spans="1:5" x14ac:dyDescent="0.2">
      <c r="A1779" s="13">
        <v>1777</v>
      </c>
      <c r="B1779" s="1">
        <v>43004</v>
      </c>
      <c r="C1779" t="s">
        <v>62</v>
      </c>
      <c r="D1779" t="s">
        <v>191</v>
      </c>
      <c r="E1779">
        <v>-1.9363428294442366E-5</v>
      </c>
    </row>
    <row r="1780" spans="1:5" x14ac:dyDescent="0.2">
      <c r="A1780" s="13">
        <v>1778</v>
      </c>
      <c r="B1780" s="1">
        <v>43004</v>
      </c>
      <c r="C1780" t="s">
        <v>63</v>
      </c>
      <c r="D1780" t="s">
        <v>39</v>
      </c>
      <c r="E1780">
        <v>7.0929173498335265E-3</v>
      </c>
    </row>
    <row r="1781" spans="1:5" x14ac:dyDescent="0.2">
      <c r="A1781" s="13">
        <v>1779</v>
      </c>
      <c r="B1781" s="1">
        <v>43004</v>
      </c>
      <c r="C1781" t="s">
        <v>63</v>
      </c>
      <c r="D1781" t="s">
        <v>32</v>
      </c>
      <c r="E1781">
        <v>5.1115894141733698E-3</v>
      </c>
    </row>
    <row r="1782" spans="1:5" x14ac:dyDescent="0.2">
      <c r="A1782" s="13">
        <v>1780</v>
      </c>
      <c r="B1782" s="1">
        <v>43004</v>
      </c>
      <c r="C1782" t="s">
        <v>63</v>
      </c>
      <c r="D1782" t="s">
        <v>30</v>
      </c>
      <c r="E1782">
        <v>-2.1876989108375078E-5</v>
      </c>
    </row>
    <row r="1783" spans="1:5" x14ac:dyDescent="0.2">
      <c r="A1783" s="13">
        <v>1781</v>
      </c>
      <c r="B1783" s="1">
        <v>43004</v>
      </c>
      <c r="C1783" t="s">
        <v>63</v>
      </c>
      <c r="D1783" t="s">
        <v>49</v>
      </c>
      <c r="E1783">
        <v>9.0994176703001838E-7</v>
      </c>
    </row>
    <row r="1784" spans="1:5" x14ac:dyDescent="0.2">
      <c r="A1784" s="13">
        <v>1782</v>
      </c>
      <c r="B1784" s="1">
        <v>43004</v>
      </c>
      <c r="C1784" t="s">
        <v>63</v>
      </c>
      <c r="D1784" t="s">
        <v>145</v>
      </c>
      <c r="E1784">
        <v>0</v>
      </c>
    </row>
    <row r="1785" spans="1:5" x14ac:dyDescent="0.2">
      <c r="A1785" s="13">
        <v>1783</v>
      </c>
      <c r="B1785" s="1">
        <v>43004</v>
      </c>
      <c r="C1785" t="s">
        <v>63</v>
      </c>
      <c r="D1785" t="s">
        <v>233</v>
      </c>
      <c r="E1785">
        <v>0</v>
      </c>
    </row>
    <row r="1786" spans="1:5" x14ac:dyDescent="0.2">
      <c r="A1786" s="13">
        <v>1784</v>
      </c>
      <c r="B1786" s="1">
        <v>43004</v>
      </c>
      <c r="C1786" t="s">
        <v>63</v>
      </c>
      <c r="D1786" t="s">
        <v>172</v>
      </c>
      <c r="E1786">
        <v>0</v>
      </c>
    </row>
    <row r="1787" spans="1:5" x14ac:dyDescent="0.2">
      <c r="A1787" s="13">
        <v>1785</v>
      </c>
      <c r="B1787" s="1">
        <v>43004</v>
      </c>
      <c r="C1787" t="s">
        <v>63</v>
      </c>
      <c r="D1787" t="s">
        <v>72</v>
      </c>
      <c r="E1787">
        <v>5.2866545004803465</v>
      </c>
    </row>
    <row r="1788" spans="1:5" x14ac:dyDescent="0.2">
      <c r="A1788" s="13">
        <v>1786</v>
      </c>
      <c r="B1788" s="1">
        <v>43004</v>
      </c>
      <c r="C1788" t="s">
        <v>63</v>
      </c>
      <c r="D1788" t="s">
        <v>186</v>
      </c>
      <c r="E1788">
        <v>1.2204506764006896E-2</v>
      </c>
    </row>
    <row r="1789" spans="1:5" x14ac:dyDescent="0.2">
      <c r="A1789" s="13">
        <v>1787</v>
      </c>
      <c r="B1789" s="1">
        <v>43004</v>
      </c>
      <c r="C1789" t="s">
        <v>63</v>
      </c>
      <c r="D1789" t="s">
        <v>187</v>
      </c>
      <c r="E1789">
        <v>0</v>
      </c>
    </row>
    <row r="1790" spans="1:5" x14ac:dyDescent="0.2">
      <c r="A1790" s="13">
        <v>1788</v>
      </c>
      <c r="B1790" s="1">
        <v>43004</v>
      </c>
      <c r="C1790" t="s">
        <v>63</v>
      </c>
      <c r="D1790" t="s">
        <v>188</v>
      </c>
      <c r="E1790">
        <v>0</v>
      </c>
    </row>
    <row r="1791" spans="1:5" x14ac:dyDescent="0.2">
      <c r="A1791" s="13">
        <v>1789</v>
      </c>
      <c r="B1791" s="1">
        <v>43004</v>
      </c>
      <c r="C1791" t="s">
        <v>63</v>
      </c>
      <c r="D1791" t="s">
        <v>189</v>
      </c>
      <c r="E1791">
        <v>0</v>
      </c>
    </row>
    <row r="1792" spans="1:5" x14ac:dyDescent="0.2">
      <c r="A1792" s="13">
        <v>1790</v>
      </c>
      <c r="B1792" s="1">
        <v>43004</v>
      </c>
      <c r="C1792" t="s">
        <v>63</v>
      </c>
      <c r="D1792" t="s">
        <v>190</v>
      </c>
      <c r="E1792">
        <v>0</v>
      </c>
    </row>
    <row r="1793" spans="1:5" x14ac:dyDescent="0.2">
      <c r="A1793" s="13">
        <v>1791</v>
      </c>
      <c r="B1793" s="1">
        <v>43004</v>
      </c>
      <c r="C1793" t="s">
        <v>63</v>
      </c>
      <c r="D1793" t="s">
        <v>191</v>
      </c>
      <c r="E1793">
        <v>-2.0967047341345058E-5</v>
      </c>
    </row>
    <row r="1794" spans="1:5" x14ac:dyDescent="0.2">
      <c r="A1794" s="13">
        <v>1792</v>
      </c>
      <c r="B1794" s="1">
        <v>43004</v>
      </c>
      <c r="C1794" t="s">
        <v>103</v>
      </c>
      <c r="D1794" t="s">
        <v>39</v>
      </c>
      <c r="E1794">
        <v>2.5845259842465391E-2</v>
      </c>
    </row>
    <row r="1795" spans="1:5" x14ac:dyDescent="0.2">
      <c r="A1795" s="13">
        <v>1793</v>
      </c>
      <c r="B1795" s="1">
        <v>43004</v>
      </c>
      <c r="C1795" t="s">
        <v>103</v>
      </c>
      <c r="D1795" t="s">
        <v>32</v>
      </c>
      <c r="E1795">
        <v>0</v>
      </c>
    </row>
    <row r="1796" spans="1:5" x14ac:dyDescent="0.2">
      <c r="A1796" s="13">
        <v>1794</v>
      </c>
      <c r="B1796" s="1">
        <v>43004</v>
      </c>
      <c r="C1796" t="s">
        <v>103</v>
      </c>
      <c r="D1796" t="s">
        <v>30</v>
      </c>
      <c r="E1796">
        <v>0</v>
      </c>
    </row>
    <row r="1797" spans="1:5" x14ac:dyDescent="0.2">
      <c r="A1797" s="13">
        <v>1795</v>
      </c>
      <c r="B1797" s="1">
        <v>43004</v>
      </c>
      <c r="C1797" t="s">
        <v>103</v>
      </c>
      <c r="D1797" t="s">
        <v>49</v>
      </c>
      <c r="E1797">
        <v>0</v>
      </c>
    </row>
    <row r="1798" spans="1:5" x14ac:dyDescent="0.2">
      <c r="A1798" s="13">
        <v>1796</v>
      </c>
      <c r="B1798" s="1">
        <v>43004</v>
      </c>
      <c r="C1798" t="s">
        <v>103</v>
      </c>
      <c r="D1798" t="s">
        <v>145</v>
      </c>
      <c r="E1798">
        <v>0</v>
      </c>
    </row>
    <row r="1799" spans="1:5" x14ac:dyDescent="0.2">
      <c r="A1799" s="13">
        <v>1797</v>
      </c>
      <c r="B1799" s="1">
        <v>43004</v>
      </c>
      <c r="C1799" t="s">
        <v>103</v>
      </c>
      <c r="D1799" t="s">
        <v>233</v>
      </c>
      <c r="E1799">
        <v>0</v>
      </c>
    </row>
    <row r="1800" spans="1:5" x14ac:dyDescent="0.2">
      <c r="A1800" s="13">
        <v>1798</v>
      </c>
      <c r="B1800" s="1">
        <v>43004</v>
      </c>
      <c r="C1800" t="s">
        <v>103</v>
      </c>
      <c r="D1800" t="s">
        <v>172</v>
      </c>
      <c r="E1800">
        <v>0</v>
      </c>
    </row>
    <row r="1801" spans="1:5" x14ac:dyDescent="0.2">
      <c r="A1801" s="13">
        <v>1799</v>
      </c>
      <c r="B1801" s="1">
        <v>43004</v>
      </c>
      <c r="C1801" t="s">
        <v>103</v>
      </c>
      <c r="D1801" t="s">
        <v>72</v>
      </c>
      <c r="E1801">
        <v>0</v>
      </c>
    </row>
    <row r="1802" spans="1:5" x14ac:dyDescent="0.2">
      <c r="A1802" s="13">
        <v>1800</v>
      </c>
      <c r="B1802" s="1">
        <v>43004</v>
      </c>
      <c r="C1802" t="s">
        <v>103</v>
      </c>
      <c r="D1802" t="s">
        <v>186</v>
      </c>
      <c r="E1802">
        <v>2.5845259842465391E-2</v>
      </c>
    </row>
    <row r="1803" spans="1:5" x14ac:dyDescent="0.2">
      <c r="A1803" s="13">
        <v>1801</v>
      </c>
      <c r="B1803" s="1">
        <v>43004</v>
      </c>
      <c r="C1803" t="s">
        <v>103</v>
      </c>
      <c r="D1803" t="s">
        <v>187</v>
      </c>
      <c r="E1803">
        <v>0</v>
      </c>
    </row>
    <row r="1804" spans="1:5" x14ac:dyDescent="0.2">
      <c r="A1804" s="13">
        <v>1802</v>
      </c>
      <c r="B1804" s="1">
        <v>43004</v>
      </c>
      <c r="C1804" t="s">
        <v>103</v>
      </c>
      <c r="D1804" t="s">
        <v>188</v>
      </c>
      <c r="E1804">
        <v>0</v>
      </c>
    </row>
    <row r="1805" spans="1:5" x14ac:dyDescent="0.2">
      <c r="A1805" s="13">
        <v>1803</v>
      </c>
      <c r="B1805" s="1">
        <v>43004</v>
      </c>
      <c r="C1805" t="s">
        <v>103</v>
      </c>
      <c r="D1805" t="s">
        <v>189</v>
      </c>
      <c r="E1805">
        <v>0</v>
      </c>
    </row>
    <row r="1806" spans="1:5" x14ac:dyDescent="0.2">
      <c r="A1806" s="13">
        <v>1804</v>
      </c>
      <c r="B1806" s="1">
        <v>43004</v>
      </c>
      <c r="C1806" t="s">
        <v>103</v>
      </c>
      <c r="D1806" t="s">
        <v>190</v>
      </c>
      <c r="E1806">
        <v>0</v>
      </c>
    </row>
    <row r="1807" spans="1:5" x14ac:dyDescent="0.2">
      <c r="A1807" s="13">
        <v>1805</v>
      </c>
      <c r="B1807" s="1">
        <v>43004</v>
      </c>
      <c r="C1807" t="s">
        <v>103</v>
      </c>
      <c r="D1807" t="s">
        <v>191</v>
      </c>
      <c r="E1807">
        <v>0</v>
      </c>
    </row>
    <row r="1808" spans="1:5" x14ac:dyDescent="0.2">
      <c r="A1808" s="13">
        <v>1806</v>
      </c>
      <c r="B1808" s="1">
        <v>43004</v>
      </c>
      <c r="C1808" t="s">
        <v>104</v>
      </c>
      <c r="D1808" t="s">
        <v>39</v>
      </c>
      <c r="E1808">
        <v>7.7664498781470331E-2</v>
      </c>
    </row>
    <row r="1809" spans="1:5" x14ac:dyDescent="0.2">
      <c r="A1809" s="13">
        <v>1807</v>
      </c>
      <c r="B1809" s="1">
        <v>43004</v>
      </c>
      <c r="C1809" t="s">
        <v>104</v>
      </c>
      <c r="D1809" t="s">
        <v>32</v>
      </c>
      <c r="E1809">
        <v>0</v>
      </c>
    </row>
    <row r="1810" spans="1:5" x14ac:dyDescent="0.2">
      <c r="A1810" s="13">
        <v>1808</v>
      </c>
      <c r="B1810" s="1">
        <v>43004</v>
      </c>
      <c r="C1810" t="s">
        <v>104</v>
      </c>
      <c r="D1810" t="s">
        <v>30</v>
      </c>
      <c r="E1810">
        <v>0</v>
      </c>
    </row>
    <row r="1811" spans="1:5" x14ac:dyDescent="0.2">
      <c r="A1811" s="13">
        <v>1809</v>
      </c>
      <c r="B1811" s="1">
        <v>43004</v>
      </c>
      <c r="C1811" t="s">
        <v>104</v>
      </c>
      <c r="D1811" t="s">
        <v>49</v>
      </c>
      <c r="E1811">
        <v>0</v>
      </c>
    </row>
    <row r="1812" spans="1:5" x14ac:dyDescent="0.2">
      <c r="A1812" s="13">
        <v>1810</v>
      </c>
      <c r="B1812" s="1">
        <v>43004</v>
      </c>
      <c r="C1812" t="s">
        <v>104</v>
      </c>
      <c r="D1812" t="s">
        <v>145</v>
      </c>
      <c r="E1812">
        <v>0</v>
      </c>
    </row>
    <row r="1813" spans="1:5" x14ac:dyDescent="0.2">
      <c r="A1813" s="13">
        <v>1811</v>
      </c>
      <c r="B1813" s="1">
        <v>43004</v>
      </c>
      <c r="C1813" t="s">
        <v>104</v>
      </c>
      <c r="D1813" t="s">
        <v>233</v>
      </c>
      <c r="E1813">
        <v>0</v>
      </c>
    </row>
    <row r="1814" spans="1:5" x14ac:dyDescent="0.2">
      <c r="A1814" s="13">
        <v>1812</v>
      </c>
      <c r="B1814" s="1">
        <v>43004</v>
      </c>
      <c r="C1814" t="s">
        <v>104</v>
      </c>
      <c r="D1814" t="s">
        <v>172</v>
      </c>
      <c r="E1814">
        <v>0</v>
      </c>
    </row>
    <row r="1815" spans="1:5" x14ac:dyDescent="0.2">
      <c r="A1815" s="13">
        <v>1813</v>
      </c>
      <c r="B1815" s="1">
        <v>43004</v>
      </c>
      <c r="C1815" t="s">
        <v>104</v>
      </c>
      <c r="D1815" t="s">
        <v>72</v>
      </c>
      <c r="E1815">
        <v>0</v>
      </c>
    </row>
    <row r="1816" spans="1:5" x14ac:dyDescent="0.2">
      <c r="A1816" s="13">
        <v>1814</v>
      </c>
      <c r="B1816" s="1">
        <v>43004</v>
      </c>
      <c r="C1816" t="s">
        <v>104</v>
      </c>
      <c r="D1816" t="s">
        <v>186</v>
      </c>
      <c r="E1816">
        <v>7.7664498781470331E-2</v>
      </c>
    </row>
    <row r="1817" spans="1:5" x14ac:dyDescent="0.2">
      <c r="A1817" s="13">
        <v>1815</v>
      </c>
      <c r="B1817" s="1">
        <v>43004</v>
      </c>
      <c r="C1817" t="s">
        <v>104</v>
      </c>
      <c r="D1817" t="s">
        <v>187</v>
      </c>
      <c r="E1817">
        <v>0</v>
      </c>
    </row>
    <row r="1818" spans="1:5" x14ac:dyDescent="0.2">
      <c r="A1818" s="13">
        <v>1816</v>
      </c>
      <c r="B1818" s="1">
        <v>43004</v>
      </c>
      <c r="C1818" t="s">
        <v>104</v>
      </c>
      <c r="D1818" t="s">
        <v>188</v>
      </c>
      <c r="E1818">
        <v>0</v>
      </c>
    </row>
    <row r="1819" spans="1:5" x14ac:dyDescent="0.2">
      <c r="A1819" s="13">
        <v>1817</v>
      </c>
      <c r="B1819" s="1">
        <v>43004</v>
      </c>
      <c r="C1819" t="s">
        <v>104</v>
      </c>
      <c r="D1819" t="s">
        <v>189</v>
      </c>
      <c r="E1819">
        <v>0</v>
      </c>
    </row>
    <row r="1820" spans="1:5" x14ac:dyDescent="0.2">
      <c r="A1820" s="13">
        <v>1818</v>
      </c>
      <c r="B1820" s="1">
        <v>43004</v>
      </c>
      <c r="C1820" t="s">
        <v>104</v>
      </c>
      <c r="D1820" t="s">
        <v>190</v>
      </c>
      <c r="E1820">
        <v>0</v>
      </c>
    </row>
    <row r="1821" spans="1:5" x14ac:dyDescent="0.2">
      <c r="A1821" s="13">
        <v>1819</v>
      </c>
      <c r="B1821" s="1">
        <v>43004</v>
      </c>
      <c r="C1821" t="s">
        <v>104</v>
      </c>
      <c r="D1821" t="s">
        <v>191</v>
      </c>
      <c r="E1821">
        <v>0</v>
      </c>
    </row>
    <row r="1822" spans="1:5" x14ac:dyDescent="0.2">
      <c r="A1822" s="13">
        <v>1820</v>
      </c>
      <c r="B1822" s="1">
        <v>43004</v>
      </c>
      <c r="C1822" t="s">
        <v>151</v>
      </c>
      <c r="D1822" t="s">
        <v>39</v>
      </c>
      <c r="E1822">
        <v>0</v>
      </c>
    </row>
    <row r="1823" spans="1:5" x14ac:dyDescent="0.2">
      <c r="A1823" s="13">
        <v>1821</v>
      </c>
      <c r="B1823" s="1">
        <v>43004</v>
      </c>
      <c r="C1823" t="s">
        <v>151</v>
      </c>
      <c r="D1823" t="s">
        <v>32</v>
      </c>
      <c r="E1823">
        <v>0</v>
      </c>
    </row>
    <row r="1824" spans="1:5" x14ac:dyDescent="0.2">
      <c r="A1824" s="13">
        <v>1822</v>
      </c>
      <c r="B1824" s="1">
        <v>43004</v>
      </c>
      <c r="C1824" t="s">
        <v>151</v>
      </c>
      <c r="D1824" t="s">
        <v>30</v>
      </c>
      <c r="E1824">
        <v>4.7590992326609818E-3</v>
      </c>
    </row>
    <row r="1825" spans="1:5" x14ac:dyDescent="0.2">
      <c r="A1825" s="13">
        <v>1823</v>
      </c>
      <c r="B1825" s="1">
        <v>43004</v>
      </c>
      <c r="C1825" t="s">
        <v>151</v>
      </c>
      <c r="D1825" t="s">
        <v>49</v>
      </c>
      <c r="E1825">
        <v>0</v>
      </c>
    </row>
    <row r="1826" spans="1:5" x14ac:dyDescent="0.2">
      <c r="A1826" s="13">
        <v>1824</v>
      </c>
      <c r="B1826" s="1">
        <v>43004</v>
      </c>
      <c r="C1826" t="s">
        <v>151</v>
      </c>
      <c r="D1826" t="s">
        <v>145</v>
      </c>
      <c r="E1826">
        <v>0</v>
      </c>
    </row>
    <row r="1827" spans="1:5" x14ac:dyDescent="0.2">
      <c r="A1827" s="13">
        <v>1825</v>
      </c>
      <c r="B1827" s="1">
        <v>43004</v>
      </c>
      <c r="C1827" t="s">
        <v>151</v>
      </c>
      <c r="D1827" t="s">
        <v>233</v>
      </c>
      <c r="E1827">
        <v>0</v>
      </c>
    </row>
    <row r="1828" spans="1:5" x14ac:dyDescent="0.2">
      <c r="A1828" s="13">
        <v>1826</v>
      </c>
      <c r="B1828" s="1">
        <v>43004</v>
      </c>
      <c r="C1828" t="s">
        <v>151</v>
      </c>
      <c r="D1828" t="s">
        <v>172</v>
      </c>
      <c r="E1828">
        <v>0</v>
      </c>
    </row>
    <row r="1829" spans="1:5" x14ac:dyDescent="0.2">
      <c r="A1829" s="13">
        <v>1827</v>
      </c>
      <c r="B1829" s="1">
        <v>43004</v>
      </c>
      <c r="C1829" t="s">
        <v>151</v>
      </c>
      <c r="D1829" t="s">
        <v>72</v>
      </c>
      <c r="E1829">
        <v>6.6136993323871645</v>
      </c>
    </row>
    <row r="1830" spans="1:5" x14ac:dyDescent="0.2">
      <c r="A1830" s="13">
        <v>1828</v>
      </c>
      <c r="B1830" s="1">
        <v>43004</v>
      </c>
      <c r="C1830" t="s">
        <v>151</v>
      </c>
      <c r="D1830" t="s">
        <v>186</v>
      </c>
      <c r="E1830">
        <v>3.0346533113224266E-4</v>
      </c>
    </row>
    <row r="1831" spans="1:5" x14ac:dyDescent="0.2">
      <c r="A1831" s="13">
        <v>1829</v>
      </c>
      <c r="B1831" s="1">
        <v>43004</v>
      </c>
      <c r="C1831" t="s">
        <v>151</v>
      </c>
      <c r="D1831" t="s">
        <v>187</v>
      </c>
      <c r="E1831">
        <v>2.6620165264499866E-3</v>
      </c>
    </row>
    <row r="1832" spans="1:5" x14ac:dyDescent="0.2">
      <c r="A1832" s="13">
        <v>1830</v>
      </c>
      <c r="B1832" s="1">
        <v>43004</v>
      </c>
      <c r="C1832" t="s">
        <v>151</v>
      </c>
      <c r="D1832" t="s">
        <v>188</v>
      </c>
      <c r="E1832">
        <v>8.0860008312180092E-4</v>
      </c>
    </row>
    <row r="1833" spans="1:5" x14ac:dyDescent="0.2">
      <c r="A1833" s="13">
        <v>1831</v>
      </c>
      <c r="B1833" s="1">
        <v>43004</v>
      </c>
      <c r="C1833" t="s">
        <v>151</v>
      </c>
      <c r="D1833" t="s">
        <v>189</v>
      </c>
      <c r="E1833">
        <v>5.151940032757491E-4</v>
      </c>
    </row>
    <row r="1834" spans="1:5" x14ac:dyDescent="0.2">
      <c r="A1834" s="13">
        <v>1832</v>
      </c>
      <c r="B1834" s="1">
        <v>43004</v>
      </c>
      <c r="C1834" t="s">
        <v>151</v>
      </c>
      <c r="D1834" t="s">
        <v>190</v>
      </c>
      <c r="E1834">
        <v>1.156430873816608E-3</v>
      </c>
    </row>
    <row r="1835" spans="1:5" x14ac:dyDescent="0.2">
      <c r="A1835" s="13">
        <v>1833</v>
      </c>
      <c r="B1835" s="1">
        <v>43004</v>
      </c>
      <c r="C1835" t="s">
        <v>151</v>
      </c>
      <c r="D1835" t="s">
        <v>191</v>
      </c>
      <c r="E1835">
        <v>-6.8660758513540508E-4</v>
      </c>
    </row>
    <row r="1836" spans="1:5" x14ac:dyDescent="0.2">
      <c r="A1836" s="13">
        <v>1834</v>
      </c>
      <c r="B1836" s="1">
        <v>43004</v>
      </c>
      <c r="C1836" t="s">
        <v>29</v>
      </c>
      <c r="D1836" t="s">
        <v>39</v>
      </c>
      <c r="E1836">
        <v>4.7039826434280569E-5</v>
      </c>
    </row>
    <row r="1837" spans="1:5" x14ac:dyDescent="0.2">
      <c r="A1837" s="13">
        <v>1835</v>
      </c>
      <c r="B1837" s="1">
        <v>43004</v>
      </c>
      <c r="C1837" t="s">
        <v>29</v>
      </c>
      <c r="D1837" t="s">
        <v>32</v>
      </c>
      <c r="E1837">
        <v>1.5554829764815152E-3</v>
      </c>
    </row>
    <row r="1838" spans="1:5" x14ac:dyDescent="0.2">
      <c r="A1838" s="13">
        <v>1836</v>
      </c>
      <c r="B1838" s="1">
        <v>43004</v>
      </c>
      <c r="C1838" t="s">
        <v>29</v>
      </c>
      <c r="D1838" t="s">
        <v>30</v>
      </c>
      <c r="E1838">
        <v>1.0914546843950043E-5</v>
      </c>
    </row>
    <row r="1839" spans="1:5" x14ac:dyDescent="0.2">
      <c r="A1839" s="13">
        <v>1837</v>
      </c>
      <c r="B1839" s="1">
        <v>43004</v>
      </c>
      <c r="C1839" t="s">
        <v>29</v>
      </c>
      <c r="D1839" t="s">
        <v>49</v>
      </c>
      <c r="E1839">
        <v>0</v>
      </c>
    </row>
    <row r="1840" spans="1:5" x14ac:dyDescent="0.2">
      <c r="A1840" s="13">
        <v>1838</v>
      </c>
      <c r="B1840" s="1">
        <v>43004</v>
      </c>
      <c r="C1840" t="s">
        <v>29</v>
      </c>
      <c r="D1840" t="s">
        <v>145</v>
      </c>
      <c r="E1840">
        <v>0</v>
      </c>
    </row>
    <row r="1841" spans="1:5" x14ac:dyDescent="0.2">
      <c r="A1841" s="13">
        <v>1839</v>
      </c>
      <c r="B1841" s="1">
        <v>43004</v>
      </c>
      <c r="C1841" t="s">
        <v>29</v>
      </c>
      <c r="D1841" t="s">
        <v>233</v>
      </c>
      <c r="E1841">
        <v>0</v>
      </c>
    </row>
    <row r="1842" spans="1:5" x14ac:dyDescent="0.2">
      <c r="A1842" s="13">
        <v>1840</v>
      </c>
      <c r="B1842" s="1">
        <v>43004</v>
      </c>
      <c r="C1842" t="s">
        <v>29</v>
      </c>
      <c r="D1842" t="s">
        <v>172</v>
      </c>
      <c r="E1842">
        <v>0</v>
      </c>
    </row>
    <row r="1843" spans="1:5" x14ac:dyDescent="0.2">
      <c r="A1843" s="13">
        <v>1841</v>
      </c>
      <c r="B1843" s="1">
        <v>43004</v>
      </c>
      <c r="C1843" t="s">
        <v>29</v>
      </c>
      <c r="D1843" t="s">
        <v>72</v>
      </c>
      <c r="E1843">
        <v>4.7179863296082889</v>
      </c>
    </row>
    <row r="1844" spans="1:5" x14ac:dyDescent="0.2">
      <c r="A1844" s="13">
        <v>1842</v>
      </c>
      <c r="B1844" s="1">
        <v>43004</v>
      </c>
      <c r="C1844" t="s">
        <v>29</v>
      </c>
      <c r="D1844" t="s">
        <v>186</v>
      </c>
      <c r="E1844">
        <v>1.2016165395965981E-3</v>
      </c>
    </row>
    <row r="1845" spans="1:5" x14ac:dyDescent="0.2">
      <c r="A1845" s="13">
        <v>1843</v>
      </c>
      <c r="B1845" s="1">
        <v>43004</v>
      </c>
      <c r="C1845" t="s">
        <v>29</v>
      </c>
      <c r="D1845" t="s">
        <v>187</v>
      </c>
      <c r="E1845">
        <v>0</v>
      </c>
    </row>
    <row r="1846" spans="1:5" x14ac:dyDescent="0.2">
      <c r="A1846" s="13">
        <v>1844</v>
      </c>
      <c r="B1846" s="1">
        <v>43004</v>
      </c>
      <c r="C1846" t="s">
        <v>29</v>
      </c>
      <c r="D1846" t="s">
        <v>188</v>
      </c>
      <c r="E1846">
        <v>0</v>
      </c>
    </row>
    <row r="1847" spans="1:5" x14ac:dyDescent="0.2">
      <c r="A1847" s="13">
        <v>1845</v>
      </c>
      <c r="B1847" s="1">
        <v>43004</v>
      </c>
      <c r="C1847" t="s">
        <v>29</v>
      </c>
      <c r="D1847" t="s">
        <v>189</v>
      </c>
      <c r="E1847">
        <v>0</v>
      </c>
    </row>
    <row r="1848" spans="1:5" x14ac:dyDescent="0.2">
      <c r="A1848" s="13">
        <v>1846</v>
      </c>
      <c r="B1848" s="1">
        <v>43004</v>
      </c>
      <c r="C1848" t="s">
        <v>29</v>
      </c>
      <c r="D1848" t="s">
        <v>190</v>
      </c>
      <c r="E1848">
        <v>0</v>
      </c>
    </row>
    <row r="1849" spans="1:5" x14ac:dyDescent="0.2">
      <c r="A1849" s="13">
        <v>1847</v>
      </c>
      <c r="B1849" s="1">
        <v>43004</v>
      </c>
      <c r="C1849" t="s">
        <v>29</v>
      </c>
      <c r="D1849" t="s">
        <v>191</v>
      </c>
      <c r="E1849">
        <v>4.1182081016314851E-4</v>
      </c>
    </row>
    <row r="1850" spans="1:5" x14ac:dyDescent="0.2">
      <c r="A1850" s="13">
        <v>1848</v>
      </c>
      <c r="B1850" s="1">
        <v>43004</v>
      </c>
      <c r="C1850" t="s">
        <v>87</v>
      </c>
      <c r="D1850" t="s">
        <v>39</v>
      </c>
      <c r="E1850">
        <v>3.7554814714398557E-3</v>
      </c>
    </row>
    <row r="1851" spans="1:5" x14ac:dyDescent="0.2">
      <c r="A1851" s="13">
        <v>1849</v>
      </c>
      <c r="B1851" s="1">
        <v>43004</v>
      </c>
      <c r="C1851" t="s">
        <v>87</v>
      </c>
      <c r="D1851" t="s">
        <v>32</v>
      </c>
      <c r="E1851">
        <v>1.3017142731728904E-2</v>
      </c>
    </row>
    <row r="1852" spans="1:5" x14ac:dyDescent="0.2">
      <c r="A1852" s="13">
        <v>1850</v>
      </c>
      <c r="B1852" s="1">
        <v>43004</v>
      </c>
      <c r="C1852" t="s">
        <v>87</v>
      </c>
      <c r="D1852" t="s">
        <v>30</v>
      </c>
      <c r="E1852">
        <v>-3.0759699975754556E-4</v>
      </c>
    </row>
    <row r="1853" spans="1:5" x14ac:dyDescent="0.2">
      <c r="A1853" s="13">
        <v>1851</v>
      </c>
      <c r="B1853" s="1">
        <v>43004</v>
      </c>
      <c r="C1853" t="s">
        <v>87</v>
      </c>
      <c r="D1853" t="s">
        <v>49</v>
      </c>
      <c r="E1853">
        <v>0</v>
      </c>
    </row>
    <row r="1854" spans="1:5" x14ac:dyDescent="0.2">
      <c r="A1854" s="13">
        <v>1852</v>
      </c>
      <c r="B1854" s="1">
        <v>43004</v>
      </c>
      <c r="C1854" t="s">
        <v>87</v>
      </c>
      <c r="D1854" t="s">
        <v>145</v>
      </c>
      <c r="E1854">
        <v>5.2074495765190966E-4</v>
      </c>
    </row>
    <row r="1855" spans="1:5" x14ac:dyDescent="0.2">
      <c r="A1855" s="13">
        <v>1853</v>
      </c>
      <c r="B1855" s="1">
        <v>43004</v>
      </c>
      <c r="C1855" t="s">
        <v>87</v>
      </c>
      <c r="D1855" t="s">
        <v>233</v>
      </c>
      <c r="E1855">
        <v>0</v>
      </c>
    </row>
    <row r="1856" spans="1:5" x14ac:dyDescent="0.2">
      <c r="A1856" s="13">
        <v>1854</v>
      </c>
      <c r="B1856" s="1">
        <v>43004</v>
      </c>
      <c r="C1856" t="s">
        <v>87</v>
      </c>
      <c r="D1856" t="s">
        <v>172</v>
      </c>
      <c r="E1856">
        <v>0</v>
      </c>
    </row>
    <row r="1857" spans="1:5" x14ac:dyDescent="0.2">
      <c r="A1857" s="13">
        <v>1855</v>
      </c>
      <c r="B1857" s="1">
        <v>43004</v>
      </c>
      <c r="C1857" t="s">
        <v>87</v>
      </c>
      <c r="D1857" t="s">
        <v>72</v>
      </c>
      <c r="E1857">
        <v>9.3556897859471118</v>
      </c>
    </row>
    <row r="1858" spans="1:5" x14ac:dyDescent="0.2">
      <c r="A1858" s="13">
        <v>1856</v>
      </c>
      <c r="B1858" s="1">
        <v>43004</v>
      </c>
      <c r="C1858" t="s">
        <v>87</v>
      </c>
      <c r="D1858" t="s">
        <v>186</v>
      </c>
      <c r="E1858">
        <v>1.6673307556521598E-2</v>
      </c>
    </row>
    <row r="1859" spans="1:5" x14ac:dyDescent="0.2">
      <c r="A1859" s="13">
        <v>1857</v>
      </c>
      <c r="B1859" s="1">
        <v>43004</v>
      </c>
      <c r="C1859" t="s">
        <v>87</v>
      </c>
      <c r="D1859" t="s">
        <v>187</v>
      </c>
      <c r="E1859">
        <v>4.0793281796842846E-4</v>
      </c>
    </row>
    <row r="1860" spans="1:5" x14ac:dyDescent="0.2">
      <c r="A1860" s="13">
        <v>1858</v>
      </c>
      <c r="B1860" s="1">
        <v>43004</v>
      </c>
      <c r="C1860" t="s">
        <v>87</v>
      </c>
      <c r="D1860" t="s">
        <v>188</v>
      </c>
      <c r="E1860">
        <v>-8.1758140330100132E-5</v>
      </c>
    </row>
    <row r="1861" spans="1:5" x14ac:dyDescent="0.2">
      <c r="A1861" s="13">
        <v>1859</v>
      </c>
      <c r="B1861" s="1">
        <v>43004</v>
      </c>
      <c r="C1861" t="s">
        <v>87</v>
      </c>
      <c r="D1861" t="s">
        <v>189</v>
      </c>
      <c r="E1861">
        <v>-8.7819203445089355E-5</v>
      </c>
    </row>
    <row r="1862" spans="1:5" x14ac:dyDescent="0.2">
      <c r="A1862" s="13">
        <v>1860</v>
      </c>
      <c r="B1862" s="1">
        <v>43004</v>
      </c>
      <c r="C1862" t="s">
        <v>87</v>
      </c>
      <c r="D1862" t="s">
        <v>190</v>
      </c>
      <c r="E1862">
        <v>-5.1030286347838837E-5</v>
      </c>
    </row>
    <row r="1863" spans="1:5" x14ac:dyDescent="0.2">
      <c r="A1863" s="13">
        <v>1861</v>
      </c>
      <c r="B1863" s="1">
        <v>43004</v>
      </c>
      <c r="C1863" t="s">
        <v>87</v>
      </c>
      <c r="D1863" t="s">
        <v>191</v>
      </c>
      <c r="E1863">
        <v>1.2513941669613373E-4</v>
      </c>
    </row>
    <row r="1864" spans="1:5" x14ac:dyDescent="0.2">
      <c r="A1864" s="13">
        <v>1862</v>
      </c>
      <c r="B1864" s="1">
        <v>43004</v>
      </c>
      <c r="C1864" t="s">
        <v>61</v>
      </c>
      <c r="D1864" t="s">
        <v>39</v>
      </c>
      <c r="E1864">
        <v>1.6484465844609146E-3</v>
      </c>
    </row>
    <row r="1865" spans="1:5" x14ac:dyDescent="0.2">
      <c r="A1865" s="13">
        <v>1863</v>
      </c>
      <c r="B1865" s="1">
        <v>43004</v>
      </c>
      <c r="C1865" t="s">
        <v>61</v>
      </c>
      <c r="D1865" t="s">
        <v>32</v>
      </c>
      <c r="E1865">
        <v>1.0122802038291964E-2</v>
      </c>
    </row>
    <row r="1866" spans="1:5" x14ac:dyDescent="0.2">
      <c r="A1866" s="13">
        <v>1864</v>
      </c>
      <c r="B1866" s="1">
        <v>43004</v>
      </c>
      <c r="C1866" t="s">
        <v>61</v>
      </c>
      <c r="D1866" t="s">
        <v>30</v>
      </c>
      <c r="E1866">
        <v>0</v>
      </c>
    </row>
    <row r="1867" spans="1:5" x14ac:dyDescent="0.2">
      <c r="A1867" s="13">
        <v>1865</v>
      </c>
      <c r="B1867" s="1">
        <v>43004</v>
      </c>
      <c r="C1867" t="s">
        <v>61</v>
      </c>
      <c r="D1867" t="s">
        <v>49</v>
      </c>
      <c r="E1867">
        <v>0</v>
      </c>
    </row>
    <row r="1868" spans="1:5" x14ac:dyDescent="0.2">
      <c r="A1868" s="13">
        <v>1866</v>
      </c>
      <c r="B1868" s="1">
        <v>43004</v>
      </c>
      <c r="C1868" t="s">
        <v>61</v>
      </c>
      <c r="D1868" t="s">
        <v>145</v>
      </c>
      <c r="E1868">
        <v>0</v>
      </c>
    </row>
    <row r="1869" spans="1:5" x14ac:dyDescent="0.2">
      <c r="A1869" s="13">
        <v>1867</v>
      </c>
      <c r="B1869" s="1">
        <v>43004</v>
      </c>
      <c r="C1869" t="s">
        <v>61</v>
      </c>
      <c r="D1869" t="s">
        <v>233</v>
      </c>
      <c r="E1869">
        <v>0</v>
      </c>
    </row>
    <row r="1870" spans="1:5" x14ac:dyDescent="0.2">
      <c r="A1870" s="13">
        <v>1868</v>
      </c>
      <c r="B1870" s="1">
        <v>43004</v>
      </c>
      <c r="C1870" t="s">
        <v>61</v>
      </c>
      <c r="D1870" t="s">
        <v>172</v>
      </c>
      <c r="E1870">
        <v>0</v>
      </c>
    </row>
    <row r="1871" spans="1:5" x14ac:dyDescent="0.2">
      <c r="A1871" s="13">
        <v>1869</v>
      </c>
      <c r="B1871" s="1">
        <v>43004</v>
      </c>
      <c r="C1871" t="s">
        <v>61</v>
      </c>
      <c r="D1871" t="s">
        <v>72</v>
      </c>
      <c r="E1871">
        <v>5.6545844912092882</v>
      </c>
    </row>
    <row r="1872" spans="1:5" x14ac:dyDescent="0.2">
      <c r="A1872" s="13">
        <v>1870</v>
      </c>
      <c r="B1872" s="1">
        <v>43004</v>
      </c>
      <c r="C1872" t="s">
        <v>61</v>
      </c>
      <c r="D1872" t="s">
        <v>186</v>
      </c>
      <c r="E1872">
        <v>1.1771248622752872E-2</v>
      </c>
    </row>
    <row r="1873" spans="1:5" x14ac:dyDescent="0.2">
      <c r="A1873" s="13">
        <v>1871</v>
      </c>
      <c r="B1873" s="1">
        <v>43004</v>
      </c>
      <c r="C1873" t="s">
        <v>61</v>
      </c>
      <c r="D1873" t="s">
        <v>187</v>
      </c>
      <c r="E1873">
        <v>0</v>
      </c>
    </row>
    <row r="1874" spans="1:5" x14ac:dyDescent="0.2">
      <c r="A1874" s="13">
        <v>1872</v>
      </c>
      <c r="B1874" s="1">
        <v>43004</v>
      </c>
      <c r="C1874" t="s">
        <v>61</v>
      </c>
      <c r="D1874" t="s">
        <v>188</v>
      </c>
      <c r="E1874">
        <v>0</v>
      </c>
    </row>
    <row r="1875" spans="1:5" x14ac:dyDescent="0.2">
      <c r="A1875" s="13">
        <v>1873</v>
      </c>
      <c r="B1875" s="1">
        <v>43004</v>
      </c>
      <c r="C1875" t="s">
        <v>61</v>
      </c>
      <c r="D1875" t="s">
        <v>189</v>
      </c>
      <c r="E1875">
        <v>0</v>
      </c>
    </row>
    <row r="1876" spans="1:5" x14ac:dyDescent="0.2">
      <c r="A1876" s="13">
        <v>1874</v>
      </c>
      <c r="B1876" s="1">
        <v>43004</v>
      </c>
      <c r="C1876" t="s">
        <v>61</v>
      </c>
      <c r="D1876" t="s">
        <v>190</v>
      </c>
      <c r="E1876">
        <v>0</v>
      </c>
    </row>
    <row r="1877" spans="1:5" x14ac:dyDescent="0.2">
      <c r="A1877" s="13">
        <v>1875</v>
      </c>
      <c r="B1877" s="1">
        <v>43004</v>
      </c>
      <c r="C1877" t="s">
        <v>61</v>
      </c>
      <c r="D1877" t="s">
        <v>191</v>
      </c>
      <c r="E1877">
        <v>0</v>
      </c>
    </row>
    <row r="1878" spans="1:5" x14ac:dyDescent="0.2">
      <c r="A1878" s="13">
        <v>1876</v>
      </c>
      <c r="B1878" s="1">
        <v>43004</v>
      </c>
      <c r="C1878" t="s">
        <v>53</v>
      </c>
      <c r="D1878" t="s">
        <v>39</v>
      </c>
      <c r="E1878">
        <v>1.0096165423830128E-4</v>
      </c>
    </row>
    <row r="1879" spans="1:5" x14ac:dyDescent="0.2">
      <c r="A1879" s="13">
        <v>1877</v>
      </c>
      <c r="B1879" s="1">
        <v>43004</v>
      </c>
      <c r="C1879" t="s">
        <v>53</v>
      </c>
      <c r="D1879" t="s">
        <v>32</v>
      </c>
      <c r="E1879">
        <v>4.0346641817796524E-3</v>
      </c>
    </row>
    <row r="1880" spans="1:5" x14ac:dyDescent="0.2">
      <c r="A1880" s="13">
        <v>1878</v>
      </c>
      <c r="B1880" s="1">
        <v>43004</v>
      </c>
      <c r="C1880" t="s">
        <v>53</v>
      </c>
      <c r="D1880" t="s">
        <v>30</v>
      </c>
      <c r="E1880">
        <v>2.059417882671909E-4</v>
      </c>
    </row>
    <row r="1881" spans="1:5" x14ac:dyDescent="0.2">
      <c r="A1881" s="13">
        <v>1879</v>
      </c>
      <c r="B1881" s="1">
        <v>43004</v>
      </c>
      <c r="C1881" t="s">
        <v>53</v>
      </c>
      <c r="D1881" t="s">
        <v>49</v>
      </c>
      <c r="E1881">
        <v>0</v>
      </c>
    </row>
    <row r="1882" spans="1:5" x14ac:dyDescent="0.2">
      <c r="A1882" s="13">
        <v>1880</v>
      </c>
      <c r="B1882" s="1">
        <v>43004</v>
      </c>
      <c r="C1882" t="s">
        <v>53</v>
      </c>
      <c r="D1882" t="s">
        <v>145</v>
      </c>
      <c r="E1882">
        <v>0</v>
      </c>
    </row>
    <row r="1883" spans="1:5" x14ac:dyDescent="0.2">
      <c r="A1883" s="13">
        <v>1881</v>
      </c>
      <c r="B1883" s="1">
        <v>43004</v>
      </c>
      <c r="C1883" t="s">
        <v>53</v>
      </c>
      <c r="D1883" t="s">
        <v>233</v>
      </c>
      <c r="E1883">
        <v>0</v>
      </c>
    </row>
    <row r="1884" spans="1:5" x14ac:dyDescent="0.2">
      <c r="A1884" s="13">
        <v>1882</v>
      </c>
      <c r="B1884" s="1">
        <v>43004</v>
      </c>
      <c r="C1884" t="s">
        <v>53</v>
      </c>
      <c r="D1884" t="s">
        <v>172</v>
      </c>
      <c r="E1884">
        <v>0</v>
      </c>
    </row>
    <row r="1885" spans="1:5" x14ac:dyDescent="0.2">
      <c r="A1885" s="13">
        <v>1883</v>
      </c>
      <c r="B1885" s="1">
        <v>43004</v>
      </c>
      <c r="C1885" t="s">
        <v>53</v>
      </c>
      <c r="D1885" t="s">
        <v>72</v>
      </c>
      <c r="E1885">
        <v>6.3907036242441002</v>
      </c>
    </row>
    <row r="1886" spans="1:5" x14ac:dyDescent="0.2">
      <c r="A1886" s="13">
        <v>1884</v>
      </c>
      <c r="B1886" s="1">
        <v>43004</v>
      </c>
      <c r="C1886" t="s">
        <v>53</v>
      </c>
      <c r="D1886" t="s">
        <v>186</v>
      </c>
      <c r="E1886">
        <v>1.7700426872472781E-3</v>
      </c>
    </row>
    <row r="1887" spans="1:5" x14ac:dyDescent="0.2">
      <c r="A1887" s="13">
        <v>1885</v>
      </c>
      <c r="B1887" s="1">
        <v>43004</v>
      </c>
      <c r="C1887" t="s">
        <v>53</v>
      </c>
      <c r="D1887" t="s">
        <v>187</v>
      </c>
      <c r="E1887">
        <v>0</v>
      </c>
    </row>
    <row r="1888" spans="1:5" x14ac:dyDescent="0.2">
      <c r="A1888" s="13">
        <v>1886</v>
      </c>
      <c r="B1888" s="1">
        <v>43004</v>
      </c>
      <c r="C1888" t="s">
        <v>53</v>
      </c>
      <c r="D1888" t="s">
        <v>188</v>
      </c>
      <c r="E1888">
        <v>0</v>
      </c>
    </row>
    <row r="1889" spans="1:5" x14ac:dyDescent="0.2">
      <c r="A1889" s="13">
        <v>1887</v>
      </c>
      <c r="B1889" s="1">
        <v>43004</v>
      </c>
      <c r="C1889" t="s">
        <v>53</v>
      </c>
      <c r="D1889" t="s">
        <v>189</v>
      </c>
      <c r="E1889">
        <v>0</v>
      </c>
    </row>
    <row r="1890" spans="1:5" x14ac:dyDescent="0.2">
      <c r="A1890" s="13">
        <v>1888</v>
      </c>
      <c r="B1890" s="1">
        <v>43004</v>
      </c>
      <c r="C1890" t="s">
        <v>53</v>
      </c>
      <c r="D1890" t="s">
        <v>190</v>
      </c>
      <c r="E1890">
        <v>0</v>
      </c>
    </row>
    <row r="1891" spans="1:5" x14ac:dyDescent="0.2">
      <c r="A1891" s="13">
        <v>1889</v>
      </c>
      <c r="B1891" s="1">
        <v>43004</v>
      </c>
      <c r="C1891" t="s">
        <v>53</v>
      </c>
      <c r="D1891" t="s">
        <v>191</v>
      </c>
      <c r="E1891">
        <v>2.5715249370378691E-3</v>
      </c>
    </row>
    <row r="1892" spans="1:5" x14ac:dyDescent="0.2">
      <c r="A1892" s="13">
        <v>1890</v>
      </c>
      <c r="B1892" s="1">
        <v>43003</v>
      </c>
      <c r="C1892" t="s">
        <v>62</v>
      </c>
      <c r="D1892" t="s">
        <v>39</v>
      </c>
      <c r="E1892">
        <v>4.9249439626249244E-3</v>
      </c>
    </row>
    <row r="1893" spans="1:5" x14ac:dyDescent="0.2">
      <c r="A1893" s="13">
        <v>1891</v>
      </c>
      <c r="B1893" s="1">
        <v>43003</v>
      </c>
      <c r="C1893" t="s">
        <v>62</v>
      </c>
      <c r="D1893" t="s">
        <v>32</v>
      </c>
      <c r="E1893">
        <v>3.2039215015155589E-3</v>
      </c>
    </row>
    <row r="1894" spans="1:5" x14ac:dyDescent="0.2">
      <c r="A1894" s="13">
        <v>1892</v>
      </c>
      <c r="B1894" s="1">
        <v>43003</v>
      </c>
      <c r="C1894" t="s">
        <v>62</v>
      </c>
      <c r="D1894" t="s">
        <v>30</v>
      </c>
      <c r="E1894">
        <v>-2.0100024792563036E-5</v>
      </c>
    </row>
    <row r="1895" spans="1:5" x14ac:dyDescent="0.2">
      <c r="A1895" s="13">
        <v>1893</v>
      </c>
      <c r="B1895" s="1">
        <v>43003</v>
      </c>
      <c r="C1895" t="s">
        <v>62</v>
      </c>
      <c r="D1895" t="s">
        <v>49</v>
      </c>
      <c r="E1895">
        <v>1.4479184060531359E-7</v>
      </c>
    </row>
    <row r="1896" spans="1:5" x14ac:dyDescent="0.2">
      <c r="A1896" s="13">
        <v>1894</v>
      </c>
      <c r="B1896" s="1">
        <v>43003</v>
      </c>
      <c r="C1896" t="s">
        <v>62</v>
      </c>
      <c r="D1896" t="s">
        <v>145</v>
      </c>
      <c r="E1896">
        <v>0</v>
      </c>
    </row>
    <row r="1897" spans="1:5" x14ac:dyDescent="0.2">
      <c r="A1897" s="13">
        <v>1895</v>
      </c>
      <c r="B1897" s="1">
        <v>43003</v>
      </c>
      <c r="C1897" t="s">
        <v>62</v>
      </c>
      <c r="D1897" t="s">
        <v>233</v>
      </c>
      <c r="E1897">
        <v>0</v>
      </c>
    </row>
    <row r="1898" spans="1:5" x14ac:dyDescent="0.2">
      <c r="A1898" s="13">
        <v>1896</v>
      </c>
      <c r="B1898" s="1">
        <v>43003</v>
      </c>
      <c r="C1898" t="s">
        <v>62</v>
      </c>
      <c r="D1898" t="s">
        <v>172</v>
      </c>
      <c r="E1898">
        <v>0</v>
      </c>
    </row>
    <row r="1899" spans="1:5" x14ac:dyDescent="0.2">
      <c r="A1899" s="13">
        <v>1897</v>
      </c>
      <c r="B1899" s="1">
        <v>43003</v>
      </c>
      <c r="C1899" t="s">
        <v>62</v>
      </c>
      <c r="D1899" t="s">
        <v>72</v>
      </c>
      <c r="E1899">
        <v>3.424087030100893</v>
      </c>
    </row>
    <row r="1900" spans="1:5" x14ac:dyDescent="0.2">
      <c r="A1900" s="13">
        <v>1898</v>
      </c>
      <c r="B1900" s="1">
        <v>43003</v>
      </c>
      <c r="C1900" t="s">
        <v>62</v>
      </c>
      <c r="D1900" t="s">
        <v>186</v>
      </c>
      <c r="E1900">
        <v>8.1288654641404803E-3</v>
      </c>
    </row>
    <row r="1901" spans="1:5" x14ac:dyDescent="0.2">
      <c r="A1901" s="13">
        <v>1899</v>
      </c>
      <c r="B1901" s="1">
        <v>43003</v>
      </c>
      <c r="C1901" t="s">
        <v>62</v>
      </c>
      <c r="D1901" t="s">
        <v>187</v>
      </c>
      <c r="E1901">
        <v>0</v>
      </c>
    </row>
    <row r="1902" spans="1:5" x14ac:dyDescent="0.2">
      <c r="A1902" s="13">
        <v>1900</v>
      </c>
      <c r="B1902" s="1">
        <v>43003</v>
      </c>
      <c r="C1902" t="s">
        <v>62</v>
      </c>
      <c r="D1902" t="s">
        <v>188</v>
      </c>
      <c r="E1902">
        <v>0</v>
      </c>
    </row>
    <row r="1903" spans="1:5" x14ac:dyDescent="0.2">
      <c r="A1903" s="13">
        <v>1901</v>
      </c>
      <c r="B1903" s="1">
        <v>43003</v>
      </c>
      <c r="C1903" t="s">
        <v>62</v>
      </c>
      <c r="D1903" t="s">
        <v>189</v>
      </c>
      <c r="E1903">
        <v>0</v>
      </c>
    </row>
    <row r="1904" spans="1:5" x14ac:dyDescent="0.2">
      <c r="A1904" s="13">
        <v>1902</v>
      </c>
      <c r="B1904" s="1">
        <v>43003</v>
      </c>
      <c r="C1904" t="s">
        <v>62</v>
      </c>
      <c r="D1904" t="s">
        <v>190</v>
      </c>
      <c r="E1904">
        <v>0</v>
      </c>
    </row>
    <row r="1905" spans="1:5" x14ac:dyDescent="0.2">
      <c r="A1905" s="13">
        <v>1903</v>
      </c>
      <c r="B1905" s="1">
        <v>43003</v>
      </c>
      <c r="C1905" t="s">
        <v>62</v>
      </c>
      <c r="D1905" t="s">
        <v>191</v>
      </c>
      <c r="E1905">
        <v>-1.9955232951957723E-5</v>
      </c>
    </row>
    <row r="1906" spans="1:5" x14ac:dyDescent="0.2">
      <c r="A1906" s="13">
        <v>1904</v>
      </c>
      <c r="B1906" s="1">
        <v>43003</v>
      </c>
      <c r="C1906" t="s">
        <v>63</v>
      </c>
      <c r="D1906" t="s">
        <v>39</v>
      </c>
      <c r="E1906">
        <v>7.3235271553051765E-3</v>
      </c>
    </row>
    <row r="1907" spans="1:5" x14ac:dyDescent="0.2">
      <c r="A1907" s="13">
        <v>1905</v>
      </c>
      <c r="B1907" s="1">
        <v>43003</v>
      </c>
      <c r="C1907" t="s">
        <v>63</v>
      </c>
      <c r="D1907" t="s">
        <v>32</v>
      </c>
      <c r="E1907">
        <v>5.2510274590360072E-3</v>
      </c>
    </row>
    <row r="1908" spans="1:5" x14ac:dyDescent="0.2">
      <c r="A1908" s="13">
        <v>1906</v>
      </c>
      <c r="B1908" s="1">
        <v>43003</v>
      </c>
      <c r="C1908" t="s">
        <v>63</v>
      </c>
      <c r="D1908" t="s">
        <v>30</v>
      </c>
      <c r="E1908">
        <v>-2.2538327721504719E-5</v>
      </c>
    </row>
    <row r="1909" spans="1:5" x14ac:dyDescent="0.2">
      <c r="A1909" s="13">
        <v>1907</v>
      </c>
      <c r="B1909" s="1">
        <v>43003</v>
      </c>
      <c r="C1909" t="s">
        <v>63</v>
      </c>
      <c r="D1909" t="s">
        <v>49</v>
      </c>
      <c r="E1909">
        <v>9.1827396889473347E-7</v>
      </c>
    </row>
    <row r="1910" spans="1:5" x14ac:dyDescent="0.2">
      <c r="A1910" s="13">
        <v>1908</v>
      </c>
      <c r="B1910" s="1">
        <v>43003</v>
      </c>
      <c r="C1910" t="s">
        <v>63</v>
      </c>
      <c r="D1910" t="s">
        <v>145</v>
      </c>
      <c r="E1910">
        <v>0</v>
      </c>
    </row>
    <row r="1911" spans="1:5" x14ac:dyDescent="0.2">
      <c r="A1911" s="13">
        <v>1909</v>
      </c>
      <c r="B1911" s="1">
        <v>43003</v>
      </c>
      <c r="C1911" t="s">
        <v>63</v>
      </c>
      <c r="D1911" t="s">
        <v>233</v>
      </c>
      <c r="E1911">
        <v>0</v>
      </c>
    </row>
    <row r="1912" spans="1:5" x14ac:dyDescent="0.2">
      <c r="A1912" s="13">
        <v>1910</v>
      </c>
      <c r="B1912" s="1">
        <v>43003</v>
      </c>
      <c r="C1912" t="s">
        <v>63</v>
      </c>
      <c r="D1912" t="s">
        <v>172</v>
      </c>
      <c r="E1912">
        <v>0</v>
      </c>
    </row>
    <row r="1913" spans="1:5" x14ac:dyDescent="0.2">
      <c r="A1913" s="13">
        <v>1911</v>
      </c>
      <c r="B1913" s="1">
        <v>43003</v>
      </c>
      <c r="C1913" t="s">
        <v>63</v>
      </c>
      <c r="D1913" t="s">
        <v>72</v>
      </c>
      <c r="E1913">
        <v>5.2869151361082434</v>
      </c>
    </row>
    <row r="1914" spans="1:5" x14ac:dyDescent="0.2">
      <c r="A1914" s="13">
        <v>1912</v>
      </c>
      <c r="B1914" s="1">
        <v>43003</v>
      </c>
      <c r="C1914" t="s">
        <v>63</v>
      </c>
      <c r="D1914" t="s">
        <v>186</v>
      </c>
      <c r="E1914">
        <v>1.257455461434118E-2</v>
      </c>
    </row>
    <row r="1915" spans="1:5" x14ac:dyDescent="0.2">
      <c r="A1915" s="13">
        <v>1913</v>
      </c>
      <c r="B1915" s="1">
        <v>43003</v>
      </c>
      <c r="C1915" t="s">
        <v>63</v>
      </c>
      <c r="D1915" t="s">
        <v>187</v>
      </c>
      <c r="E1915">
        <v>0</v>
      </c>
    </row>
    <row r="1916" spans="1:5" x14ac:dyDescent="0.2">
      <c r="A1916" s="13">
        <v>1914</v>
      </c>
      <c r="B1916" s="1">
        <v>43003</v>
      </c>
      <c r="C1916" t="s">
        <v>63</v>
      </c>
      <c r="D1916" t="s">
        <v>188</v>
      </c>
      <c r="E1916">
        <v>0</v>
      </c>
    </row>
    <row r="1917" spans="1:5" x14ac:dyDescent="0.2">
      <c r="A1917" s="13">
        <v>1915</v>
      </c>
      <c r="B1917" s="1">
        <v>43003</v>
      </c>
      <c r="C1917" t="s">
        <v>63</v>
      </c>
      <c r="D1917" t="s">
        <v>189</v>
      </c>
      <c r="E1917">
        <v>0</v>
      </c>
    </row>
    <row r="1918" spans="1:5" x14ac:dyDescent="0.2">
      <c r="A1918" s="13">
        <v>1916</v>
      </c>
      <c r="B1918" s="1">
        <v>43003</v>
      </c>
      <c r="C1918" t="s">
        <v>63</v>
      </c>
      <c r="D1918" t="s">
        <v>190</v>
      </c>
      <c r="E1918">
        <v>0</v>
      </c>
    </row>
    <row r="1919" spans="1:5" x14ac:dyDescent="0.2">
      <c r="A1919" s="13">
        <v>1917</v>
      </c>
      <c r="B1919" s="1">
        <v>43003</v>
      </c>
      <c r="C1919" t="s">
        <v>63</v>
      </c>
      <c r="D1919" t="s">
        <v>191</v>
      </c>
      <c r="E1919">
        <v>-2.1620053752609985E-5</v>
      </c>
    </row>
    <row r="1920" spans="1:5" x14ac:dyDescent="0.2">
      <c r="A1920" s="13">
        <v>1918</v>
      </c>
      <c r="B1920" s="1">
        <v>43003</v>
      </c>
      <c r="C1920" t="s">
        <v>103</v>
      </c>
      <c r="D1920" t="s">
        <v>39</v>
      </c>
      <c r="E1920">
        <v>2.6369638690815819E-2</v>
      </c>
    </row>
    <row r="1921" spans="1:5" x14ac:dyDescent="0.2">
      <c r="A1921" s="13">
        <v>1919</v>
      </c>
      <c r="B1921" s="1">
        <v>43003</v>
      </c>
      <c r="C1921" t="s">
        <v>103</v>
      </c>
      <c r="D1921" t="s">
        <v>32</v>
      </c>
      <c r="E1921">
        <v>0</v>
      </c>
    </row>
    <row r="1922" spans="1:5" x14ac:dyDescent="0.2">
      <c r="A1922" s="13">
        <v>1920</v>
      </c>
      <c r="B1922" s="1">
        <v>43003</v>
      </c>
      <c r="C1922" t="s">
        <v>103</v>
      </c>
      <c r="D1922" t="s">
        <v>30</v>
      </c>
      <c r="E1922">
        <v>0</v>
      </c>
    </row>
    <row r="1923" spans="1:5" x14ac:dyDescent="0.2">
      <c r="A1923" s="13">
        <v>1921</v>
      </c>
      <c r="B1923" s="1">
        <v>43003</v>
      </c>
      <c r="C1923" t="s">
        <v>103</v>
      </c>
      <c r="D1923" t="s">
        <v>49</v>
      </c>
      <c r="E1923">
        <v>0</v>
      </c>
    </row>
    <row r="1924" spans="1:5" x14ac:dyDescent="0.2">
      <c r="A1924" s="13">
        <v>1922</v>
      </c>
      <c r="B1924" s="1">
        <v>43003</v>
      </c>
      <c r="C1924" t="s">
        <v>103</v>
      </c>
      <c r="D1924" t="s">
        <v>145</v>
      </c>
      <c r="E1924">
        <v>0</v>
      </c>
    </row>
    <row r="1925" spans="1:5" x14ac:dyDescent="0.2">
      <c r="A1925" s="13">
        <v>1923</v>
      </c>
      <c r="B1925" s="1">
        <v>43003</v>
      </c>
      <c r="C1925" t="s">
        <v>103</v>
      </c>
      <c r="D1925" t="s">
        <v>233</v>
      </c>
      <c r="E1925">
        <v>0</v>
      </c>
    </row>
    <row r="1926" spans="1:5" x14ac:dyDescent="0.2">
      <c r="A1926" s="13">
        <v>1924</v>
      </c>
      <c r="B1926" s="1">
        <v>43003</v>
      </c>
      <c r="C1926" t="s">
        <v>103</v>
      </c>
      <c r="D1926" t="s">
        <v>172</v>
      </c>
      <c r="E1926">
        <v>0</v>
      </c>
    </row>
    <row r="1927" spans="1:5" x14ac:dyDescent="0.2">
      <c r="A1927" s="13">
        <v>1925</v>
      </c>
      <c r="B1927" s="1">
        <v>43003</v>
      </c>
      <c r="C1927" t="s">
        <v>103</v>
      </c>
      <c r="D1927" t="s">
        <v>72</v>
      </c>
      <c r="E1927">
        <v>0</v>
      </c>
    </row>
    <row r="1928" spans="1:5" x14ac:dyDescent="0.2">
      <c r="A1928" s="13">
        <v>1926</v>
      </c>
      <c r="B1928" s="1">
        <v>43003</v>
      </c>
      <c r="C1928" t="s">
        <v>103</v>
      </c>
      <c r="D1928" t="s">
        <v>186</v>
      </c>
      <c r="E1928">
        <v>2.6369638690815819E-2</v>
      </c>
    </row>
    <row r="1929" spans="1:5" x14ac:dyDescent="0.2">
      <c r="A1929" s="13">
        <v>1927</v>
      </c>
      <c r="B1929" s="1">
        <v>43003</v>
      </c>
      <c r="C1929" t="s">
        <v>103</v>
      </c>
      <c r="D1929" t="s">
        <v>187</v>
      </c>
      <c r="E1929">
        <v>0</v>
      </c>
    </row>
    <row r="1930" spans="1:5" x14ac:dyDescent="0.2">
      <c r="A1930" s="13">
        <v>1928</v>
      </c>
      <c r="B1930" s="1">
        <v>43003</v>
      </c>
      <c r="C1930" t="s">
        <v>103</v>
      </c>
      <c r="D1930" t="s">
        <v>188</v>
      </c>
      <c r="E1930">
        <v>0</v>
      </c>
    </row>
    <row r="1931" spans="1:5" x14ac:dyDescent="0.2">
      <c r="A1931" s="13">
        <v>1929</v>
      </c>
      <c r="B1931" s="1">
        <v>43003</v>
      </c>
      <c r="C1931" t="s">
        <v>103</v>
      </c>
      <c r="D1931" t="s">
        <v>189</v>
      </c>
      <c r="E1931">
        <v>0</v>
      </c>
    </row>
    <row r="1932" spans="1:5" x14ac:dyDescent="0.2">
      <c r="A1932" s="13">
        <v>1930</v>
      </c>
      <c r="B1932" s="1">
        <v>43003</v>
      </c>
      <c r="C1932" t="s">
        <v>103</v>
      </c>
      <c r="D1932" t="s">
        <v>190</v>
      </c>
      <c r="E1932">
        <v>0</v>
      </c>
    </row>
    <row r="1933" spans="1:5" x14ac:dyDescent="0.2">
      <c r="A1933" s="13">
        <v>1931</v>
      </c>
      <c r="B1933" s="1">
        <v>43003</v>
      </c>
      <c r="C1933" t="s">
        <v>103</v>
      </c>
      <c r="D1933" t="s">
        <v>191</v>
      </c>
      <c r="E1933">
        <v>0</v>
      </c>
    </row>
    <row r="1934" spans="1:5" x14ac:dyDescent="0.2">
      <c r="A1934" s="13">
        <v>1932</v>
      </c>
      <c r="B1934" s="1">
        <v>43003</v>
      </c>
      <c r="C1934" t="s">
        <v>104</v>
      </c>
      <c r="D1934" t="s">
        <v>39</v>
      </c>
      <c r="E1934">
        <v>7.864519645915978E-2</v>
      </c>
    </row>
    <row r="1935" spans="1:5" x14ac:dyDescent="0.2">
      <c r="A1935" s="13">
        <v>1933</v>
      </c>
      <c r="B1935" s="1">
        <v>43003</v>
      </c>
      <c r="C1935" t="s">
        <v>104</v>
      </c>
      <c r="D1935" t="s">
        <v>32</v>
      </c>
      <c r="E1935">
        <v>0</v>
      </c>
    </row>
    <row r="1936" spans="1:5" x14ac:dyDescent="0.2">
      <c r="A1936" s="13">
        <v>1934</v>
      </c>
      <c r="B1936" s="1">
        <v>43003</v>
      </c>
      <c r="C1936" t="s">
        <v>104</v>
      </c>
      <c r="D1936" t="s">
        <v>30</v>
      </c>
      <c r="E1936">
        <v>0</v>
      </c>
    </row>
    <row r="1937" spans="1:5" x14ac:dyDescent="0.2">
      <c r="A1937" s="13">
        <v>1935</v>
      </c>
      <c r="B1937" s="1">
        <v>43003</v>
      </c>
      <c r="C1937" t="s">
        <v>104</v>
      </c>
      <c r="D1937" t="s">
        <v>49</v>
      </c>
      <c r="E1937">
        <v>0</v>
      </c>
    </row>
    <row r="1938" spans="1:5" x14ac:dyDescent="0.2">
      <c r="A1938" s="13">
        <v>1936</v>
      </c>
      <c r="B1938" s="1">
        <v>43003</v>
      </c>
      <c r="C1938" t="s">
        <v>104</v>
      </c>
      <c r="D1938" t="s">
        <v>145</v>
      </c>
      <c r="E1938">
        <v>0</v>
      </c>
    </row>
    <row r="1939" spans="1:5" x14ac:dyDescent="0.2">
      <c r="A1939" s="13">
        <v>1937</v>
      </c>
      <c r="B1939" s="1">
        <v>43003</v>
      </c>
      <c r="C1939" t="s">
        <v>104</v>
      </c>
      <c r="D1939" t="s">
        <v>233</v>
      </c>
      <c r="E1939">
        <v>0</v>
      </c>
    </row>
    <row r="1940" spans="1:5" x14ac:dyDescent="0.2">
      <c r="A1940" s="13">
        <v>1938</v>
      </c>
      <c r="B1940" s="1">
        <v>43003</v>
      </c>
      <c r="C1940" t="s">
        <v>104</v>
      </c>
      <c r="D1940" t="s">
        <v>172</v>
      </c>
      <c r="E1940">
        <v>0</v>
      </c>
    </row>
    <row r="1941" spans="1:5" x14ac:dyDescent="0.2">
      <c r="A1941" s="13">
        <v>1939</v>
      </c>
      <c r="B1941" s="1">
        <v>43003</v>
      </c>
      <c r="C1941" t="s">
        <v>104</v>
      </c>
      <c r="D1941" t="s">
        <v>72</v>
      </c>
      <c r="E1941">
        <v>0</v>
      </c>
    </row>
    <row r="1942" spans="1:5" x14ac:dyDescent="0.2">
      <c r="A1942" s="13">
        <v>1940</v>
      </c>
      <c r="B1942" s="1">
        <v>43003</v>
      </c>
      <c r="C1942" t="s">
        <v>104</v>
      </c>
      <c r="D1942" t="s">
        <v>186</v>
      </c>
      <c r="E1942">
        <v>7.864519645915978E-2</v>
      </c>
    </row>
    <row r="1943" spans="1:5" x14ac:dyDescent="0.2">
      <c r="A1943" s="13">
        <v>1941</v>
      </c>
      <c r="B1943" s="1">
        <v>43003</v>
      </c>
      <c r="C1943" t="s">
        <v>104</v>
      </c>
      <c r="D1943" t="s">
        <v>187</v>
      </c>
      <c r="E1943">
        <v>0</v>
      </c>
    </row>
    <row r="1944" spans="1:5" x14ac:dyDescent="0.2">
      <c r="A1944" s="13">
        <v>1942</v>
      </c>
      <c r="B1944" s="1">
        <v>43003</v>
      </c>
      <c r="C1944" t="s">
        <v>104</v>
      </c>
      <c r="D1944" t="s">
        <v>188</v>
      </c>
      <c r="E1944">
        <v>0</v>
      </c>
    </row>
    <row r="1945" spans="1:5" x14ac:dyDescent="0.2">
      <c r="A1945" s="13">
        <v>1943</v>
      </c>
      <c r="B1945" s="1">
        <v>43003</v>
      </c>
      <c r="C1945" t="s">
        <v>104</v>
      </c>
      <c r="D1945" t="s">
        <v>189</v>
      </c>
      <c r="E1945">
        <v>0</v>
      </c>
    </row>
    <row r="1946" spans="1:5" x14ac:dyDescent="0.2">
      <c r="A1946" s="13">
        <v>1944</v>
      </c>
      <c r="B1946" s="1">
        <v>43003</v>
      </c>
      <c r="C1946" t="s">
        <v>104</v>
      </c>
      <c r="D1946" t="s">
        <v>190</v>
      </c>
      <c r="E1946">
        <v>0</v>
      </c>
    </row>
    <row r="1947" spans="1:5" x14ac:dyDescent="0.2">
      <c r="A1947" s="13">
        <v>1945</v>
      </c>
      <c r="B1947" s="1">
        <v>43003</v>
      </c>
      <c r="C1947" t="s">
        <v>104</v>
      </c>
      <c r="D1947" t="s">
        <v>191</v>
      </c>
      <c r="E1947">
        <v>0</v>
      </c>
    </row>
    <row r="1948" spans="1:5" x14ac:dyDescent="0.2">
      <c r="A1948" s="13">
        <v>1946</v>
      </c>
      <c r="B1948" s="1">
        <v>43003</v>
      </c>
      <c r="C1948" t="s">
        <v>151</v>
      </c>
      <c r="D1948" t="s">
        <v>39</v>
      </c>
      <c r="E1948">
        <v>0</v>
      </c>
    </row>
    <row r="1949" spans="1:5" x14ac:dyDescent="0.2">
      <c r="A1949" s="13">
        <v>1947</v>
      </c>
      <c r="B1949" s="1">
        <v>43003</v>
      </c>
      <c r="C1949" t="s">
        <v>151</v>
      </c>
      <c r="D1949" t="s">
        <v>32</v>
      </c>
      <c r="E1949">
        <v>0</v>
      </c>
    </row>
    <row r="1950" spans="1:5" x14ac:dyDescent="0.2">
      <c r="A1950" s="13">
        <v>1948</v>
      </c>
      <c r="B1950" s="1">
        <v>43003</v>
      </c>
      <c r="C1950" t="s">
        <v>151</v>
      </c>
      <c r="D1950" t="s">
        <v>30</v>
      </c>
      <c r="E1950">
        <v>4.7195185607644841E-3</v>
      </c>
    </row>
    <row r="1951" spans="1:5" x14ac:dyDescent="0.2">
      <c r="A1951" s="13">
        <v>1949</v>
      </c>
      <c r="B1951" s="1">
        <v>43003</v>
      </c>
      <c r="C1951" t="s">
        <v>151</v>
      </c>
      <c r="D1951" t="s">
        <v>49</v>
      </c>
      <c r="E1951">
        <v>0</v>
      </c>
    </row>
    <row r="1952" spans="1:5" x14ac:dyDescent="0.2">
      <c r="A1952" s="13">
        <v>1950</v>
      </c>
      <c r="B1952" s="1">
        <v>43003</v>
      </c>
      <c r="C1952" t="s">
        <v>151</v>
      </c>
      <c r="D1952" t="s">
        <v>145</v>
      </c>
      <c r="E1952">
        <v>0</v>
      </c>
    </row>
    <row r="1953" spans="1:5" x14ac:dyDescent="0.2">
      <c r="A1953" s="13">
        <v>1951</v>
      </c>
      <c r="B1953" s="1">
        <v>43003</v>
      </c>
      <c r="C1953" t="s">
        <v>151</v>
      </c>
      <c r="D1953" t="s">
        <v>233</v>
      </c>
      <c r="E1953">
        <v>0</v>
      </c>
    </row>
    <row r="1954" spans="1:5" x14ac:dyDescent="0.2">
      <c r="A1954" s="13">
        <v>1952</v>
      </c>
      <c r="B1954" s="1">
        <v>43003</v>
      </c>
      <c r="C1954" t="s">
        <v>151</v>
      </c>
      <c r="D1954" t="s">
        <v>172</v>
      </c>
      <c r="E1954">
        <v>0</v>
      </c>
    </row>
    <row r="1955" spans="1:5" x14ac:dyDescent="0.2">
      <c r="A1955" s="13">
        <v>1953</v>
      </c>
      <c r="B1955" s="1">
        <v>43003</v>
      </c>
      <c r="C1955" t="s">
        <v>151</v>
      </c>
      <c r="D1955" t="s">
        <v>72</v>
      </c>
      <c r="E1955">
        <v>6.6154351329886367</v>
      </c>
    </row>
    <row r="1956" spans="1:5" x14ac:dyDescent="0.2">
      <c r="A1956" s="13">
        <v>1954</v>
      </c>
      <c r="B1956" s="1">
        <v>43003</v>
      </c>
      <c r="C1956" t="s">
        <v>151</v>
      </c>
      <c r="D1956" t="s">
        <v>186</v>
      </c>
      <c r="E1956">
        <v>2.499015142581671E-4</v>
      </c>
    </row>
    <row r="1957" spans="1:5" x14ac:dyDescent="0.2">
      <c r="A1957" s="13">
        <v>1955</v>
      </c>
      <c r="B1957" s="1">
        <v>43003</v>
      </c>
      <c r="C1957" t="s">
        <v>151</v>
      </c>
      <c r="D1957" t="s">
        <v>187</v>
      </c>
      <c r="E1957">
        <v>2.6121266181021786E-3</v>
      </c>
    </row>
    <row r="1958" spans="1:5" x14ac:dyDescent="0.2">
      <c r="A1958" s="13">
        <v>1956</v>
      </c>
      <c r="B1958" s="1">
        <v>43003</v>
      </c>
      <c r="C1958" t="s">
        <v>151</v>
      </c>
      <c r="D1958" t="s">
        <v>188</v>
      </c>
      <c r="E1958">
        <v>8.3472755109928226E-4</v>
      </c>
    </row>
    <row r="1959" spans="1:5" x14ac:dyDescent="0.2">
      <c r="A1959" s="13">
        <v>1957</v>
      </c>
      <c r="B1959" s="1">
        <v>43003</v>
      </c>
      <c r="C1959" t="s">
        <v>151</v>
      </c>
      <c r="D1959" t="s">
        <v>189</v>
      </c>
      <c r="E1959">
        <v>5.2708464518307703E-4</v>
      </c>
    </row>
    <row r="1960" spans="1:5" x14ac:dyDescent="0.2">
      <c r="A1960" s="13">
        <v>1958</v>
      </c>
      <c r="B1960" s="1">
        <v>43003</v>
      </c>
      <c r="C1960" t="s">
        <v>151</v>
      </c>
      <c r="D1960" t="s">
        <v>190</v>
      </c>
      <c r="E1960">
        <v>1.1875253624372816E-3</v>
      </c>
    </row>
    <row r="1961" spans="1:5" x14ac:dyDescent="0.2">
      <c r="A1961" s="13">
        <v>1959</v>
      </c>
      <c r="B1961" s="1">
        <v>43003</v>
      </c>
      <c r="C1961" t="s">
        <v>151</v>
      </c>
      <c r="D1961" t="s">
        <v>191</v>
      </c>
      <c r="E1961">
        <v>-6.9184713031550144E-4</v>
      </c>
    </row>
    <row r="1962" spans="1:5" x14ac:dyDescent="0.2">
      <c r="A1962" s="13">
        <v>1960</v>
      </c>
      <c r="B1962" s="1">
        <v>43003</v>
      </c>
      <c r="C1962" t="s">
        <v>29</v>
      </c>
      <c r="D1962" t="s">
        <v>39</v>
      </c>
      <c r="E1962">
        <v>4.5972478430221479E-5</v>
      </c>
    </row>
    <row r="1963" spans="1:5" x14ac:dyDescent="0.2">
      <c r="A1963" s="13">
        <v>1961</v>
      </c>
      <c r="B1963" s="1">
        <v>43003</v>
      </c>
      <c r="C1963" t="s">
        <v>29</v>
      </c>
      <c r="D1963" t="s">
        <v>32</v>
      </c>
      <c r="E1963">
        <v>1.479597885054619E-3</v>
      </c>
    </row>
    <row r="1964" spans="1:5" x14ac:dyDescent="0.2">
      <c r="A1964" s="13">
        <v>1962</v>
      </c>
      <c r="B1964" s="1">
        <v>43003</v>
      </c>
      <c r="C1964" t="s">
        <v>29</v>
      </c>
      <c r="D1964" t="s">
        <v>30</v>
      </c>
      <c r="E1964">
        <v>1.2907324136208844E-5</v>
      </c>
    </row>
    <row r="1965" spans="1:5" x14ac:dyDescent="0.2">
      <c r="A1965" s="13">
        <v>1963</v>
      </c>
      <c r="B1965" s="1">
        <v>43003</v>
      </c>
      <c r="C1965" t="s">
        <v>29</v>
      </c>
      <c r="D1965" t="s">
        <v>49</v>
      </c>
      <c r="E1965">
        <v>0</v>
      </c>
    </row>
    <row r="1966" spans="1:5" x14ac:dyDescent="0.2">
      <c r="A1966" s="13">
        <v>1964</v>
      </c>
      <c r="B1966" s="1">
        <v>43003</v>
      </c>
      <c r="C1966" t="s">
        <v>29</v>
      </c>
      <c r="D1966" t="s">
        <v>145</v>
      </c>
      <c r="E1966">
        <v>0</v>
      </c>
    </row>
    <row r="1967" spans="1:5" x14ac:dyDescent="0.2">
      <c r="A1967" s="13">
        <v>1965</v>
      </c>
      <c r="B1967" s="1">
        <v>43003</v>
      </c>
      <c r="C1967" t="s">
        <v>29</v>
      </c>
      <c r="D1967" t="s">
        <v>233</v>
      </c>
      <c r="E1967">
        <v>0</v>
      </c>
    </row>
    <row r="1968" spans="1:5" x14ac:dyDescent="0.2">
      <c r="A1968" s="13">
        <v>1966</v>
      </c>
      <c r="B1968" s="1">
        <v>43003</v>
      </c>
      <c r="C1968" t="s">
        <v>29</v>
      </c>
      <c r="D1968" t="s">
        <v>172</v>
      </c>
      <c r="E1968">
        <v>0</v>
      </c>
    </row>
    <row r="1969" spans="1:5" x14ac:dyDescent="0.2">
      <c r="A1969" s="13">
        <v>1967</v>
      </c>
      <c r="B1969" s="1">
        <v>43003</v>
      </c>
      <c r="C1969" t="s">
        <v>29</v>
      </c>
      <c r="D1969" t="s">
        <v>72</v>
      </c>
      <c r="E1969">
        <v>4.7098018312610987</v>
      </c>
    </row>
    <row r="1970" spans="1:5" x14ac:dyDescent="0.2">
      <c r="A1970" s="13">
        <v>1968</v>
      </c>
      <c r="B1970" s="1">
        <v>43003</v>
      </c>
      <c r="C1970" t="s">
        <v>29</v>
      </c>
      <c r="D1970" t="s">
        <v>186</v>
      </c>
      <c r="E1970">
        <v>1.1735947790559838E-3</v>
      </c>
    </row>
    <row r="1971" spans="1:5" x14ac:dyDescent="0.2">
      <c r="A1971" s="13">
        <v>1969</v>
      </c>
      <c r="B1971" s="1">
        <v>43003</v>
      </c>
      <c r="C1971" t="s">
        <v>29</v>
      </c>
      <c r="D1971" t="s">
        <v>187</v>
      </c>
      <c r="E1971">
        <v>0</v>
      </c>
    </row>
    <row r="1972" spans="1:5" x14ac:dyDescent="0.2">
      <c r="A1972" s="13">
        <v>1970</v>
      </c>
      <c r="B1972" s="1">
        <v>43003</v>
      </c>
      <c r="C1972" t="s">
        <v>29</v>
      </c>
      <c r="D1972" t="s">
        <v>188</v>
      </c>
      <c r="E1972">
        <v>0</v>
      </c>
    </row>
    <row r="1973" spans="1:5" x14ac:dyDescent="0.2">
      <c r="A1973" s="13">
        <v>1971</v>
      </c>
      <c r="B1973" s="1">
        <v>43003</v>
      </c>
      <c r="C1973" t="s">
        <v>29</v>
      </c>
      <c r="D1973" t="s">
        <v>189</v>
      </c>
      <c r="E1973">
        <v>0</v>
      </c>
    </row>
    <row r="1974" spans="1:5" x14ac:dyDescent="0.2">
      <c r="A1974" s="13">
        <v>1972</v>
      </c>
      <c r="B1974" s="1">
        <v>43003</v>
      </c>
      <c r="C1974" t="s">
        <v>29</v>
      </c>
      <c r="D1974" t="s">
        <v>190</v>
      </c>
      <c r="E1974">
        <v>0</v>
      </c>
    </row>
    <row r="1975" spans="1:5" x14ac:dyDescent="0.2">
      <c r="A1975" s="13">
        <v>1973</v>
      </c>
      <c r="B1975" s="1">
        <v>43003</v>
      </c>
      <c r="C1975" t="s">
        <v>29</v>
      </c>
      <c r="D1975" t="s">
        <v>191</v>
      </c>
      <c r="E1975">
        <v>3.6488290856506451E-4</v>
      </c>
    </row>
    <row r="1976" spans="1:5" x14ac:dyDescent="0.2">
      <c r="A1976" s="13">
        <v>1974</v>
      </c>
      <c r="B1976" s="1">
        <v>43003</v>
      </c>
      <c r="C1976" t="s">
        <v>87</v>
      </c>
      <c r="D1976" t="s">
        <v>39</v>
      </c>
      <c r="E1976">
        <v>3.8357986246169012E-3</v>
      </c>
    </row>
    <row r="1977" spans="1:5" x14ac:dyDescent="0.2">
      <c r="A1977" s="13">
        <v>1975</v>
      </c>
      <c r="B1977" s="1">
        <v>43003</v>
      </c>
      <c r="C1977" t="s">
        <v>87</v>
      </c>
      <c r="D1977" t="s">
        <v>32</v>
      </c>
      <c r="E1977">
        <v>1.3276114176309564E-2</v>
      </c>
    </row>
    <row r="1978" spans="1:5" x14ac:dyDescent="0.2">
      <c r="A1978" s="13">
        <v>1976</v>
      </c>
      <c r="B1978" s="1">
        <v>43003</v>
      </c>
      <c r="C1978" t="s">
        <v>87</v>
      </c>
      <c r="D1978" t="s">
        <v>30</v>
      </c>
      <c r="E1978">
        <v>-3.1974612281698904E-4</v>
      </c>
    </row>
    <row r="1979" spans="1:5" x14ac:dyDescent="0.2">
      <c r="A1979" s="13">
        <v>1977</v>
      </c>
      <c r="B1979" s="1">
        <v>43003</v>
      </c>
      <c r="C1979" t="s">
        <v>87</v>
      </c>
      <c r="D1979" t="s">
        <v>49</v>
      </c>
      <c r="E1979">
        <v>0</v>
      </c>
    </row>
    <row r="1980" spans="1:5" x14ac:dyDescent="0.2">
      <c r="A1980" s="13">
        <v>1978</v>
      </c>
      <c r="B1980" s="1">
        <v>43003</v>
      </c>
      <c r="C1980" t="s">
        <v>87</v>
      </c>
      <c r="D1980" t="s">
        <v>145</v>
      </c>
      <c r="E1980">
        <v>5.3885791027648581E-4</v>
      </c>
    </row>
    <row r="1981" spans="1:5" x14ac:dyDescent="0.2">
      <c r="A1981" s="13">
        <v>1979</v>
      </c>
      <c r="B1981" s="1">
        <v>43003</v>
      </c>
      <c r="C1981" t="s">
        <v>87</v>
      </c>
      <c r="D1981" t="s">
        <v>233</v>
      </c>
      <c r="E1981">
        <v>0</v>
      </c>
    </row>
    <row r="1982" spans="1:5" x14ac:dyDescent="0.2">
      <c r="A1982" s="13">
        <v>1980</v>
      </c>
      <c r="B1982" s="1">
        <v>43003</v>
      </c>
      <c r="C1982" t="s">
        <v>87</v>
      </c>
      <c r="D1982" t="s">
        <v>172</v>
      </c>
      <c r="E1982">
        <v>0</v>
      </c>
    </row>
    <row r="1983" spans="1:5" x14ac:dyDescent="0.2">
      <c r="A1983" s="13">
        <v>1981</v>
      </c>
      <c r="B1983" s="1">
        <v>43003</v>
      </c>
      <c r="C1983" t="s">
        <v>87</v>
      </c>
      <c r="D1983" t="s">
        <v>72</v>
      </c>
      <c r="E1983">
        <v>9.299622494532624</v>
      </c>
    </row>
    <row r="1984" spans="1:5" x14ac:dyDescent="0.2">
      <c r="A1984" s="13">
        <v>1982</v>
      </c>
      <c r="B1984" s="1">
        <v>43003</v>
      </c>
      <c r="C1984" t="s">
        <v>87</v>
      </c>
      <c r="D1984" t="s">
        <v>186</v>
      </c>
      <c r="E1984">
        <v>1.7009157557016638E-2</v>
      </c>
    </row>
    <row r="1985" spans="1:5" x14ac:dyDescent="0.2">
      <c r="A1985" s="13">
        <v>1983</v>
      </c>
      <c r="B1985" s="1">
        <v>43003</v>
      </c>
      <c r="C1985" t="s">
        <v>87</v>
      </c>
      <c r="D1985" t="s">
        <v>187</v>
      </c>
      <c r="E1985">
        <v>4.2236305059999255E-4</v>
      </c>
    </row>
    <row r="1986" spans="1:5" x14ac:dyDescent="0.2">
      <c r="A1986" s="13">
        <v>1984</v>
      </c>
      <c r="B1986" s="1">
        <v>43003</v>
      </c>
      <c r="C1986" t="s">
        <v>87</v>
      </c>
      <c r="D1986" t="s">
        <v>188</v>
      </c>
      <c r="E1986">
        <v>-8.452990403346208E-5</v>
      </c>
    </row>
    <row r="1987" spans="1:5" x14ac:dyDescent="0.2">
      <c r="A1987" s="13">
        <v>1985</v>
      </c>
      <c r="B1987" s="1">
        <v>43003</v>
      </c>
      <c r="C1987" t="s">
        <v>87</v>
      </c>
      <c r="D1987" t="s">
        <v>189</v>
      </c>
      <c r="E1987">
        <v>-9.0754299644631338E-5</v>
      </c>
    </row>
    <row r="1988" spans="1:5" x14ac:dyDescent="0.2">
      <c r="A1988" s="13">
        <v>1986</v>
      </c>
      <c r="B1988" s="1">
        <v>43003</v>
      </c>
      <c r="C1988" t="s">
        <v>87</v>
      </c>
      <c r="D1988" t="s">
        <v>190</v>
      </c>
      <c r="E1988">
        <v>-5.2708104653149845E-5</v>
      </c>
    </row>
    <row r="1989" spans="1:5" x14ac:dyDescent="0.2">
      <c r="A1989" s="13">
        <v>1987</v>
      </c>
      <c r="B1989" s="1">
        <v>43003</v>
      </c>
      <c r="C1989" t="s">
        <v>87</v>
      </c>
      <c r="D1989" t="s">
        <v>191</v>
      </c>
      <c r="E1989">
        <v>1.2749628910058104E-4</v>
      </c>
    </row>
    <row r="1990" spans="1:5" x14ac:dyDescent="0.2">
      <c r="A1990" s="13">
        <v>1988</v>
      </c>
      <c r="B1990" s="1">
        <v>43003</v>
      </c>
      <c r="C1990" t="s">
        <v>61</v>
      </c>
      <c r="D1990" t="s">
        <v>39</v>
      </c>
      <c r="E1990">
        <v>1.7096828470880856E-3</v>
      </c>
    </row>
    <row r="1991" spans="1:5" x14ac:dyDescent="0.2">
      <c r="A1991" s="13">
        <v>1989</v>
      </c>
      <c r="B1991" s="1">
        <v>43003</v>
      </c>
      <c r="C1991" t="s">
        <v>61</v>
      </c>
      <c r="D1991" t="s">
        <v>32</v>
      </c>
      <c r="E1991">
        <v>1.044367065376728E-2</v>
      </c>
    </row>
    <row r="1992" spans="1:5" x14ac:dyDescent="0.2">
      <c r="A1992" s="13">
        <v>1990</v>
      </c>
      <c r="B1992" s="1">
        <v>43003</v>
      </c>
      <c r="C1992" t="s">
        <v>61</v>
      </c>
      <c r="D1992" t="s">
        <v>30</v>
      </c>
      <c r="E1992">
        <v>0</v>
      </c>
    </row>
    <row r="1993" spans="1:5" x14ac:dyDescent="0.2">
      <c r="A1993" s="13">
        <v>1991</v>
      </c>
      <c r="B1993" s="1">
        <v>43003</v>
      </c>
      <c r="C1993" t="s">
        <v>61</v>
      </c>
      <c r="D1993" t="s">
        <v>49</v>
      </c>
      <c r="E1993">
        <v>0</v>
      </c>
    </row>
    <row r="1994" spans="1:5" x14ac:dyDescent="0.2">
      <c r="A1994" s="13">
        <v>1992</v>
      </c>
      <c r="B1994" s="1">
        <v>43003</v>
      </c>
      <c r="C1994" t="s">
        <v>61</v>
      </c>
      <c r="D1994" t="s">
        <v>145</v>
      </c>
      <c r="E1994">
        <v>0</v>
      </c>
    </row>
    <row r="1995" spans="1:5" x14ac:dyDescent="0.2">
      <c r="A1995" s="13">
        <v>1993</v>
      </c>
      <c r="B1995" s="1">
        <v>43003</v>
      </c>
      <c r="C1995" t="s">
        <v>61</v>
      </c>
      <c r="D1995" t="s">
        <v>233</v>
      </c>
      <c r="E1995">
        <v>0</v>
      </c>
    </row>
    <row r="1996" spans="1:5" x14ac:dyDescent="0.2">
      <c r="A1996" s="13">
        <v>1994</v>
      </c>
      <c r="B1996" s="1">
        <v>43003</v>
      </c>
      <c r="C1996" t="s">
        <v>61</v>
      </c>
      <c r="D1996" t="s">
        <v>172</v>
      </c>
      <c r="E1996">
        <v>0</v>
      </c>
    </row>
    <row r="1997" spans="1:5" x14ac:dyDescent="0.2">
      <c r="A1997" s="13">
        <v>1995</v>
      </c>
      <c r="B1997" s="1">
        <v>43003</v>
      </c>
      <c r="C1997" t="s">
        <v>61</v>
      </c>
      <c r="D1997" t="s">
        <v>72</v>
      </c>
      <c r="E1997">
        <v>5.6627364369842148</v>
      </c>
    </row>
    <row r="1998" spans="1:5" x14ac:dyDescent="0.2">
      <c r="A1998" s="13">
        <v>1996</v>
      </c>
      <c r="B1998" s="1">
        <v>43003</v>
      </c>
      <c r="C1998" t="s">
        <v>61</v>
      </c>
      <c r="D1998" t="s">
        <v>186</v>
      </c>
      <c r="E1998">
        <v>1.2153353500855365E-2</v>
      </c>
    </row>
    <row r="1999" spans="1:5" x14ac:dyDescent="0.2">
      <c r="A1999" s="13">
        <v>1997</v>
      </c>
      <c r="B1999" s="1">
        <v>43003</v>
      </c>
      <c r="C1999" t="s">
        <v>61</v>
      </c>
      <c r="D1999" t="s">
        <v>187</v>
      </c>
      <c r="E1999">
        <v>0</v>
      </c>
    </row>
    <row r="2000" spans="1:5" x14ac:dyDescent="0.2">
      <c r="A2000" s="13">
        <v>1998</v>
      </c>
      <c r="B2000" s="1">
        <v>43003</v>
      </c>
      <c r="C2000" t="s">
        <v>61</v>
      </c>
      <c r="D2000" t="s">
        <v>188</v>
      </c>
      <c r="E2000">
        <v>0</v>
      </c>
    </row>
    <row r="2001" spans="1:5" x14ac:dyDescent="0.2">
      <c r="A2001" s="13">
        <v>1999</v>
      </c>
      <c r="B2001" s="1">
        <v>43003</v>
      </c>
      <c r="C2001" t="s">
        <v>61</v>
      </c>
      <c r="D2001" t="s">
        <v>189</v>
      </c>
      <c r="E2001">
        <v>0</v>
      </c>
    </row>
    <row r="2002" spans="1:5" x14ac:dyDescent="0.2">
      <c r="A2002" s="13">
        <v>2000</v>
      </c>
      <c r="B2002" s="1">
        <v>43003</v>
      </c>
      <c r="C2002" t="s">
        <v>61</v>
      </c>
      <c r="D2002" t="s">
        <v>190</v>
      </c>
      <c r="E2002">
        <v>0</v>
      </c>
    </row>
    <row r="2003" spans="1:5" x14ac:dyDescent="0.2">
      <c r="A2003" s="13">
        <v>2001</v>
      </c>
      <c r="B2003" s="1">
        <v>43003</v>
      </c>
      <c r="C2003" t="s">
        <v>61</v>
      </c>
      <c r="D2003" t="s">
        <v>191</v>
      </c>
      <c r="E2003">
        <v>0</v>
      </c>
    </row>
    <row r="2004" spans="1:5" x14ac:dyDescent="0.2">
      <c r="A2004" s="13">
        <v>2002</v>
      </c>
      <c r="B2004" s="1">
        <v>43003</v>
      </c>
      <c r="C2004" t="s">
        <v>53</v>
      </c>
      <c r="D2004" t="s">
        <v>39</v>
      </c>
      <c r="E2004">
        <v>9.6345327806274475E-5</v>
      </c>
    </row>
    <row r="2005" spans="1:5" x14ac:dyDescent="0.2">
      <c r="A2005" s="13">
        <v>2003</v>
      </c>
      <c r="B2005" s="1">
        <v>43003</v>
      </c>
      <c r="C2005" t="s">
        <v>53</v>
      </c>
      <c r="D2005" t="s">
        <v>32</v>
      </c>
      <c r="E2005">
        <v>4.1719086085493934E-3</v>
      </c>
    </row>
    <row r="2006" spans="1:5" x14ac:dyDescent="0.2">
      <c r="A2006" s="13">
        <v>2004</v>
      </c>
      <c r="B2006" s="1">
        <v>43003</v>
      </c>
      <c r="C2006" t="s">
        <v>53</v>
      </c>
      <c r="D2006" t="s">
        <v>30</v>
      </c>
      <c r="E2006">
        <v>2.0881478450935769E-4</v>
      </c>
    </row>
    <row r="2007" spans="1:5" x14ac:dyDescent="0.2">
      <c r="A2007" s="13">
        <v>2005</v>
      </c>
      <c r="B2007" s="1">
        <v>43003</v>
      </c>
      <c r="C2007" t="s">
        <v>53</v>
      </c>
      <c r="D2007" t="s">
        <v>49</v>
      </c>
      <c r="E2007">
        <v>0</v>
      </c>
    </row>
    <row r="2008" spans="1:5" x14ac:dyDescent="0.2">
      <c r="A2008" s="13">
        <v>2006</v>
      </c>
      <c r="B2008" s="1">
        <v>43003</v>
      </c>
      <c r="C2008" t="s">
        <v>53</v>
      </c>
      <c r="D2008" t="s">
        <v>145</v>
      </c>
      <c r="E2008">
        <v>0</v>
      </c>
    </row>
    <row r="2009" spans="1:5" x14ac:dyDescent="0.2">
      <c r="A2009" s="13">
        <v>2007</v>
      </c>
      <c r="B2009" s="1">
        <v>43003</v>
      </c>
      <c r="C2009" t="s">
        <v>53</v>
      </c>
      <c r="D2009" t="s">
        <v>233</v>
      </c>
      <c r="E2009">
        <v>0</v>
      </c>
    </row>
    <row r="2010" spans="1:5" x14ac:dyDescent="0.2">
      <c r="A2010" s="13">
        <v>2008</v>
      </c>
      <c r="B2010" s="1">
        <v>43003</v>
      </c>
      <c r="C2010" t="s">
        <v>53</v>
      </c>
      <c r="D2010" t="s">
        <v>172</v>
      </c>
      <c r="E2010">
        <v>0</v>
      </c>
    </row>
    <row r="2011" spans="1:5" x14ac:dyDescent="0.2">
      <c r="A2011" s="13">
        <v>2009</v>
      </c>
      <c r="B2011" s="1">
        <v>43003</v>
      </c>
      <c r="C2011" t="s">
        <v>53</v>
      </c>
      <c r="D2011" t="s">
        <v>72</v>
      </c>
      <c r="E2011">
        <v>6.3894503295861451</v>
      </c>
    </row>
    <row r="2012" spans="1:5" x14ac:dyDescent="0.2">
      <c r="A2012" s="13">
        <v>2010</v>
      </c>
      <c r="B2012" s="1">
        <v>43003</v>
      </c>
      <c r="C2012" t="s">
        <v>53</v>
      </c>
      <c r="D2012" t="s">
        <v>186</v>
      </c>
      <c r="E2012">
        <v>1.8144480304015662E-3</v>
      </c>
    </row>
    <row r="2013" spans="1:5" x14ac:dyDescent="0.2">
      <c r="A2013" s="13">
        <v>2011</v>
      </c>
      <c r="B2013" s="1">
        <v>43003</v>
      </c>
      <c r="C2013" t="s">
        <v>53</v>
      </c>
      <c r="D2013" t="s">
        <v>187</v>
      </c>
      <c r="E2013">
        <v>0</v>
      </c>
    </row>
    <row r="2014" spans="1:5" x14ac:dyDescent="0.2">
      <c r="A2014" s="13">
        <v>2012</v>
      </c>
      <c r="B2014" s="1">
        <v>43003</v>
      </c>
      <c r="C2014" t="s">
        <v>53</v>
      </c>
      <c r="D2014" t="s">
        <v>188</v>
      </c>
      <c r="E2014">
        <v>0</v>
      </c>
    </row>
    <row r="2015" spans="1:5" x14ac:dyDescent="0.2">
      <c r="A2015" s="13">
        <v>2013</v>
      </c>
      <c r="B2015" s="1">
        <v>43003</v>
      </c>
      <c r="C2015" t="s">
        <v>53</v>
      </c>
      <c r="D2015" t="s">
        <v>189</v>
      </c>
      <c r="E2015">
        <v>0</v>
      </c>
    </row>
    <row r="2016" spans="1:5" x14ac:dyDescent="0.2">
      <c r="A2016" s="13">
        <v>2014</v>
      </c>
      <c r="B2016" s="1">
        <v>43003</v>
      </c>
      <c r="C2016" t="s">
        <v>53</v>
      </c>
      <c r="D2016" t="s">
        <v>190</v>
      </c>
      <c r="E2016">
        <v>0</v>
      </c>
    </row>
    <row r="2017" spans="1:5" x14ac:dyDescent="0.2">
      <c r="A2017" s="13">
        <v>2015</v>
      </c>
      <c r="B2017" s="1">
        <v>43003</v>
      </c>
      <c r="C2017" t="s">
        <v>53</v>
      </c>
      <c r="D2017" t="s">
        <v>191</v>
      </c>
      <c r="E2017">
        <v>2.6626206904634586E-3</v>
      </c>
    </row>
    <row r="2018" spans="1:5" x14ac:dyDescent="0.2">
      <c r="A2018" s="13">
        <v>2016</v>
      </c>
      <c r="B2018" s="1">
        <v>43000</v>
      </c>
      <c r="C2018" t="s">
        <v>62</v>
      </c>
      <c r="D2018" t="s">
        <v>39</v>
      </c>
      <c r="E2018">
        <v>4.42998321058829E-3</v>
      </c>
    </row>
    <row r="2019" spans="1:5" x14ac:dyDescent="0.2">
      <c r="A2019" s="13">
        <v>2017</v>
      </c>
      <c r="B2019" s="1">
        <v>43000</v>
      </c>
      <c r="C2019" t="s">
        <v>62</v>
      </c>
      <c r="D2019" t="s">
        <v>32</v>
      </c>
      <c r="E2019">
        <v>3.0753598982567383E-3</v>
      </c>
    </row>
    <row r="2020" spans="1:5" x14ac:dyDescent="0.2">
      <c r="A2020" s="13">
        <v>2018</v>
      </c>
      <c r="B2020" s="1">
        <v>43000</v>
      </c>
      <c r="C2020" t="s">
        <v>62</v>
      </c>
      <c r="D2020" t="s">
        <v>30</v>
      </c>
      <c r="E2020">
        <v>-3.2813331811325648E-5</v>
      </c>
    </row>
    <row r="2021" spans="1:5" x14ac:dyDescent="0.2">
      <c r="A2021" s="13">
        <v>2019</v>
      </c>
      <c r="B2021" s="1">
        <v>43000</v>
      </c>
      <c r="C2021" t="s">
        <v>62</v>
      </c>
      <c r="D2021" t="s">
        <v>49</v>
      </c>
      <c r="E2021">
        <v>1.5886235403296205E-7</v>
      </c>
    </row>
    <row r="2022" spans="1:5" x14ac:dyDescent="0.2">
      <c r="A2022" s="13">
        <v>2020</v>
      </c>
      <c r="B2022" s="1">
        <v>43000</v>
      </c>
      <c r="C2022" t="s">
        <v>62</v>
      </c>
      <c r="D2022" t="s">
        <v>145</v>
      </c>
      <c r="E2022">
        <v>0</v>
      </c>
    </row>
    <row r="2023" spans="1:5" x14ac:dyDescent="0.2">
      <c r="A2023" s="13">
        <v>2021</v>
      </c>
      <c r="B2023" s="1">
        <v>43000</v>
      </c>
      <c r="C2023" t="s">
        <v>62</v>
      </c>
      <c r="D2023" t="s">
        <v>233</v>
      </c>
      <c r="E2023">
        <v>0</v>
      </c>
    </row>
    <row r="2024" spans="1:5" x14ac:dyDescent="0.2">
      <c r="A2024" s="13">
        <v>2022</v>
      </c>
      <c r="B2024" s="1">
        <v>43000</v>
      </c>
      <c r="C2024" t="s">
        <v>62</v>
      </c>
      <c r="D2024" t="s">
        <v>172</v>
      </c>
      <c r="E2024">
        <v>0</v>
      </c>
    </row>
    <row r="2025" spans="1:5" x14ac:dyDescent="0.2">
      <c r="A2025" s="13">
        <v>2023</v>
      </c>
      <c r="B2025" s="1">
        <v>43000</v>
      </c>
      <c r="C2025" t="s">
        <v>62</v>
      </c>
      <c r="D2025" t="s">
        <v>72</v>
      </c>
      <c r="E2025">
        <v>3.4324420904837765</v>
      </c>
    </row>
    <row r="2026" spans="1:5" x14ac:dyDescent="0.2">
      <c r="A2026" s="13">
        <v>2024</v>
      </c>
      <c r="B2026" s="1">
        <v>43000</v>
      </c>
      <c r="C2026" t="s">
        <v>62</v>
      </c>
      <c r="D2026" t="s">
        <v>186</v>
      </c>
      <c r="E2026">
        <v>7.5053431088450296E-3</v>
      </c>
    </row>
    <row r="2027" spans="1:5" x14ac:dyDescent="0.2">
      <c r="A2027" s="13">
        <v>2025</v>
      </c>
      <c r="B2027" s="1">
        <v>43000</v>
      </c>
      <c r="C2027" t="s">
        <v>62</v>
      </c>
      <c r="D2027" t="s">
        <v>187</v>
      </c>
      <c r="E2027">
        <v>0</v>
      </c>
    </row>
    <row r="2028" spans="1:5" x14ac:dyDescent="0.2">
      <c r="A2028" s="13">
        <v>2026</v>
      </c>
      <c r="B2028" s="1">
        <v>43000</v>
      </c>
      <c r="C2028" t="s">
        <v>62</v>
      </c>
      <c r="D2028" t="s">
        <v>188</v>
      </c>
      <c r="E2028">
        <v>0</v>
      </c>
    </row>
    <row r="2029" spans="1:5" x14ac:dyDescent="0.2">
      <c r="A2029" s="13">
        <v>2027</v>
      </c>
      <c r="B2029" s="1">
        <v>43000</v>
      </c>
      <c r="C2029" t="s">
        <v>62</v>
      </c>
      <c r="D2029" t="s">
        <v>189</v>
      </c>
      <c r="E2029">
        <v>0</v>
      </c>
    </row>
    <row r="2030" spans="1:5" x14ac:dyDescent="0.2">
      <c r="A2030" s="13">
        <v>2028</v>
      </c>
      <c r="B2030" s="1">
        <v>43000</v>
      </c>
      <c r="C2030" t="s">
        <v>62</v>
      </c>
      <c r="D2030" t="s">
        <v>190</v>
      </c>
      <c r="E2030">
        <v>0</v>
      </c>
    </row>
    <row r="2031" spans="1:5" x14ac:dyDescent="0.2">
      <c r="A2031" s="13">
        <v>2029</v>
      </c>
      <c r="B2031" s="1">
        <v>43000</v>
      </c>
      <c r="C2031" t="s">
        <v>62</v>
      </c>
      <c r="D2031" t="s">
        <v>191</v>
      </c>
      <c r="E2031">
        <v>-3.2654469457292684E-5</v>
      </c>
    </row>
    <row r="2032" spans="1:5" x14ac:dyDescent="0.2">
      <c r="A2032" s="13">
        <v>2030</v>
      </c>
      <c r="B2032" s="1">
        <v>43000</v>
      </c>
      <c r="C2032" t="s">
        <v>63</v>
      </c>
      <c r="D2032" t="s">
        <v>39</v>
      </c>
      <c r="E2032">
        <v>6.5314820273653859E-3</v>
      </c>
    </row>
    <row r="2033" spans="1:5" x14ac:dyDescent="0.2">
      <c r="A2033" s="13">
        <v>2031</v>
      </c>
      <c r="B2033" s="1">
        <v>43000</v>
      </c>
      <c r="C2033" t="s">
        <v>63</v>
      </c>
      <c r="D2033" t="s">
        <v>32</v>
      </c>
      <c r="E2033">
        <v>5.0277881269827646E-3</v>
      </c>
    </row>
    <row r="2034" spans="1:5" x14ac:dyDescent="0.2">
      <c r="A2034" s="13">
        <v>2032</v>
      </c>
      <c r="B2034" s="1">
        <v>43000</v>
      </c>
      <c r="C2034" t="s">
        <v>63</v>
      </c>
      <c r="D2034" t="s">
        <v>30</v>
      </c>
      <c r="E2034">
        <v>-3.7741235691539436E-5</v>
      </c>
    </row>
    <row r="2035" spans="1:5" x14ac:dyDescent="0.2">
      <c r="A2035" s="13">
        <v>2033</v>
      </c>
      <c r="B2035" s="1">
        <v>43000</v>
      </c>
      <c r="C2035" t="s">
        <v>63</v>
      </c>
      <c r="D2035" t="s">
        <v>49</v>
      </c>
      <c r="E2035">
        <v>1.0108592998112003E-6</v>
      </c>
    </row>
    <row r="2036" spans="1:5" x14ac:dyDescent="0.2">
      <c r="A2036" s="13">
        <v>2034</v>
      </c>
      <c r="B2036" s="1">
        <v>43000</v>
      </c>
      <c r="C2036" t="s">
        <v>63</v>
      </c>
      <c r="D2036" t="s">
        <v>145</v>
      </c>
      <c r="E2036">
        <v>0</v>
      </c>
    </row>
    <row r="2037" spans="1:5" x14ac:dyDescent="0.2">
      <c r="A2037" s="13">
        <v>2035</v>
      </c>
      <c r="B2037" s="1">
        <v>43000</v>
      </c>
      <c r="C2037" t="s">
        <v>63</v>
      </c>
      <c r="D2037" t="s">
        <v>233</v>
      </c>
      <c r="E2037">
        <v>0</v>
      </c>
    </row>
    <row r="2038" spans="1:5" x14ac:dyDescent="0.2">
      <c r="A2038" s="13">
        <v>2036</v>
      </c>
      <c r="B2038" s="1">
        <v>43000</v>
      </c>
      <c r="C2038" t="s">
        <v>63</v>
      </c>
      <c r="D2038" t="s">
        <v>172</v>
      </c>
      <c r="E2038">
        <v>0</v>
      </c>
    </row>
    <row r="2039" spans="1:5" x14ac:dyDescent="0.2">
      <c r="A2039" s="13">
        <v>2037</v>
      </c>
      <c r="B2039" s="1">
        <v>43000</v>
      </c>
      <c r="C2039" t="s">
        <v>63</v>
      </c>
      <c r="D2039" t="s">
        <v>72</v>
      </c>
      <c r="E2039">
        <v>5.3115401738113457</v>
      </c>
    </row>
    <row r="2040" spans="1:5" x14ac:dyDescent="0.2">
      <c r="A2040" s="13">
        <v>2038</v>
      </c>
      <c r="B2040" s="1">
        <v>43000</v>
      </c>
      <c r="C2040" t="s">
        <v>63</v>
      </c>
      <c r="D2040" t="s">
        <v>186</v>
      </c>
      <c r="E2040">
        <v>1.1559270154348147E-2</v>
      </c>
    </row>
    <row r="2041" spans="1:5" x14ac:dyDescent="0.2">
      <c r="A2041" s="13">
        <v>2039</v>
      </c>
      <c r="B2041" s="1">
        <v>43000</v>
      </c>
      <c r="C2041" t="s">
        <v>63</v>
      </c>
      <c r="D2041" t="s">
        <v>187</v>
      </c>
      <c r="E2041">
        <v>0</v>
      </c>
    </row>
    <row r="2042" spans="1:5" x14ac:dyDescent="0.2">
      <c r="A2042" s="13">
        <v>2040</v>
      </c>
      <c r="B2042" s="1">
        <v>43000</v>
      </c>
      <c r="C2042" t="s">
        <v>63</v>
      </c>
      <c r="D2042" t="s">
        <v>188</v>
      </c>
      <c r="E2042">
        <v>0</v>
      </c>
    </row>
    <row r="2043" spans="1:5" x14ac:dyDescent="0.2">
      <c r="A2043" s="13">
        <v>2041</v>
      </c>
      <c r="B2043" s="1">
        <v>43000</v>
      </c>
      <c r="C2043" t="s">
        <v>63</v>
      </c>
      <c r="D2043" t="s">
        <v>189</v>
      </c>
      <c r="E2043">
        <v>0</v>
      </c>
    </row>
    <row r="2044" spans="1:5" x14ac:dyDescent="0.2">
      <c r="A2044" s="13">
        <v>2042</v>
      </c>
      <c r="B2044" s="1">
        <v>43000</v>
      </c>
      <c r="C2044" t="s">
        <v>63</v>
      </c>
      <c r="D2044" t="s">
        <v>190</v>
      </c>
      <c r="E2044">
        <v>0</v>
      </c>
    </row>
    <row r="2045" spans="1:5" x14ac:dyDescent="0.2">
      <c r="A2045" s="13">
        <v>2043</v>
      </c>
      <c r="B2045" s="1">
        <v>43000</v>
      </c>
      <c r="C2045" t="s">
        <v>63</v>
      </c>
      <c r="D2045" t="s">
        <v>191</v>
      </c>
      <c r="E2045">
        <v>-3.6730376391728233E-5</v>
      </c>
    </row>
    <row r="2046" spans="1:5" x14ac:dyDescent="0.2">
      <c r="A2046" s="13">
        <v>2044</v>
      </c>
      <c r="B2046" s="1">
        <v>43000</v>
      </c>
      <c r="C2046" t="s">
        <v>103</v>
      </c>
      <c r="D2046" t="s">
        <v>39</v>
      </c>
      <c r="E2046">
        <v>2.7003816338675327E-2</v>
      </c>
    </row>
    <row r="2047" spans="1:5" x14ac:dyDescent="0.2">
      <c r="A2047" s="13">
        <v>2045</v>
      </c>
      <c r="B2047" s="1">
        <v>43000</v>
      </c>
      <c r="C2047" t="s">
        <v>103</v>
      </c>
      <c r="D2047" t="s">
        <v>32</v>
      </c>
      <c r="E2047">
        <v>0</v>
      </c>
    </row>
    <row r="2048" spans="1:5" x14ac:dyDescent="0.2">
      <c r="A2048" s="13">
        <v>2046</v>
      </c>
      <c r="B2048" s="1">
        <v>43000</v>
      </c>
      <c r="C2048" t="s">
        <v>103</v>
      </c>
      <c r="D2048" t="s">
        <v>30</v>
      </c>
      <c r="E2048">
        <v>0</v>
      </c>
    </row>
    <row r="2049" spans="1:5" x14ac:dyDescent="0.2">
      <c r="A2049" s="13">
        <v>2047</v>
      </c>
      <c r="B2049" s="1">
        <v>43000</v>
      </c>
      <c r="C2049" t="s">
        <v>103</v>
      </c>
      <c r="D2049" t="s">
        <v>49</v>
      </c>
      <c r="E2049">
        <v>0</v>
      </c>
    </row>
    <row r="2050" spans="1:5" x14ac:dyDescent="0.2">
      <c r="A2050" s="13">
        <v>2048</v>
      </c>
      <c r="B2050" s="1">
        <v>43000</v>
      </c>
      <c r="C2050" t="s">
        <v>103</v>
      </c>
      <c r="D2050" t="s">
        <v>145</v>
      </c>
      <c r="E2050">
        <v>0</v>
      </c>
    </row>
    <row r="2051" spans="1:5" x14ac:dyDescent="0.2">
      <c r="A2051" s="13">
        <v>2049</v>
      </c>
      <c r="B2051" s="1">
        <v>43000</v>
      </c>
      <c r="C2051" t="s">
        <v>103</v>
      </c>
      <c r="D2051" t="s">
        <v>233</v>
      </c>
      <c r="E2051">
        <v>0</v>
      </c>
    </row>
    <row r="2052" spans="1:5" x14ac:dyDescent="0.2">
      <c r="A2052" s="13">
        <v>2050</v>
      </c>
      <c r="B2052" s="1">
        <v>43000</v>
      </c>
      <c r="C2052" t="s">
        <v>103</v>
      </c>
      <c r="D2052" t="s">
        <v>172</v>
      </c>
      <c r="E2052">
        <v>0</v>
      </c>
    </row>
    <row r="2053" spans="1:5" x14ac:dyDescent="0.2">
      <c r="A2053" s="13">
        <v>2051</v>
      </c>
      <c r="B2053" s="1">
        <v>43000</v>
      </c>
      <c r="C2053" t="s">
        <v>103</v>
      </c>
      <c r="D2053" t="s">
        <v>72</v>
      </c>
      <c r="E2053">
        <v>0</v>
      </c>
    </row>
    <row r="2054" spans="1:5" x14ac:dyDescent="0.2">
      <c r="A2054" s="13">
        <v>2052</v>
      </c>
      <c r="B2054" s="1">
        <v>43000</v>
      </c>
      <c r="C2054" t="s">
        <v>103</v>
      </c>
      <c r="D2054" t="s">
        <v>186</v>
      </c>
      <c r="E2054">
        <v>2.7003816338675327E-2</v>
      </c>
    </row>
    <row r="2055" spans="1:5" x14ac:dyDescent="0.2">
      <c r="A2055" s="13">
        <v>2053</v>
      </c>
      <c r="B2055" s="1">
        <v>43000</v>
      </c>
      <c r="C2055" t="s">
        <v>103</v>
      </c>
      <c r="D2055" t="s">
        <v>187</v>
      </c>
      <c r="E2055">
        <v>0</v>
      </c>
    </row>
    <row r="2056" spans="1:5" x14ac:dyDescent="0.2">
      <c r="A2056" s="13">
        <v>2054</v>
      </c>
      <c r="B2056" s="1">
        <v>43000</v>
      </c>
      <c r="C2056" t="s">
        <v>103</v>
      </c>
      <c r="D2056" t="s">
        <v>188</v>
      </c>
      <c r="E2056">
        <v>0</v>
      </c>
    </row>
    <row r="2057" spans="1:5" x14ac:dyDescent="0.2">
      <c r="A2057" s="13">
        <v>2055</v>
      </c>
      <c r="B2057" s="1">
        <v>43000</v>
      </c>
      <c r="C2057" t="s">
        <v>103</v>
      </c>
      <c r="D2057" t="s">
        <v>189</v>
      </c>
      <c r="E2057">
        <v>0</v>
      </c>
    </row>
    <row r="2058" spans="1:5" x14ac:dyDescent="0.2">
      <c r="A2058" s="13">
        <v>2056</v>
      </c>
      <c r="B2058" s="1">
        <v>43000</v>
      </c>
      <c r="C2058" t="s">
        <v>103</v>
      </c>
      <c r="D2058" t="s">
        <v>190</v>
      </c>
      <c r="E2058">
        <v>0</v>
      </c>
    </row>
    <row r="2059" spans="1:5" x14ac:dyDescent="0.2">
      <c r="A2059" s="13">
        <v>2057</v>
      </c>
      <c r="B2059" s="1">
        <v>43000</v>
      </c>
      <c r="C2059" t="s">
        <v>103</v>
      </c>
      <c r="D2059" t="s">
        <v>191</v>
      </c>
      <c r="E2059">
        <v>0</v>
      </c>
    </row>
    <row r="2060" spans="1:5" x14ac:dyDescent="0.2">
      <c r="A2060" s="13">
        <v>2058</v>
      </c>
      <c r="B2060" s="1">
        <v>43000</v>
      </c>
      <c r="C2060" t="s">
        <v>104</v>
      </c>
      <c r="D2060" t="s">
        <v>39</v>
      </c>
      <c r="E2060">
        <v>7.3917763454158444E-2</v>
      </c>
    </row>
    <row r="2061" spans="1:5" x14ac:dyDescent="0.2">
      <c r="A2061" s="13">
        <v>2059</v>
      </c>
      <c r="B2061" s="1">
        <v>43000</v>
      </c>
      <c r="C2061" t="s">
        <v>104</v>
      </c>
      <c r="D2061" t="s">
        <v>32</v>
      </c>
      <c r="E2061">
        <v>0</v>
      </c>
    </row>
    <row r="2062" spans="1:5" x14ac:dyDescent="0.2">
      <c r="A2062" s="13">
        <v>2060</v>
      </c>
      <c r="B2062" s="1">
        <v>43000</v>
      </c>
      <c r="C2062" t="s">
        <v>104</v>
      </c>
      <c r="D2062" t="s">
        <v>30</v>
      </c>
      <c r="E2062">
        <v>0</v>
      </c>
    </row>
    <row r="2063" spans="1:5" x14ac:dyDescent="0.2">
      <c r="A2063" s="13">
        <v>2061</v>
      </c>
      <c r="B2063" s="1">
        <v>43000</v>
      </c>
      <c r="C2063" t="s">
        <v>104</v>
      </c>
      <c r="D2063" t="s">
        <v>49</v>
      </c>
      <c r="E2063">
        <v>0</v>
      </c>
    </row>
    <row r="2064" spans="1:5" x14ac:dyDescent="0.2">
      <c r="A2064" s="13">
        <v>2062</v>
      </c>
      <c r="B2064" s="1">
        <v>43000</v>
      </c>
      <c r="C2064" t="s">
        <v>104</v>
      </c>
      <c r="D2064" t="s">
        <v>145</v>
      </c>
      <c r="E2064">
        <v>0</v>
      </c>
    </row>
    <row r="2065" spans="1:5" x14ac:dyDescent="0.2">
      <c r="A2065" s="13">
        <v>2063</v>
      </c>
      <c r="B2065" s="1">
        <v>43000</v>
      </c>
      <c r="C2065" t="s">
        <v>104</v>
      </c>
      <c r="D2065" t="s">
        <v>233</v>
      </c>
      <c r="E2065">
        <v>0</v>
      </c>
    </row>
    <row r="2066" spans="1:5" x14ac:dyDescent="0.2">
      <c r="A2066" s="13">
        <v>2064</v>
      </c>
      <c r="B2066" s="1">
        <v>43000</v>
      </c>
      <c r="C2066" t="s">
        <v>104</v>
      </c>
      <c r="D2066" t="s">
        <v>172</v>
      </c>
      <c r="E2066">
        <v>0</v>
      </c>
    </row>
    <row r="2067" spans="1:5" x14ac:dyDescent="0.2">
      <c r="A2067" s="13">
        <v>2065</v>
      </c>
      <c r="B2067" s="1">
        <v>43000</v>
      </c>
      <c r="C2067" t="s">
        <v>104</v>
      </c>
      <c r="D2067" t="s">
        <v>72</v>
      </c>
      <c r="E2067">
        <v>0</v>
      </c>
    </row>
    <row r="2068" spans="1:5" x14ac:dyDescent="0.2">
      <c r="A2068" s="13">
        <v>2066</v>
      </c>
      <c r="B2068" s="1">
        <v>43000</v>
      </c>
      <c r="C2068" t="s">
        <v>104</v>
      </c>
      <c r="D2068" t="s">
        <v>186</v>
      </c>
      <c r="E2068">
        <v>7.3917763454158444E-2</v>
      </c>
    </row>
    <row r="2069" spans="1:5" x14ac:dyDescent="0.2">
      <c r="A2069" s="13">
        <v>2067</v>
      </c>
      <c r="B2069" s="1">
        <v>43000</v>
      </c>
      <c r="C2069" t="s">
        <v>104</v>
      </c>
      <c r="D2069" t="s">
        <v>187</v>
      </c>
      <c r="E2069">
        <v>0</v>
      </c>
    </row>
    <row r="2070" spans="1:5" x14ac:dyDescent="0.2">
      <c r="A2070" s="13">
        <v>2068</v>
      </c>
      <c r="B2070" s="1">
        <v>43000</v>
      </c>
      <c r="C2070" t="s">
        <v>104</v>
      </c>
      <c r="D2070" t="s">
        <v>188</v>
      </c>
      <c r="E2070">
        <v>0</v>
      </c>
    </row>
    <row r="2071" spans="1:5" x14ac:dyDescent="0.2">
      <c r="A2071" s="13">
        <v>2069</v>
      </c>
      <c r="B2071" s="1">
        <v>43000</v>
      </c>
      <c r="C2071" t="s">
        <v>104</v>
      </c>
      <c r="D2071" t="s">
        <v>189</v>
      </c>
      <c r="E2071">
        <v>0</v>
      </c>
    </row>
    <row r="2072" spans="1:5" x14ac:dyDescent="0.2">
      <c r="A2072" s="13">
        <v>2070</v>
      </c>
      <c r="B2072" s="1">
        <v>43000</v>
      </c>
      <c r="C2072" t="s">
        <v>104</v>
      </c>
      <c r="D2072" t="s">
        <v>190</v>
      </c>
      <c r="E2072">
        <v>0</v>
      </c>
    </row>
    <row r="2073" spans="1:5" x14ac:dyDescent="0.2">
      <c r="A2073" s="13">
        <v>2071</v>
      </c>
      <c r="B2073" s="1">
        <v>43000</v>
      </c>
      <c r="C2073" t="s">
        <v>104</v>
      </c>
      <c r="D2073" t="s">
        <v>191</v>
      </c>
      <c r="E2073">
        <v>0</v>
      </c>
    </row>
    <row r="2074" spans="1:5" x14ac:dyDescent="0.2">
      <c r="A2074" s="13">
        <v>2072</v>
      </c>
      <c r="B2074" s="1">
        <v>43000</v>
      </c>
      <c r="C2074" t="s">
        <v>151</v>
      </c>
      <c r="D2074" t="s">
        <v>39</v>
      </c>
      <c r="E2074">
        <v>0</v>
      </c>
    </row>
    <row r="2075" spans="1:5" x14ac:dyDescent="0.2">
      <c r="A2075" s="13">
        <v>2073</v>
      </c>
      <c r="B2075" s="1">
        <v>43000</v>
      </c>
      <c r="C2075" t="s">
        <v>151</v>
      </c>
      <c r="D2075" t="s">
        <v>32</v>
      </c>
      <c r="E2075">
        <v>0</v>
      </c>
    </row>
    <row r="2076" spans="1:5" x14ac:dyDescent="0.2">
      <c r="A2076" s="13">
        <v>2074</v>
      </c>
      <c r="B2076" s="1">
        <v>43000</v>
      </c>
      <c r="C2076" t="s">
        <v>151</v>
      </c>
      <c r="D2076" t="s">
        <v>30</v>
      </c>
      <c r="E2076">
        <v>4.7695506993376928E-3</v>
      </c>
    </row>
    <row r="2077" spans="1:5" x14ac:dyDescent="0.2">
      <c r="A2077" s="13">
        <v>2075</v>
      </c>
      <c r="B2077" s="1">
        <v>43000</v>
      </c>
      <c r="C2077" t="s">
        <v>151</v>
      </c>
      <c r="D2077" t="s">
        <v>49</v>
      </c>
      <c r="E2077">
        <v>0</v>
      </c>
    </row>
    <row r="2078" spans="1:5" x14ac:dyDescent="0.2">
      <c r="A2078" s="13">
        <v>2076</v>
      </c>
      <c r="B2078" s="1">
        <v>43000</v>
      </c>
      <c r="C2078" t="s">
        <v>151</v>
      </c>
      <c r="D2078" t="s">
        <v>145</v>
      </c>
      <c r="E2078">
        <v>0</v>
      </c>
    </row>
    <row r="2079" spans="1:5" x14ac:dyDescent="0.2">
      <c r="A2079" s="13">
        <v>2077</v>
      </c>
      <c r="B2079" s="1">
        <v>43000</v>
      </c>
      <c r="C2079" t="s">
        <v>151</v>
      </c>
      <c r="D2079" t="s">
        <v>233</v>
      </c>
      <c r="E2079">
        <v>0</v>
      </c>
    </row>
    <row r="2080" spans="1:5" x14ac:dyDescent="0.2">
      <c r="A2080" s="13">
        <v>2078</v>
      </c>
      <c r="B2080" s="1">
        <v>43000</v>
      </c>
      <c r="C2080" t="s">
        <v>151</v>
      </c>
      <c r="D2080" t="s">
        <v>172</v>
      </c>
      <c r="E2080">
        <v>0</v>
      </c>
    </row>
    <row r="2081" spans="1:5" x14ac:dyDescent="0.2">
      <c r="A2081" s="13">
        <v>2079</v>
      </c>
      <c r="B2081" s="1">
        <v>43000</v>
      </c>
      <c r="C2081" t="s">
        <v>151</v>
      </c>
      <c r="D2081" t="s">
        <v>72</v>
      </c>
      <c r="E2081">
        <v>6.6229567268900036</v>
      </c>
    </row>
    <row r="2082" spans="1:5" x14ac:dyDescent="0.2">
      <c r="A2082" s="13">
        <v>2080</v>
      </c>
      <c r="B2082" s="1">
        <v>43000</v>
      </c>
      <c r="C2082" t="s">
        <v>151</v>
      </c>
      <c r="D2082" t="s">
        <v>186</v>
      </c>
      <c r="E2082">
        <v>2.4029345982272041E-4</v>
      </c>
    </row>
    <row r="2083" spans="1:5" x14ac:dyDescent="0.2">
      <c r="A2083" s="13">
        <v>2081</v>
      </c>
      <c r="B2083" s="1">
        <v>43000</v>
      </c>
      <c r="C2083" t="s">
        <v>151</v>
      </c>
      <c r="D2083" t="s">
        <v>187</v>
      </c>
      <c r="E2083">
        <v>2.6968469944411554E-3</v>
      </c>
    </row>
    <row r="2084" spans="1:5" x14ac:dyDescent="0.2">
      <c r="A2084" s="13">
        <v>2082</v>
      </c>
      <c r="B2084" s="1">
        <v>43000</v>
      </c>
      <c r="C2084" t="s">
        <v>151</v>
      </c>
      <c r="D2084" t="s">
        <v>188</v>
      </c>
      <c r="E2084">
        <v>8.615106364255723E-4</v>
      </c>
    </row>
    <row r="2085" spans="1:5" x14ac:dyDescent="0.2">
      <c r="A2085" s="13">
        <v>2083</v>
      </c>
      <c r="B2085" s="1">
        <v>43000</v>
      </c>
      <c r="C2085" t="s">
        <v>151</v>
      </c>
      <c r="D2085" t="s">
        <v>189</v>
      </c>
      <c r="E2085">
        <v>5.403980668762736E-4</v>
      </c>
    </row>
    <row r="2086" spans="1:5" x14ac:dyDescent="0.2">
      <c r="A2086" s="13">
        <v>2084</v>
      </c>
      <c r="B2086" s="1">
        <v>43000</v>
      </c>
      <c r="C2086" t="s">
        <v>151</v>
      </c>
      <c r="D2086" t="s">
        <v>190</v>
      </c>
      <c r="E2086">
        <v>1.1098283084654235E-3</v>
      </c>
    </row>
    <row r="2087" spans="1:5" x14ac:dyDescent="0.2">
      <c r="A2087" s="13">
        <v>2085</v>
      </c>
      <c r="B2087" s="1">
        <v>43000</v>
      </c>
      <c r="C2087" t="s">
        <v>151</v>
      </c>
      <c r="D2087" t="s">
        <v>191</v>
      </c>
      <c r="E2087">
        <v>-6.7932676669345423E-4</v>
      </c>
    </row>
    <row r="2088" spans="1:5" x14ac:dyDescent="0.2">
      <c r="A2088" s="13">
        <v>2086</v>
      </c>
      <c r="B2088" s="1">
        <v>43000</v>
      </c>
      <c r="C2088" t="s">
        <v>29</v>
      </c>
      <c r="D2088" t="s">
        <v>39</v>
      </c>
      <c r="E2088">
        <v>-4.8369358121004799E-5</v>
      </c>
    </row>
    <row r="2089" spans="1:5" x14ac:dyDescent="0.2">
      <c r="A2089" s="13">
        <v>2087</v>
      </c>
      <c r="B2089" s="1">
        <v>43000</v>
      </c>
      <c r="C2089" t="s">
        <v>29</v>
      </c>
      <c r="D2089" t="s">
        <v>32</v>
      </c>
      <c r="E2089">
        <v>1.4528607075029068E-3</v>
      </c>
    </row>
    <row r="2090" spans="1:5" x14ac:dyDescent="0.2">
      <c r="A2090" s="13">
        <v>2088</v>
      </c>
      <c r="B2090" s="1">
        <v>43000</v>
      </c>
      <c r="C2090" t="s">
        <v>29</v>
      </c>
      <c r="D2090" t="s">
        <v>30</v>
      </c>
      <c r="E2090">
        <v>6.9274340723898993E-6</v>
      </c>
    </row>
    <row r="2091" spans="1:5" x14ac:dyDescent="0.2">
      <c r="A2091" s="13">
        <v>2089</v>
      </c>
      <c r="B2091" s="1">
        <v>43000</v>
      </c>
      <c r="C2091" t="s">
        <v>29</v>
      </c>
      <c r="D2091" t="s">
        <v>49</v>
      </c>
      <c r="E2091">
        <v>0</v>
      </c>
    </row>
    <row r="2092" spans="1:5" x14ac:dyDescent="0.2">
      <c r="A2092" s="13">
        <v>2090</v>
      </c>
      <c r="B2092" s="1">
        <v>43000</v>
      </c>
      <c r="C2092" t="s">
        <v>29</v>
      </c>
      <c r="D2092" t="s">
        <v>145</v>
      </c>
      <c r="E2092">
        <v>0</v>
      </c>
    </row>
    <row r="2093" spans="1:5" x14ac:dyDescent="0.2">
      <c r="A2093" s="13">
        <v>2091</v>
      </c>
      <c r="B2093" s="1">
        <v>43000</v>
      </c>
      <c r="C2093" t="s">
        <v>29</v>
      </c>
      <c r="D2093" t="s">
        <v>233</v>
      </c>
      <c r="E2093">
        <v>0</v>
      </c>
    </row>
    <row r="2094" spans="1:5" x14ac:dyDescent="0.2">
      <c r="A2094" s="13">
        <v>2092</v>
      </c>
      <c r="B2094" s="1">
        <v>43000</v>
      </c>
      <c r="C2094" t="s">
        <v>29</v>
      </c>
      <c r="D2094" t="s">
        <v>172</v>
      </c>
      <c r="E2094">
        <v>0</v>
      </c>
    </row>
    <row r="2095" spans="1:5" x14ac:dyDescent="0.2">
      <c r="A2095" s="13">
        <v>2093</v>
      </c>
      <c r="B2095" s="1">
        <v>43000</v>
      </c>
      <c r="C2095" t="s">
        <v>29</v>
      </c>
      <c r="D2095" t="s">
        <v>72</v>
      </c>
      <c r="E2095">
        <v>4.6848672730584173</v>
      </c>
    </row>
    <row r="2096" spans="1:5" x14ac:dyDescent="0.2">
      <c r="A2096" s="13">
        <v>2094</v>
      </c>
      <c r="B2096" s="1">
        <v>43000</v>
      </c>
      <c r="C2096" t="s">
        <v>29</v>
      </c>
      <c r="D2096" t="s">
        <v>186</v>
      </c>
      <c r="E2096">
        <v>1.7191089705681051E-4</v>
      </c>
    </row>
    <row r="2097" spans="1:5" x14ac:dyDescent="0.2">
      <c r="A2097" s="13">
        <v>2095</v>
      </c>
      <c r="B2097" s="1">
        <v>43000</v>
      </c>
      <c r="C2097" t="s">
        <v>29</v>
      </c>
      <c r="D2097" t="s">
        <v>187</v>
      </c>
      <c r="E2097">
        <v>0</v>
      </c>
    </row>
    <row r="2098" spans="1:5" x14ac:dyDescent="0.2">
      <c r="A2098" s="13">
        <v>2096</v>
      </c>
      <c r="B2098" s="1">
        <v>43000</v>
      </c>
      <c r="C2098" t="s">
        <v>29</v>
      </c>
      <c r="D2098" t="s">
        <v>188</v>
      </c>
      <c r="E2098">
        <v>0</v>
      </c>
    </row>
    <row r="2099" spans="1:5" x14ac:dyDescent="0.2">
      <c r="A2099" s="13">
        <v>2097</v>
      </c>
      <c r="B2099" s="1">
        <v>43000</v>
      </c>
      <c r="C2099" t="s">
        <v>29</v>
      </c>
      <c r="D2099" t="s">
        <v>189</v>
      </c>
      <c r="E2099">
        <v>0</v>
      </c>
    </row>
    <row r="2100" spans="1:5" x14ac:dyDescent="0.2">
      <c r="A2100" s="13">
        <v>2098</v>
      </c>
      <c r="B2100" s="1">
        <v>43000</v>
      </c>
      <c r="C2100" t="s">
        <v>29</v>
      </c>
      <c r="D2100" t="s">
        <v>190</v>
      </c>
      <c r="E2100">
        <v>0</v>
      </c>
    </row>
    <row r="2101" spans="1:5" x14ac:dyDescent="0.2">
      <c r="A2101" s="13">
        <v>2099</v>
      </c>
      <c r="B2101" s="1">
        <v>43000</v>
      </c>
      <c r="C2101" t="s">
        <v>29</v>
      </c>
      <c r="D2101" t="s">
        <v>191</v>
      </c>
      <c r="E2101">
        <v>1.2395078863974807E-3</v>
      </c>
    </row>
    <row r="2102" spans="1:5" x14ac:dyDescent="0.2">
      <c r="A2102" s="13">
        <v>2100</v>
      </c>
      <c r="B2102" s="1">
        <v>43000</v>
      </c>
      <c r="C2102" t="s">
        <v>87</v>
      </c>
      <c r="D2102" t="s">
        <v>39</v>
      </c>
      <c r="E2102">
        <v>3.0009301260914712E-3</v>
      </c>
    </row>
    <row r="2103" spans="1:5" x14ac:dyDescent="0.2">
      <c r="A2103" s="13">
        <v>2101</v>
      </c>
      <c r="B2103" s="1">
        <v>43000</v>
      </c>
      <c r="C2103" t="s">
        <v>87</v>
      </c>
      <c r="D2103" t="s">
        <v>32</v>
      </c>
      <c r="E2103">
        <v>1.2874196027692297E-2</v>
      </c>
    </row>
    <row r="2104" spans="1:5" x14ac:dyDescent="0.2">
      <c r="A2104" s="13">
        <v>2102</v>
      </c>
      <c r="B2104" s="1">
        <v>43000</v>
      </c>
      <c r="C2104" t="s">
        <v>87</v>
      </c>
      <c r="D2104" t="s">
        <v>30</v>
      </c>
      <c r="E2104">
        <v>-6.3909260971789809E-4</v>
      </c>
    </row>
    <row r="2105" spans="1:5" x14ac:dyDescent="0.2">
      <c r="A2105" s="13">
        <v>2103</v>
      </c>
      <c r="B2105" s="1">
        <v>43000</v>
      </c>
      <c r="C2105" t="s">
        <v>87</v>
      </c>
      <c r="D2105" t="s">
        <v>49</v>
      </c>
      <c r="E2105">
        <v>0</v>
      </c>
    </row>
    <row r="2106" spans="1:5" x14ac:dyDescent="0.2">
      <c r="A2106" s="13">
        <v>2104</v>
      </c>
      <c r="B2106" s="1">
        <v>43000</v>
      </c>
      <c r="C2106" t="s">
        <v>87</v>
      </c>
      <c r="D2106" t="s">
        <v>145</v>
      </c>
      <c r="E2106">
        <v>3.3674264662456521E-4</v>
      </c>
    </row>
    <row r="2107" spans="1:5" x14ac:dyDescent="0.2">
      <c r="A2107" s="13">
        <v>2105</v>
      </c>
      <c r="B2107" s="1">
        <v>43000</v>
      </c>
      <c r="C2107" t="s">
        <v>87</v>
      </c>
      <c r="D2107" t="s">
        <v>233</v>
      </c>
      <c r="E2107">
        <v>0</v>
      </c>
    </row>
    <row r="2108" spans="1:5" x14ac:dyDescent="0.2">
      <c r="A2108" s="13">
        <v>2106</v>
      </c>
      <c r="B2108" s="1">
        <v>43000</v>
      </c>
      <c r="C2108" t="s">
        <v>87</v>
      </c>
      <c r="D2108" t="s">
        <v>172</v>
      </c>
      <c r="E2108">
        <v>0</v>
      </c>
    </row>
    <row r="2109" spans="1:5" x14ac:dyDescent="0.2">
      <c r="A2109" s="13">
        <v>2107</v>
      </c>
      <c r="B2109" s="1">
        <v>43000</v>
      </c>
      <c r="C2109" t="s">
        <v>87</v>
      </c>
      <c r="D2109" t="s">
        <v>72</v>
      </c>
      <c r="E2109">
        <v>9.3028413177112306</v>
      </c>
    </row>
    <row r="2110" spans="1:5" x14ac:dyDescent="0.2">
      <c r="A2110" s="13">
        <v>2108</v>
      </c>
      <c r="B2110" s="1">
        <v>43000</v>
      </c>
      <c r="C2110" t="s">
        <v>87</v>
      </c>
      <c r="D2110" t="s">
        <v>186</v>
      </c>
      <c r="E2110">
        <v>1.5670723462942487E-2</v>
      </c>
    </row>
    <row r="2111" spans="1:5" x14ac:dyDescent="0.2">
      <c r="A2111" s="13">
        <v>2109</v>
      </c>
      <c r="B2111" s="1">
        <v>43000</v>
      </c>
      <c r="C2111" t="s">
        <v>87</v>
      </c>
      <c r="D2111" t="s">
        <v>187</v>
      </c>
      <c r="E2111">
        <v>1.047434652703175E-4</v>
      </c>
    </row>
    <row r="2112" spans="1:5" x14ac:dyDescent="0.2">
      <c r="A2112" s="13">
        <v>2110</v>
      </c>
      <c r="B2112" s="1">
        <v>43000</v>
      </c>
      <c r="C2112" t="s">
        <v>87</v>
      </c>
      <c r="D2112" t="s">
        <v>188</v>
      </c>
      <c r="E2112">
        <v>-1.6819517123388392E-4</v>
      </c>
    </row>
    <row r="2113" spans="1:5" x14ac:dyDescent="0.2">
      <c r="A2113" s="13">
        <v>2111</v>
      </c>
      <c r="B2113" s="1">
        <v>43000</v>
      </c>
      <c r="C2113" t="s">
        <v>87</v>
      </c>
      <c r="D2113" t="s">
        <v>189</v>
      </c>
      <c r="E2113">
        <v>-1.8074979368819911E-4</v>
      </c>
    </row>
    <row r="2114" spans="1:5" x14ac:dyDescent="0.2">
      <c r="A2114" s="13">
        <v>2112</v>
      </c>
      <c r="B2114" s="1">
        <v>43000</v>
      </c>
      <c r="C2114" t="s">
        <v>87</v>
      </c>
      <c r="D2114" t="s">
        <v>190</v>
      </c>
      <c r="E2114">
        <v>-1.0485222560452495E-4</v>
      </c>
    </row>
    <row r="2115" spans="1:5" x14ac:dyDescent="0.2">
      <c r="A2115" s="13">
        <v>2113</v>
      </c>
      <c r="B2115" s="1">
        <v>43000</v>
      </c>
      <c r="C2115" t="s">
        <v>87</v>
      </c>
      <c r="D2115" t="s">
        <v>191</v>
      </c>
      <c r="E2115">
        <v>2.5110645300424275E-4</v>
      </c>
    </row>
    <row r="2116" spans="1:5" x14ac:dyDescent="0.2">
      <c r="A2116" s="13">
        <v>2114</v>
      </c>
      <c r="B2116" s="1">
        <v>43000</v>
      </c>
      <c r="C2116" t="s">
        <v>61</v>
      </c>
      <c r="D2116" t="s">
        <v>39</v>
      </c>
      <c r="E2116">
        <v>1.3143895037751457E-3</v>
      </c>
    </row>
    <row r="2117" spans="1:5" x14ac:dyDescent="0.2">
      <c r="A2117" s="13">
        <v>2115</v>
      </c>
      <c r="B2117" s="1">
        <v>43000</v>
      </c>
      <c r="C2117" t="s">
        <v>61</v>
      </c>
      <c r="D2117" t="s">
        <v>32</v>
      </c>
      <c r="E2117">
        <v>9.8187739307781952E-3</v>
      </c>
    </row>
    <row r="2118" spans="1:5" x14ac:dyDescent="0.2">
      <c r="A2118" s="13">
        <v>2116</v>
      </c>
      <c r="B2118" s="1">
        <v>43000</v>
      </c>
      <c r="C2118" t="s">
        <v>61</v>
      </c>
      <c r="D2118" t="s">
        <v>30</v>
      </c>
      <c r="E2118">
        <v>0</v>
      </c>
    </row>
    <row r="2119" spans="1:5" x14ac:dyDescent="0.2">
      <c r="A2119" s="13">
        <v>2117</v>
      </c>
      <c r="B2119" s="1">
        <v>43000</v>
      </c>
      <c r="C2119" t="s">
        <v>61</v>
      </c>
      <c r="D2119" t="s">
        <v>49</v>
      </c>
      <c r="E2119">
        <v>0</v>
      </c>
    </row>
    <row r="2120" spans="1:5" x14ac:dyDescent="0.2">
      <c r="A2120" s="13">
        <v>2118</v>
      </c>
      <c r="B2120" s="1">
        <v>43000</v>
      </c>
      <c r="C2120" t="s">
        <v>61</v>
      </c>
      <c r="D2120" t="s">
        <v>145</v>
      </c>
      <c r="E2120">
        <v>0</v>
      </c>
    </row>
    <row r="2121" spans="1:5" x14ac:dyDescent="0.2">
      <c r="A2121" s="13">
        <v>2119</v>
      </c>
      <c r="B2121" s="1">
        <v>43000</v>
      </c>
      <c r="C2121" t="s">
        <v>61</v>
      </c>
      <c r="D2121" t="s">
        <v>233</v>
      </c>
      <c r="E2121">
        <v>0</v>
      </c>
    </row>
    <row r="2122" spans="1:5" x14ac:dyDescent="0.2">
      <c r="A2122" s="13">
        <v>2120</v>
      </c>
      <c r="B2122" s="1">
        <v>43000</v>
      </c>
      <c r="C2122" t="s">
        <v>61</v>
      </c>
      <c r="D2122" t="s">
        <v>172</v>
      </c>
      <c r="E2122">
        <v>0</v>
      </c>
    </row>
    <row r="2123" spans="1:5" x14ac:dyDescent="0.2">
      <c r="A2123" s="13">
        <v>2121</v>
      </c>
      <c r="B2123" s="1">
        <v>43000</v>
      </c>
      <c r="C2123" t="s">
        <v>61</v>
      </c>
      <c r="D2123" t="s">
        <v>72</v>
      </c>
      <c r="E2123">
        <v>5.6588824585780433</v>
      </c>
    </row>
    <row r="2124" spans="1:5" x14ac:dyDescent="0.2">
      <c r="A2124" s="13">
        <v>2122</v>
      </c>
      <c r="B2124" s="1">
        <v>43000</v>
      </c>
      <c r="C2124" t="s">
        <v>61</v>
      </c>
      <c r="D2124" t="s">
        <v>186</v>
      </c>
      <c r="E2124">
        <v>1.1133163434553334E-2</v>
      </c>
    </row>
    <row r="2125" spans="1:5" x14ac:dyDescent="0.2">
      <c r="A2125" s="13">
        <v>2123</v>
      </c>
      <c r="B2125" s="1">
        <v>43000</v>
      </c>
      <c r="C2125" t="s">
        <v>61</v>
      </c>
      <c r="D2125" t="s">
        <v>187</v>
      </c>
      <c r="E2125">
        <v>0</v>
      </c>
    </row>
    <row r="2126" spans="1:5" x14ac:dyDescent="0.2">
      <c r="A2126" s="13">
        <v>2124</v>
      </c>
      <c r="B2126" s="1">
        <v>43000</v>
      </c>
      <c r="C2126" t="s">
        <v>61</v>
      </c>
      <c r="D2126" t="s">
        <v>188</v>
      </c>
      <c r="E2126">
        <v>0</v>
      </c>
    </row>
    <row r="2127" spans="1:5" x14ac:dyDescent="0.2">
      <c r="A2127" s="13">
        <v>2125</v>
      </c>
      <c r="B2127" s="1">
        <v>43000</v>
      </c>
      <c r="C2127" t="s">
        <v>61</v>
      </c>
      <c r="D2127" t="s">
        <v>189</v>
      </c>
      <c r="E2127">
        <v>0</v>
      </c>
    </row>
    <row r="2128" spans="1:5" x14ac:dyDescent="0.2">
      <c r="A2128" s="13">
        <v>2126</v>
      </c>
      <c r="B2128" s="1">
        <v>43000</v>
      </c>
      <c r="C2128" t="s">
        <v>61</v>
      </c>
      <c r="D2128" t="s">
        <v>190</v>
      </c>
      <c r="E2128">
        <v>0</v>
      </c>
    </row>
    <row r="2129" spans="1:5" x14ac:dyDescent="0.2">
      <c r="A2129" s="13">
        <v>2127</v>
      </c>
      <c r="B2129" s="1">
        <v>43000</v>
      </c>
      <c r="C2129" t="s">
        <v>61</v>
      </c>
      <c r="D2129" t="s">
        <v>191</v>
      </c>
      <c r="E2129">
        <v>0</v>
      </c>
    </row>
    <row r="2130" spans="1:5" x14ac:dyDescent="0.2">
      <c r="A2130" s="13">
        <v>2128</v>
      </c>
      <c r="B2130" s="1">
        <v>43000</v>
      </c>
      <c r="C2130" t="s">
        <v>53</v>
      </c>
      <c r="D2130" t="s">
        <v>39</v>
      </c>
      <c r="E2130">
        <v>1.0103038211592892E-4</v>
      </c>
    </row>
    <row r="2131" spans="1:5" x14ac:dyDescent="0.2">
      <c r="A2131" s="13">
        <v>2129</v>
      </c>
      <c r="B2131" s="1">
        <v>43000</v>
      </c>
      <c r="C2131" t="s">
        <v>53</v>
      </c>
      <c r="D2131" t="s">
        <v>32</v>
      </c>
      <c r="E2131">
        <v>4.285103341631737E-3</v>
      </c>
    </row>
    <row r="2132" spans="1:5" x14ac:dyDescent="0.2">
      <c r="A2132" s="13">
        <v>2130</v>
      </c>
      <c r="B2132" s="1">
        <v>43000</v>
      </c>
      <c r="C2132" t="s">
        <v>53</v>
      </c>
      <c r="D2132" t="s">
        <v>30</v>
      </c>
      <c r="E2132">
        <v>1.9003110122873664E-4</v>
      </c>
    </row>
    <row r="2133" spans="1:5" x14ac:dyDescent="0.2">
      <c r="A2133" s="13">
        <v>2131</v>
      </c>
      <c r="B2133" s="1">
        <v>43000</v>
      </c>
      <c r="C2133" t="s">
        <v>53</v>
      </c>
      <c r="D2133" t="s">
        <v>49</v>
      </c>
      <c r="E2133">
        <v>0</v>
      </c>
    </row>
    <row r="2134" spans="1:5" x14ac:dyDescent="0.2">
      <c r="A2134" s="13">
        <v>2132</v>
      </c>
      <c r="B2134" s="1">
        <v>43000</v>
      </c>
      <c r="C2134" t="s">
        <v>53</v>
      </c>
      <c r="D2134" t="s">
        <v>145</v>
      </c>
      <c r="E2134">
        <v>0</v>
      </c>
    </row>
    <row r="2135" spans="1:5" x14ac:dyDescent="0.2">
      <c r="A2135" s="13">
        <v>2133</v>
      </c>
      <c r="B2135" s="1">
        <v>43000</v>
      </c>
      <c r="C2135" t="s">
        <v>53</v>
      </c>
      <c r="D2135" t="s">
        <v>233</v>
      </c>
      <c r="E2135">
        <v>0</v>
      </c>
    </row>
    <row r="2136" spans="1:5" x14ac:dyDescent="0.2">
      <c r="A2136" s="13">
        <v>2134</v>
      </c>
      <c r="B2136" s="1">
        <v>43000</v>
      </c>
      <c r="C2136" t="s">
        <v>53</v>
      </c>
      <c r="D2136" t="s">
        <v>172</v>
      </c>
      <c r="E2136">
        <v>0</v>
      </c>
    </row>
    <row r="2137" spans="1:5" x14ac:dyDescent="0.2">
      <c r="A2137" s="13">
        <v>2135</v>
      </c>
      <c r="B2137" s="1">
        <v>43000</v>
      </c>
      <c r="C2137" t="s">
        <v>53</v>
      </c>
      <c r="D2137" t="s">
        <v>72</v>
      </c>
      <c r="E2137">
        <v>6.4051542386545188</v>
      </c>
    </row>
    <row r="2138" spans="1:5" x14ac:dyDescent="0.2">
      <c r="A2138" s="13">
        <v>2136</v>
      </c>
      <c r="B2138" s="1">
        <v>43000</v>
      </c>
      <c r="C2138" t="s">
        <v>53</v>
      </c>
      <c r="D2138" t="s">
        <v>186</v>
      </c>
      <c r="E2138">
        <v>1.7056113729921076E-3</v>
      </c>
    </row>
    <row r="2139" spans="1:5" x14ac:dyDescent="0.2">
      <c r="A2139" s="13">
        <v>2137</v>
      </c>
      <c r="B2139" s="1">
        <v>43000</v>
      </c>
      <c r="C2139" t="s">
        <v>53</v>
      </c>
      <c r="D2139" t="s">
        <v>187</v>
      </c>
      <c r="E2139">
        <v>0</v>
      </c>
    </row>
    <row r="2140" spans="1:5" x14ac:dyDescent="0.2">
      <c r="A2140" s="13">
        <v>2138</v>
      </c>
      <c r="B2140" s="1">
        <v>43000</v>
      </c>
      <c r="C2140" t="s">
        <v>53</v>
      </c>
      <c r="D2140" t="s">
        <v>188</v>
      </c>
      <c r="E2140">
        <v>0</v>
      </c>
    </row>
    <row r="2141" spans="1:5" x14ac:dyDescent="0.2">
      <c r="A2141" s="13">
        <v>2139</v>
      </c>
      <c r="B2141" s="1">
        <v>43000</v>
      </c>
      <c r="C2141" t="s">
        <v>53</v>
      </c>
      <c r="D2141" t="s">
        <v>189</v>
      </c>
      <c r="E2141">
        <v>0</v>
      </c>
    </row>
    <row r="2142" spans="1:5" x14ac:dyDescent="0.2">
      <c r="A2142" s="13">
        <v>2140</v>
      </c>
      <c r="B2142" s="1">
        <v>43000</v>
      </c>
      <c r="C2142" t="s">
        <v>53</v>
      </c>
      <c r="D2142" t="s">
        <v>190</v>
      </c>
      <c r="E2142">
        <v>0</v>
      </c>
    </row>
    <row r="2143" spans="1:5" x14ac:dyDescent="0.2">
      <c r="A2143" s="13">
        <v>2141</v>
      </c>
      <c r="B2143" s="1">
        <v>43000</v>
      </c>
      <c r="C2143" t="s">
        <v>53</v>
      </c>
      <c r="D2143" t="s">
        <v>191</v>
      </c>
      <c r="E2143">
        <v>2.8705534519842943E-3</v>
      </c>
    </row>
    <row r="2144" spans="1:5" x14ac:dyDescent="0.2">
      <c r="A2144" s="13">
        <v>2142</v>
      </c>
      <c r="B2144" s="1">
        <v>42999</v>
      </c>
      <c r="C2144" t="s">
        <v>62</v>
      </c>
      <c r="D2144" t="s">
        <v>39</v>
      </c>
      <c r="E2144">
        <v>4.4930496897749904E-3</v>
      </c>
    </row>
    <row r="2145" spans="1:5" x14ac:dyDescent="0.2">
      <c r="A2145" s="13">
        <v>2143</v>
      </c>
      <c r="B2145" s="1">
        <v>42999</v>
      </c>
      <c r="C2145" t="s">
        <v>62</v>
      </c>
      <c r="D2145" t="s">
        <v>32</v>
      </c>
      <c r="E2145">
        <v>3.1156456831955216E-3</v>
      </c>
    </row>
    <row r="2146" spans="1:5" x14ac:dyDescent="0.2">
      <c r="A2146" s="13">
        <v>2144</v>
      </c>
      <c r="B2146" s="1">
        <v>42999</v>
      </c>
      <c r="C2146" t="s">
        <v>62</v>
      </c>
      <c r="D2146" t="s">
        <v>30</v>
      </c>
      <c r="E2146">
        <v>-2.9358810550540382E-5</v>
      </c>
    </row>
    <row r="2147" spans="1:5" x14ac:dyDescent="0.2">
      <c r="A2147" s="13">
        <v>2145</v>
      </c>
      <c r="B2147" s="1">
        <v>42999</v>
      </c>
      <c r="C2147" t="s">
        <v>62</v>
      </c>
      <c r="D2147" t="s">
        <v>49</v>
      </c>
      <c r="E2147">
        <v>1.4924852518958179E-7</v>
      </c>
    </row>
    <row r="2148" spans="1:5" x14ac:dyDescent="0.2">
      <c r="A2148" s="13">
        <v>2146</v>
      </c>
      <c r="B2148" s="1">
        <v>42999</v>
      </c>
      <c r="C2148" t="s">
        <v>62</v>
      </c>
      <c r="D2148" t="s">
        <v>145</v>
      </c>
      <c r="E2148">
        <v>0</v>
      </c>
    </row>
    <row r="2149" spans="1:5" x14ac:dyDescent="0.2">
      <c r="A2149" s="13">
        <v>2147</v>
      </c>
      <c r="B2149" s="1">
        <v>42999</v>
      </c>
      <c r="C2149" t="s">
        <v>62</v>
      </c>
      <c r="D2149" t="s">
        <v>233</v>
      </c>
      <c r="E2149">
        <v>0</v>
      </c>
    </row>
    <row r="2150" spans="1:5" x14ac:dyDescent="0.2">
      <c r="A2150" s="13">
        <v>2148</v>
      </c>
      <c r="B2150" s="1">
        <v>42999</v>
      </c>
      <c r="C2150" t="s">
        <v>62</v>
      </c>
      <c r="D2150" t="s">
        <v>172</v>
      </c>
      <c r="E2150">
        <v>0</v>
      </c>
    </row>
    <row r="2151" spans="1:5" x14ac:dyDescent="0.2">
      <c r="A2151" s="13">
        <v>2149</v>
      </c>
      <c r="B2151" s="1">
        <v>42999</v>
      </c>
      <c r="C2151" t="s">
        <v>62</v>
      </c>
      <c r="D2151" t="s">
        <v>72</v>
      </c>
      <c r="E2151">
        <v>3.4272749621167846</v>
      </c>
    </row>
    <row r="2152" spans="1:5" x14ac:dyDescent="0.2">
      <c r="A2152" s="13">
        <v>2150</v>
      </c>
      <c r="B2152" s="1">
        <v>42999</v>
      </c>
      <c r="C2152" t="s">
        <v>62</v>
      </c>
      <c r="D2152" t="s">
        <v>186</v>
      </c>
      <c r="E2152">
        <v>7.6086953729705116E-3</v>
      </c>
    </row>
    <row r="2153" spans="1:5" x14ac:dyDescent="0.2">
      <c r="A2153" s="13">
        <v>2151</v>
      </c>
      <c r="B2153" s="1">
        <v>42999</v>
      </c>
      <c r="C2153" t="s">
        <v>62</v>
      </c>
      <c r="D2153" t="s">
        <v>187</v>
      </c>
      <c r="E2153">
        <v>0</v>
      </c>
    </row>
    <row r="2154" spans="1:5" x14ac:dyDescent="0.2">
      <c r="A2154" s="13">
        <v>2152</v>
      </c>
      <c r="B2154" s="1">
        <v>42999</v>
      </c>
      <c r="C2154" t="s">
        <v>62</v>
      </c>
      <c r="D2154" t="s">
        <v>188</v>
      </c>
      <c r="E2154">
        <v>0</v>
      </c>
    </row>
    <row r="2155" spans="1:5" x14ac:dyDescent="0.2">
      <c r="A2155" s="13">
        <v>2153</v>
      </c>
      <c r="B2155" s="1">
        <v>42999</v>
      </c>
      <c r="C2155" t="s">
        <v>62</v>
      </c>
      <c r="D2155" t="s">
        <v>189</v>
      </c>
      <c r="E2155">
        <v>0</v>
      </c>
    </row>
    <row r="2156" spans="1:5" x14ac:dyDescent="0.2">
      <c r="A2156" s="13">
        <v>2154</v>
      </c>
      <c r="B2156" s="1">
        <v>42999</v>
      </c>
      <c r="C2156" t="s">
        <v>62</v>
      </c>
      <c r="D2156" t="s">
        <v>190</v>
      </c>
      <c r="E2156">
        <v>0</v>
      </c>
    </row>
    <row r="2157" spans="1:5" x14ac:dyDescent="0.2">
      <c r="A2157" s="13">
        <v>2155</v>
      </c>
      <c r="B2157" s="1">
        <v>42999</v>
      </c>
      <c r="C2157" t="s">
        <v>62</v>
      </c>
      <c r="D2157" t="s">
        <v>191</v>
      </c>
      <c r="E2157">
        <v>-2.92095620253508E-5</v>
      </c>
    </row>
    <row r="2158" spans="1:5" x14ac:dyDescent="0.2">
      <c r="A2158" s="13">
        <v>2156</v>
      </c>
      <c r="B2158" s="1">
        <v>42999</v>
      </c>
      <c r="C2158" t="s">
        <v>63</v>
      </c>
      <c r="D2158" t="s">
        <v>39</v>
      </c>
      <c r="E2158">
        <v>6.6160248351880401E-3</v>
      </c>
    </row>
    <row r="2159" spans="1:5" x14ac:dyDescent="0.2">
      <c r="A2159" s="13">
        <v>2157</v>
      </c>
      <c r="B2159" s="1">
        <v>42999</v>
      </c>
      <c r="C2159" t="s">
        <v>63</v>
      </c>
      <c r="D2159" t="s">
        <v>32</v>
      </c>
      <c r="E2159">
        <v>5.1245292787928205E-3</v>
      </c>
    </row>
    <row r="2160" spans="1:5" x14ac:dyDescent="0.2">
      <c r="A2160" s="13">
        <v>2158</v>
      </c>
      <c r="B2160" s="1">
        <v>42999</v>
      </c>
      <c r="C2160" t="s">
        <v>63</v>
      </c>
      <c r="D2160" t="s">
        <v>30</v>
      </c>
      <c r="E2160">
        <v>-3.3995435445272317E-5</v>
      </c>
    </row>
    <row r="2161" spans="1:5" x14ac:dyDescent="0.2">
      <c r="A2161" s="13">
        <v>2159</v>
      </c>
      <c r="B2161" s="1">
        <v>42999</v>
      </c>
      <c r="C2161" t="s">
        <v>63</v>
      </c>
      <c r="D2161" t="s">
        <v>49</v>
      </c>
      <c r="E2161">
        <v>9.470375112962051E-7</v>
      </c>
    </row>
    <row r="2162" spans="1:5" x14ac:dyDescent="0.2">
      <c r="A2162" s="13">
        <v>2160</v>
      </c>
      <c r="B2162" s="1">
        <v>42999</v>
      </c>
      <c r="C2162" t="s">
        <v>63</v>
      </c>
      <c r="D2162" t="s">
        <v>145</v>
      </c>
      <c r="E2162">
        <v>0</v>
      </c>
    </row>
    <row r="2163" spans="1:5" x14ac:dyDescent="0.2">
      <c r="A2163" s="13">
        <v>2161</v>
      </c>
      <c r="B2163" s="1">
        <v>42999</v>
      </c>
      <c r="C2163" t="s">
        <v>63</v>
      </c>
      <c r="D2163" t="s">
        <v>233</v>
      </c>
      <c r="E2163">
        <v>0</v>
      </c>
    </row>
    <row r="2164" spans="1:5" x14ac:dyDescent="0.2">
      <c r="A2164" s="13">
        <v>2162</v>
      </c>
      <c r="B2164" s="1">
        <v>42999</v>
      </c>
      <c r="C2164" t="s">
        <v>63</v>
      </c>
      <c r="D2164" t="s">
        <v>172</v>
      </c>
      <c r="E2164">
        <v>0</v>
      </c>
    </row>
    <row r="2165" spans="1:5" x14ac:dyDescent="0.2">
      <c r="A2165" s="13">
        <v>2163</v>
      </c>
      <c r="B2165" s="1">
        <v>42999</v>
      </c>
      <c r="C2165" t="s">
        <v>63</v>
      </c>
      <c r="D2165" t="s">
        <v>72</v>
      </c>
      <c r="E2165">
        <v>5.3096397119125145</v>
      </c>
    </row>
    <row r="2166" spans="1:5" x14ac:dyDescent="0.2">
      <c r="A2166" s="13">
        <v>2164</v>
      </c>
      <c r="B2166" s="1">
        <v>42999</v>
      </c>
      <c r="C2166" t="s">
        <v>63</v>
      </c>
      <c r="D2166" t="s">
        <v>186</v>
      </c>
      <c r="E2166">
        <v>1.1740554113980855E-2</v>
      </c>
    </row>
    <row r="2167" spans="1:5" x14ac:dyDescent="0.2">
      <c r="A2167" s="13">
        <v>2165</v>
      </c>
      <c r="B2167" s="1">
        <v>42999</v>
      </c>
      <c r="C2167" t="s">
        <v>63</v>
      </c>
      <c r="D2167" t="s">
        <v>187</v>
      </c>
      <c r="E2167">
        <v>0</v>
      </c>
    </row>
    <row r="2168" spans="1:5" x14ac:dyDescent="0.2">
      <c r="A2168" s="13">
        <v>2166</v>
      </c>
      <c r="B2168" s="1">
        <v>42999</v>
      </c>
      <c r="C2168" t="s">
        <v>63</v>
      </c>
      <c r="D2168" t="s">
        <v>188</v>
      </c>
      <c r="E2168">
        <v>0</v>
      </c>
    </row>
    <row r="2169" spans="1:5" x14ac:dyDescent="0.2">
      <c r="A2169" s="13">
        <v>2167</v>
      </c>
      <c r="B2169" s="1">
        <v>42999</v>
      </c>
      <c r="C2169" t="s">
        <v>63</v>
      </c>
      <c r="D2169" t="s">
        <v>189</v>
      </c>
      <c r="E2169">
        <v>0</v>
      </c>
    </row>
    <row r="2170" spans="1:5" x14ac:dyDescent="0.2">
      <c r="A2170" s="13">
        <v>2168</v>
      </c>
      <c r="B2170" s="1">
        <v>42999</v>
      </c>
      <c r="C2170" t="s">
        <v>63</v>
      </c>
      <c r="D2170" t="s">
        <v>190</v>
      </c>
      <c r="E2170">
        <v>0</v>
      </c>
    </row>
    <row r="2171" spans="1:5" x14ac:dyDescent="0.2">
      <c r="A2171" s="13">
        <v>2169</v>
      </c>
      <c r="B2171" s="1">
        <v>42999</v>
      </c>
      <c r="C2171" t="s">
        <v>63</v>
      </c>
      <c r="D2171" t="s">
        <v>191</v>
      </c>
      <c r="E2171">
        <v>-3.3048397933976114E-5</v>
      </c>
    </row>
    <row r="2172" spans="1:5" x14ac:dyDescent="0.2">
      <c r="A2172" s="13">
        <v>2170</v>
      </c>
      <c r="B2172" s="1">
        <v>42999</v>
      </c>
      <c r="C2172" t="s">
        <v>103</v>
      </c>
      <c r="D2172" t="s">
        <v>39</v>
      </c>
      <c r="E2172">
        <v>2.7790870832790221E-2</v>
      </c>
    </row>
    <row r="2173" spans="1:5" x14ac:dyDescent="0.2">
      <c r="A2173" s="13">
        <v>2171</v>
      </c>
      <c r="B2173" s="1">
        <v>42999</v>
      </c>
      <c r="C2173" t="s">
        <v>103</v>
      </c>
      <c r="D2173" t="s">
        <v>32</v>
      </c>
      <c r="E2173">
        <v>0</v>
      </c>
    </row>
    <row r="2174" spans="1:5" x14ac:dyDescent="0.2">
      <c r="A2174" s="13">
        <v>2172</v>
      </c>
      <c r="B2174" s="1">
        <v>42999</v>
      </c>
      <c r="C2174" t="s">
        <v>103</v>
      </c>
      <c r="D2174" t="s">
        <v>30</v>
      </c>
      <c r="E2174">
        <v>0</v>
      </c>
    </row>
    <row r="2175" spans="1:5" x14ac:dyDescent="0.2">
      <c r="A2175" s="13">
        <v>2173</v>
      </c>
      <c r="B2175" s="1">
        <v>42999</v>
      </c>
      <c r="C2175" t="s">
        <v>103</v>
      </c>
      <c r="D2175" t="s">
        <v>49</v>
      </c>
      <c r="E2175">
        <v>0</v>
      </c>
    </row>
    <row r="2176" spans="1:5" x14ac:dyDescent="0.2">
      <c r="A2176" s="13">
        <v>2174</v>
      </c>
      <c r="B2176" s="1">
        <v>42999</v>
      </c>
      <c r="C2176" t="s">
        <v>103</v>
      </c>
      <c r="D2176" t="s">
        <v>145</v>
      </c>
      <c r="E2176">
        <v>0</v>
      </c>
    </row>
    <row r="2177" spans="1:5" x14ac:dyDescent="0.2">
      <c r="A2177" s="13">
        <v>2175</v>
      </c>
      <c r="B2177" s="1">
        <v>42999</v>
      </c>
      <c r="C2177" t="s">
        <v>103</v>
      </c>
      <c r="D2177" t="s">
        <v>233</v>
      </c>
      <c r="E2177">
        <v>0</v>
      </c>
    </row>
    <row r="2178" spans="1:5" x14ac:dyDescent="0.2">
      <c r="A2178" s="13">
        <v>2176</v>
      </c>
      <c r="B2178" s="1">
        <v>42999</v>
      </c>
      <c r="C2178" t="s">
        <v>103</v>
      </c>
      <c r="D2178" t="s">
        <v>172</v>
      </c>
      <c r="E2178">
        <v>0</v>
      </c>
    </row>
    <row r="2179" spans="1:5" x14ac:dyDescent="0.2">
      <c r="A2179" s="13">
        <v>2177</v>
      </c>
      <c r="B2179" s="1">
        <v>42999</v>
      </c>
      <c r="C2179" t="s">
        <v>103</v>
      </c>
      <c r="D2179" t="s">
        <v>72</v>
      </c>
      <c r="E2179">
        <v>0</v>
      </c>
    </row>
    <row r="2180" spans="1:5" x14ac:dyDescent="0.2">
      <c r="A2180" s="13">
        <v>2178</v>
      </c>
      <c r="B2180" s="1">
        <v>42999</v>
      </c>
      <c r="C2180" t="s">
        <v>103</v>
      </c>
      <c r="D2180" t="s">
        <v>186</v>
      </c>
      <c r="E2180">
        <v>2.7790870832790221E-2</v>
      </c>
    </row>
    <row r="2181" spans="1:5" x14ac:dyDescent="0.2">
      <c r="A2181" s="13">
        <v>2179</v>
      </c>
      <c r="B2181" s="1">
        <v>42999</v>
      </c>
      <c r="C2181" t="s">
        <v>103</v>
      </c>
      <c r="D2181" t="s">
        <v>187</v>
      </c>
      <c r="E2181">
        <v>0</v>
      </c>
    </row>
    <row r="2182" spans="1:5" x14ac:dyDescent="0.2">
      <c r="A2182" s="13">
        <v>2180</v>
      </c>
      <c r="B2182" s="1">
        <v>42999</v>
      </c>
      <c r="C2182" t="s">
        <v>103</v>
      </c>
      <c r="D2182" t="s">
        <v>188</v>
      </c>
      <c r="E2182">
        <v>0</v>
      </c>
    </row>
    <row r="2183" spans="1:5" x14ac:dyDescent="0.2">
      <c r="A2183" s="13">
        <v>2181</v>
      </c>
      <c r="B2183" s="1">
        <v>42999</v>
      </c>
      <c r="C2183" t="s">
        <v>103</v>
      </c>
      <c r="D2183" t="s">
        <v>189</v>
      </c>
      <c r="E2183">
        <v>0</v>
      </c>
    </row>
    <row r="2184" spans="1:5" x14ac:dyDescent="0.2">
      <c r="A2184" s="13">
        <v>2182</v>
      </c>
      <c r="B2184" s="1">
        <v>42999</v>
      </c>
      <c r="C2184" t="s">
        <v>103</v>
      </c>
      <c r="D2184" t="s">
        <v>190</v>
      </c>
      <c r="E2184">
        <v>0</v>
      </c>
    </row>
    <row r="2185" spans="1:5" x14ac:dyDescent="0.2">
      <c r="A2185" s="13">
        <v>2183</v>
      </c>
      <c r="B2185" s="1">
        <v>42999</v>
      </c>
      <c r="C2185" t="s">
        <v>103</v>
      </c>
      <c r="D2185" t="s">
        <v>191</v>
      </c>
      <c r="E2185">
        <v>0</v>
      </c>
    </row>
    <row r="2186" spans="1:5" x14ac:dyDescent="0.2">
      <c r="A2186" s="13">
        <v>2184</v>
      </c>
      <c r="B2186" s="1">
        <v>42999</v>
      </c>
      <c r="C2186" t="s">
        <v>104</v>
      </c>
      <c r="D2186" t="s">
        <v>39</v>
      </c>
      <c r="E2186">
        <v>6.6154484538321706E-2</v>
      </c>
    </row>
    <row r="2187" spans="1:5" x14ac:dyDescent="0.2">
      <c r="A2187" s="13">
        <v>2185</v>
      </c>
      <c r="B2187" s="1">
        <v>42999</v>
      </c>
      <c r="C2187" t="s">
        <v>104</v>
      </c>
      <c r="D2187" t="s">
        <v>32</v>
      </c>
      <c r="E2187">
        <v>0</v>
      </c>
    </row>
    <row r="2188" spans="1:5" x14ac:dyDescent="0.2">
      <c r="A2188" s="13">
        <v>2186</v>
      </c>
      <c r="B2188" s="1">
        <v>42999</v>
      </c>
      <c r="C2188" t="s">
        <v>104</v>
      </c>
      <c r="D2188" t="s">
        <v>30</v>
      </c>
      <c r="E2188">
        <v>0</v>
      </c>
    </row>
    <row r="2189" spans="1:5" x14ac:dyDescent="0.2">
      <c r="A2189" s="13">
        <v>2187</v>
      </c>
      <c r="B2189" s="1">
        <v>42999</v>
      </c>
      <c r="C2189" t="s">
        <v>104</v>
      </c>
      <c r="D2189" t="s">
        <v>49</v>
      </c>
      <c r="E2189">
        <v>0</v>
      </c>
    </row>
    <row r="2190" spans="1:5" x14ac:dyDescent="0.2">
      <c r="A2190" s="13">
        <v>2188</v>
      </c>
      <c r="B2190" s="1">
        <v>42999</v>
      </c>
      <c r="C2190" t="s">
        <v>104</v>
      </c>
      <c r="D2190" t="s">
        <v>145</v>
      </c>
      <c r="E2190">
        <v>0</v>
      </c>
    </row>
    <row r="2191" spans="1:5" x14ac:dyDescent="0.2">
      <c r="A2191" s="13">
        <v>2189</v>
      </c>
      <c r="B2191" s="1">
        <v>42999</v>
      </c>
      <c r="C2191" t="s">
        <v>104</v>
      </c>
      <c r="D2191" t="s">
        <v>233</v>
      </c>
      <c r="E2191">
        <v>0</v>
      </c>
    </row>
    <row r="2192" spans="1:5" x14ac:dyDescent="0.2">
      <c r="A2192" s="13">
        <v>2190</v>
      </c>
      <c r="B2192" s="1">
        <v>42999</v>
      </c>
      <c r="C2192" t="s">
        <v>104</v>
      </c>
      <c r="D2192" t="s">
        <v>172</v>
      </c>
      <c r="E2192">
        <v>0</v>
      </c>
    </row>
    <row r="2193" spans="1:5" x14ac:dyDescent="0.2">
      <c r="A2193" s="13">
        <v>2191</v>
      </c>
      <c r="B2193" s="1">
        <v>42999</v>
      </c>
      <c r="C2193" t="s">
        <v>104</v>
      </c>
      <c r="D2193" t="s">
        <v>72</v>
      </c>
      <c r="E2193">
        <v>0</v>
      </c>
    </row>
    <row r="2194" spans="1:5" x14ac:dyDescent="0.2">
      <c r="A2194" s="13">
        <v>2192</v>
      </c>
      <c r="B2194" s="1">
        <v>42999</v>
      </c>
      <c r="C2194" t="s">
        <v>104</v>
      </c>
      <c r="D2194" t="s">
        <v>186</v>
      </c>
      <c r="E2194">
        <v>6.6154484538321706E-2</v>
      </c>
    </row>
    <row r="2195" spans="1:5" x14ac:dyDescent="0.2">
      <c r="A2195" s="13">
        <v>2193</v>
      </c>
      <c r="B2195" s="1">
        <v>42999</v>
      </c>
      <c r="C2195" t="s">
        <v>104</v>
      </c>
      <c r="D2195" t="s">
        <v>187</v>
      </c>
      <c r="E2195">
        <v>0</v>
      </c>
    </row>
    <row r="2196" spans="1:5" x14ac:dyDescent="0.2">
      <c r="A2196" s="13">
        <v>2194</v>
      </c>
      <c r="B2196" s="1">
        <v>42999</v>
      </c>
      <c r="C2196" t="s">
        <v>104</v>
      </c>
      <c r="D2196" t="s">
        <v>188</v>
      </c>
      <c r="E2196">
        <v>0</v>
      </c>
    </row>
    <row r="2197" spans="1:5" x14ac:dyDescent="0.2">
      <c r="A2197" s="13">
        <v>2195</v>
      </c>
      <c r="B2197" s="1">
        <v>42999</v>
      </c>
      <c r="C2197" t="s">
        <v>104</v>
      </c>
      <c r="D2197" t="s">
        <v>189</v>
      </c>
      <c r="E2197">
        <v>0</v>
      </c>
    </row>
    <row r="2198" spans="1:5" x14ac:dyDescent="0.2">
      <c r="A2198" s="13">
        <v>2196</v>
      </c>
      <c r="B2198" s="1">
        <v>42999</v>
      </c>
      <c r="C2198" t="s">
        <v>104</v>
      </c>
      <c r="D2198" t="s">
        <v>190</v>
      </c>
      <c r="E2198">
        <v>0</v>
      </c>
    </row>
    <row r="2199" spans="1:5" x14ac:dyDescent="0.2">
      <c r="A2199" s="13">
        <v>2197</v>
      </c>
      <c r="B2199" s="1">
        <v>42999</v>
      </c>
      <c r="C2199" t="s">
        <v>104</v>
      </c>
      <c r="D2199" t="s">
        <v>191</v>
      </c>
      <c r="E2199">
        <v>0</v>
      </c>
    </row>
    <row r="2200" spans="1:5" x14ac:dyDescent="0.2">
      <c r="A2200" s="13">
        <v>2198</v>
      </c>
      <c r="B2200" s="1">
        <v>42999</v>
      </c>
      <c r="C2200" t="s">
        <v>151</v>
      </c>
      <c r="D2200" t="s">
        <v>39</v>
      </c>
      <c r="E2200">
        <v>0</v>
      </c>
    </row>
    <row r="2201" spans="1:5" x14ac:dyDescent="0.2">
      <c r="A2201" s="13">
        <v>2199</v>
      </c>
      <c r="B2201" s="1">
        <v>42999</v>
      </c>
      <c r="C2201" t="s">
        <v>151</v>
      </c>
      <c r="D2201" t="s">
        <v>32</v>
      </c>
      <c r="E2201">
        <v>0</v>
      </c>
    </row>
    <row r="2202" spans="1:5" x14ac:dyDescent="0.2">
      <c r="A2202" s="13">
        <v>2200</v>
      </c>
      <c r="B2202" s="1">
        <v>42999</v>
      </c>
      <c r="C2202" t="s">
        <v>151</v>
      </c>
      <c r="D2202" t="s">
        <v>30</v>
      </c>
      <c r="E2202">
        <v>4.7964815200011064E-3</v>
      </c>
    </row>
    <row r="2203" spans="1:5" x14ac:dyDescent="0.2">
      <c r="A2203" s="13">
        <v>2201</v>
      </c>
      <c r="B2203" s="1">
        <v>42999</v>
      </c>
      <c r="C2203" t="s">
        <v>151</v>
      </c>
      <c r="D2203" t="s">
        <v>49</v>
      </c>
      <c r="E2203">
        <v>0</v>
      </c>
    </row>
    <row r="2204" spans="1:5" x14ac:dyDescent="0.2">
      <c r="A2204" s="13">
        <v>2202</v>
      </c>
      <c r="B2204" s="1">
        <v>42999</v>
      </c>
      <c r="C2204" t="s">
        <v>151</v>
      </c>
      <c r="D2204" t="s">
        <v>145</v>
      </c>
      <c r="E2204">
        <v>0</v>
      </c>
    </row>
    <row r="2205" spans="1:5" x14ac:dyDescent="0.2">
      <c r="A2205" s="13">
        <v>2203</v>
      </c>
      <c r="B2205" s="1">
        <v>42999</v>
      </c>
      <c r="C2205" t="s">
        <v>151</v>
      </c>
      <c r="D2205" t="s">
        <v>233</v>
      </c>
      <c r="E2205">
        <v>0</v>
      </c>
    </row>
    <row r="2206" spans="1:5" x14ac:dyDescent="0.2">
      <c r="A2206" s="13">
        <v>2204</v>
      </c>
      <c r="B2206" s="1">
        <v>42999</v>
      </c>
      <c r="C2206" t="s">
        <v>151</v>
      </c>
      <c r="D2206" t="s">
        <v>172</v>
      </c>
      <c r="E2206">
        <v>0</v>
      </c>
    </row>
    <row r="2207" spans="1:5" x14ac:dyDescent="0.2">
      <c r="A2207" s="13">
        <v>2205</v>
      </c>
      <c r="B2207" s="1">
        <v>42999</v>
      </c>
      <c r="C2207" t="s">
        <v>151</v>
      </c>
      <c r="D2207" t="s">
        <v>72</v>
      </c>
      <c r="E2207">
        <v>6.648078888746026</v>
      </c>
    </row>
    <row r="2208" spans="1:5" x14ac:dyDescent="0.2">
      <c r="A2208" s="13">
        <v>2206</v>
      </c>
      <c r="B2208" s="1">
        <v>42999</v>
      </c>
      <c r="C2208" t="s">
        <v>151</v>
      </c>
      <c r="D2208" t="s">
        <v>186</v>
      </c>
      <c r="E2208">
        <v>2.3730077308906314E-4</v>
      </c>
    </row>
    <row r="2209" spans="1:5" x14ac:dyDescent="0.2">
      <c r="A2209" s="13">
        <v>2207</v>
      </c>
      <c r="B2209" s="1">
        <v>42999</v>
      </c>
      <c r="C2209" t="s">
        <v>151</v>
      </c>
      <c r="D2209" t="s">
        <v>187</v>
      </c>
      <c r="E2209">
        <v>2.7168087689307696E-3</v>
      </c>
    </row>
    <row r="2210" spans="1:5" x14ac:dyDescent="0.2">
      <c r="A2210" s="13">
        <v>2208</v>
      </c>
      <c r="B2210" s="1">
        <v>42999</v>
      </c>
      <c r="C2210" t="s">
        <v>151</v>
      </c>
      <c r="D2210" t="s">
        <v>188</v>
      </c>
      <c r="E2210">
        <v>9.434935514616242E-4</v>
      </c>
    </row>
    <row r="2211" spans="1:5" x14ac:dyDescent="0.2">
      <c r="A2211" s="13">
        <v>2209</v>
      </c>
      <c r="B2211" s="1">
        <v>42999</v>
      </c>
      <c r="C2211" t="s">
        <v>151</v>
      </c>
      <c r="D2211" t="s">
        <v>189</v>
      </c>
      <c r="E2211">
        <v>4.6729330875029489E-4</v>
      </c>
    </row>
    <row r="2212" spans="1:5" x14ac:dyDescent="0.2">
      <c r="A2212" s="13">
        <v>2210</v>
      </c>
      <c r="B2212" s="1">
        <v>42999</v>
      </c>
      <c r="C2212" t="s">
        <v>151</v>
      </c>
      <c r="D2212" t="s">
        <v>190</v>
      </c>
      <c r="E2212">
        <v>1.1876792297366146E-3</v>
      </c>
    </row>
    <row r="2213" spans="1:5" x14ac:dyDescent="0.2">
      <c r="A2213" s="13">
        <v>2211</v>
      </c>
      <c r="B2213" s="1">
        <v>42999</v>
      </c>
      <c r="C2213" t="s">
        <v>151</v>
      </c>
      <c r="D2213" t="s">
        <v>191</v>
      </c>
      <c r="E2213">
        <v>-7.5609411196726143E-4</v>
      </c>
    </row>
    <row r="2214" spans="1:5" x14ac:dyDescent="0.2">
      <c r="A2214" s="13">
        <v>2212</v>
      </c>
      <c r="B2214" s="1">
        <v>42999</v>
      </c>
      <c r="C2214" t="s">
        <v>29</v>
      </c>
      <c r="D2214" t="s">
        <v>39</v>
      </c>
      <c r="E2214">
        <v>-3.9754924020231775E-5</v>
      </c>
    </row>
    <row r="2215" spans="1:5" x14ac:dyDescent="0.2">
      <c r="A2215" s="13">
        <v>2213</v>
      </c>
      <c r="B2215" s="1">
        <v>42999</v>
      </c>
      <c r="C2215" t="s">
        <v>29</v>
      </c>
      <c r="D2215" t="s">
        <v>32</v>
      </c>
      <c r="E2215">
        <v>1.4054076780831283E-3</v>
      </c>
    </row>
    <row r="2216" spans="1:5" x14ac:dyDescent="0.2">
      <c r="A2216" s="13">
        <v>2214</v>
      </c>
      <c r="B2216" s="1">
        <v>42999</v>
      </c>
      <c r="C2216" t="s">
        <v>29</v>
      </c>
      <c r="D2216" t="s">
        <v>30</v>
      </c>
      <c r="E2216">
        <v>1.4725438687972578E-5</v>
      </c>
    </row>
    <row r="2217" spans="1:5" x14ac:dyDescent="0.2">
      <c r="A2217" s="13">
        <v>2215</v>
      </c>
      <c r="B2217" s="1">
        <v>42999</v>
      </c>
      <c r="C2217" t="s">
        <v>29</v>
      </c>
      <c r="D2217" t="s">
        <v>49</v>
      </c>
      <c r="E2217">
        <v>0</v>
      </c>
    </row>
    <row r="2218" spans="1:5" x14ac:dyDescent="0.2">
      <c r="A2218" s="13">
        <v>2216</v>
      </c>
      <c r="B2218" s="1">
        <v>42999</v>
      </c>
      <c r="C2218" t="s">
        <v>29</v>
      </c>
      <c r="D2218" t="s">
        <v>145</v>
      </c>
      <c r="E2218">
        <v>0</v>
      </c>
    </row>
    <row r="2219" spans="1:5" x14ac:dyDescent="0.2">
      <c r="A2219" s="13">
        <v>2217</v>
      </c>
      <c r="B2219" s="1">
        <v>42999</v>
      </c>
      <c r="C2219" t="s">
        <v>29</v>
      </c>
      <c r="D2219" t="s">
        <v>233</v>
      </c>
      <c r="E2219">
        <v>0</v>
      </c>
    </row>
    <row r="2220" spans="1:5" x14ac:dyDescent="0.2">
      <c r="A2220" s="13">
        <v>2218</v>
      </c>
      <c r="B2220" s="1">
        <v>42999</v>
      </c>
      <c r="C2220" t="s">
        <v>29</v>
      </c>
      <c r="D2220" t="s">
        <v>172</v>
      </c>
      <c r="E2220">
        <v>0</v>
      </c>
    </row>
    <row r="2221" spans="1:5" x14ac:dyDescent="0.2">
      <c r="A2221" s="13">
        <v>2219</v>
      </c>
      <c r="B2221" s="1">
        <v>42999</v>
      </c>
      <c r="C2221" t="s">
        <v>29</v>
      </c>
      <c r="D2221" t="s">
        <v>72</v>
      </c>
      <c r="E2221">
        <v>4.6654713200601448</v>
      </c>
    </row>
    <row r="2222" spans="1:5" x14ac:dyDescent="0.2">
      <c r="A2222" s="13">
        <v>2220</v>
      </c>
      <c r="B2222" s="1">
        <v>42999</v>
      </c>
      <c r="C2222" t="s">
        <v>29</v>
      </c>
      <c r="D2222" t="s">
        <v>186</v>
      </c>
      <c r="E2222">
        <v>2.9528576065057665E-4</v>
      </c>
    </row>
    <row r="2223" spans="1:5" x14ac:dyDescent="0.2">
      <c r="A2223" s="13">
        <v>2221</v>
      </c>
      <c r="B2223" s="1">
        <v>42999</v>
      </c>
      <c r="C2223" t="s">
        <v>29</v>
      </c>
      <c r="D2223" t="s">
        <v>187</v>
      </c>
      <c r="E2223">
        <v>0</v>
      </c>
    </row>
    <row r="2224" spans="1:5" x14ac:dyDescent="0.2">
      <c r="A2224" s="13">
        <v>2222</v>
      </c>
      <c r="B2224" s="1">
        <v>42999</v>
      </c>
      <c r="C2224" t="s">
        <v>29</v>
      </c>
      <c r="D2224" t="s">
        <v>188</v>
      </c>
      <c r="E2224">
        <v>0</v>
      </c>
    </row>
    <row r="2225" spans="1:5" x14ac:dyDescent="0.2">
      <c r="A2225" s="13">
        <v>2223</v>
      </c>
      <c r="B2225" s="1">
        <v>42999</v>
      </c>
      <c r="C2225" t="s">
        <v>29</v>
      </c>
      <c r="D2225" t="s">
        <v>189</v>
      </c>
      <c r="E2225">
        <v>0</v>
      </c>
    </row>
    <row r="2226" spans="1:5" x14ac:dyDescent="0.2">
      <c r="A2226" s="13">
        <v>2224</v>
      </c>
      <c r="B2226" s="1">
        <v>42999</v>
      </c>
      <c r="C2226" t="s">
        <v>29</v>
      </c>
      <c r="D2226" t="s">
        <v>190</v>
      </c>
      <c r="E2226">
        <v>0</v>
      </c>
    </row>
    <row r="2227" spans="1:5" x14ac:dyDescent="0.2">
      <c r="A2227" s="13">
        <v>2225</v>
      </c>
      <c r="B2227" s="1">
        <v>42999</v>
      </c>
      <c r="C2227" t="s">
        <v>29</v>
      </c>
      <c r="D2227" t="s">
        <v>191</v>
      </c>
      <c r="E2227">
        <v>1.0850924321002937E-3</v>
      </c>
    </row>
    <row r="2228" spans="1:5" x14ac:dyDescent="0.2">
      <c r="A2228" s="13">
        <v>2226</v>
      </c>
      <c r="B2228" s="1">
        <v>42999</v>
      </c>
      <c r="C2228" t="s">
        <v>87</v>
      </c>
      <c r="D2228" t="s">
        <v>39</v>
      </c>
      <c r="E2228">
        <v>2.9445302486171324E-3</v>
      </c>
    </row>
    <row r="2229" spans="1:5" x14ac:dyDescent="0.2">
      <c r="A2229" s="13">
        <v>2227</v>
      </c>
      <c r="B2229" s="1">
        <v>42999</v>
      </c>
      <c r="C2229" t="s">
        <v>87</v>
      </c>
      <c r="D2229" t="s">
        <v>32</v>
      </c>
      <c r="E2229">
        <v>1.3224552454958927E-2</v>
      </c>
    </row>
    <row r="2230" spans="1:5" x14ac:dyDescent="0.2">
      <c r="A2230" s="13">
        <v>2228</v>
      </c>
      <c r="B2230" s="1">
        <v>42999</v>
      </c>
      <c r="C2230" t="s">
        <v>87</v>
      </c>
      <c r="D2230" t="s">
        <v>30</v>
      </c>
      <c r="E2230">
        <v>-5.8109158537877795E-4</v>
      </c>
    </row>
    <row r="2231" spans="1:5" x14ac:dyDescent="0.2">
      <c r="A2231" s="13">
        <v>2229</v>
      </c>
      <c r="B2231" s="1">
        <v>42999</v>
      </c>
      <c r="C2231" t="s">
        <v>87</v>
      </c>
      <c r="D2231" t="s">
        <v>49</v>
      </c>
      <c r="E2231">
        <v>0</v>
      </c>
    </row>
    <row r="2232" spans="1:5" x14ac:dyDescent="0.2">
      <c r="A2232" s="13">
        <v>2230</v>
      </c>
      <c r="B2232" s="1">
        <v>42999</v>
      </c>
      <c r="C2232" t="s">
        <v>87</v>
      </c>
      <c r="D2232" t="s">
        <v>145</v>
      </c>
      <c r="E2232">
        <v>3.5280952073255749E-4</v>
      </c>
    </row>
    <row r="2233" spans="1:5" x14ac:dyDescent="0.2">
      <c r="A2233" s="13">
        <v>2231</v>
      </c>
      <c r="B2233" s="1">
        <v>42999</v>
      </c>
      <c r="C2233" t="s">
        <v>87</v>
      </c>
      <c r="D2233" t="s">
        <v>233</v>
      </c>
      <c r="E2233">
        <v>0</v>
      </c>
    </row>
    <row r="2234" spans="1:5" x14ac:dyDescent="0.2">
      <c r="A2234" s="13">
        <v>2232</v>
      </c>
      <c r="B2234" s="1">
        <v>42999</v>
      </c>
      <c r="C2234" t="s">
        <v>87</v>
      </c>
      <c r="D2234" t="s">
        <v>172</v>
      </c>
      <c r="E2234">
        <v>0</v>
      </c>
    </row>
    <row r="2235" spans="1:5" x14ac:dyDescent="0.2">
      <c r="A2235" s="13">
        <v>2233</v>
      </c>
      <c r="B2235" s="1">
        <v>42999</v>
      </c>
      <c r="C2235" t="s">
        <v>87</v>
      </c>
      <c r="D2235" t="s">
        <v>72</v>
      </c>
      <c r="E2235">
        <v>9.2961720245877082</v>
      </c>
    </row>
    <row r="2236" spans="1:5" x14ac:dyDescent="0.2">
      <c r="A2236" s="13">
        <v>2234</v>
      </c>
      <c r="B2236" s="1">
        <v>42999</v>
      </c>
      <c r="C2236" t="s">
        <v>87</v>
      </c>
      <c r="D2236" t="s">
        <v>186</v>
      </c>
      <c r="E2236">
        <v>1.5982539927269401E-2</v>
      </c>
    </row>
    <row r="2237" spans="1:5" x14ac:dyDescent="0.2">
      <c r="A2237" s="13">
        <v>2235</v>
      </c>
      <c r="B2237" s="1">
        <v>42999</v>
      </c>
      <c r="C2237" t="s">
        <v>87</v>
      </c>
      <c r="D2237" t="s">
        <v>187</v>
      </c>
      <c r="E2237">
        <v>1.411144965050798E-4</v>
      </c>
    </row>
    <row r="2238" spans="1:5" x14ac:dyDescent="0.2">
      <c r="A2238" s="13">
        <v>2236</v>
      </c>
      <c r="B2238" s="1">
        <v>42999</v>
      </c>
      <c r="C2238" t="s">
        <v>87</v>
      </c>
      <c r="D2238" t="s">
        <v>188</v>
      </c>
      <c r="E2238">
        <v>-1.4945051672774563E-4</v>
      </c>
    </row>
    <row r="2239" spans="1:5" x14ac:dyDescent="0.2">
      <c r="A2239" s="13">
        <v>2237</v>
      </c>
      <c r="B2239" s="1">
        <v>42999</v>
      </c>
      <c r="C2239" t="s">
        <v>87</v>
      </c>
      <c r="D2239" t="s">
        <v>189</v>
      </c>
      <c r="E2239">
        <v>-1.6563681862312646E-4</v>
      </c>
    </row>
    <row r="2240" spans="1:5" x14ac:dyDescent="0.2">
      <c r="A2240" s="13">
        <v>2238</v>
      </c>
      <c r="B2240" s="1">
        <v>42999</v>
      </c>
      <c r="C2240" t="s">
        <v>87</v>
      </c>
      <c r="D2240" t="s">
        <v>190</v>
      </c>
      <c r="E2240">
        <v>-9.5583966990579918E-5</v>
      </c>
    </row>
    <row r="2241" spans="1:5" x14ac:dyDescent="0.2">
      <c r="A2241" s="13">
        <v>2239</v>
      </c>
      <c r="B2241" s="1">
        <v>42999</v>
      </c>
      <c r="C2241" t="s">
        <v>87</v>
      </c>
      <c r="D2241" t="s">
        <v>191</v>
      </c>
      <c r="E2241">
        <v>2.2781751749680968E-4</v>
      </c>
    </row>
    <row r="2242" spans="1:5" x14ac:dyDescent="0.2">
      <c r="A2242" s="13">
        <v>2240</v>
      </c>
      <c r="B2242" s="1">
        <v>42999</v>
      </c>
      <c r="C2242" t="s">
        <v>61</v>
      </c>
      <c r="D2242" t="s">
        <v>39</v>
      </c>
      <c r="E2242">
        <v>1.339331504921286E-3</v>
      </c>
    </row>
    <row r="2243" spans="1:5" x14ac:dyDescent="0.2">
      <c r="A2243" s="13">
        <v>2241</v>
      </c>
      <c r="B2243" s="1">
        <v>42999</v>
      </c>
      <c r="C2243" t="s">
        <v>61</v>
      </c>
      <c r="D2243" t="s">
        <v>32</v>
      </c>
      <c r="E2243">
        <v>1.0101905450880355E-2</v>
      </c>
    </row>
    <row r="2244" spans="1:5" x14ac:dyDescent="0.2">
      <c r="A2244" s="13">
        <v>2242</v>
      </c>
      <c r="B2244" s="1">
        <v>42999</v>
      </c>
      <c r="C2244" t="s">
        <v>61</v>
      </c>
      <c r="D2244" t="s">
        <v>30</v>
      </c>
      <c r="E2244">
        <v>0</v>
      </c>
    </row>
    <row r="2245" spans="1:5" x14ac:dyDescent="0.2">
      <c r="A2245" s="13">
        <v>2243</v>
      </c>
      <c r="B2245" s="1">
        <v>42999</v>
      </c>
      <c r="C2245" t="s">
        <v>61</v>
      </c>
      <c r="D2245" t="s">
        <v>49</v>
      </c>
      <c r="E2245">
        <v>0</v>
      </c>
    </row>
    <row r="2246" spans="1:5" x14ac:dyDescent="0.2">
      <c r="A2246" s="13">
        <v>2244</v>
      </c>
      <c r="B2246" s="1">
        <v>42999</v>
      </c>
      <c r="C2246" t="s">
        <v>61</v>
      </c>
      <c r="D2246" t="s">
        <v>145</v>
      </c>
      <c r="E2246">
        <v>0</v>
      </c>
    </row>
    <row r="2247" spans="1:5" x14ac:dyDescent="0.2">
      <c r="A2247" s="13">
        <v>2245</v>
      </c>
      <c r="B2247" s="1">
        <v>42999</v>
      </c>
      <c r="C2247" t="s">
        <v>61</v>
      </c>
      <c r="D2247" t="s">
        <v>233</v>
      </c>
      <c r="E2247">
        <v>0</v>
      </c>
    </row>
    <row r="2248" spans="1:5" x14ac:dyDescent="0.2">
      <c r="A2248" s="13">
        <v>2246</v>
      </c>
      <c r="B2248" s="1">
        <v>42999</v>
      </c>
      <c r="C2248" t="s">
        <v>61</v>
      </c>
      <c r="D2248" t="s">
        <v>172</v>
      </c>
      <c r="E2248">
        <v>0</v>
      </c>
    </row>
    <row r="2249" spans="1:5" x14ac:dyDescent="0.2">
      <c r="A2249" s="13">
        <v>2247</v>
      </c>
      <c r="B2249" s="1">
        <v>42999</v>
      </c>
      <c r="C2249" t="s">
        <v>61</v>
      </c>
      <c r="D2249" t="s">
        <v>72</v>
      </c>
      <c r="E2249">
        <v>5.634943771741308</v>
      </c>
    </row>
    <row r="2250" spans="1:5" x14ac:dyDescent="0.2">
      <c r="A2250" s="13">
        <v>2248</v>
      </c>
      <c r="B2250" s="1">
        <v>42999</v>
      </c>
      <c r="C2250" t="s">
        <v>61</v>
      </c>
      <c r="D2250" t="s">
        <v>186</v>
      </c>
      <c r="E2250">
        <v>1.1441236955801652E-2</v>
      </c>
    </row>
    <row r="2251" spans="1:5" x14ac:dyDescent="0.2">
      <c r="A2251" s="13">
        <v>2249</v>
      </c>
      <c r="B2251" s="1">
        <v>42999</v>
      </c>
      <c r="C2251" t="s">
        <v>61</v>
      </c>
      <c r="D2251" t="s">
        <v>187</v>
      </c>
      <c r="E2251">
        <v>0</v>
      </c>
    </row>
    <row r="2252" spans="1:5" x14ac:dyDescent="0.2">
      <c r="A2252" s="13">
        <v>2250</v>
      </c>
      <c r="B2252" s="1">
        <v>42999</v>
      </c>
      <c r="C2252" t="s">
        <v>61</v>
      </c>
      <c r="D2252" t="s">
        <v>188</v>
      </c>
      <c r="E2252">
        <v>0</v>
      </c>
    </row>
    <row r="2253" spans="1:5" x14ac:dyDescent="0.2">
      <c r="A2253" s="13">
        <v>2251</v>
      </c>
      <c r="B2253" s="1">
        <v>42999</v>
      </c>
      <c r="C2253" t="s">
        <v>61</v>
      </c>
      <c r="D2253" t="s">
        <v>189</v>
      </c>
      <c r="E2253">
        <v>0</v>
      </c>
    </row>
    <row r="2254" spans="1:5" x14ac:dyDescent="0.2">
      <c r="A2254" s="13">
        <v>2252</v>
      </c>
      <c r="B2254" s="1">
        <v>42999</v>
      </c>
      <c r="C2254" t="s">
        <v>61</v>
      </c>
      <c r="D2254" t="s">
        <v>190</v>
      </c>
      <c r="E2254">
        <v>0</v>
      </c>
    </row>
    <row r="2255" spans="1:5" x14ac:dyDescent="0.2">
      <c r="A2255" s="13">
        <v>2253</v>
      </c>
      <c r="B2255" s="1">
        <v>42999</v>
      </c>
      <c r="C2255" t="s">
        <v>61</v>
      </c>
      <c r="D2255" t="s">
        <v>191</v>
      </c>
      <c r="E2255">
        <v>0</v>
      </c>
    </row>
    <row r="2256" spans="1:5" x14ac:dyDescent="0.2">
      <c r="A2256" s="13">
        <v>2254</v>
      </c>
      <c r="B2256" s="1">
        <v>42999</v>
      </c>
      <c r="C2256" t="s">
        <v>53</v>
      </c>
      <c r="D2256" t="s">
        <v>39</v>
      </c>
      <c r="E2256">
        <v>8.9188817954550867E-5</v>
      </c>
    </row>
    <row r="2257" spans="1:5" x14ac:dyDescent="0.2">
      <c r="A2257" s="13">
        <v>2255</v>
      </c>
      <c r="B2257" s="1">
        <v>42999</v>
      </c>
      <c r="C2257" t="s">
        <v>53</v>
      </c>
      <c r="D2257" t="s">
        <v>32</v>
      </c>
      <c r="E2257">
        <v>4.2127308158517772E-3</v>
      </c>
    </row>
    <row r="2258" spans="1:5" x14ac:dyDescent="0.2">
      <c r="A2258" s="13">
        <v>2256</v>
      </c>
      <c r="B2258" s="1">
        <v>42999</v>
      </c>
      <c r="C2258" t="s">
        <v>53</v>
      </c>
      <c r="D2258" t="s">
        <v>30</v>
      </c>
      <c r="E2258">
        <v>9.9779521668294779E-5</v>
      </c>
    </row>
    <row r="2259" spans="1:5" x14ac:dyDescent="0.2">
      <c r="A2259" s="13">
        <v>2257</v>
      </c>
      <c r="B2259" s="1">
        <v>42999</v>
      </c>
      <c r="C2259" t="s">
        <v>53</v>
      </c>
      <c r="D2259" t="s">
        <v>49</v>
      </c>
      <c r="E2259">
        <v>0</v>
      </c>
    </row>
    <row r="2260" spans="1:5" x14ac:dyDescent="0.2">
      <c r="A2260" s="13">
        <v>2258</v>
      </c>
      <c r="B2260" s="1">
        <v>42999</v>
      </c>
      <c r="C2260" t="s">
        <v>53</v>
      </c>
      <c r="D2260" t="s">
        <v>145</v>
      </c>
      <c r="E2260">
        <v>0</v>
      </c>
    </row>
    <row r="2261" spans="1:5" x14ac:dyDescent="0.2">
      <c r="A2261" s="13">
        <v>2259</v>
      </c>
      <c r="B2261" s="1">
        <v>42999</v>
      </c>
      <c r="C2261" t="s">
        <v>53</v>
      </c>
      <c r="D2261" t="s">
        <v>233</v>
      </c>
      <c r="E2261">
        <v>0</v>
      </c>
    </row>
    <row r="2262" spans="1:5" x14ac:dyDescent="0.2">
      <c r="A2262" s="13">
        <v>2260</v>
      </c>
      <c r="B2262" s="1">
        <v>42999</v>
      </c>
      <c r="C2262" t="s">
        <v>53</v>
      </c>
      <c r="D2262" t="s">
        <v>172</v>
      </c>
      <c r="E2262">
        <v>0</v>
      </c>
    </row>
    <row r="2263" spans="1:5" x14ac:dyDescent="0.2">
      <c r="A2263" s="13">
        <v>2261</v>
      </c>
      <c r="B2263" s="1">
        <v>42999</v>
      </c>
      <c r="C2263" t="s">
        <v>53</v>
      </c>
      <c r="D2263" t="s">
        <v>72</v>
      </c>
      <c r="E2263">
        <v>6.4009360755237408</v>
      </c>
    </row>
    <row r="2264" spans="1:5" x14ac:dyDescent="0.2">
      <c r="A2264" s="13">
        <v>2262</v>
      </c>
      <c r="B2264" s="1">
        <v>42999</v>
      </c>
      <c r="C2264" t="s">
        <v>53</v>
      </c>
      <c r="D2264" t="s">
        <v>186</v>
      </c>
      <c r="E2264">
        <v>1.2702369255509184E-3</v>
      </c>
    </row>
    <row r="2265" spans="1:5" x14ac:dyDescent="0.2">
      <c r="A2265" s="13">
        <v>2263</v>
      </c>
      <c r="B2265" s="1">
        <v>42999</v>
      </c>
      <c r="C2265" t="s">
        <v>53</v>
      </c>
      <c r="D2265" t="s">
        <v>187</v>
      </c>
      <c r="E2265">
        <v>0</v>
      </c>
    </row>
    <row r="2266" spans="1:5" x14ac:dyDescent="0.2">
      <c r="A2266" s="13">
        <v>2264</v>
      </c>
      <c r="B2266" s="1">
        <v>42999</v>
      </c>
      <c r="C2266" t="s">
        <v>53</v>
      </c>
      <c r="D2266" t="s">
        <v>188</v>
      </c>
      <c r="E2266">
        <v>0</v>
      </c>
    </row>
    <row r="2267" spans="1:5" x14ac:dyDescent="0.2">
      <c r="A2267" s="13">
        <v>2265</v>
      </c>
      <c r="B2267" s="1">
        <v>42999</v>
      </c>
      <c r="C2267" t="s">
        <v>53</v>
      </c>
      <c r="D2267" t="s">
        <v>189</v>
      </c>
      <c r="E2267">
        <v>0</v>
      </c>
    </row>
    <row r="2268" spans="1:5" x14ac:dyDescent="0.2">
      <c r="A2268" s="13">
        <v>2266</v>
      </c>
      <c r="B2268" s="1">
        <v>42999</v>
      </c>
      <c r="C2268" t="s">
        <v>53</v>
      </c>
      <c r="D2268" t="s">
        <v>190</v>
      </c>
      <c r="E2268">
        <v>0</v>
      </c>
    </row>
    <row r="2269" spans="1:5" x14ac:dyDescent="0.2">
      <c r="A2269" s="13">
        <v>2267</v>
      </c>
      <c r="B2269" s="1">
        <v>42999</v>
      </c>
      <c r="C2269" t="s">
        <v>53</v>
      </c>
      <c r="D2269" t="s">
        <v>191</v>
      </c>
      <c r="E2269">
        <v>3.1314622299237062E-3</v>
      </c>
    </row>
    <row r="2270" spans="1:5" x14ac:dyDescent="0.2">
      <c r="A2270" s="13">
        <v>2268</v>
      </c>
      <c r="B2270" s="1">
        <v>42998</v>
      </c>
      <c r="C2270" t="s">
        <v>62</v>
      </c>
      <c r="D2270" t="s">
        <v>39</v>
      </c>
      <c r="E2270">
        <v>4.6379281866647569E-3</v>
      </c>
    </row>
    <row r="2271" spans="1:5" x14ac:dyDescent="0.2">
      <c r="A2271" s="13">
        <v>2269</v>
      </c>
      <c r="B2271" s="1">
        <v>42998</v>
      </c>
      <c r="C2271" t="s">
        <v>62</v>
      </c>
      <c r="D2271" t="s">
        <v>32</v>
      </c>
      <c r="E2271">
        <v>3.2033198839999566E-3</v>
      </c>
    </row>
    <row r="2272" spans="1:5" x14ac:dyDescent="0.2">
      <c r="A2272" s="13">
        <v>2270</v>
      </c>
      <c r="B2272" s="1">
        <v>42998</v>
      </c>
      <c r="C2272" t="s">
        <v>62</v>
      </c>
      <c r="D2272" t="s">
        <v>30</v>
      </c>
      <c r="E2272">
        <v>-3.025434363030817E-5</v>
      </c>
    </row>
    <row r="2273" spans="1:5" x14ac:dyDescent="0.2">
      <c r="A2273" s="13">
        <v>2271</v>
      </c>
      <c r="B2273" s="1">
        <v>42998</v>
      </c>
      <c r="C2273" t="s">
        <v>62</v>
      </c>
      <c r="D2273" t="s">
        <v>49</v>
      </c>
      <c r="E2273">
        <v>1.5200293373515542E-7</v>
      </c>
    </row>
    <row r="2274" spans="1:5" x14ac:dyDescent="0.2">
      <c r="A2274" s="13">
        <v>2272</v>
      </c>
      <c r="B2274" s="1">
        <v>42998</v>
      </c>
      <c r="C2274" t="s">
        <v>62</v>
      </c>
      <c r="D2274" t="s">
        <v>145</v>
      </c>
      <c r="E2274">
        <v>0</v>
      </c>
    </row>
    <row r="2275" spans="1:5" x14ac:dyDescent="0.2">
      <c r="A2275" s="13">
        <v>2273</v>
      </c>
      <c r="B2275" s="1">
        <v>42998</v>
      </c>
      <c r="C2275" t="s">
        <v>62</v>
      </c>
      <c r="D2275" t="s">
        <v>233</v>
      </c>
      <c r="E2275">
        <v>0</v>
      </c>
    </row>
    <row r="2276" spans="1:5" x14ac:dyDescent="0.2">
      <c r="A2276" s="13">
        <v>2274</v>
      </c>
      <c r="B2276" s="1">
        <v>42998</v>
      </c>
      <c r="C2276" t="s">
        <v>62</v>
      </c>
      <c r="D2276" t="s">
        <v>172</v>
      </c>
      <c r="E2276">
        <v>0</v>
      </c>
    </row>
    <row r="2277" spans="1:5" x14ac:dyDescent="0.2">
      <c r="A2277" s="13">
        <v>2275</v>
      </c>
      <c r="B2277" s="1">
        <v>42998</v>
      </c>
      <c r="C2277" t="s">
        <v>62</v>
      </c>
      <c r="D2277" t="s">
        <v>72</v>
      </c>
      <c r="E2277">
        <v>3.427051992623376</v>
      </c>
    </row>
    <row r="2278" spans="1:5" x14ac:dyDescent="0.2">
      <c r="A2278" s="13">
        <v>2276</v>
      </c>
      <c r="B2278" s="1">
        <v>42998</v>
      </c>
      <c r="C2278" t="s">
        <v>62</v>
      </c>
      <c r="D2278" t="s">
        <v>186</v>
      </c>
      <c r="E2278">
        <v>7.841248070664714E-3</v>
      </c>
    </row>
    <row r="2279" spans="1:5" x14ac:dyDescent="0.2">
      <c r="A2279" s="13">
        <v>2277</v>
      </c>
      <c r="B2279" s="1">
        <v>42998</v>
      </c>
      <c r="C2279" t="s">
        <v>62</v>
      </c>
      <c r="D2279" t="s">
        <v>187</v>
      </c>
      <c r="E2279">
        <v>0</v>
      </c>
    </row>
    <row r="2280" spans="1:5" x14ac:dyDescent="0.2">
      <c r="A2280" s="13">
        <v>2278</v>
      </c>
      <c r="B2280" s="1">
        <v>42998</v>
      </c>
      <c r="C2280" t="s">
        <v>62</v>
      </c>
      <c r="D2280" t="s">
        <v>188</v>
      </c>
      <c r="E2280">
        <v>0</v>
      </c>
    </row>
    <row r="2281" spans="1:5" x14ac:dyDescent="0.2">
      <c r="A2281" s="13">
        <v>2279</v>
      </c>
      <c r="B2281" s="1">
        <v>42998</v>
      </c>
      <c r="C2281" t="s">
        <v>62</v>
      </c>
      <c r="D2281" t="s">
        <v>189</v>
      </c>
      <c r="E2281">
        <v>0</v>
      </c>
    </row>
    <row r="2282" spans="1:5" x14ac:dyDescent="0.2">
      <c r="A2282" s="13">
        <v>2280</v>
      </c>
      <c r="B2282" s="1">
        <v>42998</v>
      </c>
      <c r="C2282" t="s">
        <v>62</v>
      </c>
      <c r="D2282" t="s">
        <v>190</v>
      </c>
      <c r="E2282">
        <v>0</v>
      </c>
    </row>
    <row r="2283" spans="1:5" x14ac:dyDescent="0.2">
      <c r="A2283" s="13">
        <v>2281</v>
      </c>
      <c r="B2283" s="1">
        <v>42998</v>
      </c>
      <c r="C2283" t="s">
        <v>62</v>
      </c>
      <c r="D2283" t="s">
        <v>191</v>
      </c>
      <c r="E2283">
        <v>-3.0102340696573015E-5</v>
      </c>
    </row>
    <row r="2284" spans="1:5" x14ac:dyDescent="0.2">
      <c r="A2284" s="13">
        <v>2282</v>
      </c>
      <c r="B2284" s="1">
        <v>42998</v>
      </c>
      <c r="C2284" t="s">
        <v>63</v>
      </c>
      <c r="D2284" t="s">
        <v>39</v>
      </c>
      <c r="E2284">
        <v>6.8654557905703838E-3</v>
      </c>
    </row>
    <row r="2285" spans="1:5" x14ac:dyDescent="0.2">
      <c r="A2285" s="13">
        <v>2283</v>
      </c>
      <c r="B2285" s="1">
        <v>42998</v>
      </c>
      <c r="C2285" t="s">
        <v>63</v>
      </c>
      <c r="D2285" t="s">
        <v>32</v>
      </c>
      <c r="E2285">
        <v>5.3125641086032363E-3</v>
      </c>
    </row>
    <row r="2286" spans="1:5" x14ac:dyDescent="0.2">
      <c r="A2286" s="13">
        <v>2284</v>
      </c>
      <c r="B2286" s="1">
        <v>42998</v>
      </c>
      <c r="C2286" t="s">
        <v>63</v>
      </c>
      <c r="D2286" t="s">
        <v>30</v>
      </c>
      <c r="E2286">
        <v>-3.5311044216664558E-5</v>
      </c>
    </row>
    <row r="2287" spans="1:5" x14ac:dyDescent="0.2">
      <c r="A2287" s="13">
        <v>2285</v>
      </c>
      <c r="B2287" s="1">
        <v>42998</v>
      </c>
      <c r="C2287" t="s">
        <v>63</v>
      </c>
      <c r="D2287" t="s">
        <v>49</v>
      </c>
      <c r="E2287">
        <v>9.7049265815773967E-7</v>
      </c>
    </row>
    <row r="2288" spans="1:5" x14ac:dyDescent="0.2">
      <c r="A2288" s="13">
        <v>2286</v>
      </c>
      <c r="B2288" s="1">
        <v>42998</v>
      </c>
      <c r="C2288" t="s">
        <v>63</v>
      </c>
      <c r="D2288" t="s">
        <v>145</v>
      </c>
      <c r="E2288">
        <v>0</v>
      </c>
    </row>
    <row r="2289" spans="1:5" x14ac:dyDescent="0.2">
      <c r="A2289" s="13">
        <v>2287</v>
      </c>
      <c r="B2289" s="1">
        <v>42998</v>
      </c>
      <c r="C2289" t="s">
        <v>63</v>
      </c>
      <c r="D2289" t="s">
        <v>233</v>
      </c>
      <c r="E2289">
        <v>0</v>
      </c>
    </row>
    <row r="2290" spans="1:5" x14ac:dyDescent="0.2">
      <c r="A2290" s="13">
        <v>2288</v>
      </c>
      <c r="B2290" s="1">
        <v>42998</v>
      </c>
      <c r="C2290" t="s">
        <v>63</v>
      </c>
      <c r="D2290" t="s">
        <v>172</v>
      </c>
      <c r="E2290">
        <v>0</v>
      </c>
    </row>
    <row r="2291" spans="1:5" x14ac:dyDescent="0.2">
      <c r="A2291" s="13">
        <v>2289</v>
      </c>
      <c r="B2291" s="1">
        <v>42998</v>
      </c>
      <c r="C2291" t="s">
        <v>63</v>
      </c>
      <c r="D2291" t="s">
        <v>72</v>
      </c>
      <c r="E2291">
        <v>5.3402607017430066</v>
      </c>
    </row>
    <row r="2292" spans="1:5" x14ac:dyDescent="0.2">
      <c r="A2292" s="13">
        <v>2290</v>
      </c>
      <c r="B2292" s="1">
        <v>42998</v>
      </c>
      <c r="C2292" t="s">
        <v>63</v>
      </c>
      <c r="D2292" t="s">
        <v>186</v>
      </c>
      <c r="E2292">
        <v>1.2178019899173626E-2</v>
      </c>
    </row>
    <row r="2293" spans="1:5" x14ac:dyDescent="0.2">
      <c r="A2293" s="13">
        <v>2291</v>
      </c>
      <c r="B2293" s="1">
        <v>42998</v>
      </c>
      <c r="C2293" t="s">
        <v>63</v>
      </c>
      <c r="D2293" t="s">
        <v>187</v>
      </c>
      <c r="E2293">
        <v>0</v>
      </c>
    </row>
    <row r="2294" spans="1:5" x14ac:dyDescent="0.2">
      <c r="A2294" s="13">
        <v>2292</v>
      </c>
      <c r="B2294" s="1">
        <v>42998</v>
      </c>
      <c r="C2294" t="s">
        <v>63</v>
      </c>
      <c r="D2294" t="s">
        <v>188</v>
      </c>
      <c r="E2294">
        <v>0</v>
      </c>
    </row>
    <row r="2295" spans="1:5" x14ac:dyDescent="0.2">
      <c r="A2295" s="13">
        <v>2293</v>
      </c>
      <c r="B2295" s="1">
        <v>42998</v>
      </c>
      <c r="C2295" t="s">
        <v>63</v>
      </c>
      <c r="D2295" t="s">
        <v>189</v>
      </c>
      <c r="E2295">
        <v>0</v>
      </c>
    </row>
    <row r="2296" spans="1:5" x14ac:dyDescent="0.2">
      <c r="A2296" s="13">
        <v>2294</v>
      </c>
      <c r="B2296" s="1">
        <v>42998</v>
      </c>
      <c r="C2296" t="s">
        <v>63</v>
      </c>
      <c r="D2296" t="s">
        <v>190</v>
      </c>
      <c r="E2296">
        <v>0</v>
      </c>
    </row>
    <row r="2297" spans="1:5" x14ac:dyDescent="0.2">
      <c r="A2297" s="13">
        <v>2295</v>
      </c>
      <c r="B2297" s="1">
        <v>42998</v>
      </c>
      <c r="C2297" t="s">
        <v>63</v>
      </c>
      <c r="D2297" t="s">
        <v>191</v>
      </c>
      <c r="E2297">
        <v>-3.4340551558506821E-5</v>
      </c>
    </row>
    <row r="2298" spans="1:5" x14ac:dyDescent="0.2">
      <c r="A2298" s="13">
        <v>2296</v>
      </c>
      <c r="B2298" s="1">
        <v>42998</v>
      </c>
      <c r="C2298" t="s">
        <v>103</v>
      </c>
      <c r="D2298" t="s">
        <v>39</v>
      </c>
      <c r="E2298">
        <v>2.8881277603648642E-2</v>
      </c>
    </row>
    <row r="2299" spans="1:5" x14ac:dyDescent="0.2">
      <c r="A2299" s="13">
        <v>2297</v>
      </c>
      <c r="B2299" s="1">
        <v>42998</v>
      </c>
      <c r="C2299" t="s">
        <v>103</v>
      </c>
      <c r="D2299" t="s">
        <v>32</v>
      </c>
      <c r="E2299">
        <v>0</v>
      </c>
    </row>
    <row r="2300" spans="1:5" x14ac:dyDescent="0.2">
      <c r="A2300" s="13">
        <v>2298</v>
      </c>
      <c r="B2300" s="1">
        <v>42998</v>
      </c>
      <c r="C2300" t="s">
        <v>103</v>
      </c>
      <c r="D2300" t="s">
        <v>30</v>
      </c>
      <c r="E2300">
        <v>0</v>
      </c>
    </row>
    <row r="2301" spans="1:5" x14ac:dyDescent="0.2">
      <c r="A2301" s="13">
        <v>2299</v>
      </c>
      <c r="B2301" s="1">
        <v>42998</v>
      </c>
      <c r="C2301" t="s">
        <v>103</v>
      </c>
      <c r="D2301" t="s">
        <v>49</v>
      </c>
      <c r="E2301">
        <v>0</v>
      </c>
    </row>
    <row r="2302" spans="1:5" x14ac:dyDescent="0.2">
      <c r="A2302" s="13">
        <v>2300</v>
      </c>
      <c r="B2302" s="1">
        <v>42998</v>
      </c>
      <c r="C2302" t="s">
        <v>103</v>
      </c>
      <c r="D2302" t="s">
        <v>145</v>
      </c>
      <c r="E2302">
        <v>0</v>
      </c>
    </row>
    <row r="2303" spans="1:5" x14ac:dyDescent="0.2">
      <c r="A2303" s="13">
        <v>2301</v>
      </c>
      <c r="B2303" s="1">
        <v>42998</v>
      </c>
      <c r="C2303" t="s">
        <v>103</v>
      </c>
      <c r="D2303" t="s">
        <v>233</v>
      </c>
      <c r="E2303">
        <v>0</v>
      </c>
    </row>
    <row r="2304" spans="1:5" x14ac:dyDescent="0.2">
      <c r="A2304" s="13">
        <v>2302</v>
      </c>
      <c r="B2304" s="1">
        <v>42998</v>
      </c>
      <c r="C2304" t="s">
        <v>103</v>
      </c>
      <c r="D2304" t="s">
        <v>172</v>
      </c>
      <c r="E2304">
        <v>0</v>
      </c>
    </row>
    <row r="2305" spans="1:5" x14ac:dyDescent="0.2">
      <c r="A2305" s="13">
        <v>2303</v>
      </c>
      <c r="B2305" s="1">
        <v>42998</v>
      </c>
      <c r="C2305" t="s">
        <v>103</v>
      </c>
      <c r="D2305" t="s">
        <v>72</v>
      </c>
      <c r="E2305">
        <v>0</v>
      </c>
    </row>
    <row r="2306" spans="1:5" x14ac:dyDescent="0.2">
      <c r="A2306" s="13">
        <v>2304</v>
      </c>
      <c r="B2306" s="1">
        <v>42998</v>
      </c>
      <c r="C2306" t="s">
        <v>103</v>
      </c>
      <c r="D2306" t="s">
        <v>186</v>
      </c>
      <c r="E2306">
        <v>2.8881277603648642E-2</v>
      </c>
    </row>
    <row r="2307" spans="1:5" x14ac:dyDescent="0.2">
      <c r="A2307" s="13">
        <v>2305</v>
      </c>
      <c r="B2307" s="1">
        <v>42998</v>
      </c>
      <c r="C2307" t="s">
        <v>103</v>
      </c>
      <c r="D2307" t="s">
        <v>187</v>
      </c>
      <c r="E2307">
        <v>0</v>
      </c>
    </row>
    <row r="2308" spans="1:5" x14ac:dyDescent="0.2">
      <c r="A2308" s="13">
        <v>2306</v>
      </c>
      <c r="B2308" s="1">
        <v>42998</v>
      </c>
      <c r="C2308" t="s">
        <v>103</v>
      </c>
      <c r="D2308" t="s">
        <v>188</v>
      </c>
      <c r="E2308">
        <v>0</v>
      </c>
    </row>
    <row r="2309" spans="1:5" x14ac:dyDescent="0.2">
      <c r="A2309" s="13">
        <v>2307</v>
      </c>
      <c r="B2309" s="1">
        <v>42998</v>
      </c>
      <c r="C2309" t="s">
        <v>103</v>
      </c>
      <c r="D2309" t="s">
        <v>189</v>
      </c>
      <c r="E2309">
        <v>0</v>
      </c>
    </row>
    <row r="2310" spans="1:5" x14ac:dyDescent="0.2">
      <c r="A2310" s="13">
        <v>2308</v>
      </c>
      <c r="B2310" s="1">
        <v>42998</v>
      </c>
      <c r="C2310" t="s">
        <v>103</v>
      </c>
      <c r="D2310" t="s">
        <v>190</v>
      </c>
      <c r="E2310">
        <v>0</v>
      </c>
    </row>
    <row r="2311" spans="1:5" x14ac:dyDescent="0.2">
      <c r="A2311" s="13">
        <v>2309</v>
      </c>
      <c r="B2311" s="1">
        <v>42998</v>
      </c>
      <c r="C2311" t="s">
        <v>103</v>
      </c>
      <c r="D2311" t="s">
        <v>191</v>
      </c>
      <c r="E2311">
        <v>0</v>
      </c>
    </row>
    <row r="2312" spans="1:5" x14ac:dyDescent="0.2">
      <c r="A2312" s="13">
        <v>2310</v>
      </c>
      <c r="B2312" s="1">
        <v>42998</v>
      </c>
      <c r="C2312" t="s">
        <v>104</v>
      </c>
      <c r="D2312" t="s">
        <v>39</v>
      </c>
      <c r="E2312">
        <v>5.9473413731374762E-2</v>
      </c>
    </row>
    <row r="2313" spans="1:5" x14ac:dyDescent="0.2">
      <c r="A2313" s="13">
        <v>2311</v>
      </c>
      <c r="B2313" s="1">
        <v>42998</v>
      </c>
      <c r="C2313" t="s">
        <v>104</v>
      </c>
      <c r="D2313" t="s">
        <v>32</v>
      </c>
      <c r="E2313">
        <v>0</v>
      </c>
    </row>
    <row r="2314" spans="1:5" x14ac:dyDescent="0.2">
      <c r="A2314" s="13">
        <v>2312</v>
      </c>
      <c r="B2314" s="1">
        <v>42998</v>
      </c>
      <c r="C2314" t="s">
        <v>104</v>
      </c>
      <c r="D2314" t="s">
        <v>30</v>
      </c>
      <c r="E2314">
        <v>0</v>
      </c>
    </row>
    <row r="2315" spans="1:5" x14ac:dyDescent="0.2">
      <c r="A2315" s="13">
        <v>2313</v>
      </c>
      <c r="B2315" s="1">
        <v>42998</v>
      </c>
      <c r="C2315" t="s">
        <v>104</v>
      </c>
      <c r="D2315" t="s">
        <v>49</v>
      </c>
      <c r="E2315">
        <v>0</v>
      </c>
    </row>
    <row r="2316" spans="1:5" x14ac:dyDescent="0.2">
      <c r="A2316" s="13">
        <v>2314</v>
      </c>
      <c r="B2316" s="1">
        <v>42998</v>
      </c>
      <c r="C2316" t="s">
        <v>104</v>
      </c>
      <c r="D2316" t="s">
        <v>145</v>
      </c>
      <c r="E2316">
        <v>0</v>
      </c>
    </row>
    <row r="2317" spans="1:5" x14ac:dyDescent="0.2">
      <c r="A2317" s="13">
        <v>2315</v>
      </c>
      <c r="B2317" s="1">
        <v>42998</v>
      </c>
      <c r="C2317" t="s">
        <v>104</v>
      </c>
      <c r="D2317" t="s">
        <v>233</v>
      </c>
      <c r="E2317">
        <v>0</v>
      </c>
    </row>
    <row r="2318" spans="1:5" x14ac:dyDescent="0.2">
      <c r="A2318" s="13">
        <v>2316</v>
      </c>
      <c r="B2318" s="1">
        <v>42998</v>
      </c>
      <c r="C2318" t="s">
        <v>104</v>
      </c>
      <c r="D2318" t="s">
        <v>172</v>
      </c>
      <c r="E2318">
        <v>0</v>
      </c>
    </row>
    <row r="2319" spans="1:5" x14ac:dyDescent="0.2">
      <c r="A2319" s="13">
        <v>2317</v>
      </c>
      <c r="B2319" s="1">
        <v>42998</v>
      </c>
      <c r="C2319" t="s">
        <v>104</v>
      </c>
      <c r="D2319" t="s">
        <v>72</v>
      </c>
      <c r="E2319">
        <v>0</v>
      </c>
    </row>
    <row r="2320" spans="1:5" x14ac:dyDescent="0.2">
      <c r="A2320" s="13">
        <v>2318</v>
      </c>
      <c r="B2320" s="1">
        <v>42998</v>
      </c>
      <c r="C2320" t="s">
        <v>104</v>
      </c>
      <c r="D2320" t="s">
        <v>186</v>
      </c>
      <c r="E2320">
        <v>5.9473413731374762E-2</v>
      </c>
    </row>
    <row r="2321" spans="1:5" x14ac:dyDescent="0.2">
      <c r="A2321" s="13">
        <v>2319</v>
      </c>
      <c r="B2321" s="1">
        <v>42998</v>
      </c>
      <c r="C2321" t="s">
        <v>104</v>
      </c>
      <c r="D2321" t="s">
        <v>187</v>
      </c>
      <c r="E2321">
        <v>0</v>
      </c>
    </row>
    <row r="2322" spans="1:5" x14ac:dyDescent="0.2">
      <c r="A2322" s="13">
        <v>2320</v>
      </c>
      <c r="B2322" s="1">
        <v>42998</v>
      </c>
      <c r="C2322" t="s">
        <v>104</v>
      </c>
      <c r="D2322" t="s">
        <v>188</v>
      </c>
      <c r="E2322">
        <v>0</v>
      </c>
    </row>
    <row r="2323" spans="1:5" x14ac:dyDescent="0.2">
      <c r="A2323" s="13">
        <v>2321</v>
      </c>
      <c r="B2323" s="1">
        <v>42998</v>
      </c>
      <c r="C2323" t="s">
        <v>104</v>
      </c>
      <c r="D2323" t="s">
        <v>189</v>
      </c>
      <c r="E2323">
        <v>0</v>
      </c>
    </row>
    <row r="2324" spans="1:5" x14ac:dyDescent="0.2">
      <c r="A2324" s="13">
        <v>2322</v>
      </c>
      <c r="B2324" s="1">
        <v>42998</v>
      </c>
      <c r="C2324" t="s">
        <v>104</v>
      </c>
      <c r="D2324" t="s">
        <v>190</v>
      </c>
      <c r="E2324">
        <v>0</v>
      </c>
    </row>
    <row r="2325" spans="1:5" x14ac:dyDescent="0.2">
      <c r="A2325" s="13">
        <v>2323</v>
      </c>
      <c r="B2325" s="1">
        <v>42998</v>
      </c>
      <c r="C2325" t="s">
        <v>104</v>
      </c>
      <c r="D2325" t="s">
        <v>191</v>
      </c>
      <c r="E2325">
        <v>0</v>
      </c>
    </row>
    <row r="2326" spans="1:5" x14ac:dyDescent="0.2">
      <c r="A2326" s="13">
        <v>2324</v>
      </c>
      <c r="B2326" s="1">
        <v>42998</v>
      </c>
      <c r="C2326" t="s">
        <v>151</v>
      </c>
      <c r="D2326" t="s">
        <v>39</v>
      </c>
      <c r="E2326">
        <v>0</v>
      </c>
    </row>
    <row r="2327" spans="1:5" x14ac:dyDescent="0.2">
      <c r="A2327" s="13">
        <v>2325</v>
      </c>
      <c r="B2327" s="1">
        <v>42998</v>
      </c>
      <c r="C2327" t="s">
        <v>151</v>
      </c>
      <c r="D2327" t="s">
        <v>32</v>
      </c>
      <c r="E2327">
        <v>0</v>
      </c>
    </row>
    <row r="2328" spans="1:5" x14ac:dyDescent="0.2">
      <c r="A2328" s="13">
        <v>2326</v>
      </c>
      <c r="B2328" s="1">
        <v>42998</v>
      </c>
      <c r="C2328" t="s">
        <v>151</v>
      </c>
      <c r="D2328" t="s">
        <v>30</v>
      </c>
      <c r="E2328">
        <v>5.0308566885414784E-3</v>
      </c>
    </row>
    <row r="2329" spans="1:5" x14ac:dyDescent="0.2">
      <c r="A2329" s="13">
        <v>2327</v>
      </c>
      <c r="B2329" s="1">
        <v>42998</v>
      </c>
      <c r="C2329" t="s">
        <v>151</v>
      </c>
      <c r="D2329" t="s">
        <v>49</v>
      </c>
      <c r="E2329">
        <v>0</v>
      </c>
    </row>
    <row r="2330" spans="1:5" x14ac:dyDescent="0.2">
      <c r="A2330" s="13">
        <v>2328</v>
      </c>
      <c r="B2330" s="1">
        <v>42998</v>
      </c>
      <c r="C2330" t="s">
        <v>151</v>
      </c>
      <c r="D2330" t="s">
        <v>145</v>
      </c>
      <c r="E2330">
        <v>0</v>
      </c>
    </row>
    <row r="2331" spans="1:5" x14ac:dyDescent="0.2">
      <c r="A2331" s="13">
        <v>2329</v>
      </c>
      <c r="B2331" s="1">
        <v>42998</v>
      </c>
      <c r="C2331" t="s">
        <v>151</v>
      </c>
      <c r="D2331" t="s">
        <v>233</v>
      </c>
      <c r="E2331">
        <v>0</v>
      </c>
    </row>
    <row r="2332" spans="1:5" x14ac:dyDescent="0.2">
      <c r="A2332" s="13">
        <v>2330</v>
      </c>
      <c r="B2332" s="1">
        <v>42998</v>
      </c>
      <c r="C2332" t="s">
        <v>151</v>
      </c>
      <c r="D2332" t="s">
        <v>172</v>
      </c>
      <c r="E2332">
        <v>0</v>
      </c>
    </row>
    <row r="2333" spans="1:5" x14ac:dyDescent="0.2">
      <c r="A2333" s="13">
        <v>2331</v>
      </c>
      <c r="B2333" s="1">
        <v>42998</v>
      </c>
      <c r="C2333" t="s">
        <v>151</v>
      </c>
      <c r="D2333" t="s">
        <v>72</v>
      </c>
      <c r="E2333">
        <v>6.603613721765945</v>
      </c>
    </row>
    <row r="2334" spans="1:5" x14ac:dyDescent="0.2">
      <c r="A2334" s="13">
        <v>2332</v>
      </c>
      <c r="B2334" s="1">
        <v>42998</v>
      </c>
      <c r="C2334" t="s">
        <v>151</v>
      </c>
      <c r="D2334" t="s">
        <v>186</v>
      </c>
      <c r="E2334">
        <v>2.3760981647324381E-4</v>
      </c>
    </row>
    <row r="2335" spans="1:5" x14ac:dyDescent="0.2">
      <c r="A2335" s="13">
        <v>2333</v>
      </c>
      <c r="B2335" s="1">
        <v>42998</v>
      </c>
      <c r="C2335" t="s">
        <v>151</v>
      </c>
      <c r="D2335" t="s">
        <v>187</v>
      </c>
      <c r="E2335">
        <v>2.886130139146965E-3</v>
      </c>
    </row>
    <row r="2336" spans="1:5" x14ac:dyDescent="0.2">
      <c r="A2336" s="13">
        <v>2334</v>
      </c>
      <c r="B2336" s="1">
        <v>42998</v>
      </c>
      <c r="C2336" t="s">
        <v>151</v>
      </c>
      <c r="D2336" t="s">
        <v>188</v>
      </c>
      <c r="E2336">
        <v>9.7611293607883988E-4</v>
      </c>
    </row>
    <row r="2337" spans="1:5" x14ac:dyDescent="0.2">
      <c r="A2337" s="13">
        <v>2335</v>
      </c>
      <c r="B2337" s="1">
        <v>42998</v>
      </c>
      <c r="C2337" t="s">
        <v>151</v>
      </c>
      <c r="D2337" t="s">
        <v>189</v>
      </c>
      <c r="E2337">
        <v>5.719885565691103E-4</v>
      </c>
    </row>
    <row r="2338" spans="1:5" x14ac:dyDescent="0.2">
      <c r="A2338" s="13">
        <v>2336</v>
      </c>
      <c r="B2338" s="1">
        <v>42998</v>
      </c>
      <c r="C2338" t="s">
        <v>151</v>
      </c>
      <c r="D2338" t="s">
        <v>190</v>
      </c>
      <c r="E2338">
        <v>1.1557529189437298E-3</v>
      </c>
    </row>
    <row r="2339" spans="1:5" x14ac:dyDescent="0.2">
      <c r="A2339" s="13">
        <v>2337</v>
      </c>
      <c r="B2339" s="1">
        <v>42998</v>
      </c>
      <c r="C2339" t="s">
        <v>151</v>
      </c>
      <c r="D2339" t="s">
        <v>191</v>
      </c>
      <c r="E2339">
        <v>-7.9673767867041224E-4</v>
      </c>
    </row>
    <row r="2340" spans="1:5" x14ac:dyDescent="0.2">
      <c r="A2340" s="13">
        <v>2338</v>
      </c>
      <c r="B2340" s="1">
        <v>42998</v>
      </c>
      <c r="C2340" t="s">
        <v>29</v>
      </c>
      <c r="D2340" t="s">
        <v>39</v>
      </c>
      <c r="E2340">
        <v>-4.0071921026078216E-5</v>
      </c>
    </row>
    <row r="2341" spans="1:5" x14ac:dyDescent="0.2">
      <c r="A2341" s="13">
        <v>2339</v>
      </c>
      <c r="B2341" s="1">
        <v>42998</v>
      </c>
      <c r="C2341" t="s">
        <v>29</v>
      </c>
      <c r="D2341" t="s">
        <v>32</v>
      </c>
      <c r="E2341">
        <v>1.4393113122362128E-3</v>
      </c>
    </row>
    <row r="2342" spans="1:5" x14ac:dyDescent="0.2">
      <c r="A2342" s="13">
        <v>2340</v>
      </c>
      <c r="B2342" s="1">
        <v>42998</v>
      </c>
      <c r="C2342" t="s">
        <v>29</v>
      </c>
      <c r="D2342" t="s">
        <v>30</v>
      </c>
      <c r="E2342">
        <v>1.2297731807788204E-5</v>
      </c>
    </row>
    <row r="2343" spans="1:5" x14ac:dyDescent="0.2">
      <c r="A2343" s="13">
        <v>2341</v>
      </c>
      <c r="B2343" s="1">
        <v>42998</v>
      </c>
      <c r="C2343" t="s">
        <v>29</v>
      </c>
      <c r="D2343" t="s">
        <v>49</v>
      </c>
      <c r="E2343">
        <v>0</v>
      </c>
    </row>
    <row r="2344" spans="1:5" x14ac:dyDescent="0.2">
      <c r="A2344" s="13">
        <v>2342</v>
      </c>
      <c r="B2344" s="1">
        <v>42998</v>
      </c>
      <c r="C2344" t="s">
        <v>29</v>
      </c>
      <c r="D2344" t="s">
        <v>145</v>
      </c>
      <c r="E2344">
        <v>0</v>
      </c>
    </row>
    <row r="2345" spans="1:5" x14ac:dyDescent="0.2">
      <c r="A2345" s="13">
        <v>2343</v>
      </c>
      <c r="B2345" s="1">
        <v>42998</v>
      </c>
      <c r="C2345" t="s">
        <v>29</v>
      </c>
      <c r="D2345" t="s">
        <v>233</v>
      </c>
      <c r="E2345">
        <v>0</v>
      </c>
    </row>
    <row r="2346" spans="1:5" x14ac:dyDescent="0.2">
      <c r="A2346" s="13">
        <v>2344</v>
      </c>
      <c r="B2346" s="1">
        <v>42998</v>
      </c>
      <c r="C2346" t="s">
        <v>29</v>
      </c>
      <c r="D2346" t="s">
        <v>172</v>
      </c>
      <c r="E2346">
        <v>0</v>
      </c>
    </row>
    <row r="2347" spans="1:5" x14ac:dyDescent="0.2">
      <c r="A2347" s="13">
        <v>2345</v>
      </c>
      <c r="B2347" s="1">
        <v>42998</v>
      </c>
      <c r="C2347" t="s">
        <v>29</v>
      </c>
      <c r="D2347" t="s">
        <v>72</v>
      </c>
      <c r="E2347">
        <v>4.6709090090525454</v>
      </c>
    </row>
    <row r="2348" spans="1:5" x14ac:dyDescent="0.2">
      <c r="A2348" s="13">
        <v>2346</v>
      </c>
      <c r="B2348" s="1">
        <v>42998</v>
      </c>
      <c r="C2348" t="s">
        <v>29</v>
      </c>
      <c r="D2348" t="s">
        <v>186</v>
      </c>
      <c r="E2348">
        <v>2.6872933132894962E-4</v>
      </c>
    </row>
    <row r="2349" spans="1:5" x14ac:dyDescent="0.2">
      <c r="A2349" s="13">
        <v>2347</v>
      </c>
      <c r="B2349" s="1">
        <v>42998</v>
      </c>
      <c r="C2349" t="s">
        <v>29</v>
      </c>
      <c r="D2349" t="s">
        <v>187</v>
      </c>
      <c r="E2349">
        <v>0</v>
      </c>
    </row>
    <row r="2350" spans="1:5" x14ac:dyDescent="0.2">
      <c r="A2350" s="13">
        <v>2348</v>
      </c>
      <c r="B2350" s="1">
        <v>42998</v>
      </c>
      <c r="C2350" t="s">
        <v>29</v>
      </c>
      <c r="D2350" t="s">
        <v>188</v>
      </c>
      <c r="E2350">
        <v>0</v>
      </c>
    </row>
    <row r="2351" spans="1:5" x14ac:dyDescent="0.2">
      <c r="A2351" s="13">
        <v>2349</v>
      </c>
      <c r="B2351" s="1">
        <v>42998</v>
      </c>
      <c r="C2351" t="s">
        <v>29</v>
      </c>
      <c r="D2351" t="s">
        <v>189</v>
      </c>
      <c r="E2351">
        <v>0</v>
      </c>
    </row>
    <row r="2352" spans="1:5" x14ac:dyDescent="0.2">
      <c r="A2352" s="13">
        <v>2350</v>
      </c>
      <c r="B2352" s="1">
        <v>42998</v>
      </c>
      <c r="C2352" t="s">
        <v>29</v>
      </c>
      <c r="D2352" t="s">
        <v>190</v>
      </c>
      <c r="E2352">
        <v>0</v>
      </c>
    </row>
    <row r="2353" spans="1:5" x14ac:dyDescent="0.2">
      <c r="A2353" s="13">
        <v>2351</v>
      </c>
      <c r="B2353" s="1">
        <v>42998</v>
      </c>
      <c r="C2353" t="s">
        <v>29</v>
      </c>
      <c r="D2353" t="s">
        <v>191</v>
      </c>
      <c r="E2353">
        <v>1.1428077916889716E-3</v>
      </c>
    </row>
    <row r="2354" spans="1:5" x14ac:dyDescent="0.2">
      <c r="A2354" s="13">
        <v>2352</v>
      </c>
      <c r="B2354" s="1">
        <v>42998</v>
      </c>
      <c r="C2354" t="s">
        <v>87</v>
      </c>
      <c r="D2354" t="s">
        <v>39</v>
      </c>
      <c r="E2354">
        <v>3.0345825819475341E-3</v>
      </c>
    </row>
    <row r="2355" spans="1:5" x14ac:dyDescent="0.2">
      <c r="A2355" s="13">
        <v>2353</v>
      </c>
      <c r="B2355" s="1">
        <v>42998</v>
      </c>
      <c r="C2355" t="s">
        <v>87</v>
      </c>
      <c r="D2355" t="s">
        <v>32</v>
      </c>
      <c r="E2355">
        <v>1.3641192841483881E-2</v>
      </c>
    </row>
    <row r="2356" spans="1:5" x14ac:dyDescent="0.2">
      <c r="A2356" s="13">
        <v>2354</v>
      </c>
      <c r="B2356" s="1">
        <v>42998</v>
      </c>
      <c r="C2356" t="s">
        <v>87</v>
      </c>
      <c r="D2356" t="s">
        <v>30</v>
      </c>
      <c r="E2356">
        <v>-5.9839028232462664E-4</v>
      </c>
    </row>
    <row r="2357" spans="1:5" x14ac:dyDescent="0.2">
      <c r="A2357" s="13">
        <v>2355</v>
      </c>
      <c r="B2357" s="1">
        <v>42998</v>
      </c>
      <c r="C2357" t="s">
        <v>87</v>
      </c>
      <c r="D2357" t="s">
        <v>49</v>
      </c>
      <c r="E2357">
        <v>0</v>
      </c>
    </row>
    <row r="2358" spans="1:5" x14ac:dyDescent="0.2">
      <c r="A2358" s="13">
        <v>2356</v>
      </c>
      <c r="B2358" s="1">
        <v>42998</v>
      </c>
      <c r="C2358" t="s">
        <v>87</v>
      </c>
      <c r="D2358" t="s">
        <v>145</v>
      </c>
      <c r="E2358">
        <v>3.7071528911019561E-4</v>
      </c>
    </row>
    <row r="2359" spans="1:5" x14ac:dyDescent="0.2">
      <c r="A2359" s="13">
        <v>2357</v>
      </c>
      <c r="B2359" s="1">
        <v>42998</v>
      </c>
      <c r="C2359" t="s">
        <v>87</v>
      </c>
      <c r="D2359" t="s">
        <v>233</v>
      </c>
      <c r="E2359">
        <v>0</v>
      </c>
    </row>
    <row r="2360" spans="1:5" x14ac:dyDescent="0.2">
      <c r="A2360" s="13">
        <v>2358</v>
      </c>
      <c r="B2360" s="1">
        <v>42998</v>
      </c>
      <c r="C2360" t="s">
        <v>87</v>
      </c>
      <c r="D2360" t="s">
        <v>172</v>
      </c>
      <c r="E2360">
        <v>0</v>
      </c>
    </row>
    <row r="2361" spans="1:5" x14ac:dyDescent="0.2">
      <c r="A2361" s="13">
        <v>2359</v>
      </c>
      <c r="B2361" s="1">
        <v>42998</v>
      </c>
      <c r="C2361" t="s">
        <v>87</v>
      </c>
      <c r="D2361" t="s">
        <v>72</v>
      </c>
      <c r="E2361">
        <v>9.2974396965725905</v>
      </c>
    </row>
    <row r="2362" spans="1:5" x14ac:dyDescent="0.2">
      <c r="A2362" s="13">
        <v>2360</v>
      </c>
      <c r="B2362" s="1">
        <v>42998</v>
      </c>
      <c r="C2362" t="s">
        <v>87</v>
      </c>
      <c r="D2362" t="s">
        <v>186</v>
      </c>
      <c r="E2362">
        <v>1.6479910809818258E-2</v>
      </c>
    </row>
    <row r="2363" spans="1:5" x14ac:dyDescent="0.2">
      <c r="A2363" s="13">
        <v>2361</v>
      </c>
      <c r="B2363" s="1">
        <v>42998</v>
      </c>
      <c r="C2363" t="s">
        <v>87</v>
      </c>
      <c r="D2363" t="s">
        <v>187</v>
      </c>
      <c r="E2363">
        <v>1.529638977706816E-4</v>
      </c>
    </row>
    <row r="2364" spans="1:5" x14ac:dyDescent="0.2">
      <c r="A2364" s="13">
        <v>2362</v>
      </c>
      <c r="B2364" s="1">
        <v>42998</v>
      </c>
      <c r="C2364" t="s">
        <v>87</v>
      </c>
      <c r="D2364" t="s">
        <v>188</v>
      </c>
      <c r="E2364">
        <v>-1.5686897261303173E-4</v>
      </c>
    </row>
    <row r="2365" spans="1:5" x14ac:dyDescent="0.2">
      <c r="A2365" s="13">
        <v>2363</v>
      </c>
      <c r="B2365" s="1">
        <v>42998</v>
      </c>
      <c r="C2365" t="s">
        <v>87</v>
      </c>
      <c r="D2365" t="s">
        <v>189</v>
      </c>
      <c r="E2365">
        <v>-1.6509564131047646E-4</v>
      </c>
    </row>
    <row r="2366" spans="1:5" x14ac:dyDescent="0.2">
      <c r="A2366" s="13">
        <v>2364</v>
      </c>
      <c r="B2366" s="1">
        <v>42998</v>
      </c>
      <c r="C2366" t="s">
        <v>87</v>
      </c>
      <c r="D2366" t="s">
        <v>190</v>
      </c>
      <c r="E2366">
        <v>-1.0049917955114804E-4</v>
      </c>
    </row>
    <row r="2367" spans="1:5" x14ac:dyDescent="0.2">
      <c r="A2367" s="13">
        <v>2365</v>
      </c>
      <c r="B2367" s="1">
        <v>42998</v>
      </c>
      <c r="C2367" t="s">
        <v>87</v>
      </c>
      <c r="D2367" t="s">
        <v>191</v>
      </c>
      <c r="E2367">
        <v>2.3768951610269473E-4</v>
      </c>
    </row>
    <row r="2368" spans="1:5" x14ac:dyDescent="0.2">
      <c r="A2368" s="13">
        <v>2366</v>
      </c>
      <c r="B2368" s="1">
        <v>42998</v>
      </c>
      <c r="C2368" t="s">
        <v>61</v>
      </c>
      <c r="D2368" t="s">
        <v>39</v>
      </c>
      <c r="E2368">
        <v>1.3774547251776707E-3</v>
      </c>
    </row>
    <row r="2369" spans="1:5" x14ac:dyDescent="0.2">
      <c r="A2369" s="13">
        <v>2367</v>
      </c>
      <c r="B2369" s="1">
        <v>42998</v>
      </c>
      <c r="C2369" t="s">
        <v>61</v>
      </c>
      <c r="D2369" t="s">
        <v>32</v>
      </c>
      <c r="E2369">
        <v>1.0370098764714716E-2</v>
      </c>
    </row>
    <row r="2370" spans="1:5" x14ac:dyDescent="0.2">
      <c r="A2370" s="13">
        <v>2368</v>
      </c>
      <c r="B2370" s="1">
        <v>42998</v>
      </c>
      <c r="C2370" t="s">
        <v>61</v>
      </c>
      <c r="D2370" t="s">
        <v>30</v>
      </c>
      <c r="E2370">
        <v>0</v>
      </c>
    </row>
    <row r="2371" spans="1:5" x14ac:dyDescent="0.2">
      <c r="A2371" s="13">
        <v>2369</v>
      </c>
      <c r="B2371" s="1">
        <v>42998</v>
      </c>
      <c r="C2371" t="s">
        <v>61</v>
      </c>
      <c r="D2371" t="s">
        <v>49</v>
      </c>
      <c r="E2371">
        <v>0</v>
      </c>
    </row>
    <row r="2372" spans="1:5" x14ac:dyDescent="0.2">
      <c r="A2372" s="13">
        <v>2370</v>
      </c>
      <c r="B2372" s="1">
        <v>42998</v>
      </c>
      <c r="C2372" t="s">
        <v>61</v>
      </c>
      <c r="D2372" t="s">
        <v>145</v>
      </c>
      <c r="E2372">
        <v>0</v>
      </c>
    </row>
    <row r="2373" spans="1:5" x14ac:dyDescent="0.2">
      <c r="A2373" s="13">
        <v>2371</v>
      </c>
      <c r="B2373" s="1">
        <v>42998</v>
      </c>
      <c r="C2373" t="s">
        <v>61</v>
      </c>
      <c r="D2373" t="s">
        <v>233</v>
      </c>
      <c r="E2373">
        <v>0</v>
      </c>
    </row>
    <row r="2374" spans="1:5" x14ac:dyDescent="0.2">
      <c r="A2374" s="13">
        <v>2372</v>
      </c>
      <c r="B2374" s="1">
        <v>42998</v>
      </c>
      <c r="C2374" t="s">
        <v>61</v>
      </c>
      <c r="D2374" t="s">
        <v>172</v>
      </c>
      <c r="E2374">
        <v>0</v>
      </c>
    </row>
    <row r="2375" spans="1:5" x14ac:dyDescent="0.2">
      <c r="A2375" s="13">
        <v>2373</v>
      </c>
      <c r="B2375" s="1">
        <v>42998</v>
      </c>
      <c r="C2375" t="s">
        <v>61</v>
      </c>
      <c r="D2375" t="s">
        <v>72</v>
      </c>
      <c r="E2375">
        <v>5.6130128298668449</v>
      </c>
    </row>
    <row r="2376" spans="1:5" x14ac:dyDescent="0.2">
      <c r="A2376" s="13">
        <v>2374</v>
      </c>
      <c r="B2376" s="1">
        <v>42998</v>
      </c>
      <c r="C2376" t="s">
        <v>61</v>
      </c>
      <c r="D2376" t="s">
        <v>186</v>
      </c>
      <c r="E2376">
        <v>1.1747553489892391E-2</v>
      </c>
    </row>
    <row r="2377" spans="1:5" x14ac:dyDescent="0.2">
      <c r="A2377" s="13">
        <v>2375</v>
      </c>
      <c r="B2377" s="1">
        <v>42998</v>
      </c>
      <c r="C2377" t="s">
        <v>61</v>
      </c>
      <c r="D2377" t="s">
        <v>187</v>
      </c>
      <c r="E2377">
        <v>0</v>
      </c>
    </row>
    <row r="2378" spans="1:5" x14ac:dyDescent="0.2">
      <c r="A2378" s="13">
        <v>2376</v>
      </c>
      <c r="B2378" s="1">
        <v>42998</v>
      </c>
      <c r="C2378" t="s">
        <v>61</v>
      </c>
      <c r="D2378" t="s">
        <v>188</v>
      </c>
      <c r="E2378">
        <v>0</v>
      </c>
    </row>
    <row r="2379" spans="1:5" x14ac:dyDescent="0.2">
      <c r="A2379" s="13">
        <v>2377</v>
      </c>
      <c r="B2379" s="1">
        <v>42998</v>
      </c>
      <c r="C2379" t="s">
        <v>61</v>
      </c>
      <c r="D2379" t="s">
        <v>189</v>
      </c>
      <c r="E2379">
        <v>0</v>
      </c>
    </row>
    <row r="2380" spans="1:5" x14ac:dyDescent="0.2">
      <c r="A2380" s="13">
        <v>2378</v>
      </c>
      <c r="B2380" s="1">
        <v>42998</v>
      </c>
      <c r="C2380" t="s">
        <v>61</v>
      </c>
      <c r="D2380" t="s">
        <v>190</v>
      </c>
      <c r="E2380">
        <v>0</v>
      </c>
    </row>
    <row r="2381" spans="1:5" x14ac:dyDescent="0.2">
      <c r="A2381" s="13">
        <v>2379</v>
      </c>
      <c r="B2381" s="1">
        <v>42998</v>
      </c>
      <c r="C2381" t="s">
        <v>61</v>
      </c>
      <c r="D2381" t="s">
        <v>191</v>
      </c>
      <c r="E2381">
        <v>0</v>
      </c>
    </row>
    <row r="2382" spans="1:5" x14ac:dyDescent="0.2">
      <c r="A2382" s="13">
        <v>2380</v>
      </c>
      <c r="B2382" s="1">
        <v>42998</v>
      </c>
      <c r="C2382" t="s">
        <v>53</v>
      </c>
      <c r="D2382" t="s">
        <v>39</v>
      </c>
      <c r="E2382">
        <v>9.8395768826973327E-5</v>
      </c>
    </row>
    <row r="2383" spans="1:5" x14ac:dyDescent="0.2">
      <c r="A2383" s="13">
        <v>2381</v>
      </c>
      <c r="B2383" s="1">
        <v>42998</v>
      </c>
      <c r="C2383" t="s">
        <v>53</v>
      </c>
      <c r="D2383" t="s">
        <v>32</v>
      </c>
      <c r="E2383">
        <v>4.3177602837134862E-3</v>
      </c>
    </row>
    <row r="2384" spans="1:5" x14ac:dyDescent="0.2">
      <c r="A2384" s="13">
        <v>2382</v>
      </c>
      <c r="B2384" s="1">
        <v>42998</v>
      </c>
      <c r="C2384" t="s">
        <v>53</v>
      </c>
      <c r="D2384" t="s">
        <v>30</v>
      </c>
      <c r="E2384">
        <v>9.7175371203325365E-5</v>
      </c>
    </row>
    <row r="2385" spans="1:5" x14ac:dyDescent="0.2">
      <c r="A2385" s="13">
        <v>2383</v>
      </c>
      <c r="B2385" s="1">
        <v>42998</v>
      </c>
      <c r="C2385" t="s">
        <v>53</v>
      </c>
      <c r="D2385" t="s">
        <v>49</v>
      </c>
      <c r="E2385">
        <v>0</v>
      </c>
    </row>
    <row r="2386" spans="1:5" x14ac:dyDescent="0.2">
      <c r="A2386" s="13">
        <v>2384</v>
      </c>
      <c r="B2386" s="1">
        <v>42998</v>
      </c>
      <c r="C2386" t="s">
        <v>53</v>
      </c>
      <c r="D2386" t="s">
        <v>145</v>
      </c>
      <c r="E2386">
        <v>0</v>
      </c>
    </row>
    <row r="2387" spans="1:5" x14ac:dyDescent="0.2">
      <c r="A2387" s="13">
        <v>2385</v>
      </c>
      <c r="B2387" s="1">
        <v>42998</v>
      </c>
      <c r="C2387" t="s">
        <v>53</v>
      </c>
      <c r="D2387" t="s">
        <v>233</v>
      </c>
      <c r="E2387">
        <v>0</v>
      </c>
    </row>
    <row r="2388" spans="1:5" x14ac:dyDescent="0.2">
      <c r="A2388" s="13">
        <v>2386</v>
      </c>
      <c r="B2388" s="1">
        <v>42998</v>
      </c>
      <c r="C2388" t="s">
        <v>53</v>
      </c>
      <c r="D2388" t="s">
        <v>172</v>
      </c>
      <c r="E2388">
        <v>0</v>
      </c>
    </row>
    <row r="2389" spans="1:5" x14ac:dyDescent="0.2">
      <c r="A2389" s="13">
        <v>2387</v>
      </c>
      <c r="B2389" s="1">
        <v>42998</v>
      </c>
      <c r="C2389" t="s">
        <v>53</v>
      </c>
      <c r="D2389" t="s">
        <v>72</v>
      </c>
      <c r="E2389">
        <v>6.4139648054991429</v>
      </c>
    </row>
    <row r="2390" spans="1:5" x14ac:dyDescent="0.2">
      <c r="A2390" s="13">
        <v>2388</v>
      </c>
      <c r="B2390" s="1">
        <v>42998</v>
      </c>
      <c r="C2390" t="s">
        <v>53</v>
      </c>
      <c r="D2390" t="s">
        <v>186</v>
      </c>
      <c r="E2390">
        <v>1.290189940828797E-3</v>
      </c>
    </row>
    <row r="2391" spans="1:5" x14ac:dyDescent="0.2">
      <c r="A2391" s="13">
        <v>2389</v>
      </c>
      <c r="B2391" s="1">
        <v>42998</v>
      </c>
      <c r="C2391" t="s">
        <v>53</v>
      </c>
      <c r="D2391" t="s">
        <v>187</v>
      </c>
      <c r="E2391">
        <v>0</v>
      </c>
    </row>
    <row r="2392" spans="1:5" x14ac:dyDescent="0.2">
      <c r="A2392" s="13">
        <v>2390</v>
      </c>
      <c r="B2392" s="1">
        <v>42998</v>
      </c>
      <c r="C2392" t="s">
        <v>53</v>
      </c>
      <c r="D2392" t="s">
        <v>188</v>
      </c>
      <c r="E2392">
        <v>0</v>
      </c>
    </row>
    <row r="2393" spans="1:5" x14ac:dyDescent="0.2">
      <c r="A2393" s="13">
        <v>2391</v>
      </c>
      <c r="B2393" s="1">
        <v>42998</v>
      </c>
      <c r="C2393" t="s">
        <v>53</v>
      </c>
      <c r="D2393" t="s">
        <v>189</v>
      </c>
      <c r="E2393">
        <v>0</v>
      </c>
    </row>
    <row r="2394" spans="1:5" x14ac:dyDescent="0.2">
      <c r="A2394" s="13">
        <v>2392</v>
      </c>
      <c r="B2394" s="1">
        <v>42998</v>
      </c>
      <c r="C2394" t="s">
        <v>53</v>
      </c>
      <c r="D2394" t="s">
        <v>190</v>
      </c>
      <c r="E2394">
        <v>0</v>
      </c>
    </row>
    <row r="2395" spans="1:5" x14ac:dyDescent="0.2">
      <c r="A2395" s="13">
        <v>2393</v>
      </c>
      <c r="B2395" s="1">
        <v>42998</v>
      </c>
      <c r="C2395" t="s">
        <v>53</v>
      </c>
      <c r="D2395" t="s">
        <v>191</v>
      </c>
      <c r="E2395">
        <v>3.2231414829149863E-3</v>
      </c>
    </row>
    <row r="2396" spans="1:5" x14ac:dyDescent="0.2">
      <c r="A2396" s="13">
        <v>2394</v>
      </c>
      <c r="B2396" s="1">
        <v>42997</v>
      </c>
      <c r="C2396" t="s">
        <v>62</v>
      </c>
      <c r="D2396" t="s">
        <v>39</v>
      </c>
      <c r="E2396">
        <v>4.7954195109328373E-3</v>
      </c>
    </row>
    <row r="2397" spans="1:5" x14ac:dyDescent="0.2">
      <c r="A2397" s="13">
        <v>2395</v>
      </c>
      <c r="B2397" s="1">
        <v>42997</v>
      </c>
      <c r="C2397" t="s">
        <v>62</v>
      </c>
      <c r="D2397" t="s">
        <v>32</v>
      </c>
      <c r="E2397">
        <v>3.3258570388479095E-3</v>
      </c>
    </row>
    <row r="2398" spans="1:5" x14ac:dyDescent="0.2">
      <c r="A2398" s="13">
        <v>2396</v>
      </c>
      <c r="B2398" s="1">
        <v>42997</v>
      </c>
      <c r="C2398" t="s">
        <v>62</v>
      </c>
      <c r="D2398" t="s">
        <v>30</v>
      </c>
      <c r="E2398">
        <v>-3.2331901031204461E-5</v>
      </c>
    </row>
    <row r="2399" spans="1:5" x14ac:dyDescent="0.2">
      <c r="A2399" s="13">
        <v>2397</v>
      </c>
      <c r="B2399" s="1">
        <v>42997</v>
      </c>
      <c r="C2399" t="s">
        <v>62</v>
      </c>
      <c r="D2399" t="s">
        <v>49</v>
      </c>
      <c r="E2399">
        <v>1.7541755151536489E-7</v>
      </c>
    </row>
    <row r="2400" spans="1:5" x14ac:dyDescent="0.2">
      <c r="A2400" s="13">
        <v>2398</v>
      </c>
      <c r="B2400" s="1">
        <v>42997</v>
      </c>
      <c r="C2400" t="s">
        <v>62</v>
      </c>
      <c r="D2400" t="s">
        <v>145</v>
      </c>
      <c r="E2400">
        <v>0</v>
      </c>
    </row>
    <row r="2401" spans="1:5" x14ac:dyDescent="0.2">
      <c r="A2401" s="13">
        <v>2399</v>
      </c>
      <c r="B2401" s="1">
        <v>42997</v>
      </c>
      <c r="C2401" t="s">
        <v>62</v>
      </c>
      <c r="D2401" t="s">
        <v>233</v>
      </c>
      <c r="E2401">
        <v>0</v>
      </c>
    </row>
    <row r="2402" spans="1:5" x14ac:dyDescent="0.2">
      <c r="A2402" s="13">
        <v>2400</v>
      </c>
      <c r="B2402" s="1">
        <v>42997</v>
      </c>
      <c r="C2402" t="s">
        <v>62</v>
      </c>
      <c r="D2402" t="s">
        <v>172</v>
      </c>
      <c r="E2402">
        <v>0</v>
      </c>
    </row>
    <row r="2403" spans="1:5" x14ac:dyDescent="0.2">
      <c r="A2403" s="13">
        <v>2401</v>
      </c>
      <c r="B2403" s="1">
        <v>42997</v>
      </c>
      <c r="C2403" t="s">
        <v>62</v>
      </c>
      <c r="D2403" t="s">
        <v>72</v>
      </c>
      <c r="E2403">
        <v>3.4461491751024385</v>
      </c>
    </row>
    <row r="2404" spans="1:5" x14ac:dyDescent="0.2">
      <c r="A2404" s="13">
        <v>2402</v>
      </c>
      <c r="B2404" s="1">
        <v>42997</v>
      </c>
      <c r="C2404" t="s">
        <v>62</v>
      </c>
      <c r="D2404" t="s">
        <v>186</v>
      </c>
      <c r="E2404">
        <v>8.1212765497807472E-3</v>
      </c>
    </row>
    <row r="2405" spans="1:5" x14ac:dyDescent="0.2">
      <c r="A2405" s="13">
        <v>2403</v>
      </c>
      <c r="B2405" s="1">
        <v>42997</v>
      </c>
      <c r="C2405" t="s">
        <v>62</v>
      </c>
      <c r="D2405" t="s">
        <v>187</v>
      </c>
      <c r="E2405">
        <v>0</v>
      </c>
    </row>
    <row r="2406" spans="1:5" x14ac:dyDescent="0.2">
      <c r="A2406" s="13">
        <v>2404</v>
      </c>
      <c r="B2406" s="1">
        <v>42997</v>
      </c>
      <c r="C2406" t="s">
        <v>62</v>
      </c>
      <c r="D2406" t="s">
        <v>188</v>
      </c>
      <c r="E2406">
        <v>0</v>
      </c>
    </row>
    <row r="2407" spans="1:5" x14ac:dyDescent="0.2">
      <c r="A2407" s="13">
        <v>2405</v>
      </c>
      <c r="B2407" s="1">
        <v>42997</v>
      </c>
      <c r="C2407" t="s">
        <v>62</v>
      </c>
      <c r="D2407" t="s">
        <v>189</v>
      </c>
      <c r="E2407">
        <v>0</v>
      </c>
    </row>
    <row r="2408" spans="1:5" x14ac:dyDescent="0.2">
      <c r="A2408" s="13">
        <v>2406</v>
      </c>
      <c r="B2408" s="1">
        <v>42997</v>
      </c>
      <c r="C2408" t="s">
        <v>62</v>
      </c>
      <c r="D2408" t="s">
        <v>190</v>
      </c>
      <c r="E2408">
        <v>0</v>
      </c>
    </row>
    <row r="2409" spans="1:5" x14ac:dyDescent="0.2">
      <c r="A2409" s="13">
        <v>2407</v>
      </c>
      <c r="B2409" s="1">
        <v>42997</v>
      </c>
      <c r="C2409" t="s">
        <v>62</v>
      </c>
      <c r="D2409" t="s">
        <v>191</v>
      </c>
      <c r="E2409">
        <v>-3.2156483479689093E-5</v>
      </c>
    </row>
    <row r="2410" spans="1:5" x14ac:dyDescent="0.2">
      <c r="A2410" s="13">
        <v>2408</v>
      </c>
      <c r="B2410" s="1">
        <v>42997</v>
      </c>
      <c r="C2410" t="s">
        <v>63</v>
      </c>
      <c r="D2410" t="s">
        <v>39</v>
      </c>
      <c r="E2410">
        <v>7.054957919811076E-3</v>
      </c>
    </row>
    <row r="2411" spans="1:5" x14ac:dyDescent="0.2">
      <c r="A2411" s="13">
        <v>2409</v>
      </c>
      <c r="B2411" s="1">
        <v>42997</v>
      </c>
      <c r="C2411" t="s">
        <v>63</v>
      </c>
      <c r="D2411" t="s">
        <v>32</v>
      </c>
      <c r="E2411">
        <v>5.4781537083361219E-3</v>
      </c>
    </row>
    <row r="2412" spans="1:5" x14ac:dyDescent="0.2">
      <c r="A2412" s="13">
        <v>2410</v>
      </c>
      <c r="B2412" s="1">
        <v>42997</v>
      </c>
      <c r="C2412" t="s">
        <v>63</v>
      </c>
      <c r="D2412" t="s">
        <v>30</v>
      </c>
      <c r="E2412">
        <v>-3.7289403252735919E-5</v>
      </c>
    </row>
    <row r="2413" spans="1:5" x14ac:dyDescent="0.2">
      <c r="A2413" s="13">
        <v>2411</v>
      </c>
      <c r="B2413" s="1">
        <v>42997</v>
      </c>
      <c r="C2413" t="s">
        <v>63</v>
      </c>
      <c r="D2413" t="s">
        <v>49</v>
      </c>
      <c r="E2413">
        <v>1.1058685239588402E-6</v>
      </c>
    </row>
    <row r="2414" spans="1:5" x14ac:dyDescent="0.2">
      <c r="A2414" s="13">
        <v>2412</v>
      </c>
      <c r="B2414" s="1">
        <v>42997</v>
      </c>
      <c r="C2414" t="s">
        <v>63</v>
      </c>
      <c r="D2414" t="s">
        <v>145</v>
      </c>
      <c r="E2414">
        <v>0</v>
      </c>
    </row>
    <row r="2415" spans="1:5" x14ac:dyDescent="0.2">
      <c r="A2415" s="13">
        <v>2413</v>
      </c>
      <c r="B2415" s="1">
        <v>42997</v>
      </c>
      <c r="C2415" t="s">
        <v>63</v>
      </c>
      <c r="D2415" t="s">
        <v>233</v>
      </c>
      <c r="E2415">
        <v>0</v>
      </c>
    </row>
    <row r="2416" spans="1:5" x14ac:dyDescent="0.2">
      <c r="A2416" s="13">
        <v>2414</v>
      </c>
      <c r="B2416" s="1">
        <v>42997</v>
      </c>
      <c r="C2416" t="s">
        <v>63</v>
      </c>
      <c r="D2416" t="s">
        <v>172</v>
      </c>
      <c r="E2416">
        <v>0</v>
      </c>
    </row>
    <row r="2417" spans="1:5" x14ac:dyDescent="0.2">
      <c r="A2417" s="13">
        <v>2415</v>
      </c>
      <c r="B2417" s="1">
        <v>42997</v>
      </c>
      <c r="C2417" t="s">
        <v>63</v>
      </c>
      <c r="D2417" t="s">
        <v>72</v>
      </c>
      <c r="E2417">
        <v>5.3374665887193729</v>
      </c>
    </row>
    <row r="2418" spans="1:5" x14ac:dyDescent="0.2">
      <c r="A2418" s="13">
        <v>2416</v>
      </c>
      <c r="B2418" s="1">
        <v>42997</v>
      </c>
      <c r="C2418" t="s">
        <v>63</v>
      </c>
      <c r="D2418" t="s">
        <v>186</v>
      </c>
      <c r="E2418">
        <v>1.25331116281472E-2</v>
      </c>
    </row>
    <row r="2419" spans="1:5" x14ac:dyDescent="0.2">
      <c r="A2419" s="13">
        <v>2417</v>
      </c>
      <c r="B2419" s="1">
        <v>42997</v>
      </c>
      <c r="C2419" t="s">
        <v>63</v>
      </c>
      <c r="D2419" t="s">
        <v>187</v>
      </c>
      <c r="E2419">
        <v>0</v>
      </c>
    </row>
    <row r="2420" spans="1:5" x14ac:dyDescent="0.2">
      <c r="A2420" s="13">
        <v>2418</v>
      </c>
      <c r="B2420" s="1">
        <v>42997</v>
      </c>
      <c r="C2420" t="s">
        <v>63</v>
      </c>
      <c r="D2420" t="s">
        <v>188</v>
      </c>
      <c r="E2420">
        <v>0</v>
      </c>
    </row>
    <row r="2421" spans="1:5" x14ac:dyDescent="0.2">
      <c r="A2421" s="13">
        <v>2419</v>
      </c>
      <c r="B2421" s="1">
        <v>42997</v>
      </c>
      <c r="C2421" t="s">
        <v>63</v>
      </c>
      <c r="D2421" t="s">
        <v>189</v>
      </c>
      <c r="E2421">
        <v>0</v>
      </c>
    </row>
    <row r="2422" spans="1:5" x14ac:dyDescent="0.2">
      <c r="A2422" s="13">
        <v>2420</v>
      </c>
      <c r="B2422" s="1">
        <v>42997</v>
      </c>
      <c r="C2422" t="s">
        <v>63</v>
      </c>
      <c r="D2422" t="s">
        <v>190</v>
      </c>
      <c r="E2422">
        <v>0</v>
      </c>
    </row>
    <row r="2423" spans="1:5" x14ac:dyDescent="0.2">
      <c r="A2423" s="13">
        <v>2421</v>
      </c>
      <c r="B2423" s="1">
        <v>42997</v>
      </c>
      <c r="C2423" t="s">
        <v>63</v>
      </c>
      <c r="D2423" t="s">
        <v>191</v>
      </c>
      <c r="E2423">
        <v>-3.6183534728777081E-5</v>
      </c>
    </row>
    <row r="2424" spans="1:5" x14ac:dyDescent="0.2">
      <c r="A2424" s="13">
        <v>2422</v>
      </c>
      <c r="B2424" s="1">
        <v>42997</v>
      </c>
      <c r="C2424" t="s">
        <v>103</v>
      </c>
      <c r="D2424" t="s">
        <v>39</v>
      </c>
      <c r="E2424">
        <v>2.973874376403857E-2</v>
      </c>
    </row>
    <row r="2425" spans="1:5" x14ac:dyDescent="0.2">
      <c r="A2425" s="13">
        <v>2423</v>
      </c>
      <c r="B2425" s="1">
        <v>42997</v>
      </c>
      <c r="C2425" t="s">
        <v>103</v>
      </c>
      <c r="D2425" t="s">
        <v>32</v>
      </c>
      <c r="E2425">
        <v>0</v>
      </c>
    </row>
    <row r="2426" spans="1:5" x14ac:dyDescent="0.2">
      <c r="A2426" s="13">
        <v>2424</v>
      </c>
      <c r="B2426" s="1">
        <v>42997</v>
      </c>
      <c r="C2426" t="s">
        <v>103</v>
      </c>
      <c r="D2426" t="s">
        <v>30</v>
      </c>
      <c r="E2426">
        <v>0</v>
      </c>
    </row>
    <row r="2427" spans="1:5" x14ac:dyDescent="0.2">
      <c r="A2427" s="13">
        <v>2425</v>
      </c>
      <c r="B2427" s="1">
        <v>42997</v>
      </c>
      <c r="C2427" t="s">
        <v>103</v>
      </c>
      <c r="D2427" t="s">
        <v>49</v>
      </c>
      <c r="E2427">
        <v>0</v>
      </c>
    </row>
    <row r="2428" spans="1:5" x14ac:dyDescent="0.2">
      <c r="A2428" s="13">
        <v>2426</v>
      </c>
      <c r="B2428" s="1">
        <v>42997</v>
      </c>
      <c r="C2428" t="s">
        <v>103</v>
      </c>
      <c r="D2428" t="s">
        <v>145</v>
      </c>
      <c r="E2428">
        <v>0</v>
      </c>
    </row>
    <row r="2429" spans="1:5" x14ac:dyDescent="0.2">
      <c r="A2429" s="13">
        <v>2427</v>
      </c>
      <c r="B2429" s="1">
        <v>42997</v>
      </c>
      <c r="C2429" t="s">
        <v>103</v>
      </c>
      <c r="D2429" t="s">
        <v>233</v>
      </c>
      <c r="E2429">
        <v>0</v>
      </c>
    </row>
    <row r="2430" spans="1:5" x14ac:dyDescent="0.2">
      <c r="A2430" s="13">
        <v>2428</v>
      </c>
      <c r="B2430" s="1">
        <v>42997</v>
      </c>
      <c r="C2430" t="s">
        <v>103</v>
      </c>
      <c r="D2430" t="s">
        <v>172</v>
      </c>
      <c r="E2430">
        <v>0</v>
      </c>
    </row>
    <row r="2431" spans="1:5" x14ac:dyDescent="0.2">
      <c r="A2431" s="13">
        <v>2429</v>
      </c>
      <c r="B2431" s="1">
        <v>42997</v>
      </c>
      <c r="C2431" t="s">
        <v>103</v>
      </c>
      <c r="D2431" t="s">
        <v>72</v>
      </c>
      <c r="E2431">
        <v>0</v>
      </c>
    </row>
    <row r="2432" spans="1:5" x14ac:dyDescent="0.2">
      <c r="A2432" s="13">
        <v>2430</v>
      </c>
      <c r="B2432" s="1">
        <v>42997</v>
      </c>
      <c r="C2432" t="s">
        <v>103</v>
      </c>
      <c r="D2432" t="s">
        <v>186</v>
      </c>
      <c r="E2432">
        <v>2.973874376403857E-2</v>
      </c>
    </row>
    <row r="2433" spans="1:5" x14ac:dyDescent="0.2">
      <c r="A2433" s="13">
        <v>2431</v>
      </c>
      <c r="B2433" s="1">
        <v>42997</v>
      </c>
      <c r="C2433" t="s">
        <v>103</v>
      </c>
      <c r="D2433" t="s">
        <v>187</v>
      </c>
      <c r="E2433">
        <v>0</v>
      </c>
    </row>
    <row r="2434" spans="1:5" x14ac:dyDescent="0.2">
      <c r="A2434" s="13">
        <v>2432</v>
      </c>
      <c r="B2434" s="1">
        <v>42997</v>
      </c>
      <c r="C2434" t="s">
        <v>103</v>
      </c>
      <c r="D2434" t="s">
        <v>188</v>
      </c>
      <c r="E2434">
        <v>0</v>
      </c>
    </row>
    <row r="2435" spans="1:5" x14ac:dyDescent="0.2">
      <c r="A2435" s="13">
        <v>2433</v>
      </c>
      <c r="B2435" s="1">
        <v>42997</v>
      </c>
      <c r="C2435" t="s">
        <v>103</v>
      </c>
      <c r="D2435" t="s">
        <v>189</v>
      </c>
      <c r="E2435">
        <v>0</v>
      </c>
    </row>
    <row r="2436" spans="1:5" x14ac:dyDescent="0.2">
      <c r="A2436" s="13">
        <v>2434</v>
      </c>
      <c r="B2436" s="1">
        <v>42997</v>
      </c>
      <c r="C2436" t="s">
        <v>103</v>
      </c>
      <c r="D2436" t="s">
        <v>190</v>
      </c>
      <c r="E2436">
        <v>0</v>
      </c>
    </row>
    <row r="2437" spans="1:5" x14ac:dyDescent="0.2">
      <c r="A2437" s="13">
        <v>2435</v>
      </c>
      <c r="B2437" s="1">
        <v>42997</v>
      </c>
      <c r="C2437" t="s">
        <v>103</v>
      </c>
      <c r="D2437" t="s">
        <v>191</v>
      </c>
      <c r="E2437">
        <v>0</v>
      </c>
    </row>
    <row r="2438" spans="1:5" x14ac:dyDescent="0.2">
      <c r="A2438" s="13">
        <v>2436</v>
      </c>
      <c r="B2438" s="1">
        <v>42997</v>
      </c>
      <c r="C2438" t="s">
        <v>104</v>
      </c>
      <c r="D2438" t="s">
        <v>39</v>
      </c>
      <c r="E2438">
        <v>6.8002691629604511E-2</v>
      </c>
    </row>
    <row r="2439" spans="1:5" x14ac:dyDescent="0.2">
      <c r="A2439" s="13">
        <v>2437</v>
      </c>
      <c r="B2439" s="1">
        <v>42997</v>
      </c>
      <c r="C2439" t="s">
        <v>104</v>
      </c>
      <c r="D2439" t="s">
        <v>32</v>
      </c>
      <c r="E2439">
        <v>0</v>
      </c>
    </row>
    <row r="2440" spans="1:5" x14ac:dyDescent="0.2">
      <c r="A2440" s="13">
        <v>2438</v>
      </c>
      <c r="B2440" s="1">
        <v>42997</v>
      </c>
      <c r="C2440" t="s">
        <v>104</v>
      </c>
      <c r="D2440" t="s">
        <v>30</v>
      </c>
      <c r="E2440">
        <v>0</v>
      </c>
    </row>
    <row r="2441" spans="1:5" x14ac:dyDescent="0.2">
      <c r="A2441" s="13">
        <v>2439</v>
      </c>
      <c r="B2441" s="1">
        <v>42997</v>
      </c>
      <c r="C2441" t="s">
        <v>104</v>
      </c>
      <c r="D2441" t="s">
        <v>49</v>
      </c>
      <c r="E2441">
        <v>0</v>
      </c>
    </row>
    <row r="2442" spans="1:5" x14ac:dyDescent="0.2">
      <c r="A2442" s="13">
        <v>2440</v>
      </c>
      <c r="B2442" s="1">
        <v>42997</v>
      </c>
      <c r="C2442" t="s">
        <v>104</v>
      </c>
      <c r="D2442" t="s">
        <v>145</v>
      </c>
      <c r="E2442">
        <v>0</v>
      </c>
    </row>
    <row r="2443" spans="1:5" x14ac:dyDescent="0.2">
      <c r="A2443" s="13">
        <v>2441</v>
      </c>
      <c r="B2443" s="1">
        <v>42997</v>
      </c>
      <c r="C2443" t="s">
        <v>104</v>
      </c>
      <c r="D2443" t="s">
        <v>233</v>
      </c>
      <c r="E2443">
        <v>0</v>
      </c>
    </row>
    <row r="2444" spans="1:5" x14ac:dyDescent="0.2">
      <c r="A2444" s="13">
        <v>2442</v>
      </c>
      <c r="B2444" s="1">
        <v>42997</v>
      </c>
      <c r="C2444" t="s">
        <v>104</v>
      </c>
      <c r="D2444" t="s">
        <v>172</v>
      </c>
      <c r="E2444">
        <v>0</v>
      </c>
    </row>
    <row r="2445" spans="1:5" x14ac:dyDescent="0.2">
      <c r="A2445" s="13">
        <v>2443</v>
      </c>
      <c r="B2445" s="1">
        <v>42997</v>
      </c>
      <c r="C2445" t="s">
        <v>104</v>
      </c>
      <c r="D2445" t="s">
        <v>72</v>
      </c>
      <c r="E2445">
        <v>0</v>
      </c>
    </row>
    <row r="2446" spans="1:5" x14ac:dyDescent="0.2">
      <c r="A2446" s="13">
        <v>2444</v>
      </c>
      <c r="B2446" s="1">
        <v>42997</v>
      </c>
      <c r="C2446" t="s">
        <v>104</v>
      </c>
      <c r="D2446" t="s">
        <v>186</v>
      </c>
      <c r="E2446">
        <v>6.8002691629604511E-2</v>
      </c>
    </row>
    <row r="2447" spans="1:5" x14ac:dyDescent="0.2">
      <c r="A2447" s="13">
        <v>2445</v>
      </c>
      <c r="B2447" s="1">
        <v>42997</v>
      </c>
      <c r="C2447" t="s">
        <v>104</v>
      </c>
      <c r="D2447" t="s">
        <v>187</v>
      </c>
      <c r="E2447">
        <v>0</v>
      </c>
    </row>
    <row r="2448" spans="1:5" x14ac:dyDescent="0.2">
      <c r="A2448" s="13">
        <v>2446</v>
      </c>
      <c r="B2448" s="1">
        <v>42997</v>
      </c>
      <c r="C2448" t="s">
        <v>104</v>
      </c>
      <c r="D2448" t="s">
        <v>188</v>
      </c>
      <c r="E2448">
        <v>0</v>
      </c>
    </row>
    <row r="2449" spans="1:5" x14ac:dyDescent="0.2">
      <c r="A2449" s="13">
        <v>2447</v>
      </c>
      <c r="B2449" s="1">
        <v>42997</v>
      </c>
      <c r="C2449" t="s">
        <v>104</v>
      </c>
      <c r="D2449" t="s">
        <v>189</v>
      </c>
      <c r="E2449">
        <v>0</v>
      </c>
    </row>
    <row r="2450" spans="1:5" x14ac:dyDescent="0.2">
      <c r="A2450" s="13">
        <v>2448</v>
      </c>
      <c r="B2450" s="1">
        <v>42997</v>
      </c>
      <c r="C2450" t="s">
        <v>104</v>
      </c>
      <c r="D2450" t="s">
        <v>190</v>
      </c>
      <c r="E2450">
        <v>0</v>
      </c>
    </row>
    <row r="2451" spans="1:5" x14ac:dyDescent="0.2">
      <c r="A2451" s="13">
        <v>2449</v>
      </c>
      <c r="B2451" s="1">
        <v>42997</v>
      </c>
      <c r="C2451" t="s">
        <v>104</v>
      </c>
      <c r="D2451" t="s">
        <v>191</v>
      </c>
      <c r="E2451">
        <v>0</v>
      </c>
    </row>
    <row r="2452" spans="1:5" x14ac:dyDescent="0.2">
      <c r="A2452" s="13">
        <v>2450</v>
      </c>
      <c r="B2452" s="1">
        <v>42997</v>
      </c>
      <c r="C2452" t="s">
        <v>151</v>
      </c>
      <c r="D2452" t="s">
        <v>39</v>
      </c>
      <c r="E2452">
        <v>0</v>
      </c>
    </row>
    <row r="2453" spans="1:5" x14ac:dyDescent="0.2">
      <c r="A2453" s="13">
        <v>2451</v>
      </c>
      <c r="B2453" s="1">
        <v>42997</v>
      </c>
      <c r="C2453" t="s">
        <v>151</v>
      </c>
      <c r="D2453" t="s">
        <v>32</v>
      </c>
      <c r="E2453">
        <v>0</v>
      </c>
    </row>
    <row r="2454" spans="1:5" x14ac:dyDescent="0.2">
      <c r="A2454" s="13">
        <v>2452</v>
      </c>
      <c r="B2454" s="1">
        <v>42997</v>
      </c>
      <c r="C2454" t="s">
        <v>151</v>
      </c>
      <c r="D2454" t="s">
        <v>30</v>
      </c>
      <c r="E2454">
        <v>5.0935383253248277E-3</v>
      </c>
    </row>
    <row r="2455" spans="1:5" x14ac:dyDescent="0.2">
      <c r="A2455" s="13">
        <v>2453</v>
      </c>
      <c r="B2455" s="1">
        <v>42997</v>
      </c>
      <c r="C2455" t="s">
        <v>151</v>
      </c>
      <c r="D2455" t="s">
        <v>49</v>
      </c>
      <c r="E2455">
        <v>0</v>
      </c>
    </row>
    <row r="2456" spans="1:5" x14ac:dyDescent="0.2">
      <c r="A2456" s="13">
        <v>2454</v>
      </c>
      <c r="B2456" s="1">
        <v>42997</v>
      </c>
      <c r="C2456" t="s">
        <v>151</v>
      </c>
      <c r="D2456" t="s">
        <v>145</v>
      </c>
      <c r="E2456">
        <v>0</v>
      </c>
    </row>
    <row r="2457" spans="1:5" x14ac:dyDescent="0.2">
      <c r="A2457" s="13">
        <v>2455</v>
      </c>
      <c r="B2457" s="1">
        <v>42997</v>
      </c>
      <c r="C2457" t="s">
        <v>151</v>
      </c>
      <c r="D2457" t="s">
        <v>233</v>
      </c>
      <c r="E2457">
        <v>0</v>
      </c>
    </row>
    <row r="2458" spans="1:5" x14ac:dyDescent="0.2">
      <c r="A2458" s="13">
        <v>2456</v>
      </c>
      <c r="B2458" s="1">
        <v>42997</v>
      </c>
      <c r="C2458" t="s">
        <v>151</v>
      </c>
      <c r="D2458" t="s">
        <v>172</v>
      </c>
      <c r="E2458">
        <v>0</v>
      </c>
    </row>
    <row r="2459" spans="1:5" x14ac:dyDescent="0.2">
      <c r="A2459" s="13">
        <v>2457</v>
      </c>
      <c r="B2459" s="1">
        <v>42997</v>
      </c>
      <c r="C2459" t="s">
        <v>151</v>
      </c>
      <c r="D2459" t="s">
        <v>72</v>
      </c>
      <c r="E2459">
        <v>6.6218651390699605</v>
      </c>
    </row>
    <row r="2460" spans="1:5" x14ac:dyDescent="0.2">
      <c r="A2460" s="13">
        <v>2458</v>
      </c>
      <c r="B2460" s="1">
        <v>42997</v>
      </c>
      <c r="C2460" t="s">
        <v>151</v>
      </c>
      <c r="D2460" t="s">
        <v>186</v>
      </c>
      <c r="E2460">
        <v>2.2600192682133594E-4</v>
      </c>
    </row>
    <row r="2461" spans="1:5" x14ac:dyDescent="0.2">
      <c r="A2461" s="13">
        <v>2459</v>
      </c>
      <c r="B2461" s="1">
        <v>42997</v>
      </c>
      <c r="C2461" t="s">
        <v>151</v>
      </c>
      <c r="D2461" t="s">
        <v>187</v>
      </c>
      <c r="E2461">
        <v>2.9926843107674823E-3</v>
      </c>
    </row>
    <row r="2462" spans="1:5" x14ac:dyDescent="0.2">
      <c r="A2462" s="13">
        <v>2460</v>
      </c>
      <c r="B2462" s="1">
        <v>42997</v>
      </c>
      <c r="C2462" t="s">
        <v>151</v>
      </c>
      <c r="D2462" t="s">
        <v>188</v>
      </c>
      <c r="E2462">
        <v>1.0062873786754615E-3</v>
      </c>
    </row>
    <row r="2463" spans="1:5" x14ac:dyDescent="0.2">
      <c r="A2463" s="13">
        <v>2461</v>
      </c>
      <c r="B2463" s="1">
        <v>42997</v>
      </c>
      <c r="C2463" t="s">
        <v>151</v>
      </c>
      <c r="D2463" t="s">
        <v>189</v>
      </c>
      <c r="E2463">
        <v>5.7056605022012146E-4</v>
      </c>
    </row>
    <row r="2464" spans="1:5" x14ac:dyDescent="0.2">
      <c r="A2464" s="13">
        <v>2462</v>
      </c>
      <c r="B2464" s="1">
        <v>42997</v>
      </c>
      <c r="C2464" t="s">
        <v>151</v>
      </c>
      <c r="D2464" t="s">
        <v>190</v>
      </c>
      <c r="E2464">
        <v>1.1028413957988516E-3</v>
      </c>
    </row>
    <row r="2465" spans="1:5" x14ac:dyDescent="0.2">
      <c r="A2465" s="13">
        <v>2463</v>
      </c>
      <c r="B2465" s="1">
        <v>42997</v>
      </c>
      <c r="C2465" t="s">
        <v>151</v>
      </c>
      <c r="D2465" t="s">
        <v>191</v>
      </c>
      <c r="E2465">
        <v>-8.0484273695842414E-4</v>
      </c>
    </row>
    <row r="2466" spans="1:5" x14ac:dyDescent="0.2">
      <c r="A2466" s="13">
        <v>2464</v>
      </c>
      <c r="B2466" s="1">
        <v>42997</v>
      </c>
      <c r="C2466" t="s">
        <v>29</v>
      </c>
      <c r="D2466" t="s">
        <v>39</v>
      </c>
      <c r="E2466">
        <v>-6.2917883961197365E-5</v>
      </c>
    </row>
    <row r="2467" spans="1:5" x14ac:dyDescent="0.2">
      <c r="A2467" s="13">
        <v>2465</v>
      </c>
      <c r="B2467" s="1">
        <v>42997</v>
      </c>
      <c r="C2467" t="s">
        <v>29</v>
      </c>
      <c r="D2467" t="s">
        <v>32</v>
      </c>
      <c r="E2467">
        <v>1.5514299152567536E-3</v>
      </c>
    </row>
    <row r="2468" spans="1:5" x14ac:dyDescent="0.2">
      <c r="A2468" s="13">
        <v>2466</v>
      </c>
      <c r="B2468" s="1">
        <v>42997</v>
      </c>
      <c r="C2468" t="s">
        <v>29</v>
      </c>
      <c r="D2468" t="s">
        <v>30</v>
      </c>
      <c r="E2468">
        <v>1.6642402522302227E-5</v>
      </c>
    </row>
    <row r="2469" spans="1:5" x14ac:dyDescent="0.2">
      <c r="A2469" s="13">
        <v>2467</v>
      </c>
      <c r="B2469" s="1">
        <v>42997</v>
      </c>
      <c r="C2469" t="s">
        <v>29</v>
      </c>
      <c r="D2469" t="s">
        <v>49</v>
      </c>
      <c r="E2469">
        <v>0</v>
      </c>
    </row>
    <row r="2470" spans="1:5" x14ac:dyDescent="0.2">
      <c r="A2470" s="13">
        <v>2468</v>
      </c>
      <c r="B2470" s="1">
        <v>42997</v>
      </c>
      <c r="C2470" t="s">
        <v>29</v>
      </c>
      <c r="D2470" t="s">
        <v>145</v>
      </c>
      <c r="E2470">
        <v>0</v>
      </c>
    </row>
    <row r="2471" spans="1:5" x14ac:dyDescent="0.2">
      <c r="A2471" s="13">
        <v>2469</v>
      </c>
      <c r="B2471" s="1">
        <v>42997</v>
      </c>
      <c r="C2471" t="s">
        <v>29</v>
      </c>
      <c r="D2471" t="s">
        <v>233</v>
      </c>
      <c r="E2471">
        <v>0</v>
      </c>
    </row>
    <row r="2472" spans="1:5" x14ac:dyDescent="0.2">
      <c r="A2472" s="13">
        <v>2470</v>
      </c>
      <c r="B2472" s="1">
        <v>42997</v>
      </c>
      <c r="C2472" t="s">
        <v>29</v>
      </c>
      <c r="D2472" t="s">
        <v>172</v>
      </c>
      <c r="E2472">
        <v>0</v>
      </c>
    </row>
    <row r="2473" spans="1:5" x14ac:dyDescent="0.2">
      <c r="A2473" s="13">
        <v>2471</v>
      </c>
      <c r="B2473" s="1">
        <v>42997</v>
      </c>
      <c r="C2473" t="s">
        <v>29</v>
      </c>
      <c r="D2473" t="s">
        <v>72</v>
      </c>
      <c r="E2473">
        <v>4.6557382632201616</v>
      </c>
    </row>
    <row r="2474" spans="1:5" x14ac:dyDescent="0.2">
      <c r="A2474" s="13">
        <v>2472</v>
      </c>
      <c r="B2474" s="1">
        <v>42997</v>
      </c>
      <c r="C2474" t="s">
        <v>29</v>
      </c>
      <c r="D2474" t="s">
        <v>186</v>
      </c>
      <c r="E2474">
        <v>8.746657486046944E-5</v>
      </c>
    </row>
    <row r="2475" spans="1:5" x14ac:dyDescent="0.2">
      <c r="A2475" s="13">
        <v>2473</v>
      </c>
      <c r="B2475" s="1">
        <v>42997</v>
      </c>
      <c r="C2475" t="s">
        <v>29</v>
      </c>
      <c r="D2475" t="s">
        <v>187</v>
      </c>
      <c r="E2475">
        <v>0</v>
      </c>
    </row>
    <row r="2476" spans="1:5" x14ac:dyDescent="0.2">
      <c r="A2476" s="13">
        <v>2474</v>
      </c>
      <c r="B2476" s="1">
        <v>42997</v>
      </c>
      <c r="C2476" t="s">
        <v>29</v>
      </c>
      <c r="D2476" t="s">
        <v>188</v>
      </c>
      <c r="E2476">
        <v>0</v>
      </c>
    </row>
    <row r="2477" spans="1:5" x14ac:dyDescent="0.2">
      <c r="A2477" s="13">
        <v>2475</v>
      </c>
      <c r="B2477" s="1">
        <v>42997</v>
      </c>
      <c r="C2477" t="s">
        <v>29</v>
      </c>
      <c r="D2477" t="s">
        <v>189</v>
      </c>
      <c r="E2477">
        <v>0</v>
      </c>
    </row>
    <row r="2478" spans="1:5" x14ac:dyDescent="0.2">
      <c r="A2478" s="13">
        <v>2476</v>
      </c>
      <c r="B2478" s="1">
        <v>42997</v>
      </c>
      <c r="C2478" t="s">
        <v>29</v>
      </c>
      <c r="D2478" t="s">
        <v>190</v>
      </c>
      <c r="E2478">
        <v>0</v>
      </c>
    </row>
    <row r="2479" spans="1:5" x14ac:dyDescent="0.2">
      <c r="A2479" s="13">
        <v>2477</v>
      </c>
      <c r="B2479" s="1">
        <v>42997</v>
      </c>
      <c r="C2479" t="s">
        <v>29</v>
      </c>
      <c r="D2479" t="s">
        <v>191</v>
      </c>
      <c r="E2479">
        <v>1.4176878589573874E-3</v>
      </c>
    </row>
    <row r="2480" spans="1:5" x14ac:dyDescent="0.2">
      <c r="A2480" s="13">
        <v>2478</v>
      </c>
      <c r="B2480" s="1">
        <v>42997</v>
      </c>
      <c r="C2480" t="s">
        <v>87</v>
      </c>
      <c r="D2480" t="s">
        <v>39</v>
      </c>
      <c r="E2480">
        <v>3.125738715273059E-3</v>
      </c>
    </row>
    <row r="2481" spans="1:5" x14ac:dyDescent="0.2">
      <c r="A2481" s="13">
        <v>2479</v>
      </c>
      <c r="B2481" s="1">
        <v>42997</v>
      </c>
      <c r="C2481" t="s">
        <v>87</v>
      </c>
      <c r="D2481" t="s">
        <v>32</v>
      </c>
      <c r="E2481">
        <v>1.3933944944027461E-2</v>
      </c>
    </row>
    <row r="2482" spans="1:5" x14ac:dyDescent="0.2">
      <c r="A2482" s="13">
        <v>2480</v>
      </c>
      <c r="B2482" s="1">
        <v>42997</v>
      </c>
      <c r="C2482" t="s">
        <v>87</v>
      </c>
      <c r="D2482" t="s">
        <v>30</v>
      </c>
      <c r="E2482">
        <v>-6.3485384584301249E-4</v>
      </c>
    </row>
    <row r="2483" spans="1:5" x14ac:dyDescent="0.2">
      <c r="A2483" s="13">
        <v>2481</v>
      </c>
      <c r="B2483" s="1">
        <v>42997</v>
      </c>
      <c r="C2483" t="s">
        <v>87</v>
      </c>
      <c r="D2483" t="s">
        <v>49</v>
      </c>
      <c r="E2483">
        <v>0</v>
      </c>
    </row>
    <row r="2484" spans="1:5" x14ac:dyDescent="0.2">
      <c r="A2484" s="13">
        <v>2482</v>
      </c>
      <c r="B2484" s="1">
        <v>42997</v>
      </c>
      <c r="C2484" t="s">
        <v>87</v>
      </c>
      <c r="D2484" t="s">
        <v>145</v>
      </c>
      <c r="E2484">
        <v>3.8371837999011025E-4</v>
      </c>
    </row>
    <row r="2485" spans="1:5" x14ac:dyDescent="0.2">
      <c r="A2485" s="13">
        <v>2483</v>
      </c>
      <c r="B2485" s="1">
        <v>42997</v>
      </c>
      <c r="C2485" t="s">
        <v>87</v>
      </c>
      <c r="D2485" t="s">
        <v>233</v>
      </c>
      <c r="E2485">
        <v>0</v>
      </c>
    </row>
    <row r="2486" spans="1:5" x14ac:dyDescent="0.2">
      <c r="A2486" s="13">
        <v>2484</v>
      </c>
      <c r="B2486" s="1">
        <v>42997</v>
      </c>
      <c r="C2486" t="s">
        <v>87</v>
      </c>
      <c r="D2486" t="s">
        <v>172</v>
      </c>
      <c r="E2486">
        <v>0</v>
      </c>
    </row>
    <row r="2487" spans="1:5" x14ac:dyDescent="0.2">
      <c r="A2487" s="13">
        <v>2485</v>
      </c>
      <c r="B2487" s="1">
        <v>42997</v>
      </c>
      <c r="C2487" t="s">
        <v>87</v>
      </c>
      <c r="D2487" t="s">
        <v>72</v>
      </c>
      <c r="E2487">
        <v>9.2749454999017189</v>
      </c>
    </row>
    <row r="2488" spans="1:5" x14ac:dyDescent="0.2">
      <c r="A2488" s="13">
        <v>2486</v>
      </c>
      <c r="B2488" s="1">
        <v>42997</v>
      </c>
      <c r="C2488" t="s">
        <v>87</v>
      </c>
      <c r="D2488" t="s">
        <v>186</v>
      </c>
      <c r="E2488">
        <v>1.684549550378053E-2</v>
      </c>
    </row>
    <row r="2489" spans="1:5" x14ac:dyDescent="0.2">
      <c r="A2489" s="13">
        <v>2487</v>
      </c>
      <c r="B2489" s="1">
        <v>42997</v>
      </c>
      <c r="C2489" t="s">
        <v>87</v>
      </c>
      <c r="D2489" t="s">
        <v>187</v>
      </c>
      <c r="E2489">
        <v>1.5459115996434124E-4</v>
      </c>
    </row>
    <row r="2490" spans="1:5" x14ac:dyDescent="0.2">
      <c r="A2490" s="13">
        <v>2488</v>
      </c>
      <c r="B2490" s="1">
        <v>42997</v>
      </c>
      <c r="C2490" t="s">
        <v>87</v>
      </c>
      <c r="D2490" t="s">
        <v>188</v>
      </c>
      <c r="E2490">
        <v>-1.6544169425145719E-4</v>
      </c>
    </row>
    <row r="2491" spans="1:5" x14ac:dyDescent="0.2">
      <c r="A2491" s="13">
        <v>2489</v>
      </c>
      <c r="B2491" s="1">
        <v>42997</v>
      </c>
      <c r="C2491" t="s">
        <v>87</v>
      </c>
      <c r="D2491" t="s">
        <v>189</v>
      </c>
      <c r="E2491">
        <v>-1.6968771495565131E-4</v>
      </c>
    </row>
    <row r="2492" spans="1:5" x14ac:dyDescent="0.2">
      <c r="A2492" s="13">
        <v>2490</v>
      </c>
      <c r="B2492" s="1">
        <v>42997</v>
      </c>
      <c r="C2492" t="s">
        <v>87</v>
      </c>
      <c r="D2492" t="s">
        <v>190</v>
      </c>
      <c r="E2492">
        <v>-1.0560409483537911E-4</v>
      </c>
    </row>
    <row r="2493" spans="1:5" x14ac:dyDescent="0.2">
      <c r="A2493" s="13">
        <v>2491</v>
      </c>
      <c r="B2493" s="1">
        <v>42997</v>
      </c>
      <c r="C2493" t="s">
        <v>87</v>
      </c>
      <c r="D2493" t="s">
        <v>191</v>
      </c>
      <c r="E2493">
        <v>2.491950337452243E-4</v>
      </c>
    </row>
    <row r="2494" spans="1:5" x14ac:dyDescent="0.2">
      <c r="A2494" s="13">
        <v>2492</v>
      </c>
      <c r="B2494" s="1">
        <v>42997</v>
      </c>
      <c r="C2494" t="s">
        <v>61</v>
      </c>
      <c r="D2494" t="s">
        <v>39</v>
      </c>
      <c r="E2494">
        <v>1.4239780495982405E-3</v>
      </c>
    </row>
    <row r="2495" spans="1:5" x14ac:dyDescent="0.2">
      <c r="A2495" s="13">
        <v>2493</v>
      </c>
      <c r="B2495" s="1">
        <v>42997</v>
      </c>
      <c r="C2495" t="s">
        <v>61</v>
      </c>
      <c r="D2495" t="s">
        <v>32</v>
      </c>
      <c r="E2495">
        <v>1.0730091096006042E-2</v>
      </c>
    </row>
    <row r="2496" spans="1:5" x14ac:dyDescent="0.2">
      <c r="A2496" s="13">
        <v>2494</v>
      </c>
      <c r="B2496" s="1">
        <v>42997</v>
      </c>
      <c r="C2496" t="s">
        <v>61</v>
      </c>
      <c r="D2496" t="s">
        <v>30</v>
      </c>
      <c r="E2496">
        <v>0</v>
      </c>
    </row>
    <row r="2497" spans="1:5" x14ac:dyDescent="0.2">
      <c r="A2497" s="13">
        <v>2495</v>
      </c>
      <c r="B2497" s="1">
        <v>42997</v>
      </c>
      <c r="C2497" t="s">
        <v>61</v>
      </c>
      <c r="D2497" t="s">
        <v>49</v>
      </c>
      <c r="E2497">
        <v>0</v>
      </c>
    </row>
    <row r="2498" spans="1:5" x14ac:dyDescent="0.2">
      <c r="A2498" s="13">
        <v>2496</v>
      </c>
      <c r="B2498" s="1">
        <v>42997</v>
      </c>
      <c r="C2498" t="s">
        <v>61</v>
      </c>
      <c r="D2498" t="s">
        <v>145</v>
      </c>
      <c r="E2498">
        <v>0</v>
      </c>
    </row>
    <row r="2499" spans="1:5" x14ac:dyDescent="0.2">
      <c r="A2499" s="13">
        <v>2497</v>
      </c>
      <c r="B2499" s="1">
        <v>42997</v>
      </c>
      <c r="C2499" t="s">
        <v>61</v>
      </c>
      <c r="D2499" t="s">
        <v>233</v>
      </c>
      <c r="E2499">
        <v>0</v>
      </c>
    </row>
    <row r="2500" spans="1:5" x14ac:dyDescent="0.2">
      <c r="A2500" s="13">
        <v>2498</v>
      </c>
      <c r="B2500" s="1">
        <v>42997</v>
      </c>
      <c r="C2500" t="s">
        <v>61</v>
      </c>
      <c r="D2500" t="s">
        <v>172</v>
      </c>
      <c r="E2500">
        <v>0</v>
      </c>
    </row>
    <row r="2501" spans="1:5" x14ac:dyDescent="0.2">
      <c r="A2501" s="13">
        <v>2499</v>
      </c>
      <c r="B2501" s="1">
        <v>42997</v>
      </c>
      <c r="C2501" t="s">
        <v>61</v>
      </c>
      <c r="D2501" t="s">
        <v>72</v>
      </c>
      <c r="E2501">
        <v>5.6484569495014822</v>
      </c>
    </row>
    <row r="2502" spans="1:5" x14ac:dyDescent="0.2">
      <c r="A2502" s="13">
        <v>2500</v>
      </c>
      <c r="B2502" s="1">
        <v>42997</v>
      </c>
      <c r="C2502" t="s">
        <v>61</v>
      </c>
      <c r="D2502" t="s">
        <v>186</v>
      </c>
      <c r="E2502">
        <v>1.2154069145604286E-2</v>
      </c>
    </row>
    <row r="2503" spans="1:5" x14ac:dyDescent="0.2">
      <c r="A2503" s="13">
        <v>2501</v>
      </c>
      <c r="B2503" s="1">
        <v>42997</v>
      </c>
      <c r="C2503" t="s">
        <v>61</v>
      </c>
      <c r="D2503" t="s">
        <v>187</v>
      </c>
      <c r="E2503">
        <v>0</v>
      </c>
    </row>
    <row r="2504" spans="1:5" x14ac:dyDescent="0.2">
      <c r="A2504" s="13">
        <v>2502</v>
      </c>
      <c r="B2504" s="1">
        <v>42997</v>
      </c>
      <c r="C2504" t="s">
        <v>61</v>
      </c>
      <c r="D2504" t="s">
        <v>188</v>
      </c>
      <c r="E2504">
        <v>0</v>
      </c>
    </row>
    <row r="2505" spans="1:5" x14ac:dyDescent="0.2">
      <c r="A2505" s="13">
        <v>2503</v>
      </c>
      <c r="B2505" s="1">
        <v>42997</v>
      </c>
      <c r="C2505" t="s">
        <v>61</v>
      </c>
      <c r="D2505" t="s">
        <v>189</v>
      </c>
      <c r="E2505">
        <v>0</v>
      </c>
    </row>
    <row r="2506" spans="1:5" x14ac:dyDescent="0.2">
      <c r="A2506" s="13">
        <v>2504</v>
      </c>
      <c r="B2506" s="1">
        <v>42997</v>
      </c>
      <c r="C2506" t="s">
        <v>61</v>
      </c>
      <c r="D2506" t="s">
        <v>190</v>
      </c>
      <c r="E2506">
        <v>0</v>
      </c>
    </row>
    <row r="2507" spans="1:5" x14ac:dyDescent="0.2">
      <c r="A2507" s="13">
        <v>2505</v>
      </c>
      <c r="B2507" s="1">
        <v>42997</v>
      </c>
      <c r="C2507" t="s">
        <v>61</v>
      </c>
      <c r="D2507" t="s">
        <v>191</v>
      </c>
      <c r="E2507">
        <v>0</v>
      </c>
    </row>
    <row r="2508" spans="1:5" x14ac:dyDescent="0.2">
      <c r="A2508" s="13">
        <v>2506</v>
      </c>
      <c r="B2508" s="1">
        <v>42997</v>
      </c>
      <c r="C2508" t="s">
        <v>53</v>
      </c>
      <c r="D2508" t="s">
        <v>39</v>
      </c>
      <c r="E2508">
        <v>1.0297333775225988E-4</v>
      </c>
    </row>
    <row r="2509" spans="1:5" x14ac:dyDescent="0.2">
      <c r="A2509" s="13">
        <v>2507</v>
      </c>
      <c r="B2509" s="1">
        <v>42997</v>
      </c>
      <c r="C2509" t="s">
        <v>53</v>
      </c>
      <c r="D2509" t="s">
        <v>32</v>
      </c>
      <c r="E2509">
        <v>4.3950179124897541E-3</v>
      </c>
    </row>
    <row r="2510" spans="1:5" x14ac:dyDescent="0.2">
      <c r="A2510" s="13">
        <v>2508</v>
      </c>
      <c r="B2510" s="1">
        <v>42997</v>
      </c>
      <c r="C2510" t="s">
        <v>53</v>
      </c>
      <c r="D2510" t="s">
        <v>30</v>
      </c>
      <c r="E2510">
        <v>1.9657894666054841E-4</v>
      </c>
    </row>
    <row r="2511" spans="1:5" x14ac:dyDescent="0.2">
      <c r="A2511" s="13">
        <v>2509</v>
      </c>
      <c r="B2511" s="1">
        <v>42997</v>
      </c>
      <c r="C2511" t="s">
        <v>53</v>
      </c>
      <c r="D2511" t="s">
        <v>49</v>
      </c>
      <c r="E2511">
        <v>0</v>
      </c>
    </row>
    <row r="2512" spans="1:5" x14ac:dyDescent="0.2">
      <c r="A2512" s="13">
        <v>2510</v>
      </c>
      <c r="B2512" s="1">
        <v>42997</v>
      </c>
      <c r="C2512" t="s">
        <v>53</v>
      </c>
      <c r="D2512" t="s">
        <v>145</v>
      </c>
      <c r="E2512">
        <v>0</v>
      </c>
    </row>
    <row r="2513" spans="1:5" x14ac:dyDescent="0.2">
      <c r="A2513" s="13">
        <v>2511</v>
      </c>
      <c r="B2513" s="1">
        <v>42997</v>
      </c>
      <c r="C2513" t="s">
        <v>53</v>
      </c>
      <c r="D2513" t="s">
        <v>233</v>
      </c>
      <c r="E2513">
        <v>0</v>
      </c>
    </row>
    <row r="2514" spans="1:5" x14ac:dyDescent="0.2">
      <c r="A2514" s="13">
        <v>2512</v>
      </c>
      <c r="B2514" s="1">
        <v>42997</v>
      </c>
      <c r="C2514" t="s">
        <v>53</v>
      </c>
      <c r="D2514" t="s">
        <v>172</v>
      </c>
      <c r="E2514">
        <v>0</v>
      </c>
    </row>
    <row r="2515" spans="1:5" x14ac:dyDescent="0.2">
      <c r="A2515" s="13">
        <v>2513</v>
      </c>
      <c r="B2515" s="1">
        <v>42997</v>
      </c>
      <c r="C2515" t="s">
        <v>53</v>
      </c>
      <c r="D2515" t="s">
        <v>72</v>
      </c>
      <c r="E2515">
        <v>6.4077366534968165</v>
      </c>
    </row>
    <row r="2516" spans="1:5" x14ac:dyDescent="0.2">
      <c r="A2516" s="13">
        <v>2514</v>
      </c>
      <c r="B2516" s="1">
        <v>42997</v>
      </c>
      <c r="C2516" t="s">
        <v>53</v>
      </c>
      <c r="D2516" t="s">
        <v>186</v>
      </c>
      <c r="E2516">
        <v>1.4975934756497338E-3</v>
      </c>
    </row>
    <row r="2517" spans="1:5" x14ac:dyDescent="0.2">
      <c r="A2517" s="13">
        <v>2515</v>
      </c>
      <c r="B2517" s="1">
        <v>42997</v>
      </c>
      <c r="C2517" t="s">
        <v>53</v>
      </c>
      <c r="D2517" t="s">
        <v>187</v>
      </c>
      <c r="E2517">
        <v>0</v>
      </c>
    </row>
    <row r="2518" spans="1:5" x14ac:dyDescent="0.2">
      <c r="A2518" s="13">
        <v>2516</v>
      </c>
      <c r="B2518" s="1">
        <v>42997</v>
      </c>
      <c r="C2518" t="s">
        <v>53</v>
      </c>
      <c r="D2518" t="s">
        <v>188</v>
      </c>
      <c r="E2518">
        <v>0</v>
      </c>
    </row>
    <row r="2519" spans="1:5" x14ac:dyDescent="0.2">
      <c r="A2519" s="13">
        <v>2517</v>
      </c>
      <c r="B2519" s="1">
        <v>42997</v>
      </c>
      <c r="C2519" t="s">
        <v>53</v>
      </c>
      <c r="D2519" t="s">
        <v>189</v>
      </c>
      <c r="E2519">
        <v>0</v>
      </c>
    </row>
    <row r="2520" spans="1:5" x14ac:dyDescent="0.2">
      <c r="A2520" s="13">
        <v>2518</v>
      </c>
      <c r="B2520" s="1">
        <v>42997</v>
      </c>
      <c r="C2520" t="s">
        <v>53</v>
      </c>
      <c r="D2520" t="s">
        <v>190</v>
      </c>
      <c r="E2520">
        <v>0</v>
      </c>
    </row>
    <row r="2521" spans="1:5" x14ac:dyDescent="0.2">
      <c r="A2521" s="13">
        <v>2519</v>
      </c>
      <c r="B2521" s="1">
        <v>42997</v>
      </c>
      <c r="C2521" t="s">
        <v>53</v>
      </c>
      <c r="D2521" t="s">
        <v>191</v>
      </c>
      <c r="E2521">
        <v>3.1969767212528259E-3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2</vt:i4>
      </vt:variant>
    </vt:vector>
  </HeadingPairs>
  <TitlesOfParts>
    <vt:vector size="10" baseType="lpstr">
      <vt:lpstr>Dataset</vt:lpstr>
      <vt:lpstr>Resumen</vt:lpstr>
      <vt:lpstr>retorno absoluto</vt:lpstr>
      <vt:lpstr>credito</vt:lpstr>
      <vt:lpstr>credito latam</vt:lpstr>
      <vt:lpstr>renta fija</vt:lpstr>
      <vt:lpstr>renta variable</vt:lpstr>
      <vt:lpstr>Historical</vt:lpstr>
      <vt:lpstr>'renta fija'!A</vt:lpstr>
      <vt:lpstr>'renta fija'!Print_Area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</dc:creator>
  <cp:lastModifiedBy>Diego Posch Ponce</cp:lastModifiedBy>
  <cp:lastPrinted>2017-10-18T20:50:47Z</cp:lastPrinted>
  <dcterms:created xsi:type="dcterms:W3CDTF">2016-10-26T20:13:43Z</dcterms:created>
  <dcterms:modified xsi:type="dcterms:W3CDTF">2017-11-22T20:33:28Z</dcterms:modified>
</cp:coreProperties>
</file>