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L:\Rates &amp; FX\DPP\Fondo GBI\"/>
    </mc:Choice>
  </mc:AlternateContent>
  <bookViews>
    <workbookView xWindow="20700" yWindow="105" windowWidth="17715" windowHeight="12345" tabRatio="690" activeTab="5" xr2:uid="{00000000-000D-0000-FFFF-FFFF00000000}"/>
  </bookViews>
  <sheets>
    <sheet name="Dataset" sheetId="1" r:id="rId1"/>
    <sheet name="Resumen" sheetId="10" r:id="rId2"/>
    <sheet name="retorno absoluto" sheetId="8" r:id="rId3"/>
    <sheet name="credito" sheetId="2" r:id="rId4"/>
    <sheet name="credito latam" sheetId="12" r:id="rId5"/>
    <sheet name="renta fija" sheetId="9" r:id="rId6"/>
    <sheet name="renta variable" sheetId="7" r:id="rId7"/>
    <sheet name="Historical" sheetId="11" r:id="rId8"/>
  </sheets>
  <definedNames>
    <definedName name="_xlnm._FilterDatabase" localSheetId="0" hidden="1">Dataset!$A$1:$AQ$590</definedName>
    <definedName name="A" localSheetId="5">'renta fija'!$A$1:$AF$110</definedName>
    <definedName name="Print_Area" localSheetId="5">'renta fija'!$A$1:$AF$110</definedName>
  </definedNames>
  <calcPr calcId="171027"/>
  <fileRecoveryPr autoRecover="0"/>
</workbook>
</file>

<file path=xl/calcChain.xml><?xml version="1.0" encoding="utf-8"?>
<calcChain xmlns="http://schemas.openxmlformats.org/spreadsheetml/2006/main">
  <c r="C4" i="8" l="1"/>
  <c r="C4" i="2"/>
  <c r="C4" i="12"/>
  <c r="C4" i="9"/>
  <c r="B4" i="7"/>
  <c r="L39" i="7" l="1"/>
  <c r="M39" i="7"/>
  <c r="N39" i="7"/>
  <c r="O39" i="7"/>
  <c r="P39" i="7"/>
  <c r="L40" i="7"/>
  <c r="M40" i="7"/>
  <c r="N40" i="7"/>
  <c r="O40" i="7"/>
  <c r="P40" i="7"/>
  <c r="L41" i="7"/>
  <c r="M41" i="7"/>
  <c r="N41" i="7"/>
  <c r="O41" i="7"/>
  <c r="P41" i="7"/>
  <c r="L42" i="7"/>
  <c r="M42" i="7"/>
  <c r="N42" i="7"/>
  <c r="O42" i="7"/>
  <c r="P42" i="7"/>
  <c r="L43" i="7"/>
  <c r="M43" i="7"/>
  <c r="N43" i="7"/>
  <c r="O43" i="7"/>
  <c r="P43" i="7"/>
  <c r="L44" i="7"/>
  <c r="M44" i="7"/>
  <c r="N44" i="7"/>
  <c r="O44" i="7"/>
  <c r="P44" i="7"/>
  <c r="L45" i="7"/>
  <c r="M45" i="7"/>
  <c r="N45" i="7"/>
  <c r="O45" i="7"/>
  <c r="P45" i="7"/>
  <c r="L46" i="7"/>
  <c r="M46" i="7"/>
  <c r="N46" i="7"/>
  <c r="O46" i="7"/>
  <c r="P46" i="7"/>
  <c r="L47" i="7"/>
  <c r="M47" i="7"/>
  <c r="N47" i="7"/>
  <c r="O47" i="7"/>
  <c r="P47" i="7"/>
  <c r="L48" i="7"/>
  <c r="M48" i="7"/>
  <c r="N48" i="7"/>
  <c r="O48" i="7"/>
  <c r="P48" i="7"/>
  <c r="L49" i="7"/>
  <c r="M49" i="7"/>
  <c r="N49" i="7"/>
  <c r="O49" i="7"/>
  <c r="P49" i="7"/>
  <c r="L50" i="7"/>
  <c r="M50" i="7"/>
  <c r="N50" i="7"/>
  <c r="O50" i="7"/>
  <c r="P50" i="7"/>
  <c r="L51" i="7"/>
  <c r="M51" i="7"/>
  <c r="N51" i="7"/>
  <c r="O51" i="7"/>
  <c r="P51" i="7"/>
  <c r="L52" i="7"/>
  <c r="M52" i="7"/>
  <c r="N52" i="7"/>
  <c r="O52" i="7"/>
  <c r="P52" i="7"/>
  <c r="L53" i="7"/>
  <c r="M53" i="7"/>
  <c r="N53" i="7"/>
  <c r="O53" i="7"/>
  <c r="P53" i="7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G45" i="2" l="1"/>
  <c r="F45" i="2"/>
  <c r="E45" i="2"/>
  <c r="D45" i="2"/>
  <c r="B3" i="10" l="1"/>
  <c r="AC59" i="10" l="1"/>
  <c r="AD59" i="10"/>
  <c r="AB58" i="10" l="1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E57" i="10"/>
  <c r="D24" i="12" l="1"/>
  <c r="D17" i="9" l="1"/>
  <c r="D38" i="9"/>
  <c r="I20" i="2" l="1"/>
  <c r="H20" i="2"/>
  <c r="G20" i="2"/>
  <c r="F20" i="2"/>
  <c r="E20" i="2"/>
  <c r="D20" i="2"/>
  <c r="D31" i="2"/>
  <c r="I33" i="2"/>
  <c r="H33" i="2"/>
  <c r="G33" i="2"/>
  <c r="F33" i="2"/>
  <c r="E33" i="2"/>
  <c r="D33" i="2"/>
  <c r="I34" i="8" l="1"/>
  <c r="H34" i="8"/>
  <c r="G34" i="8"/>
  <c r="F34" i="8"/>
  <c r="E34" i="8"/>
  <c r="D34" i="8"/>
  <c r="I33" i="8"/>
  <c r="H33" i="8"/>
  <c r="G33" i="8"/>
  <c r="F33" i="8"/>
  <c r="E33" i="8"/>
  <c r="D33" i="8"/>
  <c r="H44" i="2" l="1"/>
  <c r="I32" i="2"/>
  <c r="H32" i="2"/>
  <c r="G32" i="2"/>
  <c r="F32" i="2"/>
  <c r="E32" i="2"/>
  <c r="D32" i="2"/>
  <c r="D47" i="8" l="1"/>
  <c r="E47" i="8"/>
  <c r="F47" i="8"/>
  <c r="G47" i="8"/>
  <c r="D46" i="8"/>
  <c r="D32" i="8"/>
  <c r="AH50" i="2" l="1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49" i="2"/>
  <c r="J21" i="11" l="1"/>
  <c r="Z21" i="11" s="1"/>
  <c r="J20" i="11"/>
  <c r="Y20" i="11" s="1"/>
  <c r="J19" i="11"/>
  <c r="X19" i="11" s="1"/>
  <c r="J18" i="11"/>
  <c r="W18" i="11" s="1"/>
  <c r="J17" i="11"/>
  <c r="V17" i="11" s="1"/>
  <c r="J16" i="11"/>
  <c r="U16" i="11" s="1"/>
  <c r="J15" i="11"/>
  <c r="S15" i="11" s="1"/>
  <c r="J14" i="11"/>
  <c r="X14" i="11" s="1"/>
  <c r="J13" i="11"/>
  <c r="X13" i="11" s="1"/>
  <c r="J12" i="11"/>
  <c r="W12" i="11" s="1"/>
  <c r="J11" i="11"/>
  <c r="V11" i="11" s="1"/>
  <c r="J10" i="11"/>
  <c r="S10" i="11" s="1"/>
  <c r="J9" i="11"/>
  <c r="S9" i="11" s="1"/>
  <c r="J8" i="11"/>
  <c r="R8" i="11" s="1"/>
  <c r="J7" i="11"/>
  <c r="Z7" i="11" s="1"/>
  <c r="J6" i="11"/>
  <c r="X6" i="11" s="1"/>
  <c r="J5" i="11"/>
  <c r="X5" i="11" s="1"/>
  <c r="J4" i="11"/>
  <c r="W4" i="11" s="1"/>
  <c r="J3" i="11"/>
  <c r="U3" i="11" s="1"/>
  <c r="J2" i="11"/>
  <c r="S2" i="11" s="1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AB51" i="10"/>
  <c r="AB59" i="10" s="1"/>
  <c r="AA51" i="10"/>
  <c r="Z51" i="10"/>
  <c r="Y51" i="10"/>
  <c r="X51" i="10"/>
  <c r="X59" i="10" s="1"/>
  <c r="W51" i="10"/>
  <c r="W59" i="10" s="1"/>
  <c r="V51" i="10"/>
  <c r="V59" i="10" s="1"/>
  <c r="U51" i="10"/>
  <c r="U59" i="10" s="1"/>
  <c r="T51" i="10"/>
  <c r="T59" i="10" s="1"/>
  <c r="S51" i="10"/>
  <c r="R51" i="10"/>
  <c r="Q51" i="10"/>
  <c r="P51" i="10"/>
  <c r="P59" i="10" s="1"/>
  <c r="O51" i="10"/>
  <c r="O59" i="10" s="1"/>
  <c r="N51" i="10"/>
  <c r="N59" i="10" s="1"/>
  <c r="M51" i="10"/>
  <c r="M59" i="10" s="1"/>
  <c r="L51" i="10"/>
  <c r="L59" i="10" s="1"/>
  <c r="K51" i="10"/>
  <c r="J51" i="10"/>
  <c r="I51" i="10"/>
  <c r="H51" i="10"/>
  <c r="H59" i="10" s="1"/>
  <c r="G51" i="10"/>
  <c r="G59" i="10" s="1"/>
  <c r="F51" i="10"/>
  <c r="F59" i="10" s="1"/>
  <c r="E51" i="10"/>
  <c r="E59" i="10" s="1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AB10" i="10"/>
  <c r="AA10" i="10"/>
  <c r="AA50" i="10" s="1"/>
  <c r="Z10" i="10"/>
  <c r="Z50" i="10" s="1"/>
  <c r="Y10" i="10"/>
  <c r="Y50" i="10" s="1"/>
  <c r="X10" i="10"/>
  <c r="X50" i="10" s="1"/>
  <c r="W10" i="10"/>
  <c r="W50" i="10" s="1"/>
  <c r="V10" i="10"/>
  <c r="V50" i="10" s="1"/>
  <c r="U10" i="10"/>
  <c r="T10" i="10"/>
  <c r="T50" i="10" s="1"/>
  <c r="S10" i="10"/>
  <c r="S50" i="10" s="1"/>
  <c r="R10" i="10"/>
  <c r="R50" i="10" s="1"/>
  <c r="Q10" i="10"/>
  <c r="Q50" i="10" s="1"/>
  <c r="P10" i="10"/>
  <c r="O10" i="10"/>
  <c r="O50" i="10" s="1"/>
  <c r="N10" i="10"/>
  <c r="N50" i="10" s="1"/>
  <c r="M10" i="10"/>
  <c r="M50" i="10" s="1"/>
  <c r="L10" i="10"/>
  <c r="L50" i="10" s="1"/>
  <c r="K10" i="10"/>
  <c r="K50" i="10" s="1"/>
  <c r="J10" i="10"/>
  <c r="J50" i="10" s="1"/>
  <c r="I10" i="10"/>
  <c r="I50" i="10" s="1"/>
  <c r="H10" i="10"/>
  <c r="H50" i="10" s="1"/>
  <c r="G10" i="10"/>
  <c r="G50" i="10" s="1"/>
  <c r="F10" i="10"/>
  <c r="F50" i="10" s="1"/>
  <c r="E10" i="10"/>
  <c r="E50" i="10" s="1"/>
  <c r="P58" i="7"/>
  <c r="O58" i="7"/>
  <c r="N58" i="7"/>
  <c r="M58" i="7"/>
  <c r="L58" i="7"/>
  <c r="P57" i="7"/>
  <c r="O57" i="7"/>
  <c r="N57" i="7"/>
  <c r="M57" i="7"/>
  <c r="L57" i="7"/>
  <c r="P56" i="7"/>
  <c r="O56" i="7"/>
  <c r="N56" i="7"/>
  <c r="M56" i="7"/>
  <c r="L56" i="7"/>
  <c r="P55" i="7"/>
  <c r="O55" i="7"/>
  <c r="N55" i="7"/>
  <c r="M55" i="7"/>
  <c r="L55" i="7"/>
  <c r="P54" i="7"/>
  <c r="O54" i="7"/>
  <c r="N54" i="7"/>
  <c r="M54" i="7"/>
  <c r="L54" i="7"/>
  <c r="P34" i="7"/>
  <c r="O34" i="7"/>
  <c r="N34" i="7"/>
  <c r="M34" i="7"/>
  <c r="L34" i="7"/>
  <c r="K34" i="7"/>
  <c r="H34" i="7"/>
  <c r="G34" i="7"/>
  <c r="F34" i="7"/>
  <c r="E34" i="7"/>
  <c r="D34" i="7"/>
  <c r="C34" i="7"/>
  <c r="P33" i="7"/>
  <c r="O33" i="7"/>
  <c r="N33" i="7"/>
  <c r="M33" i="7"/>
  <c r="L33" i="7"/>
  <c r="K33" i="7"/>
  <c r="H33" i="7"/>
  <c r="G33" i="7"/>
  <c r="F33" i="7"/>
  <c r="E33" i="7"/>
  <c r="D33" i="7"/>
  <c r="C33" i="7"/>
  <c r="P32" i="7"/>
  <c r="O32" i="7"/>
  <c r="N32" i="7"/>
  <c r="M32" i="7"/>
  <c r="L32" i="7"/>
  <c r="K32" i="7"/>
  <c r="H32" i="7"/>
  <c r="G32" i="7"/>
  <c r="F32" i="7"/>
  <c r="E32" i="7"/>
  <c r="D32" i="7"/>
  <c r="C32" i="7"/>
  <c r="P31" i="7"/>
  <c r="O31" i="7"/>
  <c r="N31" i="7"/>
  <c r="M31" i="7"/>
  <c r="L31" i="7"/>
  <c r="K31" i="7"/>
  <c r="H31" i="7"/>
  <c r="G31" i="7"/>
  <c r="F31" i="7"/>
  <c r="E31" i="7"/>
  <c r="D31" i="7"/>
  <c r="C31" i="7"/>
  <c r="P30" i="7"/>
  <c r="O30" i="7"/>
  <c r="N30" i="7"/>
  <c r="M30" i="7"/>
  <c r="L30" i="7"/>
  <c r="K30" i="7"/>
  <c r="H30" i="7"/>
  <c r="G30" i="7"/>
  <c r="F30" i="7"/>
  <c r="E30" i="7"/>
  <c r="D30" i="7"/>
  <c r="C30" i="7"/>
  <c r="P29" i="7"/>
  <c r="O29" i="7"/>
  <c r="N29" i="7"/>
  <c r="M29" i="7"/>
  <c r="L29" i="7"/>
  <c r="K29" i="7"/>
  <c r="H29" i="7"/>
  <c r="G29" i="7"/>
  <c r="F29" i="7"/>
  <c r="E29" i="7"/>
  <c r="D29" i="7"/>
  <c r="C29" i="7"/>
  <c r="P28" i="7"/>
  <c r="O28" i="7"/>
  <c r="N28" i="7"/>
  <c r="M28" i="7"/>
  <c r="L28" i="7"/>
  <c r="K28" i="7"/>
  <c r="H28" i="7"/>
  <c r="G28" i="7"/>
  <c r="F28" i="7"/>
  <c r="E28" i="7"/>
  <c r="D28" i="7"/>
  <c r="C28" i="7"/>
  <c r="P27" i="7"/>
  <c r="O27" i="7"/>
  <c r="N27" i="7"/>
  <c r="M27" i="7"/>
  <c r="L27" i="7"/>
  <c r="K27" i="7"/>
  <c r="H27" i="7"/>
  <c r="G27" i="7"/>
  <c r="F27" i="7"/>
  <c r="E27" i="7"/>
  <c r="D27" i="7"/>
  <c r="C27" i="7"/>
  <c r="P26" i="7"/>
  <c r="O26" i="7"/>
  <c r="N26" i="7"/>
  <c r="M26" i="7"/>
  <c r="L26" i="7"/>
  <c r="K26" i="7"/>
  <c r="H26" i="7"/>
  <c r="G26" i="7"/>
  <c r="F26" i="7"/>
  <c r="E26" i="7"/>
  <c r="D26" i="7"/>
  <c r="C26" i="7"/>
  <c r="P25" i="7"/>
  <c r="O25" i="7"/>
  <c r="N25" i="7"/>
  <c r="M25" i="7"/>
  <c r="L25" i="7"/>
  <c r="K25" i="7"/>
  <c r="H25" i="7"/>
  <c r="G25" i="7"/>
  <c r="F25" i="7"/>
  <c r="E25" i="7"/>
  <c r="D25" i="7"/>
  <c r="C25" i="7"/>
  <c r="P24" i="7"/>
  <c r="O24" i="7"/>
  <c r="N24" i="7"/>
  <c r="M24" i="7"/>
  <c r="L24" i="7"/>
  <c r="K24" i="7"/>
  <c r="H24" i="7"/>
  <c r="G24" i="7"/>
  <c r="F24" i="7"/>
  <c r="E24" i="7"/>
  <c r="D24" i="7"/>
  <c r="C24" i="7"/>
  <c r="P23" i="7"/>
  <c r="O23" i="7"/>
  <c r="N23" i="7"/>
  <c r="M23" i="7"/>
  <c r="L23" i="7"/>
  <c r="K23" i="7"/>
  <c r="H23" i="7"/>
  <c r="G23" i="7"/>
  <c r="F23" i="7"/>
  <c r="E23" i="7"/>
  <c r="D23" i="7"/>
  <c r="C23" i="7"/>
  <c r="P22" i="7"/>
  <c r="O22" i="7"/>
  <c r="N22" i="7"/>
  <c r="M22" i="7"/>
  <c r="L22" i="7"/>
  <c r="K22" i="7"/>
  <c r="H22" i="7"/>
  <c r="G22" i="7"/>
  <c r="F22" i="7"/>
  <c r="E22" i="7"/>
  <c r="D22" i="7"/>
  <c r="C22" i="7"/>
  <c r="P21" i="7"/>
  <c r="O21" i="7"/>
  <c r="N21" i="7"/>
  <c r="M21" i="7"/>
  <c r="L21" i="7"/>
  <c r="K21" i="7"/>
  <c r="H21" i="7"/>
  <c r="G21" i="7"/>
  <c r="F21" i="7"/>
  <c r="E21" i="7"/>
  <c r="D21" i="7"/>
  <c r="C21" i="7"/>
  <c r="P20" i="7"/>
  <c r="O20" i="7"/>
  <c r="N20" i="7"/>
  <c r="M20" i="7"/>
  <c r="L20" i="7"/>
  <c r="K20" i="7"/>
  <c r="H20" i="7"/>
  <c r="G20" i="7"/>
  <c r="F20" i="7"/>
  <c r="E20" i="7"/>
  <c r="D20" i="7"/>
  <c r="C20" i="7"/>
  <c r="AE44" i="9"/>
  <c r="AC44" i="9"/>
  <c r="AB44" i="9"/>
  <c r="AA44" i="9"/>
  <c r="Z44" i="9"/>
  <c r="Y44" i="9"/>
  <c r="X44" i="9"/>
  <c r="W44" i="9"/>
  <c r="V44" i="9"/>
  <c r="U44" i="9"/>
  <c r="T44" i="9"/>
  <c r="AE43" i="9"/>
  <c r="AC43" i="9"/>
  <c r="AB43" i="9"/>
  <c r="AA43" i="9"/>
  <c r="Z43" i="9"/>
  <c r="Y43" i="9"/>
  <c r="X43" i="9"/>
  <c r="W43" i="9"/>
  <c r="V43" i="9"/>
  <c r="U43" i="9"/>
  <c r="T43" i="9"/>
  <c r="AE42" i="9"/>
  <c r="AC42" i="9"/>
  <c r="AB42" i="9"/>
  <c r="AA42" i="9"/>
  <c r="Z42" i="9"/>
  <c r="Y42" i="9"/>
  <c r="X42" i="9"/>
  <c r="W42" i="9"/>
  <c r="V42" i="9"/>
  <c r="U42" i="9"/>
  <c r="T42" i="9"/>
  <c r="AE41" i="9"/>
  <c r="AC41" i="9"/>
  <c r="AB41" i="9"/>
  <c r="AA41" i="9"/>
  <c r="Z41" i="9"/>
  <c r="Y41" i="9"/>
  <c r="X41" i="9"/>
  <c r="W41" i="9"/>
  <c r="V41" i="9"/>
  <c r="U41" i="9"/>
  <c r="T41" i="9"/>
  <c r="P41" i="9"/>
  <c r="O41" i="9"/>
  <c r="N41" i="9"/>
  <c r="M41" i="9"/>
  <c r="L41" i="9"/>
  <c r="AE40" i="9"/>
  <c r="AC40" i="9"/>
  <c r="AB40" i="9"/>
  <c r="AA40" i="9"/>
  <c r="Z40" i="9"/>
  <c r="Y40" i="9"/>
  <c r="X40" i="9"/>
  <c r="W40" i="9"/>
  <c r="V40" i="9"/>
  <c r="U40" i="9"/>
  <c r="T40" i="9"/>
  <c r="P40" i="9"/>
  <c r="O40" i="9"/>
  <c r="N40" i="9"/>
  <c r="M40" i="9"/>
  <c r="L40" i="9"/>
  <c r="H40" i="9"/>
  <c r="G40" i="9"/>
  <c r="F40" i="9"/>
  <c r="E40" i="9"/>
  <c r="D40" i="9"/>
  <c r="AE39" i="9"/>
  <c r="AC39" i="9"/>
  <c r="AB39" i="9"/>
  <c r="AA39" i="9"/>
  <c r="Z39" i="9"/>
  <c r="Y39" i="9"/>
  <c r="X39" i="9"/>
  <c r="W39" i="9"/>
  <c r="V39" i="9"/>
  <c r="U39" i="9"/>
  <c r="T39" i="9"/>
  <c r="P39" i="9"/>
  <c r="O39" i="9"/>
  <c r="N39" i="9"/>
  <c r="M39" i="9"/>
  <c r="L39" i="9"/>
  <c r="H39" i="9"/>
  <c r="G39" i="9"/>
  <c r="F39" i="9"/>
  <c r="E39" i="9"/>
  <c r="D39" i="9"/>
  <c r="AE38" i="9"/>
  <c r="AC38" i="9"/>
  <c r="AB38" i="9"/>
  <c r="AA38" i="9"/>
  <c r="Z38" i="9"/>
  <c r="Y38" i="9"/>
  <c r="X38" i="9"/>
  <c r="W38" i="9"/>
  <c r="V38" i="9"/>
  <c r="U38" i="9"/>
  <c r="T38" i="9"/>
  <c r="P38" i="9"/>
  <c r="O38" i="9"/>
  <c r="N38" i="9"/>
  <c r="M38" i="9"/>
  <c r="L38" i="9"/>
  <c r="H38" i="9"/>
  <c r="G38" i="9"/>
  <c r="F38" i="9"/>
  <c r="E38" i="9"/>
  <c r="AE37" i="9"/>
  <c r="AC37" i="9"/>
  <c r="AB37" i="9"/>
  <c r="AA37" i="9"/>
  <c r="Z37" i="9"/>
  <c r="Y37" i="9"/>
  <c r="X37" i="9"/>
  <c r="W37" i="9"/>
  <c r="V37" i="9"/>
  <c r="U37" i="9"/>
  <c r="T37" i="9"/>
  <c r="P37" i="9"/>
  <c r="O37" i="9"/>
  <c r="N37" i="9"/>
  <c r="M37" i="9"/>
  <c r="L37" i="9"/>
  <c r="AE36" i="9"/>
  <c r="AC36" i="9"/>
  <c r="AB36" i="9"/>
  <c r="AA36" i="9"/>
  <c r="Z36" i="9"/>
  <c r="Y36" i="9"/>
  <c r="X36" i="9"/>
  <c r="W36" i="9"/>
  <c r="V36" i="9"/>
  <c r="U36" i="9"/>
  <c r="T36" i="9"/>
  <c r="P36" i="9"/>
  <c r="O36" i="9"/>
  <c r="N36" i="9"/>
  <c r="M36" i="9"/>
  <c r="L36" i="9"/>
  <c r="AE35" i="9"/>
  <c r="AC35" i="9"/>
  <c r="AB35" i="9"/>
  <c r="AA35" i="9"/>
  <c r="Z35" i="9"/>
  <c r="Y35" i="9"/>
  <c r="X35" i="9"/>
  <c r="W35" i="9"/>
  <c r="V35" i="9"/>
  <c r="U35" i="9"/>
  <c r="T35" i="9"/>
  <c r="P35" i="9"/>
  <c r="O35" i="9"/>
  <c r="N35" i="9"/>
  <c r="M35" i="9"/>
  <c r="L35" i="9"/>
  <c r="AE34" i="9"/>
  <c r="AC34" i="9"/>
  <c r="AB34" i="9"/>
  <c r="AA34" i="9"/>
  <c r="Z34" i="9"/>
  <c r="Y34" i="9"/>
  <c r="X34" i="9"/>
  <c r="W34" i="9"/>
  <c r="V34" i="9"/>
  <c r="U34" i="9"/>
  <c r="T34" i="9"/>
  <c r="P34" i="9"/>
  <c r="O34" i="9"/>
  <c r="N34" i="9"/>
  <c r="M34" i="9"/>
  <c r="L34" i="9"/>
  <c r="AE33" i="9"/>
  <c r="AC33" i="9"/>
  <c r="AB33" i="9"/>
  <c r="AA33" i="9"/>
  <c r="Z33" i="9"/>
  <c r="Y33" i="9"/>
  <c r="X33" i="9"/>
  <c r="W33" i="9"/>
  <c r="V33" i="9"/>
  <c r="U33" i="9"/>
  <c r="T33" i="9"/>
  <c r="P33" i="9"/>
  <c r="O33" i="9"/>
  <c r="N33" i="9"/>
  <c r="M33" i="9"/>
  <c r="L33" i="9"/>
  <c r="AE32" i="9"/>
  <c r="AC32" i="9"/>
  <c r="AB32" i="9"/>
  <c r="AA32" i="9"/>
  <c r="Z32" i="9"/>
  <c r="Y32" i="9"/>
  <c r="X32" i="9"/>
  <c r="W32" i="9"/>
  <c r="V32" i="9"/>
  <c r="U32" i="9"/>
  <c r="T32" i="9"/>
  <c r="P32" i="9"/>
  <c r="O32" i="9"/>
  <c r="N32" i="9"/>
  <c r="M32" i="9"/>
  <c r="L32" i="9"/>
  <c r="I32" i="9"/>
  <c r="H32" i="9"/>
  <c r="G32" i="9"/>
  <c r="F32" i="9"/>
  <c r="E32" i="9"/>
  <c r="D32" i="9"/>
  <c r="AE31" i="9"/>
  <c r="AC31" i="9"/>
  <c r="AB31" i="9"/>
  <c r="AA31" i="9"/>
  <c r="Z31" i="9"/>
  <c r="Y31" i="9"/>
  <c r="X31" i="9"/>
  <c r="W31" i="9"/>
  <c r="V31" i="9"/>
  <c r="U31" i="9"/>
  <c r="T31" i="9"/>
  <c r="I31" i="9"/>
  <c r="H31" i="9"/>
  <c r="G31" i="9"/>
  <c r="F31" i="9"/>
  <c r="E31" i="9"/>
  <c r="D31" i="9"/>
  <c r="AE30" i="9"/>
  <c r="AC30" i="9"/>
  <c r="AB30" i="9"/>
  <c r="AA30" i="9"/>
  <c r="Z30" i="9"/>
  <c r="Y30" i="9"/>
  <c r="X30" i="9"/>
  <c r="W30" i="9"/>
  <c r="V30" i="9"/>
  <c r="U30" i="9"/>
  <c r="T30" i="9"/>
  <c r="I30" i="9"/>
  <c r="H30" i="9"/>
  <c r="G30" i="9"/>
  <c r="F30" i="9"/>
  <c r="E30" i="9"/>
  <c r="D30" i="9"/>
  <c r="AE29" i="9"/>
  <c r="AC29" i="9"/>
  <c r="AB29" i="9"/>
  <c r="AA29" i="9"/>
  <c r="Z29" i="9"/>
  <c r="Y29" i="9"/>
  <c r="X29" i="9"/>
  <c r="W29" i="9"/>
  <c r="V29" i="9"/>
  <c r="U29" i="9"/>
  <c r="T29" i="9"/>
  <c r="I29" i="9"/>
  <c r="H29" i="9"/>
  <c r="G29" i="9"/>
  <c r="F29" i="9"/>
  <c r="E29" i="9"/>
  <c r="D29" i="9"/>
  <c r="AE28" i="9"/>
  <c r="AC28" i="9"/>
  <c r="AB28" i="9"/>
  <c r="AA28" i="9"/>
  <c r="Z28" i="9"/>
  <c r="Y28" i="9"/>
  <c r="X28" i="9"/>
  <c r="W28" i="9"/>
  <c r="V28" i="9"/>
  <c r="U28" i="9"/>
  <c r="T28" i="9"/>
  <c r="I28" i="9"/>
  <c r="H28" i="9"/>
  <c r="G28" i="9"/>
  <c r="F28" i="9"/>
  <c r="E28" i="9"/>
  <c r="D28" i="9"/>
  <c r="AE27" i="9"/>
  <c r="AC27" i="9"/>
  <c r="AB27" i="9"/>
  <c r="AA27" i="9"/>
  <c r="Z27" i="9"/>
  <c r="Y27" i="9"/>
  <c r="X27" i="9"/>
  <c r="W27" i="9"/>
  <c r="V27" i="9"/>
  <c r="U27" i="9"/>
  <c r="T27" i="9"/>
  <c r="I27" i="9"/>
  <c r="H27" i="9"/>
  <c r="G27" i="9"/>
  <c r="F27" i="9"/>
  <c r="E27" i="9"/>
  <c r="D27" i="9"/>
  <c r="AE26" i="9"/>
  <c r="AC26" i="9"/>
  <c r="AB26" i="9"/>
  <c r="AA26" i="9"/>
  <c r="Z26" i="9"/>
  <c r="Y26" i="9"/>
  <c r="X26" i="9"/>
  <c r="W26" i="9"/>
  <c r="V26" i="9"/>
  <c r="U26" i="9"/>
  <c r="T26" i="9"/>
  <c r="P26" i="9"/>
  <c r="O26" i="9"/>
  <c r="N26" i="9"/>
  <c r="M26" i="9"/>
  <c r="L26" i="9"/>
  <c r="I26" i="9"/>
  <c r="H26" i="9"/>
  <c r="G26" i="9"/>
  <c r="F26" i="9"/>
  <c r="E26" i="9"/>
  <c r="D26" i="9"/>
  <c r="AE25" i="9"/>
  <c r="AC25" i="9"/>
  <c r="AB25" i="9"/>
  <c r="AA25" i="9"/>
  <c r="Z25" i="9"/>
  <c r="Y25" i="9"/>
  <c r="X25" i="9"/>
  <c r="W25" i="9"/>
  <c r="V25" i="9"/>
  <c r="U25" i="9"/>
  <c r="T25" i="9"/>
  <c r="P25" i="9"/>
  <c r="O25" i="9"/>
  <c r="N25" i="9"/>
  <c r="M25" i="9"/>
  <c r="L25" i="9"/>
  <c r="I25" i="9"/>
  <c r="H25" i="9"/>
  <c r="G25" i="9"/>
  <c r="F25" i="9"/>
  <c r="E25" i="9"/>
  <c r="D25" i="9"/>
  <c r="AE24" i="9"/>
  <c r="AC24" i="9"/>
  <c r="AB24" i="9"/>
  <c r="AA24" i="9"/>
  <c r="Z24" i="9"/>
  <c r="Y24" i="9"/>
  <c r="X24" i="9"/>
  <c r="W24" i="9"/>
  <c r="V24" i="9"/>
  <c r="U24" i="9"/>
  <c r="T24" i="9"/>
  <c r="P24" i="9"/>
  <c r="O24" i="9"/>
  <c r="N24" i="9"/>
  <c r="M24" i="9"/>
  <c r="L24" i="9"/>
  <c r="I24" i="9"/>
  <c r="H24" i="9"/>
  <c r="G24" i="9"/>
  <c r="F24" i="9"/>
  <c r="E24" i="9"/>
  <c r="D24" i="9"/>
  <c r="AE23" i="9"/>
  <c r="AC23" i="9"/>
  <c r="AB23" i="9"/>
  <c r="AA23" i="9"/>
  <c r="Z23" i="9"/>
  <c r="Y23" i="9"/>
  <c r="X23" i="9"/>
  <c r="W23" i="9"/>
  <c r="V23" i="9"/>
  <c r="U23" i="9"/>
  <c r="T23" i="9"/>
  <c r="P23" i="9"/>
  <c r="O23" i="9"/>
  <c r="N23" i="9"/>
  <c r="M23" i="9"/>
  <c r="L23" i="9"/>
  <c r="I23" i="9"/>
  <c r="H23" i="9"/>
  <c r="G23" i="9"/>
  <c r="F23" i="9"/>
  <c r="E23" i="9"/>
  <c r="D23" i="9"/>
  <c r="AE22" i="9"/>
  <c r="AC22" i="9"/>
  <c r="AB22" i="9"/>
  <c r="AA22" i="9"/>
  <c r="Z22" i="9"/>
  <c r="Y22" i="9"/>
  <c r="X22" i="9"/>
  <c r="W22" i="9"/>
  <c r="V22" i="9"/>
  <c r="U22" i="9"/>
  <c r="T22" i="9"/>
  <c r="P22" i="9"/>
  <c r="O22" i="9"/>
  <c r="N22" i="9"/>
  <c r="M22" i="9"/>
  <c r="L22" i="9"/>
  <c r="I22" i="9"/>
  <c r="H22" i="9"/>
  <c r="G22" i="9"/>
  <c r="F22" i="9"/>
  <c r="E22" i="9"/>
  <c r="D22" i="9"/>
  <c r="AE21" i="9"/>
  <c r="AC21" i="9"/>
  <c r="AB21" i="9"/>
  <c r="AA21" i="9"/>
  <c r="Z21" i="9"/>
  <c r="Y21" i="9"/>
  <c r="X21" i="9"/>
  <c r="W21" i="9"/>
  <c r="V21" i="9"/>
  <c r="U21" i="9"/>
  <c r="T21" i="9"/>
  <c r="P21" i="9"/>
  <c r="O21" i="9"/>
  <c r="N21" i="9"/>
  <c r="M21" i="9"/>
  <c r="L21" i="9"/>
  <c r="I21" i="9"/>
  <c r="H21" i="9"/>
  <c r="G21" i="9"/>
  <c r="F21" i="9"/>
  <c r="E21" i="9"/>
  <c r="D21" i="9"/>
  <c r="AE20" i="9"/>
  <c r="AC20" i="9"/>
  <c r="AB20" i="9"/>
  <c r="AA20" i="9"/>
  <c r="Z20" i="9"/>
  <c r="Y20" i="9"/>
  <c r="X20" i="9"/>
  <c r="W20" i="9"/>
  <c r="V20" i="9"/>
  <c r="U20" i="9"/>
  <c r="T20" i="9"/>
  <c r="P20" i="9"/>
  <c r="O20" i="9"/>
  <c r="N20" i="9"/>
  <c r="M20" i="9"/>
  <c r="L20" i="9"/>
  <c r="I20" i="9"/>
  <c r="H20" i="9"/>
  <c r="G20" i="9"/>
  <c r="F20" i="9"/>
  <c r="E20" i="9"/>
  <c r="D20" i="9"/>
  <c r="AE19" i="9"/>
  <c r="AC19" i="9"/>
  <c r="AB19" i="9"/>
  <c r="AA19" i="9"/>
  <c r="Z19" i="9"/>
  <c r="Y19" i="9"/>
  <c r="X19" i="9"/>
  <c r="W19" i="9"/>
  <c r="V19" i="9"/>
  <c r="U19" i="9"/>
  <c r="T19" i="9"/>
  <c r="P19" i="9"/>
  <c r="O19" i="9"/>
  <c r="N19" i="9"/>
  <c r="M19" i="9"/>
  <c r="L19" i="9"/>
  <c r="I19" i="9"/>
  <c r="H19" i="9"/>
  <c r="G19" i="9"/>
  <c r="F19" i="9"/>
  <c r="E19" i="9"/>
  <c r="D19" i="9"/>
  <c r="AE18" i="9"/>
  <c r="AC18" i="9"/>
  <c r="AB18" i="9"/>
  <c r="AA18" i="9"/>
  <c r="Z18" i="9"/>
  <c r="Y18" i="9"/>
  <c r="X18" i="9"/>
  <c r="W18" i="9"/>
  <c r="V18" i="9"/>
  <c r="U18" i="9"/>
  <c r="T18" i="9"/>
  <c r="P18" i="9"/>
  <c r="O18" i="9"/>
  <c r="N18" i="9"/>
  <c r="M18" i="9"/>
  <c r="L18" i="9"/>
  <c r="I18" i="9"/>
  <c r="H18" i="9"/>
  <c r="G18" i="9"/>
  <c r="F18" i="9"/>
  <c r="E18" i="9"/>
  <c r="D18" i="9"/>
  <c r="AE17" i="9"/>
  <c r="AC17" i="9"/>
  <c r="AB17" i="9"/>
  <c r="AA17" i="9"/>
  <c r="Z17" i="9"/>
  <c r="Y17" i="9"/>
  <c r="X17" i="9"/>
  <c r="W17" i="9"/>
  <c r="V17" i="9"/>
  <c r="U17" i="9"/>
  <c r="T17" i="9"/>
  <c r="P17" i="9"/>
  <c r="O17" i="9"/>
  <c r="N17" i="9"/>
  <c r="M17" i="9"/>
  <c r="L17" i="9"/>
  <c r="I17" i="9"/>
  <c r="H17" i="9"/>
  <c r="G17" i="9"/>
  <c r="F17" i="9"/>
  <c r="E17" i="9"/>
  <c r="S102" i="12"/>
  <c r="R102" i="12"/>
  <c r="Q102" i="12"/>
  <c r="P102" i="12"/>
  <c r="O102" i="12"/>
  <c r="N102" i="12"/>
  <c r="M102" i="12"/>
  <c r="K102" i="12"/>
  <c r="J102" i="12"/>
  <c r="I102" i="12"/>
  <c r="H102" i="12"/>
  <c r="G102" i="12"/>
  <c r="F102" i="12"/>
  <c r="E102" i="12"/>
  <c r="S101" i="12"/>
  <c r="R101" i="12"/>
  <c r="Q101" i="12"/>
  <c r="P101" i="12"/>
  <c r="O101" i="12"/>
  <c r="N101" i="12"/>
  <c r="M101" i="12"/>
  <c r="K101" i="12"/>
  <c r="J101" i="12"/>
  <c r="I101" i="12"/>
  <c r="H101" i="12"/>
  <c r="G101" i="12"/>
  <c r="F101" i="12"/>
  <c r="E101" i="12"/>
  <c r="S100" i="12"/>
  <c r="R100" i="12"/>
  <c r="Q100" i="12"/>
  <c r="P100" i="12"/>
  <c r="O100" i="12"/>
  <c r="N100" i="12"/>
  <c r="M100" i="12"/>
  <c r="K100" i="12"/>
  <c r="J100" i="12"/>
  <c r="I100" i="12"/>
  <c r="H100" i="12"/>
  <c r="G100" i="12"/>
  <c r="F100" i="12"/>
  <c r="E100" i="12"/>
  <c r="S99" i="12"/>
  <c r="R99" i="12"/>
  <c r="Q99" i="12"/>
  <c r="P99" i="12"/>
  <c r="O99" i="12"/>
  <c r="N99" i="12"/>
  <c r="M99" i="12"/>
  <c r="K99" i="12"/>
  <c r="J99" i="12"/>
  <c r="I99" i="12"/>
  <c r="H99" i="12"/>
  <c r="G99" i="12"/>
  <c r="F99" i="12"/>
  <c r="E99" i="12"/>
  <c r="S98" i="12"/>
  <c r="R98" i="12"/>
  <c r="Q98" i="12"/>
  <c r="P98" i="12"/>
  <c r="O98" i="12"/>
  <c r="N98" i="12"/>
  <c r="M98" i="12"/>
  <c r="K98" i="12"/>
  <c r="J98" i="12"/>
  <c r="I98" i="12"/>
  <c r="H98" i="12"/>
  <c r="G98" i="12"/>
  <c r="F98" i="12"/>
  <c r="E98" i="12"/>
  <c r="S97" i="12"/>
  <c r="R97" i="12"/>
  <c r="Q97" i="12"/>
  <c r="P97" i="12"/>
  <c r="O97" i="12"/>
  <c r="N97" i="12"/>
  <c r="M97" i="12"/>
  <c r="K97" i="12"/>
  <c r="J97" i="12"/>
  <c r="I97" i="12"/>
  <c r="H97" i="12"/>
  <c r="G97" i="12"/>
  <c r="F97" i="12"/>
  <c r="E97" i="12"/>
  <c r="S96" i="12"/>
  <c r="R96" i="12"/>
  <c r="Q96" i="12"/>
  <c r="P96" i="12"/>
  <c r="O96" i="12"/>
  <c r="N96" i="12"/>
  <c r="M96" i="12"/>
  <c r="K96" i="12"/>
  <c r="J96" i="12"/>
  <c r="I96" i="12"/>
  <c r="H96" i="12"/>
  <c r="G96" i="12"/>
  <c r="F96" i="12"/>
  <c r="E96" i="12"/>
  <c r="S95" i="12"/>
  <c r="R95" i="12"/>
  <c r="Q95" i="12"/>
  <c r="P95" i="12"/>
  <c r="O95" i="12"/>
  <c r="N95" i="12"/>
  <c r="M95" i="12"/>
  <c r="K95" i="12"/>
  <c r="J95" i="12"/>
  <c r="I95" i="12"/>
  <c r="H95" i="12"/>
  <c r="G95" i="12"/>
  <c r="F95" i="12"/>
  <c r="E95" i="12"/>
  <c r="S94" i="12"/>
  <c r="R94" i="12"/>
  <c r="Q94" i="12"/>
  <c r="P94" i="12"/>
  <c r="O94" i="12"/>
  <c r="N94" i="12"/>
  <c r="M94" i="12"/>
  <c r="K94" i="12"/>
  <c r="J94" i="12"/>
  <c r="I94" i="12"/>
  <c r="H94" i="12"/>
  <c r="G94" i="12"/>
  <c r="F94" i="12"/>
  <c r="E94" i="12"/>
  <c r="S93" i="12"/>
  <c r="R93" i="12"/>
  <c r="Q93" i="12"/>
  <c r="P93" i="12"/>
  <c r="O93" i="12"/>
  <c r="N93" i="12"/>
  <c r="M93" i="12"/>
  <c r="K93" i="12"/>
  <c r="J93" i="12"/>
  <c r="I93" i="12"/>
  <c r="H93" i="12"/>
  <c r="G93" i="12"/>
  <c r="F93" i="12"/>
  <c r="E93" i="12"/>
  <c r="S92" i="12"/>
  <c r="R92" i="12"/>
  <c r="Q92" i="12"/>
  <c r="P92" i="12"/>
  <c r="O92" i="12"/>
  <c r="N92" i="12"/>
  <c r="M92" i="12"/>
  <c r="K92" i="12"/>
  <c r="J92" i="12"/>
  <c r="I92" i="12"/>
  <c r="H92" i="12"/>
  <c r="G92" i="12"/>
  <c r="F92" i="12"/>
  <c r="E92" i="12"/>
  <c r="S91" i="12"/>
  <c r="R91" i="12"/>
  <c r="Q91" i="12"/>
  <c r="P91" i="12"/>
  <c r="O91" i="12"/>
  <c r="N91" i="12"/>
  <c r="M91" i="12"/>
  <c r="K91" i="12"/>
  <c r="J91" i="12"/>
  <c r="I91" i="12"/>
  <c r="H91" i="12"/>
  <c r="G91" i="12"/>
  <c r="F91" i="12"/>
  <c r="E91" i="12"/>
  <c r="S90" i="12"/>
  <c r="R90" i="12"/>
  <c r="Q90" i="12"/>
  <c r="P90" i="12"/>
  <c r="O90" i="12"/>
  <c r="N90" i="12"/>
  <c r="M90" i="12"/>
  <c r="K90" i="12"/>
  <c r="J90" i="12"/>
  <c r="I90" i="12"/>
  <c r="H90" i="12"/>
  <c r="G90" i="12"/>
  <c r="F90" i="12"/>
  <c r="E90" i="12"/>
  <c r="S89" i="12"/>
  <c r="R89" i="12"/>
  <c r="Q89" i="12"/>
  <c r="P89" i="12"/>
  <c r="O89" i="12"/>
  <c r="N89" i="12"/>
  <c r="M89" i="12"/>
  <c r="K89" i="12"/>
  <c r="J89" i="12"/>
  <c r="I89" i="12"/>
  <c r="H89" i="12"/>
  <c r="G89" i="12"/>
  <c r="F89" i="12"/>
  <c r="E89" i="12"/>
  <c r="S88" i="12"/>
  <c r="R88" i="12"/>
  <c r="Q88" i="12"/>
  <c r="P88" i="12"/>
  <c r="O88" i="12"/>
  <c r="N88" i="12"/>
  <c r="M88" i="12"/>
  <c r="K88" i="12"/>
  <c r="J88" i="12"/>
  <c r="I88" i="12"/>
  <c r="H88" i="12"/>
  <c r="G88" i="12"/>
  <c r="F88" i="12"/>
  <c r="E88" i="12"/>
  <c r="S87" i="12"/>
  <c r="R87" i="12"/>
  <c r="Q87" i="12"/>
  <c r="P87" i="12"/>
  <c r="O87" i="12"/>
  <c r="N87" i="12"/>
  <c r="M87" i="12"/>
  <c r="K87" i="12"/>
  <c r="J87" i="12"/>
  <c r="I87" i="12"/>
  <c r="H87" i="12"/>
  <c r="G87" i="12"/>
  <c r="F87" i="12"/>
  <c r="E87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G60" i="12"/>
  <c r="AF60" i="12"/>
  <c r="AE60" i="12"/>
  <c r="AD60" i="12"/>
  <c r="AC60" i="12"/>
  <c r="AB60" i="12"/>
  <c r="AA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K60" i="12"/>
  <c r="J60" i="12"/>
  <c r="I60" i="12"/>
  <c r="H60" i="12"/>
  <c r="G60" i="12"/>
  <c r="F60" i="12"/>
  <c r="E60" i="12"/>
  <c r="AG59" i="12"/>
  <c r="AF59" i="12"/>
  <c r="AE59" i="12"/>
  <c r="AD59" i="12"/>
  <c r="AC59" i="12"/>
  <c r="AB59" i="12"/>
  <c r="AA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K59" i="12"/>
  <c r="J59" i="12"/>
  <c r="I59" i="12"/>
  <c r="H59" i="12"/>
  <c r="G59" i="12"/>
  <c r="F59" i="12"/>
  <c r="E59" i="12"/>
  <c r="AG58" i="12"/>
  <c r="AF58" i="12"/>
  <c r="AE58" i="12"/>
  <c r="AD58" i="12"/>
  <c r="AC58" i="12"/>
  <c r="AB58" i="12"/>
  <c r="AA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K58" i="12"/>
  <c r="J58" i="12"/>
  <c r="I58" i="12"/>
  <c r="H58" i="12"/>
  <c r="G58" i="12"/>
  <c r="F58" i="12"/>
  <c r="E58" i="12"/>
  <c r="AG57" i="12"/>
  <c r="AF57" i="12"/>
  <c r="AE57" i="12"/>
  <c r="AD57" i="12"/>
  <c r="AC57" i="12"/>
  <c r="AB57" i="12"/>
  <c r="AA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K57" i="12"/>
  <c r="J57" i="12"/>
  <c r="I57" i="12"/>
  <c r="H57" i="12"/>
  <c r="G57" i="12"/>
  <c r="F57" i="12"/>
  <c r="E57" i="12"/>
  <c r="AG56" i="12"/>
  <c r="AF56" i="12"/>
  <c r="AE56" i="12"/>
  <c r="AD56" i="12"/>
  <c r="AC56" i="12"/>
  <c r="AB56" i="12"/>
  <c r="AA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K56" i="12"/>
  <c r="J56" i="12"/>
  <c r="I56" i="12"/>
  <c r="H56" i="12"/>
  <c r="G56" i="12"/>
  <c r="F56" i="12"/>
  <c r="E56" i="12"/>
  <c r="AG55" i="12"/>
  <c r="AF55" i="12"/>
  <c r="AE55" i="12"/>
  <c r="AD55" i="12"/>
  <c r="AC55" i="12"/>
  <c r="AB55" i="12"/>
  <c r="AA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K55" i="12"/>
  <c r="J55" i="12"/>
  <c r="I55" i="12"/>
  <c r="H55" i="12"/>
  <c r="G55" i="12"/>
  <c r="F55" i="12"/>
  <c r="E55" i="12"/>
  <c r="AG54" i="12"/>
  <c r="AF54" i="12"/>
  <c r="AE54" i="12"/>
  <c r="AD54" i="12"/>
  <c r="AC54" i="12"/>
  <c r="AB54" i="12"/>
  <c r="AA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K54" i="12"/>
  <c r="J54" i="12"/>
  <c r="I54" i="12"/>
  <c r="H54" i="12"/>
  <c r="G54" i="12"/>
  <c r="F54" i="12"/>
  <c r="E54" i="12"/>
  <c r="AG53" i="12"/>
  <c r="AF53" i="12"/>
  <c r="AE53" i="12"/>
  <c r="AD53" i="12"/>
  <c r="AC53" i="12"/>
  <c r="AB53" i="12"/>
  <c r="AA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K53" i="12"/>
  <c r="J53" i="12"/>
  <c r="I53" i="12"/>
  <c r="H53" i="12"/>
  <c r="G53" i="12"/>
  <c r="F53" i="12"/>
  <c r="E53" i="12"/>
  <c r="AG52" i="12"/>
  <c r="AF52" i="12"/>
  <c r="AE52" i="12"/>
  <c r="AD52" i="12"/>
  <c r="AC52" i="12"/>
  <c r="AB52" i="12"/>
  <c r="AA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K52" i="12"/>
  <c r="J52" i="12"/>
  <c r="I52" i="12"/>
  <c r="H52" i="12"/>
  <c r="G52" i="12"/>
  <c r="F52" i="12"/>
  <c r="E52" i="12"/>
  <c r="AG51" i="12"/>
  <c r="AF51" i="12"/>
  <c r="AE51" i="12"/>
  <c r="AD51" i="12"/>
  <c r="AC51" i="12"/>
  <c r="AB51" i="12"/>
  <c r="AA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K51" i="12"/>
  <c r="J51" i="12"/>
  <c r="I51" i="12"/>
  <c r="H51" i="12"/>
  <c r="G51" i="12"/>
  <c r="F51" i="12"/>
  <c r="E51" i="12"/>
  <c r="AG50" i="12"/>
  <c r="AF50" i="12"/>
  <c r="AE50" i="12"/>
  <c r="AD50" i="12"/>
  <c r="AC50" i="12"/>
  <c r="AB50" i="12"/>
  <c r="AA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K50" i="12"/>
  <c r="J50" i="12"/>
  <c r="I50" i="12"/>
  <c r="H50" i="12"/>
  <c r="G50" i="12"/>
  <c r="F50" i="12"/>
  <c r="E50" i="12"/>
  <c r="AG49" i="12"/>
  <c r="AF49" i="12"/>
  <c r="AE49" i="12"/>
  <c r="AD49" i="12"/>
  <c r="AC49" i="12"/>
  <c r="AB49" i="12"/>
  <c r="AA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K49" i="12"/>
  <c r="J49" i="12"/>
  <c r="I49" i="12"/>
  <c r="H49" i="12"/>
  <c r="G49" i="12"/>
  <c r="F49" i="12"/>
  <c r="E49" i="12"/>
  <c r="AG48" i="12"/>
  <c r="AF48" i="12"/>
  <c r="AE48" i="12"/>
  <c r="AD48" i="12"/>
  <c r="AC48" i="12"/>
  <c r="AB48" i="12"/>
  <c r="AA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K48" i="12"/>
  <c r="J48" i="12"/>
  <c r="I48" i="12"/>
  <c r="H48" i="12"/>
  <c r="G48" i="12"/>
  <c r="F48" i="12"/>
  <c r="E48" i="12"/>
  <c r="AG47" i="12"/>
  <c r="AF47" i="12"/>
  <c r="AE47" i="12"/>
  <c r="AD47" i="12"/>
  <c r="AC47" i="12"/>
  <c r="AB47" i="12"/>
  <c r="AA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K47" i="12"/>
  <c r="J47" i="12"/>
  <c r="I47" i="12"/>
  <c r="H47" i="12"/>
  <c r="G47" i="12"/>
  <c r="F47" i="12"/>
  <c r="E47" i="12"/>
  <c r="AG46" i="12"/>
  <c r="AF46" i="12"/>
  <c r="AE46" i="12"/>
  <c r="AD46" i="12"/>
  <c r="AC46" i="12"/>
  <c r="AB46" i="12"/>
  <c r="AA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K46" i="12"/>
  <c r="J46" i="12"/>
  <c r="I46" i="12"/>
  <c r="H46" i="12"/>
  <c r="G46" i="12"/>
  <c r="F46" i="12"/>
  <c r="E46" i="12"/>
  <c r="AG45" i="12"/>
  <c r="AF45" i="12"/>
  <c r="AE45" i="12"/>
  <c r="AD45" i="12"/>
  <c r="AC45" i="12"/>
  <c r="AB45" i="12"/>
  <c r="AA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K45" i="12"/>
  <c r="J45" i="12"/>
  <c r="I45" i="12"/>
  <c r="H45" i="12"/>
  <c r="G45" i="12"/>
  <c r="F45" i="12"/>
  <c r="E45" i="12"/>
  <c r="R41" i="12"/>
  <c r="Q41" i="12"/>
  <c r="P41" i="12"/>
  <c r="O41" i="12"/>
  <c r="N41" i="12"/>
  <c r="M41" i="12"/>
  <c r="L41" i="12"/>
  <c r="R40" i="12"/>
  <c r="Q40" i="12"/>
  <c r="P40" i="12"/>
  <c r="O40" i="12"/>
  <c r="N40" i="12"/>
  <c r="M40" i="12"/>
  <c r="L40" i="12"/>
  <c r="R39" i="12"/>
  <c r="Q39" i="12"/>
  <c r="P39" i="12"/>
  <c r="O39" i="12"/>
  <c r="N39" i="12"/>
  <c r="M39" i="12"/>
  <c r="L39" i="12"/>
  <c r="R38" i="12"/>
  <c r="Q38" i="12"/>
  <c r="P38" i="12"/>
  <c r="O38" i="12"/>
  <c r="N38" i="12"/>
  <c r="M38" i="12"/>
  <c r="L38" i="12"/>
  <c r="R37" i="12"/>
  <c r="Q37" i="12"/>
  <c r="P37" i="12"/>
  <c r="O37" i="12"/>
  <c r="N37" i="12"/>
  <c r="M37" i="12"/>
  <c r="L37" i="12"/>
  <c r="R36" i="12"/>
  <c r="Q36" i="12"/>
  <c r="P36" i="12"/>
  <c r="O36" i="12"/>
  <c r="N36" i="12"/>
  <c r="M36" i="12"/>
  <c r="L36" i="12"/>
  <c r="R35" i="12"/>
  <c r="Q35" i="12"/>
  <c r="P35" i="12"/>
  <c r="O35" i="12"/>
  <c r="N35" i="12"/>
  <c r="M35" i="12"/>
  <c r="L35" i="12"/>
  <c r="H35" i="12"/>
  <c r="G35" i="12"/>
  <c r="F35" i="12"/>
  <c r="E35" i="12"/>
  <c r="D35" i="12"/>
  <c r="R34" i="12"/>
  <c r="Q34" i="12"/>
  <c r="P34" i="12"/>
  <c r="O34" i="12"/>
  <c r="N34" i="12"/>
  <c r="M34" i="12"/>
  <c r="L34" i="12"/>
  <c r="H34" i="12"/>
  <c r="G34" i="12"/>
  <c r="F34" i="12"/>
  <c r="E34" i="12"/>
  <c r="D34" i="12"/>
  <c r="R33" i="12"/>
  <c r="Q33" i="12"/>
  <c r="P33" i="12"/>
  <c r="O33" i="12"/>
  <c r="N33" i="12"/>
  <c r="M33" i="12"/>
  <c r="L33" i="12"/>
  <c r="H33" i="12"/>
  <c r="G33" i="12"/>
  <c r="F33" i="12"/>
  <c r="E33" i="12"/>
  <c r="D33" i="12"/>
  <c r="R32" i="12"/>
  <c r="Q32" i="12"/>
  <c r="P32" i="12"/>
  <c r="O32" i="12"/>
  <c r="N32" i="12"/>
  <c r="M32" i="12"/>
  <c r="L32" i="12"/>
  <c r="H32" i="12"/>
  <c r="G32" i="12"/>
  <c r="F32" i="12"/>
  <c r="E32" i="12"/>
  <c r="D32" i="12"/>
  <c r="R26" i="12"/>
  <c r="Q26" i="12"/>
  <c r="P26" i="12"/>
  <c r="O26" i="12"/>
  <c r="N26" i="12"/>
  <c r="M26" i="12"/>
  <c r="L26" i="12"/>
  <c r="R25" i="12"/>
  <c r="Q25" i="12"/>
  <c r="P25" i="12"/>
  <c r="O25" i="12"/>
  <c r="N25" i="12"/>
  <c r="M25" i="12"/>
  <c r="L25" i="12"/>
  <c r="R24" i="12"/>
  <c r="Q24" i="12"/>
  <c r="P24" i="12"/>
  <c r="O24" i="12"/>
  <c r="N24" i="12"/>
  <c r="M24" i="12"/>
  <c r="L24" i="12"/>
  <c r="I24" i="12"/>
  <c r="H24" i="12"/>
  <c r="G24" i="12"/>
  <c r="F24" i="12"/>
  <c r="E24" i="12"/>
  <c r="R23" i="12"/>
  <c r="Q23" i="12"/>
  <c r="P23" i="12"/>
  <c r="O23" i="12"/>
  <c r="N23" i="12"/>
  <c r="M23" i="12"/>
  <c r="L23" i="12"/>
  <c r="I23" i="12"/>
  <c r="H23" i="12"/>
  <c r="G23" i="12"/>
  <c r="F23" i="12"/>
  <c r="E23" i="12"/>
  <c r="D23" i="12"/>
  <c r="R22" i="12"/>
  <c r="Q22" i="12"/>
  <c r="P22" i="12"/>
  <c r="O22" i="12"/>
  <c r="N22" i="12"/>
  <c r="M22" i="12"/>
  <c r="L22" i="12"/>
  <c r="I22" i="12"/>
  <c r="H22" i="12"/>
  <c r="G22" i="12"/>
  <c r="F22" i="12"/>
  <c r="E22" i="12"/>
  <c r="D22" i="12"/>
  <c r="R21" i="12"/>
  <c r="Q21" i="12"/>
  <c r="P21" i="12"/>
  <c r="O21" i="12"/>
  <c r="N21" i="12"/>
  <c r="M21" i="12"/>
  <c r="L21" i="12"/>
  <c r="I21" i="12"/>
  <c r="H21" i="12"/>
  <c r="G21" i="12"/>
  <c r="F21" i="12"/>
  <c r="E21" i="12"/>
  <c r="D21" i="12"/>
  <c r="R20" i="12"/>
  <c r="Q20" i="12"/>
  <c r="P20" i="12"/>
  <c r="O20" i="12"/>
  <c r="N20" i="12"/>
  <c r="M20" i="12"/>
  <c r="L20" i="12"/>
  <c r="I20" i="12"/>
  <c r="H20" i="12"/>
  <c r="G20" i="12"/>
  <c r="F20" i="12"/>
  <c r="E20" i="12"/>
  <c r="D20" i="12"/>
  <c r="R19" i="12"/>
  <c r="Q19" i="12"/>
  <c r="P19" i="12"/>
  <c r="O19" i="12"/>
  <c r="N19" i="12"/>
  <c r="M19" i="12"/>
  <c r="L19" i="12"/>
  <c r="I19" i="12"/>
  <c r="H19" i="12"/>
  <c r="G19" i="12"/>
  <c r="F19" i="12"/>
  <c r="E19" i="12"/>
  <c r="D19" i="12"/>
  <c r="R18" i="12"/>
  <c r="Q18" i="12"/>
  <c r="P18" i="12"/>
  <c r="O18" i="12"/>
  <c r="N18" i="12"/>
  <c r="M18" i="12"/>
  <c r="L18" i="12"/>
  <c r="I18" i="12"/>
  <c r="H18" i="12"/>
  <c r="G18" i="12"/>
  <c r="F18" i="12"/>
  <c r="E18" i="12"/>
  <c r="D18" i="12"/>
  <c r="R17" i="12"/>
  <c r="Q17" i="12"/>
  <c r="P17" i="12"/>
  <c r="O17" i="12"/>
  <c r="N17" i="12"/>
  <c r="M17" i="12"/>
  <c r="L17" i="12"/>
  <c r="I17" i="12"/>
  <c r="H17" i="12"/>
  <c r="G17" i="12"/>
  <c r="F17" i="12"/>
  <c r="E17" i="12"/>
  <c r="D17" i="12"/>
  <c r="U106" i="2"/>
  <c r="T106" i="2"/>
  <c r="S106" i="2"/>
  <c r="R106" i="2"/>
  <c r="Q106" i="2"/>
  <c r="P106" i="2"/>
  <c r="O106" i="2"/>
  <c r="N106" i="2"/>
  <c r="L106" i="2"/>
  <c r="K106" i="2"/>
  <c r="J106" i="2"/>
  <c r="I106" i="2"/>
  <c r="H106" i="2"/>
  <c r="G106" i="2"/>
  <c r="F106" i="2"/>
  <c r="E106" i="2"/>
  <c r="U105" i="2"/>
  <c r="T105" i="2"/>
  <c r="S105" i="2"/>
  <c r="R105" i="2"/>
  <c r="Q105" i="2"/>
  <c r="P105" i="2"/>
  <c r="O105" i="2"/>
  <c r="N105" i="2"/>
  <c r="L105" i="2"/>
  <c r="K105" i="2"/>
  <c r="J105" i="2"/>
  <c r="I105" i="2"/>
  <c r="H105" i="2"/>
  <c r="G105" i="2"/>
  <c r="F105" i="2"/>
  <c r="E105" i="2"/>
  <c r="U104" i="2"/>
  <c r="T104" i="2"/>
  <c r="S104" i="2"/>
  <c r="R104" i="2"/>
  <c r="Q104" i="2"/>
  <c r="P104" i="2"/>
  <c r="O104" i="2"/>
  <c r="N104" i="2"/>
  <c r="L104" i="2"/>
  <c r="K104" i="2"/>
  <c r="J104" i="2"/>
  <c r="I104" i="2"/>
  <c r="H104" i="2"/>
  <c r="G104" i="2"/>
  <c r="F104" i="2"/>
  <c r="E104" i="2"/>
  <c r="U103" i="2"/>
  <c r="T103" i="2"/>
  <c r="S103" i="2"/>
  <c r="R103" i="2"/>
  <c r="Q103" i="2"/>
  <c r="P103" i="2"/>
  <c r="O103" i="2"/>
  <c r="N103" i="2"/>
  <c r="L103" i="2"/>
  <c r="K103" i="2"/>
  <c r="J103" i="2"/>
  <c r="I103" i="2"/>
  <c r="H103" i="2"/>
  <c r="G103" i="2"/>
  <c r="F103" i="2"/>
  <c r="E103" i="2"/>
  <c r="U102" i="2"/>
  <c r="T102" i="2"/>
  <c r="S102" i="2"/>
  <c r="R102" i="2"/>
  <c r="Q102" i="2"/>
  <c r="P102" i="2"/>
  <c r="O102" i="2"/>
  <c r="N102" i="2"/>
  <c r="L102" i="2"/>
  <c r="K102" i="2"/>
  <c r="J102" i="2"/>
  <c r="I102" i="2"/>
  <c r="H102" i="2"/>
  <c r="G102" i="2"/>
  <c r="F102" i="2"/>
  <c r="E102" i="2"/>
  <c r="U101" i="2"/>
  <c r="T101" i="2"/>
  <c r="S101" i="2"/>
  <c r="R101" i="2"/>
  <c r="Q101" i="2"/>
  <c r="P101" i="2"/>
  <c r="O101" i="2"/>
  <c r="N101" i="2"/>
  <c r="L101" i="2"/>
  <c r="K101" i="2"/>
  <c r="J101" i="2"/>
  <c r="I101" i="2"/>
  <c r="H101" i="2"/>
  <c r="G101" i="2"/>
  <c r="F101" i="2"/>
  <c r="E101" i="2"/>
  <c r="U100" i="2"/>
  <c r="T100" i="2"/>
  <c r="S100" i="2"/>
  <c r="R100" i="2"/>
  <c r="Q100" i="2"/>
  <c r="P100" i="2"/>
  <c r="O100" i="2"/>
  <c r="N100" i="2"/>
  <c r="L100" i="2"/>
  <c r="K100" i="2"/>
  <c r="J100" i="2"/>
  <c r="I100" i="2"/>
  <c r="H100" i="2"/>
  <c r="G100" i="2"/>
  <c r="F100" i="2"/>
  <c r="E100" i="2"/>
  <c r="U99" i="2"/>
  <c r="T99" i="2"/>
  <c r="S99" i="2"/>
  <c r="R99" i="2"/>
  <c r="Q99" i="2"/>
  <c r="P99" i="2"/>
  <c r="O99" i="2"/>
  <c r="N99" i="2"/>
  <c r="L99" i="2"/>
  <c r="K99" i="2"/>
  <c r="J99" i="2"/>
  <c r="I99" i="2"/>
  <c r="H99" i="2"/>
  <c r="G99" i="2"/>
  <c r="F99" i="2"/>
  <c r="E99" i="2"/>
  <c r="U98" i="2"/>
  <c r="T98" i="2"/>
  <c r="S98" i="2"/>
  <c r="R98" i="2"/>
  <c r="Q98" i="2"/>
  <c r="P98" i="2"/>
  <c r="O98" i="2"/>
  <c r="N98" i="2"/>
  <c r="L98" i="2"/>
  <c r="K98" i="2"/>
  <c r="J98" i="2"/>
  <c r="I98" i="2"/>
  <c r="H98" i="2"/>
  <c r="G98" i="2"/>
  <c r="F98" i="2"/>
  <c r="E98" i="2"/>
  <c r="AH98" i="2"/>
  <c r="AG98" i="2"/>
  <c r="AF98" i="2"/>
  <c r="AE98" i="2"/>
  <c r="AD98" i="2"/>
  <c r="U97" i="2"/>
  <c r="T97" i="2"/>
  <c r="S97" i="2"/>
  <c r="R97" i="2"/>
  <c r="Q97" i="2"/>
  <c r="P97" i="2"/>
  <c r="O97" i="2"/>
  <c r="N97" i="2"/>
  <c r="L97" i="2"/>
  <c r="K97" i="2"/>
  <c r="J97" i="2"/>
  <c r="I97" i="2"/>
  <c r="H97" i="2"/>
  <c r="G97" i="2"/>
  <c r="F97" i="2"/>
  <c r="E97" i="2"/>
  <c r="AH97" i="2"/>
  <c r="AG97" i="2"/>
  <c r="AF97" i="2"/>
  <c r="AE97" i="2"/>
  <c r="AD97" i="2"/>
  <c r="U96" i="2"/>
  <c r="T96" i="2"/>
  <c r="S96" i="2"/>
  <c r="R96" i="2"/>
  <c r="Q96" i="2"/>
  <c r="P96" i="2"/>
  <c r="O96" i="2"/>
  <c r="N96" i="2"/>
  <c r="L96" i="2"/>
  <c r="K96" i="2"/>
  <c r="J96" i="2"/>
  <c r="I96" i="2"/>
  <c r="H96" i="2"/>
  <c r="G96" i="2"/>
  <c r="F96" i="2"/>
  <c r="E96" i="2"/>
  <c r="AH96" i="2"/>
  <c r="AG96" i="2"/>
  <c r="AF96" i="2"/>
  <c r="AE96" i="2"/>
  <c r="AD96" i="2"/>
  <c r="U95" i="2"/>
  <c r="T95" i="2"/>
  <c r="S95" i="2"/>
  <c r="R95" i="2"/>
  <c r="Q95" i="2"/>
  <c r="P95" i="2"/>
  <c r="O95" i="2"/>
  <c r="N95" i="2"/>
  <c r="L95" i="2"/>
  <c r="K95" i="2"/>
  <c r="J95" i="2"/>
  <c r="I95" i="2"/>
  <c r="H95" i="2"/>
  <c r="G95" i="2"/>
  <c r="F95" i="2"/>
  <c r="E95" i="2"/>
  <c r="AH95" i="2"/>
  <c r="AG95" i="2"/>
  <c r="AF95" i="2"/>
  <c r="AE95" i="2"/>
  <c r="AD95" i="2"/>
  <c r="U94" i="2"/>
  <c r="T94" i="2"/>
  <c r="S94" i="2"/>
  <c r="R94" i="2"/>
  <c r="Q94" i="2"/>
  <c r="P94" i="2"/>
  <c r="O94" i="2"/>
  <c r="N94" i="2"/>
  <c r="L94" i="2"/>
  <c r="K94" i="2"/>
  <c r="J94" i="2"/>
  <c r="I94" i="2"/>
  <c r="H94" i="2"/>
  <c r="G94" i="2"/>
  <c r="F94" i="2"/>
  <c r="E94" i="2"/>
  <c r="AH94" i="2"/>
  <c r="AG94" i="2"/>
  <c r="AF94" i="2"/>
  <c r="AE94" i="2"/>
  <c r="AD94" i="2"/>
  <c r="U93" i="2"/>
  <c r="T93" i="2"/>
  <c r="S93" i="2"/>
  <c r="R93" i="2"/>
  <c r="Q93" i="2"/>
  <c r="P93" i="2"/>
  <c r="O93" i="2"/>
  <c r="N93" i="2"/>
  <c r="L93" i="2"/>
  <c r="K93" i="2"/>
  <c r="J93" i="2"/>
  <c r="I93" i="2"/>
  <c r="H93" i="2"/>
  <c r="G93" i="2"/>
  <c r="F93" i="2"/>
  <c r="E93" i="2"/>
  <c r="AH93" i="2"/>
  <c r="AG93" i="2"/>
  <c r="AF93" i="2"/>
  <c r="AE93" i="2"/>
  <c r="AD93" i="2"/>
  <c r="U92" i="2"/>
  <c r="T92" i="2"/>
  <c r="S92" i="2"/>
  <c r="R92" i="2"/>
  <c r="Q92" i="2"/>
  <c r="P92" i="2"/>
  <c r="O92" i="2"/>
  <c r="N92" i="2"/>
  <c r="L92" i="2"/>
  <c r="K92" i="2"/>
  <c r="J92" i="2"/>
  <c r="I92" i="2"/>
  <c r="H92" i="2"/>
  <c r="G92" i="2"/>
  <c r="F92" i="2"/>
  <c r="E92" i="2"/>
  <c r="AH92" i="2"/>
  <c r="AG92" i="2"/>
  <c r="AF92" i="2"/>
  <c r="AE92" i="2"/>
  <c r="AD92" i="2"/>
  <c r="U91" i="2"/>
  <c r="T91" i="2"/>
  <c r="S91" i="2"/>
  <c r="R91" i="2"/>
  <c r="Q91" i="2"/>
  <c r="P91" i="2"/>
  <c r="O91" i="2"/>
  <c r="N91" i="2"/>
  <c r="L91" i="2"/>
  <c r="K91" i="2"/>
  <c r="J91" i="2"/>
  <c r="I91" i="2"/>
  <c r="H91" i="2"/>
  <c r="G91" i="2"/>
  <c r="F91" i="2"/>
  <c r="E91" i="2"/>
  <c r="AH91" i="2"/>
  <c r="AG91" i="2"/>
  <c r="AF91" i="2"/>
  <c r="AE91" i="2"/>
  <c r="AD91" i="2"/>
  <c r="AH90" i="2"/>
  <c r="AG90" i="2"/>
  <c r="AF90" i="2"/>
  <c r="AE90" i="2"/>
  <c r="AD90" i="2"/>
  <c r="AH89" i="2"/>
  <c r="AG89" i="2"/>
  <c r="AF89" i="2"/>
  <c r="AE89" i="2"/>
  <c r="AD89" i="2"/>
  <c r="AH88" i="2"/>
  <c r="AG88" i="2"/>
  <c r="AF88" i="2"/>
  <c r="AE88" i="2"/>
  <c r="AD88" i="2"/>
  <c r="Y87" i="2"/>
  <c r="X87" i="2"/>
  <c r="W87" i="2"/>
  <c r="V87" i="2"/>
  <c r="U87" i="2"/>
  <c r="T87" i="2"/>
  <c r="S87" i="2"/>
  <c r="R87" i="2"/>
  <c r="Q87" i="2"/>
  <c r="P87" i="2"/>
  <c r="N87" i="2"/>
  <c r="M87" i="2"/>
  <c r="L87" i="2"/>
  <c r="K87" i="2"/>
  <c r="J87" i="2"/>
  <c r="I87" i="2"/>
  <c r="H87" i="2"/>
  <c r="G87" i="2"/>
  <c r="F87" i="2"/>
  <c r="E87" i="2"/>
  <c r="AH87" i="2"/>
  <c r="AG87" i="2"/>
  <c r="AF87" i="2"/>
  <c r="AE87" i="2"/>
  <c r="AD87" i="2"/>
  <c r="Y86" i="2"/>
  <c r="X86" i="2"/>
  <c r="W86" i="2"/>
  <c r="V86" i="2"/>
  <c r="U86" i="2"/>
  <c r="T86" i="2"/>
  <c r="S86" i="2"/>
  <c r="R86" i="2"/>
  <c r="Q86" i="2"/>
  <c r="P86" i="2"/>
  <c r="N86" i="2"/>
  <c r="M86" i="2"/>
  <c r="L86" i="2"/>
  <c r="K86" i="2"/>
  <c r="J86" i="2"/>
  <c r="I86" i="2"/>
  <c r="H86" i="2"/>
  <c r="G86" i="2"/>
  <c r="F86" i="2"/>
  <c r="E86" i="2"/>
  <c r="AH86" i="2"/>
  <c r="AG86" i="2"/>
  <c r="AF86" i="2"/>
  <c r="AE86" i="2"/>
  <c r="AD86" i="2"/>
  <c r="Y85" i="2"/>
  <c r="X85" i="2"/>
  <c r="W85" i="2"/>
  <c r="V85" i="2"/>
  <c r="U85" i="2"/>
  <c r="T85" i="2"/>
  <c r="S85" i="2"/>
  <c r="R85" i="2"/>
  <c r="Q85" i="2"/>
  <c r="P85" i="2"/>
  <c r="N85" i="2"/>
  <c r="M85" i="2"/>
  <c r="L85" i="2"/>
  <c r="K85" i="2"/>
  <c r="J85" i="2"/>
  <c r="I85" i="2"/>
  <c r="H85" i="2"/>
  <c r="G85" i="2"/>
  <c r="F85" i="2"/>
  <c r="E85" i="2"/>
  <c r="AH85" i="2"/>
  <c r="AG85" i="2"/>
  <c r="AF85" i="2"/>
  <c r="AE85" i="2"/>
  <c r="AD85" i="2"/>
  <c r="Y84" i="2"/>
  <c r="X84" i="2"/>
  <c r="W84" i="2"/>
  <c r="V84" i="2"/>
  <c r="U84" i="2"/>
  <c r="T84" i="2"/>
  <c r="S84" i="2"/>
  <c r="R84" i="2"/>
  <c r="Q84" i="2"/>
  <c r="P84" i="2"/>
  <c r="N84" i="2"/>
  <c r="M84" i="2"/>
  <c r="L84" i="2"/>
  <c r="K84" i="2"/>
  <c r="J84" i="2"/>
  <c r="I84" i="2"/>
  <c r="H84" i="2"/>
  <c r="G84" i="2"/>
  <c r="F84" i="2"/>
  <c r="E84" i="2"/>
  <c r="AH84" i="2"/>
  <c r="AG84" i="2"/>
  <c r="AF84" i="2"/>
  <c r="AE84" i="2"/>
  <c r="AD84" i="2"/>
  <c r="Y83" i="2"/>
  <c r="X83" i="2"/>
  <c r="W83" i="2"/>
  <c r="V83" i="2"/>
  <c r="U83" i="2"/>
  <c r="T83" i="2"/>
  <c r="S83" i="2"/>
  <c r="R83" i="2"/>
  <c r="Q83" i="2"/>
  <c r="P83" i="2"/>
  <c r="N83" i="2"/>
  <c r="M83" i="2"/>
  <c r="L83" i="2"/>
  <c r="K83" i="2"/>
  <c r="J83" i="2"/>
  <c r="I83" i="2"/>
  <c r="H83" i="2"/>
  <c r="G83" i="2"/>
  <c r="F83" i="2"/>
  <c r="E83" i="2"/>
  <c r="AH83" i="2"/>
  <c r="AG83" i="2"/>
  <c r="AF83" i="2"/>
  <c r="AE83" i="2"/>
  <c r="AD83" i="2"/>
  <c r="Y82" i="2"/>
  <c r="X82" i="2"/>
  <c r="W82" i="2"/>
  <c r="V82" i="2"/>
  <c r="U82" i="2"/>
  <c r="T82" i="2"/>
  <c r="S82" i="2"/>
  <c r="R82" i="2"/>
  <c r="Q82" i="2"/>
  <c r="P82" i="2"/>
  <c r="N82" i="2"/>
  <c r="M82" i="2"/>
  <c r="L82" i="2"/>
  <c r="K82" i="2"/>
  <c r="J82" i="2"/>
  <c r="I82" i="2"/>
  <c r="H82" i="2"/>
  <c r="G82" i="2"/>
  <c r="F82" i="2"/>
  <c r="E82" i="2"/>
  <c r="AH82" i="2"/>
  <c r="AG82" i="2"/>
  <c r="AF82" i="2"/>
  <c r="AE82" i="2"/>
  <c r="AD82" i="2"/>
  <c r="Y81" i="2"/>
  <c r="X81" i="2"/>
  <c r="W81" i="2"/>
  <c r="V81" i="2"/>
  <c r="U81" i="2"/>
  <c r="T81" i="2"/>
  <c r="S81" i="2"/>
  <c r="R81" i="2"/>
  <c r="Q81" i="2"/>
  <c r="P81" i="2"/>
  <c r="N81" i="2"/>
  <c r="M81" i="2"/>
  <c r="L81" i="2"/>
  <c r="K81" i="2"/>
  <c r="J81" i="2"/>
  <c r="I81" i="2"/>
  <c r="H81" i="2"/>
  <c r="G81" i="2"/>
  <c r="F81" i="2"/>
  <c r="E81" i="2"/>
  <c r="AH81" i="2"/>
  <c r="AG81" i="2"/>
  <c r="AF81" i="2"/>
  <c r="AE81" i="2"/>
  <c r="AD81" i="2"/>
  <c r="Y80" i="2"/>
  <c r="X80" i="2"/>
  <c r="W80" i="2"/>
  <c r="V80" i="2"/>
  <c r="U80" i="2"/>
  <c r="T80" i="2"/>
  <c r="S80" i="2"/>
  <c r="R80" i="2"/>
  <c r="Q80" i="2"/>
  <c r="P80" i="2"/>
  <c r="N80" i="2"/>
  <c r="M80" i="2"/>
  <c r="L80" i="2"/>
  <c r="K80" i="2"/>
  <c r="J80" i="2"/>
  <c r="I80" i="2"/>
  <c r="H80" i="2"/>
  <c r="G80" i="2"/>
  <c r="F80" i="2"/>
  <c r="E80" i="2"/>
  <c r="AH80" i="2"/>
  <c r="AG80" i="2"/>
  <c r="AF80" i="2"/>
  <c r="AE80" i="2"/>
  <c r="AD80" i="2"/>
  <c r="Y79" i="2"/>
  <c r="X79" i="2"/>
  <c r="W79" i="2"/>
  <c r="V79" i="2"/>
  <c r="U79" i="2"/>
  <c r="T79" i="2"/>
  <c r="S79" i="2"/>
  <c r="R79" i="2"/>
  <c r="Q79" i="2"/>
  <c r="P79" i="2"/>
  <c r="N79" i="2"/>
  <c r="M79" i="2"/>
  <c r="L79" i="2"/>
  <c r="K79" i="2"/>
  <c r="J79" i="2"/>
  <c r="I79" i="2"/>
  <c r="H79" i="2"/>
  <c r="G79" i="2"/>
  <c r="F79" i="2"/>
  <c r="E79" i="2"/>
  <c r="AH79" i="2"/>
  <c r="AG79" i="2"/>
  <c r="AF79" i="2"/>
  <c r="AE79" i="2"/>
  <c r="AD79" i="2"/>
  <c r="Y78" i="2"/>
  <c r="X78" i="2"/>
  <c r="W78" i="2"/>
  <c r="V78" i="2"/>
  <c r="U78" i="2"/>
  <c r="T78" i="2"/>
  <c r="S78" i="2"/>
  <c r="R78" i="2"/>
  <c r="Q78" i="2"/>
  <c r="P78" i="2"/>
  <c r="N78" i="2"/>
  <c r="M78" i="2"/>
  <c r="L78" i="2"/>
  <c r="K78" i="2"/>
  <c r="J78" i="2"/>
  <c r="I78" i="2"/>
  <c r="H78" i="2"/>
  <c r="G78" i="2"/>
  <c r="F78" i="2"/>
  <c r="E78" i="2"/>
  <c r="AH78" i="2"/>
  <c r="AG78" i="2"/>
  <c r="AF78" i="2"/>
  <c r="AE78" i="2"/>
  <c r="AD78" i="2"/>
  <c r="Y77" i="2"/>
  <c r="X77" i="2"/>
  <c r="W77" i="2"/>
  <c r="V77" i="2"/>
  <c r="U77" i="2"/>
  <c r="T77" i="2"/>
  <c r="S77" i="2"/>
  <c r="R77" i="2"/>
  <c r="Q77" i="2"/>
  <c r="P77" i="2"/>
  <c r="N77" i="2"/>
  <c r="M77" i="2"/>
  <c r="L77" i="2"/>
  <c r="K77" i="2"/>
  <c r="J77" i="2"/>
  <c r="I77" i="2"/>
  <c r="H77" i="2"/>
  <c r="G77" i="2"/>
  <c r="F77" i="2"/>
  <c r="E77" i="2"/>
  <c r="AH77" i="2"/>
  <c r="AG77" i="2"/>
  <c r="AF77" i="2"/>
  <c r="AE77" i="2"/>
  <c r="AD77" i="2"/>
  <c r="Y76" i="2"/>
  <c r="X76" i="2"/>
  <c r="W76" i="2"/>
  <c r="V76" i="2"/>
  <c r="U76" i="2"/>
  <c r="T76" i="2"/>
  <c r="S76" i="2"/>
  <c r="R76" i="2"/>
  <c r="Q76" i="2"/>
  <c r="P76" i="2"/>
  <c r="N76" i="2"/>
  <c r="M76" i="2"/>
  <c r="L76" i="2"/>
  <c r="K76" i="2"/>
  <c r="J76" i="2"/>
  <c r="I76" i="2"/>
  <c r="H76" i="2"/>
  <c r="G76" i="2"/>
  <c r="F76" i="2"/>
  <c r="E76" i="2"/>
  <c r="AH76" i="2"/>
  <c r="AG76" i="2"/>
  <c r="AF76" i="2"/>
  <c r="AE76" i="2"/>
  <c r="AD76" i="2"/>
  <c r="Y75" i="2"/>
  <c r="X75" i="2"/>
  <c r="W75" i="2"/>
  <c r="V75" i="2"/>
  <c r="U75" i="2"/>
  <c r="T75" i="2"/>
  <c r="S75" i="2"/>
  <c r="R75" i="2"/>
  <c r="Q75" i="2"/>
  <c r="P75" i="2"/>
  <c r="N75" i="2"/>
  <c r="M75" i="2"/>
  <c r="L75" i="2"/>
  <c r="K75" i="2"/>
  <c r="J75" i="2"/>
  <c r="I75" i="2"/>
  <c r="H75" i="2"/>
  <c r="G75" i="2"/>
  <c r="F75" i="2"/>
  <c r="E75" i="2"/>
  <c r="AH75" i="2"/>
  <c r="AG75" i="2"/>
  <c r="AF75" i="2"/>
  <c r="AE75" i="2"/>
  <c r="AD75" i="2"/>
  <c r="Y74" i="2"/>
  <c r="X74" i="2"/>
  <c r="W74" i="2"/>
  <c r="V74" i="2"/>
  <c r="U74" i="2"/>
  <c r="T74" i="2"/>
  <c r="S74" i="2"/>
  <c r="R74" i="2"/>
  <c r="Q74" i="2"/>
  <c r="P74" i="2"/>
  <c r="N74" i="2"/>
  <c r="M74" i="2"/>
  <c r="L74" i="2"/>
  <c r="K74" i="2"/>
  <c r="J74" i="2"/>
  <c r="I74" i="2"/>
  <c r="H74" i="2"/>
  <c r="G74" i="2"/>
  <c r="F74" i="2"/>
  <c r="E74" i="2"/>
  <c r="AH74" i="2"/>
  <c r="AG74" i="2"/>
  <c r="AF74" i="2"/>
  <c r="AE74" i="2"/>
  <c r="AD74" i="2"/>
  <c r="Y73" i="2"/>
  <c r="X73" i="2"/>
  <c r="W73" i="2"/>
  <c r="V73" i="2"/>
  <c r="U73" i="2"/>
  <c r="T73" i="2"/>
  <c r="S73" i="2"/>
  <c r="R73" i="2"/>
  <c r="Q73" i="2"/>
  <c r="P73" i="2"/>
  <c r="N73" i="2"/>
  <c r="M73" i="2"/>
  <c r="L73" i="2"/>
  <c r="K73" i="2"/>
  <c r="J73" i="2"/>
  <c r="I73" i="2"/>
  <c r="H73" i="2"/>
  <c r="G73" i="2"/>
  <c r="F73" i="2"/>
  <c r="E73" i="2"/>
  <c r="AH73" i="2"/>
  <c r="AG73" i="2"/>
  <c r="AF73" i="2"/>
  <c r="AE73" i="2"/>
  <c r="AD73" i="2"/>
  <c r="Y72" i="2"/>
  <c r="X72" i="2"/>
  <c r="W72" i="2"/>
  <c r="V72" i="2"/>
  <c r="U72" i="2"/>
  <c r="T72" i="2"/>
  <c r="S72" i="2"/>
  <c r="R72" i="2"/>
  <c r="Q72" i="2"/>
  <c r="P72" i="2"/>
  <c r="N72" i="2"/>
  <c r="M72" i="2"/>
  <c r="L72" i="2"/>
  <c r="K72" i="2"/>
  <c r="J72" i="2"/>
  <c r="I72" i="2"/>
  <c r="H72" i="2"/>
  <c r="G72" i="2"/>
  <c r="F72" i="2"/>
  <c r="E72" i="2"/>
  <c r="AH72" i="2"/>
  <c r="AG72" i="2"/>
  <c r="AF72" i="2"/>
  <c r="AE72" i="2"/>
  <c r="AD72" i="2"/>
  <c r="AH71" i="2"/>
  <c r="AG71" i="2"/>
  <c r="AF71" i="2"/>
  <c r="AE71" i="2"/>
  <c r="AD71" i="2"/>
  <c r="AH65" i="2"/>
  <c r="AG65" i="2"/>
  <c r="AF65" i="2"/>
  <c r="AE65" i="2"/>
  <c r="AD64" i="2"/>
  <c r="AC64" i="2"/>
  <c r="AB64" i="2"/>
  <c r="AA64" i="2"/>
  <c r="Z64" i="2"/>
  <c r="Y64" i="2"/>
  <c r="W64" i="2"/>
  <c r="V64" i="2"/>
  <c r="U64" i="2"/>
  <c r="T64" i="2"/>
  <c r="S64" i="2"/>
  <c r="R64" i="2"/>
  <c r="Q64" i="2"/>
  <c r="P64" i="2"/>
  <c r="N64" i="2"/>
  <c r="M64" i="2"/>
  <c r="L64" i="2"/>
  <c r="K64" i="2"/>
  <c r="J64" i="2"/>
  <c r="I64" i="2"/>
  <c r="H64" i="2"/>
  <c r="G64" i="2"/>
  <c r="F64" i="2"/>
  <c r="E64" i="2"/>
  <c r="AD63" i="2"/>
  <c r="AC63" i="2"/>
  <c r="AB63" i="2"/>
  <c r="AA63" i="2"/>
  <c r="Z63" i="2"/>
  <c r="Y63" i="2"/>
  <c r="W63" i="2"/>
  <c r="V63" i="2"/>
  <c r="U63" i="2"/>
  <c r="T63" i="2"/>
  <c r="S63" i="2"/>
  <c r="R63" i="2"/>
  <c r="Q63" i="2"/>
  <c r="P63" i="2"/>
  <c r="N63" i="2"/>
  <c r="M63" i="2"/>
  <c r="L63" i="2"/>
  <c r="K63" i="2"/>
  <c r="J63" i="2"/>
  <c r="I63" i="2"/>
  <c r="H63" i="2"/>
  <c r="G63" i="2"/>
  <c r="F63" i="2"/>
  <c r="E63" i="2"/>
  <c r="AD62" i="2"/>
  <c r="AC62" i="2"/>
  <c r="AB62" i="2"/>
  <c r="AA62" i="2"/>
  <c r="Z62" i="2"/>
  <c r="Y62" i="2"/>
  <c r="W62" i="2"/>
  <c r="V62" i="2"/>
  <c r="U62" i="2"/>
  <c r="T62" i="2"/>
  <c r="S62" i="2"/>
  <c r="R62" i="2"/>
  <c r="Q62" i="2"/>
  <c r="P62" i="2"/>
  <c r="N62" i="2"/>
  <c r="M62" i="2"/>
  <c r="L62" i="2"/>
  <c r="K62" i="2"/>
  <c r="J62" i="2"/>
  <c r="I62" i="2"/>
  <c r="H62" i="2"/>
  <c r="G62" i="2"/>
  <c r="F62" i="2"/>
  <c r="E62" i="2"/>
  <c r="AD61" i="2"/>
  <c r="AC61" i="2"/>
  <c r="AB61" i="2"/>
  <c r="AA61" i="2"/>
  <c r="Z61" i="2"/>
  <c r="Y61" i="2"/>
  <c r="W61" i="2"/>
  <c r="V61" i="2"/>
  <c r="U61" i="2"/>
  <c r="T61" i="2"/>
  <c r="S61" i="2"/>
  <c r="R61" i="2"/>
  <c r="Q61" i="2"/>
  <c r="P61" i="2"/>
  <c r="N61" i="2"/>
  <c r="M61" i="2"/>
  <c r="L61" i="2"/>
  <c r="K61" i="2"/>
  <c r="J61" i="2"/>
  <c r="I61" i="2"/>
  <c r="H61" i="2"/>
  <c r="G61" i="2"/>
  <c r="F61" i="2"/>
  <c r="E61" i="2"/>
  <c r="AD60" i="2"/>
  <c r="AC60" i="2"/>
  <c r="AB60" i="2"/>
  <c r="AA60" i="2"/>
  <c r="Z60" i="2"/>
  <c r="Y60" i="2"/>
  <c r="W60" i="2"/>
  <c r="V60" i="2"/>
  <c r="U60" i="2"/>
  <c r="T60" i="2"/>
  <c r="S60" i="2"/>
  <c r="R60" i="2"/>
  <c r="Q60" i="2"/>
  <c r="P60" i="2"/>
  <c r="N60" i="2"/>
  <c r="M60" i="2"/>
  <c r="L60" i="2"/>
  <c r="K60" i="2"/>
  <c r="J60" i="2"/>
  <c r="I60" i="2"/>
  <c r="H60" i="2"/>
  <c r="G60" i="2"/>
  <c r="F60" i="2"/>
  <c r="E60" i="2"/>
  <c r="AD59" i="2"/>
  <c r="AC59" i="2"/>
  <c r="AB59" i="2"/>
  <c r="AA59" i="2"/>
  <c r="Z59" i="2"/>
  <c r="Y59" i="2"/>
  <c r="W59" i="2"/>
  <c r="V59" i="2"/>
  <c r="U59" i="2"/>
  <c r="T59" i="2"/>
  <c r="S59" i="2"/>
  <c r="R59" i="2"/>
  <c r="Q59" i="2"/>
  <c r="P59" i="2"/>
  <c r="N59" i="2"/>
  <c r="M59" i="2"/>
  <c r="L59" i="2"/>
  <c r="K59" i="2"/>
  <c r="J59" i="2"/>
  <c r="I59" i="2"/>
  <c r="H59" i="2"/>
  <c r="G59" i="2"/>
  <c r="F59" i="2"/>
  <c r="E59" i="2"/>
  <c r="AD58" i="2"/>
  <c r="AC58" i="2"/>
  <c r="AB58" i="2"/>
  <c r="AA58" i="2"/>
  <c r="Z58" i="2"/>
  <c r="Y58" i="2"/>
  <c r="W58" i="2"/>
  <c r="V58" i="2"/>
  <c r="U58" i="2"/>
  <c r="T58" i="2"/>
  <c r="S58" i="2"/>
  <c r="R58" i="2"/>
  <c r="Q58" i="2"/>
  <c r="P58" i="2"/>
  <c r="N58" i="2"/>
  <c r="M58" i="2"/>
  <c r="L58" i="2"/>
  <c r="K58" i="2"/>
  <c r="J58" i="2"/>
  <c r="I58" i="2"/>
  <c r="H58" i="2"/>
  <c r="G58" i="2"/>
  <c r="F58" i="2"/>
  <c r="E58" i="2"/>
  <c r="AD57" i="2"/>
  <c r="AC57" i="2"/>
  <c r="AB57" i="2"/>
  <c r="AA57" i="2"/>
  <c r="Z57" i="2"/>
  <c r="Y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F57" i="2"/>
  <c r="E57" i="2"/>
  <c r="AD56" i="2"/>
  <c r="AC56" i="2"/>
  <c r="AB56" i="2"/>
  <c r="AA56" i="2"/>
  <c r="Z56" i="2"/>
  <c r="Y56" i="2"/>
  <c r="W56" i="2"/>
  <c r="V56" i="2"/>
  <c r="U56" i="2"/>
  <c r="T56" i="2"/>
  <c r="S56" i="2"/>
  <c r="R56" i="2"/>
  <c r="Q56" i="2"/>
  <c r="P56" i="2"/>
  <c r="N56" i="2"/>
  <c r="M56" i="2"/>
  <c r="L56" i="2"/>
  <c r="K56" i="2"/>
  <c r="J56" i="2"/>
  <c r="I56" i="2"/>
  <c r="H56" i="2"/>
  <c r="G56" i="2"/>
  <c r="F56" i="2"/>
  <c r="E56" i="2"/>
  <c r="AD55" i="2"/>
  <c r="AC55" i="2"/>
  <c r="AB55" i="2"/>
  <c r="AA55" i="2"/>
  <c r="Z55" i="2"/>
  <c r="Y55" i="2"/>
  <c r="W55" i="2"/>
  <c r="V55" i="2"/>
  <c r="U55" i="2"/>
  <c r="T55" i="2"/>
  <c r="S55" i="2"/>
  <c r="R55" i="2"/>
  <c r="Q55" i="2"/>
  <c r="P55" i="2"/>
  <c r="N55" i="2"/>
  <c r="M55" i="2"/>
  <c r="L55" i="2"/>
  <c r="K55" i="2"/>
  <c r="J55" i="2"/>
  <c r="I55" i="2"/>
  <c r="H55" i="2"/>
  <c r="G55" i="2"/>
  <c r="F55" i="2"/>
  <c r="E55" i="2"/>
  <c r="AD54" i="2"/>
  <c r="AC54" i="2"/>
  <c r="AB54" i="2"/>
  <c r="AA54" i="2"/>
  <c r="Z54" i="2"/>
  <c r="Y54" i="2"/>
  <c r="W54" i="2"/>
  <c r="V54" i="2"/>
  <c r="U54" i="2"/>
  <c r="T54" i="2"/>
  <c r="S54" i="2"/>
  <c r="R54" i="2"/>
  <c r="Q54" i="2"/>
  <c r="P54" i="2"/>
  <c r="N54" i="2"/>
  <c r="M54" i="2"/>
  <c r="L54" i="2"/>
  <c r="K54" i="2"/>
  <c r="J54" i="2"/>
  <c r="I54" i="2"/>
  <c r="H54" i="2"/>
  <c r="G54" i="2"/>
  <c r="F54" i="2"/>
  <c r="E54" i="2"/>
  <c r="AD53" i="2"/>
  <c r="AC53" i="2"/>
  <c r="AB53" i="2"/>
  <c r="AA53" i="2"/>
  <c r="Z53" i="2"/>
  <c r="Y53" i="2"/>
  <c r="W53" i="2"/>
  <c r="V53" i="2"/>
  <c r="U53" i="2"/>
  <c r="T53" i="2"/>
  <c r="S53" i="2"/>
  <c r="R53" i="2"/>
  <c r="Q53" i="2"/>
  <c r="P53" i="2"/>
  <c r="N53" i="2"/>
  <c r="M53" i="2"/>
  <c r="L53" i="2"/>
  <c r="K53" i="2"/>
  <c r="J53" i="2"/>
  <c r="I53" i="2"/>
  <c r="H53" i="2"/>
  <c r="G53" i="2"/>
  <c r="F53" i="2"/>
  <c r="E53" i="2"/>
  <c r="AD52" i="2"/>
  <c r="AC52" i="2"/>
  <c r="AB52" i="2"/>
  <c r="AA52" i="2"/>
  <c r="Z52" i="2"/>
  <c r="Y52" i="2"/>
  <c r="W52" i="2"/>
  <c r="V52" i="2"/>
  <c r="U52" i="2"/>
  <c r="T52" i="2"/>
  <c r="S52" i="2"/>
  <c r="R52" i="2"/>
  <c r="Q52" i="2"/>
  <c r="P52" i="2"/>
  <c r="N52" i="2"/>
  <c r="M52" i="2"/>
  <c r="L52" i="2"/>
  <c r="K52" i="2"/>
  <c r="J52" i="2"/>
  <c r="I52" i="2"/>
  <c r="H52" i="2"/>
  <c r="G52" i="2"/>
  <c r="F52" i="2"/>
  <c r="E52" i="2"/>
  <c r="AD51" i="2"/>
  <c r="AC51" i="2"/>
  <c r="AB51" i="2"/>
  <c r="AA51" i="2"/>
  <c r="Z51" i="2"/>
  <c r="Y51" i="2"/>
  <c r="W51" i="2"/>
  <c r="V51" i="2"/>
  <c r="U51" i="2"/>
  <c r="T51" i="2"/>
  <c r="S51" i="2"/>
  <c r="R51" i="2"/>
  <c r="Q51" i="2"/>
  <c r="P51" i="2"/>
  <c r="N51" i="2"/>
  <c r="M51" i="2"/>
  <c r="L51" i="2"/>
  <c r="K51" i="2"/>
  <c r="J51" i="2"/>
  <c r="I51" i="2"/>
  <c r="H51" i="2"/>
  <c r="G51" i="2"/>
  <c r="F51" i="2"/>
  <c r="E51" i="2"/>
  <c r="AD50" i="2"/>
  <c r="AC50" i="2"/>
  <c r="AB50" i="2"/>
  <c r="AA50" i="2"/>
  <c r="Z50" i="2"/>
  <c r="Y50" i="2"/>
  <c r="W50" i="2"/>
  <c r="V50" i="2"/>
  <c r="U50" i="2"/>
  <c r="T50" i="2"/>
  <c r="S50" i="2"/>
  <c r="R50" i="2"/>
  <c r="Q50" i="2"/>
  <c r="P50" i="2"/>
  <c r="N50" i="2"/>
  <c r="M50" i="2"/>
  <c r="L50" i="2"/>
  <c r="K50" i="2"/>
  <c r="J50" i="2"/>
  <c r="I50" i="2"/>
  <c r="H50" i="2"/>
  <c r="G50" i="2"/>
  <c r="F50" i="2"/>
  <c r="E50" i="2"/>
  <c r="AD49" i="2"/>
  <c r="AC49" i="2"/>
  <c r="AB49" i="2"/>
  <c r="AA49" i="2"/>
  <c r="Z49" i="2"/>
  <c r="Y49" i="2"/>
  <c r="Y65" i="2" s="1"/>
  <c r="W49" i="2"/>
  <c r="V49" i="2"/>
  <c r="U49" i="2"/>
  <c r="T49" i="2"/>
  <c r="T65" i="2" s="1"/>
  <c r="S49" i="2"/>
  <c r="R49" i="2"/>
  <c r="Q49" i="2"/>
  <c r="P49" i="2"/>
  <c r="P65" i="2" s="1"/>
  <c r="N49" i="2"/>
  <c r="M49" i="2"/>
  <c r="L49" i="2"/>
  <c r="K49" i="2"/>
  <c r="K65" i="2" s="1"/>
  <c r="J49" i="2"/>
  <c r="I49" i="2"/>
  <c r="H49" i="2"/>
  <c r="G49" i="2"/>
  <c r="G65" i="2" s="1"/>
  <c r="F49" i="2"/>
  <c r="E49" i="2"/>
  <c r="R41" i="2"/>
  <c r="Q41" i="2"/>
  <c r="P41" i="2"/>
  <c r="O41" i="2"/>
  <c r="N41" i="2"/>
  <c r="M41" i="2"/>
  <c r="L41" i="2"/>
  <c r="H43" i="2"/>
  <c r="R40" i="2"/>
  <c r="Q40" i="2"/>
  <c r="P40" i="2"/>
  <c r="O40" i="2"/>
  <c r="N40" i="2"/>
  <c r="M40" i="2"/>
  <c r="L40" i="2"/>
  <c r="H42" i="2"/>
  <c r="R39" i="2"/>
  <c r="Q39" i="2"/>
  <c r="P39" i="2"/>
  <c r="O39" i="2"/>
  <c r="N39" i="2"/>
  <c r="M39" i="2"/>
  <c r="L39" i="2"/>
  <c r="H41" i="2"/>
  <c r="R38" i="2"/>
  <c r="Q38" i="2"/>
  <c r="P38" i="2"/>
  <c r="O38" i="2"/>
  <c r="N38" i="2"/>
  <c r="M38" i="2"/>
  <c r="L38" i="2"/>
  <c r="H40" i="2"/>
  <c r="R37" i="2"/>
  <c r="Q37" i="2"/>
  <c r="P37" i="2"/>
  <c r="O37" i="2"/>
  <c r="N37" i="2"/>
  <c r="M37" i="2"/>
  <c r="L37" i="2"/>
  <c r="H39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I31" i="2"/>
  <c r="H31" i="2"/>
  <c r="G31" i="2"/>
  <c r="F31" i="2"/>
  <c r="E31" i="2"/>
  <c r="I30" i="2"/>
  <c r="H30" i="2"/>
  <c r="G30" i="2"/>
  <c r="F30" i="2"/>
  <c r="E30" i="2"/>
  <c r="D30" i="2"/>
  <c r="I29" i="2"/>
  <c r="H29" i="2"/>
  <c r="G29" i="2"/>
  <c r="F29" i="2"/>
  <c r="E29" i="2"/>
  <c r="D29" i="2"/>
  <c r="R27" i="2"/>
  <c r="Q27" i="2"/>
  <c r="P27" i="2"/>
  <c r="O27" i="2"/>
  <c r="N27" i="2"/>
  <c r="M27" i="2"/>
  <c r="L27" i="2"/>
  <c r="I28" i="2"/>
  <c r="H28" i="2"/>
  <c r="G28" i="2"/>
  <c r="F28" i="2"/>
  <c r="E28" i="2"/>
  <c r="D28" i="2"/>
  <c r="R26" i="2"/>
  <c r="Q26" i="2"/>
  <c r="P26" i="2"/>
  <c r="O26" i="2"/>
  <c r="N26" i="2"/>
  <c r="M26" i="2"/>
  <c r="L26" i="2"/>
  <c r="I27" i="2"/>
  <c r="H27" i="2"/>
  <c r="G27" i="2"/>
  <c r="F27" i="2"/>
  <c r="E27" i="2"/>
  <c r="D27" i="2"/>
  <c r="R25" i="2"/>
  <c r="Q25" i="2"/>
  <c r="P25" i="2"/>
  <c r="O25" i="2"/>
  <c r="N25" i="2"/>
  <c r="M25" i="2"/>
  <c r="L25" i="2"/>
  <c r="I26" i="2"/>
  <c r="H26" i="2"/>
  <c r="G26" i="2"/>
  <c r="F26" i="2"/>
  <c r="E26" i="2"/>
  <c r="D26" i="2"/>
  <c r="R24" i="2"/>
  <c r="Q24" i="2"/>
  <c r="P24" i="2"/>
  <c r="O24" i="2"/>
  <c r="N24" i="2"/>
  <c r="M24" i="2"/>
  <c r="L24" i="2"/>
  <c r="I25" i="2"/>
  <c r="H25" i="2"/>
  <c r="G25" i="2"/>
  <c r="F25" i="2"/>
  <c r="E25" i="2"/>
  <c r="D25" i="2"/>
  <c r="R23" i="2"/>
  <c r="Q23" i="2"/>
  <c r="P23" i="2"/>
  <c r="O23" i="2"/>
  <c r="N23" i="2"/>
  <c r="M23" i="2"/>
  <c r="L23" i="2"/>
  <c r="I24" i="2"/>
  <c r="H24" i="2"/>
  <c r="G24" i="2"/>
  <c r="F24" i="2"/>
  <c r="E24" i="2"/>
  <c r="D24" i="2"/>
  <c r="R22" i="2"/>
  <c r="Q22" i="2"/>
  <c r="P22" i="2"/>
  <c r="O22" i="2"/>
  <c r="N22" i="2"/>
  <c r="M22" i="2"/>
  <c r="L22" i="2"/>
  <c r="I23" i="2"/>
  <c r="H23" i="2"/>
  <c r="G23" i="2"/>
  <c r="F23" i="2"/>
  <c r="E23" i="2"/>
  <c r="D23" i="2"/>
  <c r="R21" i="2"/>
  <c r="Q21" i="2"/>
  <c r="P21" i="2"/>
  <c r="O21" i="2"/>
  <c r="N21" i="2"/>
  <c r="M21" i="2"/>
  <c r="L21" i="2"/>
  <c r="I22" i="2"/>
  <c r="H22" i="2"/>
  <c r="G22" i="2"/>
  <c r="F22" i="2"/>
  <c r="E22" i="2"/>
  <c r="D22" i="2"/>
  <c r="R20" i="2"/>
  <c r="Q20" i="2"/>
  <c r="P20" i="2"/>
  <c r="O20" i="2"/>
  <c r="N20" i="2"/>
  <c r="M20" i="2"/>
  <c r="L20" i="2"/>
  <c r="I21" i="2"/>
  <c r="H21" i="2"/>
  <c r="G21" i="2"/>
  <c r="F21" i="2"/>
  <c r="E21" i="2"/>
  <c r="D21" i="2"/>
  <c r="R19" i="2"/>
  <c r="Q19" i="2"/>
  <c r="P19" i="2"/>
  <c r="O19" i="2"/>
  <c r="N19" i="2"/>
  <c r="M19" i="2"/>
  <c r="L19" i="2"/>
  <c r="I19" i="2"/>
  <c r="H19" i="2"/>
  <c r="G19" i="2"/>
  <c r="F19" i="2"/>
  <c r="E19" i="2"/>
  <c r="D19" i="2"/>
  <c r="R18" i="2"/>
  <c r="Q18" i="2"/>
  <c r="P18" i="2"/>
  <c r="O18" i="2"/>
  <c r="N18" i="2"/>
  <c r="M18" i="2"/>
  <c r="L18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AJ122" i="8"/>
  <c r="AI122" i="8"/>
  <c r="AH122" i="8"/>
  <c r="AG122" i="8"/>
  <c r="AF122" i="8"/>
  <c r="AJ121" i="8"/>
  <c r="AI121" i="8"/>
  <c r="AH121" i="8"/>
  <c r="AG121" i="8"/>
  <c r="AF121" i="8"/>
  <c r="AJ120" i="8"/>
  <c r="AI120" i="8"/>
  <c r="AH120" i="8"/>
  <c r="AG120" i="8"/>
  <c r="AF120" i="8"/>
  <c r="AJ119" i="8"/>
  <c r="AI119" i="8"/>
  <c r="AH119" i="8"/>
  <c r="AG119" i="8"/>
  <c r="AF119" i="8"/>
  <c r="AJ118" i="8"/>
  <c r="AI118" i="8"/>
  <c r="AH118" i="8"/>
  <c r="AG118" i="8"/>
  <c r="AF118" i="8"/>
  <c r="AJ117" i="8"/>
  <c r="AI117" i="8"/>
  <c r="AH117" i="8"/>
  <c r="AG117" i="8"/>
  <c r="AF117" i="8"/>
  <c r="AJ116" i="8"/>
  <c r="AI116" i="8"/>
  <c r="AH116" i="8"/>
  <c r="AG116" i="8"/>
  <c r="AF116" i="8"/>
  <c r="AJ115" i="8"/>
  <c r="AI115" i="8"/>
  <c r="AH115" i="8"/>
  <c r="AG115" i="8"/>
  <c r="AF115" i="8"/>
  <c r="AJ114" i="8"/>
  <c r="AI114" i="8"/>
  <c r="AH114" i="8"/>
  <c r="AG114" i="8"/>
  <c r="AF114" i="8"/>
  <c r="AJ113" i="8"/>
  <c r="AI113" i="8"/>
  <c r="AH113" i="8"/>
  <c r="AG113" i="8"/>
  <c r="AF113" i="8"/>
  <c r="AJ112" i="8"/>
  <c r="AI112" i="8"/>
  <c r="AH112" i="8"/>
  <c r="AG112" i="8"/>
  <c r="AF112" i="8"/>
  <c r="AJ111" i="8"/>
  <c r="AI111" i="8"/>
  <c r="AH111" i="8"/>
  <c r="AG111" i="8"/>
  <c r="AF111" i="8"/>
  <c r="AJ110" i="8"/>
  <c r="AI110" i="8"/>
  <c r="AH110" i="8"/>
  <c r="AG110" i="8"/>
  <c r="AF110" i="8"/>
  <c r="AJ109" i="8"/>
  <c r="AI109" i="8"/>
  <c r="AH109" i="8"/>
  <c r="AG109" i="8"/>
  <c r="AF109" i="8"/>
  <c r="AJ108" i="8"/>
  <c r="AI108" i="8"/>
  <c r="AH108" i="8"/>
  <c r="AG108" i="8"/>
  <c r="AF108" i="8"/>
  <c r="AJ107" i="8"/>
  <c r="AI107" i="8"/>
  <c r="AH107" i="8"/>
  <c r="AG107" i="8"/>
  <c r="AF107" i="8"/>
  <c r="AJ106" i="8"/>
  <c r="AI106" i="8"/>
  <c r="AH106" i="8"/>
  <c r="AG106" i="8"/>
  <c r="AF106" i="8"/>
  <c r="AJ105" i="8"/>
  <c r="AI105" i="8"/>
  <c r="AH105" i="8"/>
  <c r="AG105" i="8"/>
  <c r="AF105" i="8"/>
  <c r="AJ104" i="8"/>
  <c r="AI104" i="8"/>
  <c r="AH104" i="8"/>
  <c r="AG104" i="8"/>
  <c r="AF104" i="8"/>
  <c r="AJ103" i="8"/>
  <c r="AI103" i="8"/>
  <c r="AH103" i="8"/>
  <c r="AG103" i="8"/>
  <c r="AF103" i="8"/>
  <c r="AJ102" i="8"/>
  <c r="AI102" i="8"/>
  <c r="AH102" i="8"/>
  <c r="AG102" i="8"/>
  <c r="AF102" i="8"/>
  <c r="AJ101" i="8"/>
  <c r="AI101" i="8"/>
  <c r="AH101" i="8"/>
  <c r="AG101" i="8"/>
  <c r="AF101" i="8"/>
  <c r="AJ100" i="8"/>
  <c r="AI100" i="8"/>
  <c r="AH100" i="8"/>
  <c r="AG100" i="8"/>
  <c r="AF100" i="8"/>
  <c r="AJ99" i="8"/>
  <c r="AI99" i="8"/>
  <c r="AH99" i="8"/>
  <c r="AG99" i="8"/>
  <c r="AF99" i="8"/>
  <c r="AJ98" i="8"/>
  <c r="AI98" i="8"/>
  <c r="AH98" i="8"/>
  <c r="AG98" i="8"/>
  <c r="AF98" i="8"/>
  <c r="AJ97" i="8"/>
  <c r="AI97" i="8"/>
  <c r="AH97" i="8"/>
  <c r="AG97" i="8"/>
  <c r="AF97" i="8"/>
  <c r="AJ96" i="8"/>
  <c r="AI96" i="8"/>
  <c r="AH96" i="8"/>
  <c r="AG96" i="8"/>
  <c r="AF96" i="8"/>
  <c r="AJ95" i="8"/>
  <c r="AI95" i="8"/>
  <c r="AH95" i="8"/>
  <c r="AG95" i="8"/>
  <c r="AF95" i="8"/>
  <c r="AM89" i="8"/>
  <c r="AL89" i="8"/>
  <c r="AK89" i="8"/>
  <c r="AJ89" i="8"/>
  <c r="AI89" i="8"/>
  <c r="AH89" i="8"/>
  <c r="AG89" i="8"/>
  <c r="AF89" i="8"/>
  <c r="AE89" i="8"/>
  <c r="AD89" i="8"/>
  <c r="AC89" i="8"/>
  <c r="AA89" i="8"/>
  <c r="Z89" i="8"/>
  <c r="Y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I89" i="8"/>
  <c r="H89" i="8"/>
  <c r="G89" i="8"/>
  <c r="F89" i="8"/>
  <c r="E89" i="8"/>
  <c r="AM88" i="8"/>
  <c r="AL88" i="8"/>
  <c r="AK88" i="8"/>
  <c r="AJ88" i="8"/>
  <c r="AI88" i="8"/>
  <c r="AH88" i="8"/>
  <c r="AG88" i="8"/>
  <c r="AF88" i="8"/>
  <c r="AE88" i="8"/>
  <c r="AD88" i="8"/>
  <c r="AC88" i="8"/>
  <c r="AA88" i="8"/>
  <c r="Z88" i="8"/>
  <c r="Y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I88" i="8"/>
  <c r="H88" i="8"/>
  <c r="G88" i="8"/>
  <c r="F88" i="8"/>
  <c r="E88" i="8"/>
  <c r="AM87" i="8"/>
  <c r="AL87" i="8"/>
  <c r="AK87" i="8"/>
  <c r="AJ87" i="8"/>
  <c r="AI87" i="8"/>
  <c r="AH87" i="8"/>
  <c r="AG87" i="8"/>
  <c r="AF87" i="8"/>
  <c r="AE87" i="8"/>
  <c r="AD87" i="8"/>
  <c r="AC87" i="8"/>
  <c r="AA87" i="8"/>
  <c r="Z87" i="8"/>
  <c r="Y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I87" i="8"/>
  <c r="H87" i="8"/>
  <c r="G87" i="8"/>
  <c r="F87" i="8"/>
  <c r="E87" i="8"/>
  <c r="AM86" i="8"/>
  <c r="AL86" i="8"/>
  <c r="AK86" i="8"/>
  <c r="AJ86" i="8"/>
  <c r="AI86" i="8"/>
  <c r="AH86" i="8"/>
  <c r="AG86" i="8"/>
  <c r="AF86" i="8"/>
  <c r="AE86" i="8"/>
  <c r="AD86" i="8"/>
  <c r="AC86" i="8"/>
  <c r="AA86" i="8"/>
  <c r="Z86" i="8"/>
  <c r="Y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I86" i="8"/>
  <c r="H86" i="8"/>
  <c r="G86" i="8"/>
  <c r="F86" i="8"/>
  <c r="E86" i="8"/>
  <c r="AM85" i="8"/>
  <c r="AL85" i="8"/>
  <c r="AK85" i="8"/>
  <c r="AJ85" i="8"/>
  <c r="AI85" i="8"/>
  <c r="AH85" i="8"/>
  <c r="AG85" i="8"/>
  <c r="AF85" i="8"/>
  <c r="AE85" i="8"/>
  <c r="AD85" i="8"/>
  <c r="AC85" i="8"/>
  <c r="AA85" i="8"/>
  <c r="Z85" i="8"/>
  <c r="Y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I85" i="8"/>
  <c r="H85" i="8"/>
  <c r="G85" i="8"/>
  <c r="F85" i="8"/>
  <c r="E85" i="8"/>
  <c r="AM84" i="8"/>
  <c r="AL84" i="8"/>
  <c r="AK84" i="8"/>
  <c r="AJ84" i="8"/>
  <c r="AI84" i="8"/>
  <c r="AH84" i="8"/>
  <c r="AG84" i="8"/>
  <c r="AF84" i="8"/>
  <c r="AE84" i="8"/>
  <c r="AD84" i="8"/>
  <c r="AC84" i="8"/>
  <c r="AA84" i="8"/>
  <c r="Z84" i="8"/>
  <c r="Y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I84" i="8"/>
  <c r="H84" i="8"/>
  <c r="G84" i="8"/>
  <c r="F84" i="8"/>
  <c r="E84" i="8"/>
  <c r="AM83" i="8"/>
  <c r="AL83" i="8"/>
  <c r="AK83" i="8"/>
  <c r="AJ83" i="8"/>
  <c r="AI83" i="8"/>
  <c r="AH83" i="8"/>
  <c r="AG83" i="8"/>
  <c r="AF83" i="8"/>
  <c r="AE83" i="8"/>
  <c r="AD83" i="8"/>
  <c r="AC83" i="8"/>
  <c r="AA83" i="8"/>
  <c r="Z83" i="8"/>
  <c r="Y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I83" i="8"/>
  <c r="H83" i="8"/>
  <c r="G83" i="8"/>
  <c r="F83" i="8"/>
  <c r="E83" i="8"/>
  <c r="AM82" i="8"/>
  <c r="AL82" i="8"/>
  <c r="AK82" i="8"/>
  <c r="AJ82" i="8"/>
  <c r="AI82" i="8"/>
  <c r="AH82" i="8"/>
  <c r="AG82" i="8"/>
  <c r="AF82" i="8"/>
  <c r="AE82" i="8"/>
  <c r="AD82" i="8"/>
  <c r="AC82" i="8"/>
  <c r="AA82" i="8"/>
  <c r="Z82" i="8"/>
  <c r="Y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I82" i="8"/>
  <c r="H82" i="8"/>
  <c r="G82" i="8"/>
  <c r="F82" i="8"/>
  <c r="E82" i="8"/>
  <c r="AM81" i="8"/>
  <c r="AL81" i="8"/>
  <c r="AK81" i="8"/>
  <c r="AJ81" i="8"/>
  <c r="AI81" i="8"/>
  <c r="AH81" i="8"/>
  <c r="AG81" i="8"/>
  <c r="AF81" i="8"/>
  <c r="AE81" i="8"/>
  <c r="AD81" i="8"/>
  <c r="AC81" i="8"/>
  <c r="AA81" i="8"/>
  <c r="Z81" i="8"/>
  <c r="Y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I81" i="8"/>
  <c r="H81" i="8"/>
  <c r="G81" i="8"/>
  <c r="F81" i="8"/>
  <c r="E81" i="8"/>
  <c r="AM80" i="8"/>
  <c r="AL80" i="8"/>
  <c r="AK80" i="8"/>
  <c r="AJ80" i="8"/>
  <c r="AI80" i="8"/>
  <c r="AH80" i="8"/>
  <c r="AG80" i="8"/>
  <c r="AF80" i="8"/>
  <c r="AE80" i="8"/>
  <c r="AD80" i="8"/>
  <c r="AC80" i="8"/>
  <c r="AA80" i="8"/>
  <c r="Z80" i="8"/>
  <c r="Y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I80" i="8"/>
  <c r="H80" i="8"/>
  <c r="G80" i="8"/>
  <c r="F80" i="8"/>
  <c r="E80" i="8"/>
  <c r="AM79" i="8"/>
  <c r="AL79" i="8"/>
  <c r="AK79" i="8"/>
  <c r="AJ79" i="8"/>
  <c r="AI79" i="8"/>
  <c r="AH79" i="8"/>
  <c r="AG79" i="8"/>
  <c r="AF79" i="8"/>
  <c r="AE79" i="8"/>
  <c r="AD79" i="8"/>
  <c r="AC79" i="8"/>
  <c r="AA79" i="8"/>
  <c r="Z79" i="8"/>
  <c r="Y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I79" i="8"/>
  <c r="H79" i="8"/>
  <c r="G79" i="8"/>
  <c r="F79" i="8"/>
  <c r="E79" i="8"/>
  <c r="AM78" i="8"/>
  <c r="AL78" i="8"/>
  <c r="AK78" i="8"/>
  <c r="AJ78" i="8"/>
  <c r="AI78" i="8"/>
  <c r="AH78" i="8"/>
  <c r="AG78" i="8"/>
  <c r="AF78" i="8"/>
  <c r="AE78" i="8"/>
  <c r="AD78" i="8"/>
  <c r="AC78" i="8"/>
  <c r="AA78" i="8"/>
  <c r="Z78" i="8"/>
  <c r="Y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I78" i="8"/>
  <c r="H78" i="8"/>
  <c r="G78" i="8"/>
  <c r="F78" i="8"/>
  <c r="E78" i="8"/>
  <c r="AM77" i="8"/>
  <c r="AL77" i="8"/>
  <c r="AK77" i="8"/>
  <c r="AJ77" i="8"/>
  <c r="AI77" i="8"/>
  <c r="AH77" i="8"/>
  <c r="AG77" i="8"/>
  <c r="AF77" i="8"/>
  <c r="AE77" i="8"/>
  <c r="AD77" i="8"/>
  <c r="AC77" i="8"/>
  <c r="AA77" i="8"/>
  <c r="Z77" i="8"/>
  <c r="Y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I77" i="8"/>
  <c r="H77" i="8"/>
  <c r="G77" i="8"/>
  <c r="F77" i="8"/>
  <c r="E77" i="8"/>
  <c r="AM76" i="8"/>
  <c r="AL76" i="8"/>
  <c r="AK76" i="8"/>
  <c r="AJ76" i="8"/>
  <c r="AI76" i="8"/>
  <c r="AH76" i="8"/>
  <c r="AG76" i="8"/>
  <c r="AF76" i="8"/>
  <c r="AE76" i="8"/>
  <c r="AD76" i="8"/>
  <c r="AC76" i="8"/>
  <c r="AA76" i="8"/>
  <c r="Z76" i="8"/>
  <c r="Y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I76" i="8"/>
  <c r="H76" i="8"/>
  <c r="G76" i="8"/>
  <c r="F76" i="8"/>
  <c r="E76" i="8"/>
  <c r="AM75" i="8"/>
  <c r="AL75" i="8"/>
  <c r="AK75" i="8"/>
  <c r="AJ75" i="8"/>
  <c r="AI75" i="8"/>
  <c r="AH75" i="8"/>
  <c r="AG75" i="8"/>
  <c r="AF75" i="8"/>
  <c r="AE75" i="8"/>
  <c r="AD75" i="8"/>
  <c r="AC75" i="8"/>
  <c r="AA75" i="8"/>
  <c r="Z75" i="8"/>
  <c r="Y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I75" i="8"/>
  <c r="H75" i="8"/>
  <c r="G75" i="8"/>
  <c r="F75" i="8"/>
  <c r="E75" i="8"/>
  <c r="AM74" i="8"/>
  <c r="AL74" i="8"/>
  <c r="AK74" i="8"/>
  <c r="AJ74" i="8"/>
  <c r="AI74" i="8"/>
  <c r="AH74" i="8"/>
  <c r="AG74" i="8"/>
  <c r="AF74" i="8"/>
  <c r="AE74" i="8"/>
  <c r="AD74" i="8"/>
  <c r="AC74" i="8"/>
  <c r="AA74" i="8"/>
  <c r="Z74" i="8"/>
  <c r="Y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I74" i="8"/>
  <c r="H74" i="8"/>
  <c r="G74" i="8"/>
  <c r="F74" i="8"/>
  <c r="E74" i="8"/>
  <c r="AD68" i="8"/>
  <c r="AC68" i="8"/>
  <c r="AB68" i="8"/>
  <c r="AA68" i="8"/>
  <c r="Z68" i="8"/>
  <c r="Y68" i="8"/>
  <c r="X68" i="8"/>
  <c r="W68" i="8"/>
  <c r="U68" i="8"/>
  <c r="T68" i="8"/>
  <c r="S68" i="8"/>
  <c r="R68" i="8"/>
  <c r="Q68" i="8"/>
  <c r="P68" i="8"/>
  <c r="O68" i="8"/>
  <c r="N68" i="8"/>
  <c r="L68" i="8"/>
  <c r="K68" i="8"/>
  <c r="J68" i="8"/>
  <c r="I68" i="8"/>
  <c r="H68" i="8"/>
  <c r="G68" i="8"/>
  <c r="F68" i="8"/>
  <c r="E68" i="8"/>
  <c r="AD67" i="8"/>
  <c r="AC67" i="8"/>
  <c r="AB67" i="8"/>
  <c r="AA67" i="8"/>
  <c r="Z67" i="8"/>
  <c r="Y67" i="8"/>
  <c r="X67" i="8"/>
  <c r="W67" i="8"/>
  <c r="U67" i="8"/>
  <c r="T67" i="8"/>
  <c r="S67" i="8"/>
  <c r="R67" i="8"/>
  <c r="Q67" i="8"/>
  <c r="P67" i="8"/>
  <c r="O67" i="8"/>
  <c r="N67" i="8"/>
  <c r="L67" i="8"/>
  <c r="K67" i="8"/>
  <c r="J67" i="8"/>
  <c r="I67" i="8"/>
  <c r="H67" i="8"/>
  <c r="G67" i="8"/>
  <c r="F67" i="8"/>
  <c r="E67" i="8"/>
  <c r="AD66" i="8"/>
  <c r="AC66" i="8"/>
  <c r="AB66" i="8"/>
  <c r="AA66" i="8"/>
  <c r="Z66" i="8"/>
  <c r="Y66" i="8"/>
  <c r="X66" i="8"/>
  <c r="W66" i="8"/>
  <c r="U66" i="8"/>
  <c r="T66" i="8"/>
  <c r="S66" i="8"/>
  <c r="R66" i="8"/>
  <c r="Q66" i="8"/>
  <c r="P66" i="8"/>
  <c r="O66" i="8"/>
  <c r="N66" i="8"/>
  <c r="L66" i="8"/>
  <c r="K66" i="8"/>
  <c r="J66" i="8"/>
  <c r="I66" i="8"/>
  <c r="H66" i="8"/>
  <c r="G66" i="8"/>
  <c r="F66" i="8"/>
  <c r="E66" i="8"/>
  <c r="AD65" i="8"/>
  <c r="AC65" i="8"/>
  <c r="AB65" i="8"/>
  <c r="AA65" i="8"/>
  <c r="Z65" i="8"/>
  <c r="Y65" i="8"/>
  <c r="X65" i="8"/>
  <c r="W65" i="8"/>
  <c r="U65" i="8"/>
  <c r="T65" i="8"/>
  <c r="S65" i="8"/>
  <c r="R65" i="8"/>
  <c r="Q65" i="8"/>
  <c r="P65" i="8"/>
  <c r="O65" i="8"/>
  <c r="N65" i="8"/>
  <c r="L65" i="8"/>
  <c r="K65" i="8"/>
  <c r="J65" i="8"/>
  <c r="I65" i="8"/>
  <c r="H65" i="8"/>
  <c r="G65" i="8"/>
  <c r="F65" i="8"/>
  <c r="E65" i="8"/>
  <c r="AD64" i="8"/>
  <c r="AC64" i="8"/>
  <c r="AB64" i="8"/>
  <c r="AA64" i="8"/>
  <c r="Z64" i="8"/>
  <c r="Y64" i="8"/>
  <c r="X64" i="8"/>
  <c r="W64" i="8"/>
  <c r="U64" i="8"/>
  <c r="T64" i="8"/>
  <c r="S64" i="8"/>
  <c r="R64" i="8"/>
  <c r="Q64" i="8"/>
  <c r="P64" i="8"/>
  <c r="O64" i="8"/>
  <c r="N64" i="8"/>
  <c r="L64" i="8"/>
  <c r="K64" i="8"/>
  <c r="J64" i="8"/>
  <c r="I64" i="8"/>
  <c r="H64" i="8"/>
  <c r="G64" i="8"/>
  <c r="F64" i="8"/>
  <c r="E64" i="8"/>
  <c r="AD63" i="8"/>
  <c r="AC63" i="8"/>
  <c r="AB63" i="8"/>
  <c r="AA63" i="8"/>
  <c r="Z63" i="8"/>
  <c r="Y63" i="8"/>
  <c r="X63" i="8"/>
  <c r="W63" i="8"/>
  <c r="U63" i="8"/>
  <c r="T63" i="8"/>
  <c r="S63" i="8"/>
  <c r="R63" i="8"/>
  <c r="Q63" i="8"/>
  <c r="P63" i="8"/>
  <c r="O63" i="8"/>
  <c r="N63" i="8"/>
  <c r="L63" i="8"/>
  <c r="K63" i="8"/>
  <c r="J63" i="8"/>
  <c r="I63" i="8"/>
  <c r="H63" i="8"/>
  <c r="G63" i="8"/>
  <c r="F63" i="8"/>
  <c r="E63" i="8"/>
  <c r="AD62" i="8"/>
  <c r="AC62" i="8"/>
  <c r="AB62" i="8"/>
  <c r="AA62" i="8"/>
  <c r="Z62" i="8"/>
  <c r="Y62" i="8"/>
  <c r="X62" i="8"/>
  <c r="W62" i="8"/>
  <c r="U62" i="8"/>
  <c r="T62" i="8"/>
  <c r="S62" i="8"/>
  <c r="R62" i="8"/>
  <c r="Q62" i="8"/>
  <c r="P62" i="8"/>
  <c r="O62" i="8"/>
  <c r="N62" i="8"/>
  <c r="L62" i="8"/>
  <c r="K62" i="8"/>
  <c r="J62" i="8"/>
  <c r="I62" i="8"/>
  <c r="H62" i="8"/>
  <c r="G62" i="8"/>
  <c r="F62" i="8"/>
  <c r="E62" i="8"/>
  <c r="AD61" i="8"/>
  <c r="AC61" i="8"/>
  <c r="AB61" i="8"/>
  <c r="AA61" i="8"/>
  <c r="Z61" i="8"/>
  <c r="Y61" i="8"/>
  <c r="X61" i="8"/>
  <c r="W61" i="8"/>
  <c r="U61" i="8"/>
  <c r="T61" i="8"/>
  <c r="S61" i="8"/>
  <c r="R61" i="8"/>
  <c r="Q61" i="8"/>
  <c r="P61" i="8"/>
  <c r="O61" i="8"/>
  <c r="N61" i="8"/>
  <c r="L61" i="8"/>
  <c r="K61" i="8"/>
  <c r="J61" i="8"/>
  <c r="I61" i="8"/>
  <c r="H61" i="8"/>
  <c r="G61" i="8"/>
  <c r="F61" i="8"/>
  <c r="E61" i="8"/>
  <c r="AD60" i="8"/>
  <c r="AC60" i="8"/>
  <c r="AB60" i="8"/>
  <c r="AA60" i="8"/>
  <c r="Z60" i="8"/>
  <c r="Y60" i="8"/>
  <c r="X60" i="8"/>
  <c r="W60" i="8"/>
  <c r="U60" i="8"/>
  <c r="T60" i="8"/>
  <c r="S60" i="8"/>
  <c r="R60" i="8"/>
  <c r="Q60" i="8"/>
  <c r="P60" i="8"/>
  <c r="O60" i="8"/>
  <c r="N60" i="8"/>
  <c r="L60" i="8"/>
  <c r="K60" i="8"/>
  <c r="J60" i="8"/>
  <c r="I60" i="8"/>
  <c r="H60" i="8"/>
  <c r="G60" i="8"/>
  <c r="F60" i="8"/>
  <c r="E60" i="8"/>
  <c r="AD59" i="8"/>
  <c r="AC59" i="8"/>
  <c r="AB59" i="8"/>
  <c r="AA59" i="8"/>
  <c r="Z59" i="8"/>
  <c r="Y59" i="8"/>
  <c r="X59" i="8"/>
  <c r="W59" i="8"/>
  <c r="U59" i="8"/>
  <c r="T59" i="8"/>
  <c r="S59" i="8"/>
  <c r="R59" i="8"/>
  <c r="Q59" i="8"/>
  <c r="P59" i="8"/>
  <c r="O59" i="8"/>
  <c r="N59" i="8"/>
  <c r="L59" i="8"/>
  <c r="K59" i="8"/>
  <c r="J59" i="8"/>
  <c r="I59" i="8"/>
  <c r="H59" i="8"/>
  <c r="G59" i="8"/>
  <c r="F59" i="8"/>
  <c r="E59" i="8"/>
  <c r="AD58" i="8"/>
  <c r="AC58" i="8"/>
  <c r="AB58" i="8"/>
  <c r="AA58" i="8"/>
  <c r="Z58" i="8"/>
  <c r="Y58" i="8"/>
  <c r="X58" i="8"/>
  <c r="W58" i="8"/>
  <c r="U58" i="8"/>
  <c r="T58" i="8"/>
  <c r="S58" i="8"/>
  <c r="R58" i="8"/>
  <c r="Q58" i="8"/>
  <c r="P58" i="8"/>
  <c r="O58" i="8"/>
  <c r="N58" i="8"/>
  <c r="L58" i="8"/>
  <c r="K58" i="8"/>
  <c r="J58" i="8"/>
  <c r="I58" i="8"/>
  <c r="H58" i="8"/>
  <c r="G58" i="8"/>
  <c r="F58" i="8"/>
  <c r="E58" i="8"/>
  <c r="AD57" i="8"/>
  <c r="AC57" i="8"/>
  <c r="AB57" i="8"/>
  <c r="AA57" i="8"/>
  <c r="Z57" i="8"/>
  <c r="Y57" i="8"/>
  <c r="X57" i="8"/>
  <c r="W57" i="8"/>
  <c r="U57" i="8"/>
  <c r="T57" i="8"/>
  <c r="S57" i="8"/>
  <c r="R57" i="8"/>
  <c r="Q57" i="8"/>
  <c r="P57" i="8"/>
  <c r="O57" i="8"/>
  <c r="N57" i="8"/>
  <c r="L57" i="8"/>
  <c r="K57" i="8"/>
  <c r="J57" i="8"/>
  <c r="I57" i="8"/>
  <c r="H57" i="8"/>
  <c r="G57" i="8"/>
  <c r="F57" i="8"/>
  <c r="E57" i="8"/>
  <c r="AD56" i="8"/>
  <c r="AC56" i="8"/>
  <c r="AB56" i="8"/>
  <c r="AA56" i="8"/>
  <c r="Z56" i="8"/>
  <c r="Y56" i="8"/>
  <c r="X56" i="8"/>
  <c r="W56" i="8"/>
  <c r="U56" i="8"/>
  <c r="T56" i="8"/>
  <c r="S56" i="8"/>
  <c r="R56" i="8"/>
  <c r="Q56" i="8"/>
  <c r="P56" i="8"/>
  <c r="O56" i="8"/>
  <c r="N56" i="8"/>
  <c r="L56" i="8"/>
  <c r="K56" i="8"/>
  <c r="J56" i="8"/>
  <c r="I56" i="8"/>
  <c r="H56" i="8"/>
  <c r="G56" i="8"/>
  <c r="F56" i="8"/>
  <c r="E56" i="8"/>
  <c r="AD55" i="8"/>
  <c r="AC55" i="8"/>
  <c r="AB55" i="8"/>
  <c r="AA55" i="8"/>
  <c r="Z55" i="8"/>
  <c r="Y55" i="8"/>
  <c r="X55" i="8"/>
  <c r="W55" i="8"/>
  <c r="U55" i="8"/>
  <c r="T55" i="8"/>
  <c r="S55" i="8"/>
  <c r="R55" i="8"/>
  <c r="Q55" i="8"/>
  <c r="P55" i="8"/>
  <c r="O55" i="8"/>
  <c r="N55" i="8"/>
  <c r="L55" i="8"/>
  <c r="K55" i="8"/>
  <c r="J55" i="8"/>
  <c r="I55" i="8"/>
  <c r="H55" i="8"/>
  <c r="G55" i="8"/>
  <c r="F55" i="8"/>
  <c r="E55" i="8"/>
  <c r="AD54" i="8"/>
  <c r="AC54" i="8"/>
  <c r="AB54" i="8"/>
  <c r="AA54" i="8"/>
  <c r="Z54" i="8"/>
  <c r="Y54" i="8"/>
  <c r="X54" i="8"/>
  <c r="W54" i="8"/>
  <c r="U54" i="8"/>
  <c r="T54" i="8"/>
  <c r="S54" i="8"/>
  <c r="R54" i="8"/>
  <c r="Q54" i="8"/>
  <c r="P54" i="8"/>
  <c r="O54" i="8"/>
  <c r="N54" i="8"/>
  <c r="L54" i="8"/>
  <c r="K54" i="8"/>
  <c r="J54" i="8"/>
  <c r="I54" i="8"/>
  <c r="H54" i="8"/>
  <c r="G54" i="8"/>
  <c r="F54" i="8"/>
  <c r="E54" i="8"/>
  <c r="AD53" i="8"/>
  <c r="AD69" i="8" s="1"/>
  <c r="AC53" i="8"/>
  <c r="AC69" i="8" s="1"/>
  <c r="AB53" i="8"/>
  <c r="AA53" i="8"/>
  <c r="AA69" i="8" s="1"/>
  <c r="Z53" i="8"/>
  <c r="Z69" i="8" s="1"/>
  <c r="Y53" i="8"/>
  <c r="Y69" i="8" s="1"/>
  <c r="X53" i="8"/>
  <c r="W53" i="8"/>
  <c r="U53" i="8"/>
  <c r="T53" i="8"/>
  <c r="S53" i="8"/>
  <c r="R53" i="8"/>
  <c r="Q53" i="8"/>
  <c r="Q69" i="8" s="1"/>
  <c r="P53" i="8"/>
  <c r="P69" i="8" s="1"/>
  <c r="O53" i="8"/>
  <c r="O69" i="8" s="1"/>
  <c r="N53" i="8"/>
  <c r="N69" i="8" s="1"/>
  <c r="L53" i="8"/>
  <c r="K53" i="8"/>
  <c r="J53" i="8"/>
  <c r="I53" i="8"/>
  <c r="I69" i="8" s="1"/>
  <c r="H53" i="8"/>
  <c r="H69" i="8" s="1"/>
  <c r="G53" i="8"/>
  <c r="G69" i="8" s="1"/>
  <c r="F53" i="8"/>
  <c r="E53" i="8"/>
  <c r="E69" i="8" s="1"/>
  <c r="G46" i="8"/>
  <c r="F46" i="8"/>
  <c r="E46" i="8"/>
  <c r="G45" i="8"/>
  <c r="F45" i="8"/>
  <c r="E45" i="8"/>
  <c r="D45" i="8"/>
  <c r="G44" i="8"/>
  <c r="F44" i="8"/>
  <c r="E44" i="8"/>
  <c r="D44" i="8"/>
  <c r="G43" i="8"/>
  <c r="F43" i="8"/>
  <c r="E43" i="8"/>
  <c r="D43" i="8"/>
  <c r="R41" i="8"/>
  <c r="Q41" i="8"/>
  <c r="P41" i="8"/>
  <c r="O41" i="8"/>
  <c r="N41" i="8"/>
  <c r="M41" i="8"/>
  <c r="G42" i="8"/>
  <c r="F42" i="8"/>
  <c r="E42" i="8"/>
  <c r="D42" i="8"/>
  <c r="R40" i="8"/>
  <c r="Q40" i="8"/>
  <c r="P40" i="8"/>
  <c r="O40" i="8"/>
  <c r="N40" i="8"/>
  <c r="M40" i="8"/>
  <c r="G41" i="8"/>
  <c r="F41" i="8"/>
  <c r="E41" i="8"/>
  <c r="D41" i="8"/>
  <c r="R39" i="8"/>
  <c r="Q39" i="8"/>
  <c r="P39" i="8"/>
  <c r="O39" i="8"/>
  <c r="N39" i="8"/>
  <c r="M39" i="8"/>
  <c r="G40" i="8"/>
  <c r="F40" i="8"/>
  <c r="E40" i="8"/>
  <c r="D40" i="8"/>
  <c r="R38" i="8"/>
  <c r="Q38" i="8"/>
  <c r="P38" i="8"/>
  <c r="O38" i="8"/>
  <c r="N38" i="8"/>
  <c r="M38" i="8"/>
  <c r="R37" i="8"/>
  <c r="Q37" i="8"/>
  <c r="P37" i="8"/>
  <c r="O37" i="8"/>
  <c r="N37" i="8"/>
  <c r="M37" i="8"/>
  <c r="R36" i="8"/>
  <c r="Q36" i="8"/>
  <c r="P36" i="8"/>
  <c r="O36" i="8"/>
  <c r="N36" i="8"/>
  <c r="M36" i="8"/>
  <c r="R35" i="8"/>
  <c r="Q35" i="8"/>
  <c r="P35" i="8"/>
  <c r="O35" i="8"/>
  <c r="N35" i="8"/>
  <c r="M35" i="8"/>
  <c r="R34" i="8"/>
  <c r="Q34" i="8"/>
  <c r="P34" i="8"/>
  <c r="O34" i="8"/>
  <c r="N34" i="8"/>
  <c r="M34" i="8"/>
  <c r="R33" i="8"/>
  <c r="Q33" i="8"/>
  <c r="P33" i="8"/>
  <c r="O33" i="8"/>
  <c r="N33" i="8"/>
  <c r="M33" i="8"/>
  <c r="R32" i="8"/>
  <c r="Q32" i="8"/>
  <c r="P32" i="8"/>
  <c r="O32" i="8"/>
  <c r="N32" i="8"/>
  <c r="M32" i="8"/>
  <c r="I32" i="8"/>
  <c r="H32" i="8"/>
  <c r="G32" i="8"/>
  <c r="F32" i="8"/>
  <c r="E32" i="8"/>
  <c r="I31" i="8"/>
  <c r="H31" i="8"/>
  <c r="G31" i="8"/>
  <c r="F31" i="8"/>
  <c r="E31" i="8"/>
  <c r="D31" i="8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I25" i="8"/>
  <c r="H25" i="8"/>
  <c r="G25" i="8"/>
  <c r="F25" i="8"/>
  <c r="E25" i="8"/>
  <c r="D25" i="8"/>
  <c r="R24" i="8"/>
  <c r="Q24" i="8"/>
  <c r="P24" i="8"/>
  <c r="O24" i="8"/>
  <c r="N24" i="8"/>
  <c r="M24" i="8"/>
  <c r="I24" i="8"/>
  <c r="H24" i="8"/>
  <c r="G24" i="8"/>
  <c r="F24" i="8"/>
  <c r="E24" i="8"/>
  <c r="D24" i="8"/>
  <c r="R23" i="8"/>
  <c r="Q23" i="8"/>
  <c r="P23" i="8"/>
  <c r="O23" i="8"/>
  <c r="N23" i="8"/>
  <c r="M23" i="8"/>
  <c r="I23" i="8"/>
  <c r="H23" i="8"/>
  <c r="G23" i="8"/>
  <c r="F23" i="8"/>
  <c r="E23" i="8"/>
  <c r="D23" i="8"/>
  <c r="R22" i="8"/>
  <c r="Q22" i="8"/>
  <c r="P22" i="8"/>
  <c r="O22" i="8"/>
  <c r="N22" i="8"/>
  <c r="M22" i="8"/>
  <c r="I22" i="8"/>
  <c r="H22" i="8"/>
  <c r="G22" i="8"/>
  <c r="F22" i="8"/>
  <c r="E22" i="8"/>
  <c r="D22" i="8"/>
  <c r="R21" i="8"/>
  <c r="Q21" i="8"/>
  <c r="P21" i="8"/>
  <c r="O21" i="8"/>
  <c r="N21" i="8"/>
  <c r="M21" i="8"/>
  <c r="I21" i="8"/>
  <c r="H21" i="8"/>
  <c r="G21" i="8"/>
  <c r="F21" i="8"/>
  <c r="E21" i="8"/>
  <c r="D21" i="8"/>
  <c r="R20" i="8"/>
  <c r="Q20" i="8"/>
  <c r="P20" i="8"/>
  <c r="O20" i="8"/>
  <c r="N20" i="8"/>
  <c r="M20" i="8"/>
  <c r="I20" i="8"/>
  <c r="H20" i="8"/>
  <c r="G20" i="8"/>
  <c r="F20" i="8"/>
  <c r="E20" i="8"/>
  <c r="D20" i="8"/>
  <c r="R19" i="8"/>
  <c r="Q19" i="8"/>
  <c r="P19" i="8"/>
  <c r="O19" i="8"/>
  <c r="N19" i="8"/>
  <c r="M19" i="8"/>
  <c r="I19" i="8"/>
  <c r="H19" i="8"/>
  <c r="G19" i="8"/>
  <c r="F19" i="8"/>
  <c r="E19" i="8"/>
  <c r="D19" i="8"/>
  <c r="R18" i="8"/>
  <c r="Q18" i="8"/>
  <c r="P18" i="8"/>
  <c r="O18" i="8"/>
  <c r="N18" i="8"/>
  <c r="M18" i="8"/>
  <c r="I18" i="8"/>
  <c r="H18" i="8"/>
  <c r="G18" i="8"/>
  <c r="F18" i="8"/>
  <c r="E18" i="8"/>
  <c r="D18" i="8"/>
  <c r="R17" i="8"/>
  <c r="Q17" i="8"/>
  <c r="P17" i="8"/>
  <c r="O17" i="8"/>
  <c r="N17" i="8"/>
  <c r="M17" i="8"/>
  <c r="I17" i="8"/>
  <c r="H17" i="8"/>
  <c r="G17" i="8"/>
  <c r="F17" i="8"/>
  <c r="E17" i="8"/>
  <c r="D17" i="8"/>
  <c r="R16" i="8"/>
  <c r="Q16" i="8"/>
  <c r="P16" i="8"/>
  <c r="O16" i="8"/>
  <c r="N16" i="8"/>
  <c r="M16" i="8"/>
  <c r="I16" i="8"/>
  <c r="H16" i="8"/>
  <c r="G16" i="8"/>
  <c r="F16" i="8"/>
  <c r="E16" i="8"/>
  <c r="D16" i="8"/>
  <c r="R15" i="8"/>
  <c r="Q15" i="8"/>
  <c r="P15" i="8"/>
  <c r="O15" i="8"/>
  <c r="N15" i="8"/>
  <c r="M15" i="8"/>
  <c r="I15" i="8"/>
  <c r="H15" i="8"/>
  <c r="G15" i="8"/>
  <c r="F15" i="8"/>
  <c r="E15" i="8"/>
  <c r="D15" i="8"/>
  <c r="J59" i="10" l="1"/>
  <c r="R59" i="10"/>
  <c r="Z59" i="10"/>
  <c r="D41" i="9"/>
  <c r="D36" i="12"/>
  <c r="E36" i="12"/>
  <c r="F36" i="12"/>
  <c r="W69" i="8"/>
  <c r="R69" i="8"/>
  <c r="T69" i="8"/>
  <c r="L69" i="8"/>
  <c r="K69" i="8"/>
  <c r="X69" i="8"/>
  <c r="S69" i="8"/>
  <c r="AB69" i="8"/>
  <c r="F69" i="8"/>
  <c r="J69" i="8"/>
  <c r="U69" i="8"/>
  <c r="G48" i="8"/>
  <c r="P50" i="10"/>
  <c r="AB50" i="10"/>
  <c r="I59" i="10"/>
  <c r="Q59" i="10"/>
  <c r="Y59" i="10"/>
  <c r="K59" i="10"/>
  <c r="S59" i="10"/>
  <c r="AA59" i="10"/>
  <c r="U50" i="10"/>
  <c r="D48" i="8"/>
  <c r="E48" i="8"/>
  <c r="F48" i="8"/>
  <c r="L82" i="12"/>
  <c r="U82" i="12"/>
  <c r="AC82" i="12"/>
  <c r="M103" i="12"/>
  <c r="I33" i="9"/>
  <c r="U45" i="9"/>
  <c r="AC45" i="9"/>
  <c r="M6" i="11"/>
  <c r="D34" i="2"/>
  <c r="V3" i="11"/>
  <c r="Z11" i="11"/>
  <c r="N6" i="11"/>
  <c r="Q3" i="11"/>
  <c r="Q6" i="11"/>
  <c r="W3" i="11"/>
  <c r="M7" i="11"/>
  <c r="Q11" i="11"/>
  <c r="N7" i="11"/>
  <c r="R11" i="11"/>
  <c r="V7" i="11"/>
  <c r="W7" i="11"/>
  <c r="K82" i="12"/>
  <c r="T82" i="12"/>
  <c r="AB82" i="12"/>
  <c r="K103" i="12"/>
  <c r="AD18" i="9"/>
  <c r="AF18" i="9" s="1"/>
  <c r="H45" i="2"/>
  <c r="U2" i="11"/>
  <c r="Y6" i="11"/>
  <c r="R10" i="11"/>
  <c r="M3" i="11"/>
  <c r="N3" i="11"/>
  <c r="O4" i="11"/>
  <c r="Z6" i="11"/>
  <c r="M9" i="11"/>
  <c r="U10" i="11"/>
  <c r="R12" i="11"/>
  <c r="P17" i="11"/>
  <c r="Z3" i="11"/>
  <c r="Q10" i="11"/>
  <c r="O3" i="11"/>
  <c r="R4" i="11"/>
  <c r="X9" i="11"/>
  <c r="W10" i="11"/>
  <c r="X12" i="11"/>
  <c r="Y10" i="11"/>
  <c r="P18" i="11"/>
  <c r="R3" i="11"/>
  <c r="L10" i="11"/>
  <c r="P13" i="11"/>
  <c r="R18" i="11"/>
  <c r="M10" i="11"/>
  <c r="P10" i="11"/>
  <c r="AH46" i="12"/>
  <c r="L50" i="12"/>
  <c r="AH54" i="12"/>
  <c r="L58" i="12"/>
  <c r="T91" i="12"/>
  <c r="T95" i="12"/>
  <c r="T99" i="12"/>
  <c r="AI79" i="2"/>
  <c r="AI87" i="2"/>
  <c r="AI91" i="2"/>
  <c r="P5" i="11"/>
  <c r="R6" i="11"/>
  <c r="L14" i="11"/>
  <c r="W14" i="11"/>
  <c r="Q17" i="11"/>
  <c r="Y18" i="11"/>
  <c r="M2" i="11"/>
  <c r="Y2" i="11"/>
  <c r="N2" i="11"/>
  <c r="Z2" i="11"/>
  <c r="O9" i="11"/>
  <c r="P2" i="11"/>
  <c r="X3" i="11"/>
  <c r="Y5" i="11"/>
  <c r="U6" i="11"/>
  <c r="R7" i="11"/>
  <c r="P9" i="11"/>
  <c r="N10" i="11"/>
  <c r="Z10" i="11"/>
  <c r="O12" i="11"/>
  <c r="M14" i="11"/>
  <c r="Y14" i="11"/>
  <c r="X17" i="11"/>
  <c r="Z18" i="11"/>
  <c r="Q2" i="11"/>
  <c r="V6" i="11"/>
  <c r="U9" i="11"/>
  <c r="N14" i="11"/>
  <c r="Z14" i="11"/>
  <c r="Y17" i="11"/>
  <c r="R2" i="11"/>
  <c r="L6" i="11"/>
  <c r="W6" i="11"/>
  <c r="V9" i="11"/>
  <c r="N11" i="11"/>
  <c r="P14" i="11"/>
  <c r="Z17" i="11"/>
  <c r="Q19" i="11"/>
  <c r="Q14" i="11"/>
  <c r="Z19" i="11"/>
  <c r="Y9" i="11"/>
  <c r="R14" i="11"/>
  <c r="V2" i="11"/>
  <c r="L2" i="11"/>
  <c r="W2" i="11"/>
  <c r="X4" i="11"/>
  <c r="P6" i="11"/>
  <c r="L9" i="11"/>
  <c r="V10" i="11"/>
  <c r="W11" i="11"/>
  <c r="Y13" i="11"/>
  <c r="U14" i="11"/>
  <c r="O17" i="11"/>
  <c r="Q18" i="11"/>
  <c r="R20" i="11"/>
  <c r="V14" i="11"/>
  <c r="AK118" i="8"/>
  <c r="I90" i="8"/>
  <c r="R90" i="8"/>
  <c r="Z90" i="8"/>
  <c r="AI90" i="8"/>
  <c r="AN77" i="8"/>
  <c r="P78" i="8"/>
  <c r="O50" i="2"/>
  <c r="X50" i="2"/>
  <c r="AI50" i="2"/>
  <c r="E33" i="9"/>
  <c r="Y45" i="9"/>
  <c r="F41" i="9"/>
  <c r="M59" i="7"/>
  <c r="AI63" i="2"/>
  <c r="F33" i="9"/>
  <c r="Z45" i="9"/>
  <c r="G41" i="9"/>
  <c r="AI58" i="2"/>
  <c r="AK122" i="8"/>
  <c r="O60" i="2"/>
  <c r="O61" i="2"/>
  <c r="O62" i="2"/>
  <c r="O63" i="2"/>
  <c r="O64" i="2"/>
  <c r="AH99" i="2"/>
  <c r="G88" i="2"/>
  <c r="P88" i="2"/>
  <c r="X88" i="2"/>
  <c r="Z78" i="2"/>
  <c r="O80" i="2"/>
  <c r="Z86" i="2"/>
  <c r="H107" i="2"/>
  <c r="Q107" i="2"/>
  <c r="M98" i="2"/>
  <c r="V98" i="2"/>
  <c r="M99" i="2"/>
  <c r="V99" i="2"/>
  <c r="M100" i="2"/>
  <c r="V100" i="2"/>
  <c r="M101" i="2"/>
  <c r="V101" i="2"/>
  <c r="M102" i="2"/>
  <c r="V102" i="2"/>
  <c r="M103" i="2"/>
  <c r="V103" i="2"/>
  <c r="M104" i="2"/>
  <c r="V104" i="2"/>
  <c r="M105" i="2"/>
  <c r="V105" i="2"/>
  <c r="M106" i="2"/>
  <c r="V106" i="2"/>
  <c r="M61" i="12"/>
  <c r="U61" i="12"/>
  <c r="AD61" i="12"/>
  <c r="Z50" i="12"/>
  <c r="Z53" i="12"/>
  <c r="Z58" i="12"/>
  <c r="AF67" i="12"/>
  <c r="AF71" i="12"/>
  <c r="AF75" i="12"/>
  <c r="AF79" i="12"/>
  <c r="V45" i="9"/>
  <c r="AE45" i="9"/>
  <c r="AD24" i="9"/>
  <c r="AF24" i="9" s="1"/>
  <c r="AD25" i="9"/>
  <c r="AF25" i="9" s="1"/>
  <c r="AD28" i="9"/>
  <c r="AF28" i="9" s="1"/>
  <c r="AD29" i="9"/>
  <c r="AF29" i="9" s="1"/>
  <c r="AK96" i="8"/>
  <c r="AK104" i="8"/>
  <c r="M54" i="8"/>
  <c r="V54" i="8"/>
  <c r="AE54" i="8"/>
  <c r="M55" i="8"/>
  <c r="V55" i="8"/>
  <c r="AE55" i="8"/>
  <c r="M56" i="8"/>
  <c r="V56" i="8"/>
  <c r="AE56" i="8"/>
  <c r="M57" i="8"/>
  <c r="V57" i="8"/>
  <c r="AE57" i="8"/>
  <c r="M58" i="8"/>
  <c r="V58" i="8"/>
  <c r="AE58" i="8"/>
  <c r="M59" i="8"/>
  <c r="V59" i="8"/>
  <c r="AK109" i="8"/>
  <c r="AK112" i="8"/>
  <c r="D35" i="8"/>
  <c r="AK100" i="8"/>
  <c r="AK108" i="8"/>
  <c r="AK116" i="8"/>
  <c r="P75" i="8"/>
  <c r="AB75" i="8"/>
  <c r="AB80" i="8"/>
  <c r="AN80" i="8"/>
  <c r="P83" i="8"/>
  <c r="AB83" i="8"/>
  <c r="AN85" i="8"/>
  <c r="P86" i="8"/>
  <c r="AB88" i="8"/>
  <c r="AN88" i="8"/>
  <c r="AK102" i="8"/>
  <c r="R15" i="11"/>
  <c r="P4" i="11"/>
  <c r="Y4" i="11"/>
  <c r="Q5" i="11"/>
  <c r="Z5" i="11"/>
  <c r="S7" i="11"/>
  <c r="L8" i="11"/>
  <c r="U8" i="11"/>
  <c r="O11" i="11"/>
  <c r="X11" i="11"/>
  <c r="P12" i="11"/>
  <c r="Y12" i="11"/>
  <c r="Q13" i="11"/>
  <c r="Z13" i="11"/>
  <c r="O2" i="11"/>
  <c r="X2" i="11"/>
  <c r="P3" i="11"/>
  <c r="Y3" i="11"/>
  <c r="Q4" i="11"/>
  <c r="Z4" i="11"/>
  <c r="R5" i="11"/>
  <c r="S6" i="11"/>
  <c r="L7" i="11"/>
  <c r="U7" i="11"/>
  <c r="M8" i="11"/>
  <c r="V8" i="11"/>
  <c r="N9" i="11"/>
  <c r="W9" i="11"/>
  <c r="O10" i="11"/>
  <c r="X10" i="11"/>
  <c r="P11" i="11"/>
  <c r="Y11" i="11"/>
  <c r="Q12" i="11"/>
  <c r="Z12" i="11"/>
  <c r="R13" i="11"/>
  <c r="S14" i="11"/>
  <c r="L15" i="11"/>
  <c r="U15" i="11"/>
  <c r="M16" i="11"/>
  <c r="V16" i="11"/>
  <c r="N17" i="11"/>
  <c r="W17" i="11"/>
  <c r="O18" i="11"/>
  <c r="X18" i="11"/>
  <c r="P19" i="11"/>
  <c r="Y19" i="11"/>
  <c r="Q20" i="11"/>
  <c r="Z20" i="11"/>
  <c r="R21" i="11"/>
  <c r="S5" i="11"/>
  <c r="N8" i="11"/>
  <c r="W8" i="11"/>
  <c r="S13" i="11"/>
  <c r="M15" i="11"/>
  <c r="V15" i="11"/>
  <c r="N16" i="11"/>
  <c r="W16" i="11"/>
  <c r="S21" i="11"/>
  <c r="S8" i="11"/>
  <c r="S4" i="11"/>
  <c r="U5" i="11"/>
  <c r="S12" i="11"/>
  <c r="L13" i="11"/>
  <c r="U13" i="11"/>
  <c r="N15" i="11"/>
  <c r="W15" i="11"/>
  <c r="O16" i="11"/>
  <c r="X16" i="11"/>
  <c r="R19" i="11"/>
  <c r="S20" i="11"/>
  <c r="L21" i="11"/>
  <c r="U21" i="11"/>
  <c r="L5" i="11"/>
  <c r="O8" i="11"/>
  <c r="X8" i="11"/>
  <c r="S11" i="11"/>
  <c r="L12" i="11"/>
  <c r="U12" i="11"/>
  <c r="M13" i="11"/>
  <c r="V13" i="11"/>
  <c r="O15" i="11"/>
  <c r="X15" i="11"/>
  <c r="P16" i="11"/>
  <c r="Y16" i="11"/>
  <c r="S19" i="11"/>
  <c r="L20" i="11"/>
  <c r="U20" i="11"/>
  <c r="M21" i="11"/>
  <c r="V21" i="11"/>
  <c r="S3" i="11"/>
  <c r="L4" i="11"/>
  <c r="U4" i="11"/>
  <c r="M5" i="11"/>
  <c r="V5" i="11"/>
  <c r="O7" i="11"/>
  <c r="X7" i="11"/>
  <c r="P8" i="11"/>
  <c r="Y8" i="11"/>
  <c r="Q9" i="11"/>
  <c r="Z9" i="11"/>
  <c r="L3" i="11"/>
  <c r="M4" i="11"/>
  <c r="V4" i="11"/>
  <c r="N5" i="11"/>
  <c r="W5" i="11"/>
  <c r="O6" i="11"/>
  <c r="P7" i="11"/>
  <c r="Y7" i="11"/>
  <c r="Q8" i="11"/>
  <c r="Z8" i="11"/>
  <c r="R9" i="11"/>
  <c r="L11" i="11"/>
  <c r="U11" i="11"/>
  <c r="M12" i="11"/>
  <c r="V12" i="11"/>
  <c r="N13" i="11"/>
  <c r="W13" i="11"/>
  <c r="O14" i="11"/>
  <c r="P15" i="11"/>
  <c r="Y15" i="11"/>
  <c r="Q16" i="11"/>
  <c r="Z16" i="11"/>
  <c r="R17" i="11"/>
  <c r="S18" i="11"/>
  <c r="L19" i="11"/>
  <c r="U19" i="11"/>
  <c r="M20" i="11"/>
  <c r="V20" i="11"/>
  <c r="N21" i="11"/>
  <c r="W21" i="11"/>
  <c r="N4" i="11"/>
  <c r="O5" i="11"/>
  <c r="Q7" i="11"/>
  <c r="M11" i="11"/>
  <c r="N12" i="11"/>
  <c r="O13" i="11"/>
  <c r="Q15" i="11"/>
  <c r="Z15" i="11"/>
  <c r="R16" i="11"/>
  <c r="S17" i="11"/>
  <c r="L18" i="11"/>
  <c r="U18" i="11"/>
  <c r="M19" i="11"/>
  <c r="V19" i="11"/>
  <c r="N20" i="11"/>
  <c r="W20" i="11"/>
  <c r="O21" i="11"/>
  <c r="X21" i="11"/>
  <c r="S16" i="11"/>
  <c r="L17" i="11"/>
  <c r="U17" i="11"/>
  <c r="M18" i="11"/>
  <c r="V18" i="11"/>
  <c r="N19" i="11"/>
  <c r="W19" i="11"/>
  <c r="O20" i="11"/>
  <c r="X20" i="11"/>
  <c r="P21" i="11"/>
  <c r="Y21" i="11"/>
  <c r="L16" i="11"/>
  <c r="M17" i="11"/>
  <c r="N18" i="11"/>
  <c r="O19" i="11"/>
  <c r="P20" i="11"/>
  <c r="Q21" i="11"/>
  <c r="G90" i="8"/>
  <c r="O90" i="8"/>
  <c r="X90" i="8"/>
  <c r="AG90" i="8"/>
  <c r="AN75" i="8"/>
  <c r="P76" i="8"/>
  <c r="AB78" i="8"/>
  <c r="AN78" i="8"/>
  <c r="P81" i="8"/>
  <c r="AB81" i="8"/>
  <c r="AN83" i="8"/>
  <c r="P84" i="8"/>
  <c r="AB86" i="8"/>
  <c r="AN86" i="8"/>
  <c r="P89" i="8"/>
  <c r="AB89" i="8"/>
  <c r="AH123" i="8"/>
  <c r="AK103" i="8"/>
  <c r="AK120" i="8"/>
  <c r="E35" i="8"/>
  <c r="H90" i="8"/>
  <c r="Q90" i="8"/>
  <c r="Y90" i="8"/>
  <c r="AH90" i="8"/>
  <c r="AI123" i="8"/>
  <c r="AK97" i="8"/>
  <c r="AK106" i="8"/>
  <c r="AK111" i="8"/>
  <c r="AK117" i="8"/>
  <c r="AJ123" i="8"/>
  <c r="F34" i="2"/>
  <c r="AK119" i="8"/>
  <c r="G34" i="2"/>
  <c r="H35" i="8"/>
  <c r="K90" i="8"/>
  <c r="T90" i="8"/>
  <c r="AC90" i="8"/>
  <c r="AK90" i="8"/>
  <c r="P77" i="8"/>
  <c r="AB77" i="8"/>
  <c r="AN79" i="8"/>
  <c r="P80" i="8"/>
  <c r="AB82" i="8"/>
  <c r="AN82" i="8"/>
  <c r="P85" i="8"/>
  <c r="AB85" i="8"/>
  <c r="AN87" i="8"/>
  <c r="P88" i="8"/>
  <c r="AK113" i="8"/>
  <c r="G35" i="8"/>
  <c r="I35" i="8"/>
  <c r="L90" i="8"/>
  <c r="U90" i="8"/>
  <c r="AD90" i="8"/>
  <c r="AL90" i="8"/>
  <c r="AK107" i="8"/>
  <c r="J65" i="2"/>
  <c r="S65" i="2"/>
  <c r="AI55" i="2"/>
  <c r="AI62" i="2"/>
  <c r="AI64" i="2"/>
  <c r="AF99" i="2"/>
  <c r="J88" i="2"/>
  <c r="S88" i="2"/>
  <c r="AI74" i="2"/>
  <c r="Z75" i="2"/>
  <c r="O77" i="2"/>
  <c r="AI82" i="2"/>
  <c r="Z83" i="2"/>
  <c r="O85" i="2"/>
  <c r="AI90" i="2"/>
  <c r="K107" i="2"/>
  <c r="T107" i="2"/>
  <c r="M97" i="2"/>
  <c r="V97" i="2"/>
  <c r="AI98" i="2"/>
  <c r="F25" i="12"/>
  <c r="H36" i="12"/>
  <c r="G61" i="12"/>
  <c r="P61" i="12"/>
  <c r="X61" i="12"/>
  <c r="AG61" i="12"/>
  <c r="Z47" i="12"/>
  <c r="AH47" i="12"/>
  <c r="L51" i="12"/>
  <c r="AH52" i="12"/>
  <c r="Z55" i="12"/>
  <c r="AH55" i="12"/>
  <c r="L59" i="12"/>
  <c r="AH60" i="12"/>
  <c r="G82" i="12"/>
  <c r="O82" i="12"/>
  <c r="X82" i="12"/>
  <c r="R67" i="12"/>
  <c r="AF70" i="12"/>
  <c r="R71" i="12"/>
  <c r="AF74" i="12"/>
  <c r="R75" i="12"/>
  <c r="AF78" i="12"/>
  <c r="R79" i="12"/>
  <c r="G103" i="12"/>
  <c r="P103" i="12"/>
  <c r="L90" i="12"/>
  <c r="L94" i="12"/>
  <c r="L98" i="12"/>
  <c r="L102" i="12"/>
  <c r="AD20" i="9"/>
  <c r="AF20" i="9" s="1"/>
  <c r="AD34" i="9"/>
  <c r="AF34" i="9" s="1"/>
  <c r="AD44" i="9"/>
  <c r="AF44" i="9" s="1"/>
  <c r="AI71" i="2"/>
  <c r="AG99" i="2"/>
  <c r="K88" i="2"/>
  <c r="T88" i="2"/>
  <c r="Z74" i="2"/>
  <c r="AI75" i="2"/>
  <c r="O76" i="2"/>
  <c r="Z82" i="2"/>
  <c r="AI83" i="2"/>
  <c r="O84" i="2"/>
  <c r="L107" i="2"/>
  <c r="U107" i="2"/>
  <c r="M94" i="2"/>
  <c r="V94" i="2"/>
  <c r="AI95" i="2"/>
  <c r="H61" i="12"/>
  <c r="Q61" i="12"/>
  <c r="Y61" i="12"/>
  <c r="L46" i="12"/>
  <c r="Z46" i="12"/>
  <c r="Z49" i="12"/>
  <c r="AH50" i="12"/>
  <c r="L54" i="12"/>
  <c r="Z54" i="12"/>
  <c r="Z57" i="12"/>
  <c r="AH58" i="12"/>
  <c r="H82" i="12"/>
  <c r="P82" i="12"/>
  <c r="Y82" i="12"/>
  <c r="AF69" i="12"/>
  <c r="AF73" i="12"/>
  <c r="AF77" i="12"/>
  <c r="AF81" i="12"/>
  <c r="H103" i="12"/>
  <c r="Q103" i="12"/>
  <c r="T89" i="12"/>
  <c r="T93" i="12"/>
  <c r="T97" i="12"/>
  <c r="T101" i="12"/>
  <c r="AD19" i="9"/>
  <c r="AF19" i="9" s="1"/>
  <c r="AD31" i="9"/>
  <c r="AF31" i="9" s="1"/>
  <c r="AD39" i="9"/>
  <c r="AF39" i="9" s="1"/>
  <c r="AD42" i="9"/>
  <c r="AF42" i="9" s="1"/>
  <c r="AE59" i="8"/>
  <c r="M60" i="8"/>
  <c r="V60" i="8"/>
  <c r="AE60" i="8"/>
  <c r="M61" i="8"/>
  <c r="V61" i="8"/>
  <c r="AE61" i="8"/>
  <c r="M62" i="8"/>
  <c r="V62" i="8"/>
  <c r="AE62" i="8"/>
  <c r="M63" i="8"/>
  <c r="V63" i="8"/>
  <c r="AE63" i="8"/>
  <c r="M64" i="8"/>
  <c r="V64" i="8"/>
  <c r="AE64" i="8"/>
  <c r="M65" i="8"/>
  <c r="V65" i="8"/>
  <c r="AE65" i="8"/>
  <c r="M66" i="8"/>
  <c r="V66" i="8"/>
  <c r="AE66" i="8"/>
  <c r="M67" i="8"/>
  <c r="V67" i="8"/>
  <c r="AE67" i="8"/>
  <c r="M68" i="8"/>
  <c r="V68" i="8"/>
  <c r="AE68" i="8"/>
  <c r="E90" i="8"/>
  <c r="M90" i="8"/>
  <c r="V90" i="8"/>
  <c r="AE90" i="8"/>
  <c r="AM90" i="8"/>
  <c r="AB76" i="8"/>
  <c r="AN76" i="8"/>
  <c r="P79" i="8"/>
  <c r="AB79" i="8"/>
  <c r="AN81" i="8"/>
  <c r="P82" i="8"/>
  <c r="AB84" i="8"/>
  <c r="AN84" i="8"/>
  <c r="P87" i="8"/>
  <c r="AB87" i="8"/>
  <c r="AN89" i="8"/>
  <c r="AK95" i="8"/>
  <c r="AK101" i="8"/>
  <c r="AK110" i="8"/>
  <c r="H34" i="2"/>
  <c r="L65" i="2"/>
  <c r="U65" i="2"/>
  <c r="AD65" i="2"/>
  <c r="AE99" i="2"/>
  <c r="L88" i="2"/>
  <c r="U88" i="2"/>
  <c r="AI76" i="2"/>
  <c r="Z77" i="2"/>
  <c r="O79" i="2"/>
  <c r="AI84" i="2"/>
  <c r="Z85" i="2"/>
  <c r="O87" i="2"/>
  <c r="E107" i="2"/>
  <c r="N107" i="2"/>
  <c r="AI92" i="2"/>
  <c r="H25" i="12"/>
  <c r="I61" i="12"/>
  <c r="R61" i="12"/>
  <c r="AA61" i="12"/>
  <c r="Z52" i="12"/>
  <c r="AH53" i="12"/>
  <c r="Z60" i="12"/>
  <c r="I82" i="12"/>
  <c r="Q82" i="12"/>
  <c r="Z82" i="12"/>
  <c r="I103" i="12"/>
  <c r="R103" i="12"/>
  <c r="L89" i="12"/>
  <c r="L93" i="12"/>
  <c r="L97" i="12"/>
  <c r="L101" i="12"/>
  <c r="G33" i="9"/>
  <c r="AA45" i="9"/>
  <c r="AD36" i="9"/>
  <c r="AF36" i="9" s="1"/>
  <c r="H41" i="9"/>
  <c r="F90" i="8"/>
  <c r="N90" i="8"/>
  <c r="W90" i="8"/>
  <c r="AF90" i="8"/>
  <c r="AG123" i="8"/>
  <c r="AK98" i="8"/>
  <c r="AK115" i="8"/>
  <c r="AK121" i="8"/>
  <c r="I34" i="2"/>
  <c r="E65" i="2"/>
  <c r="M65" i="2"/>
  <c r="V65" i="2"/>
  <c r="E88" i="2"/>
  <c r="M88" i="2"/>
  <c r="V88" i="2"/>
  <c r="Z76" i="2"/>
  <c r="AI77" i="2"/>
  <c r="O78" i="2"/>
  <c r="Z84" i="2"/>
  <c r="AI85" i="2"/>
  <c r="O86" i="2"/>
  <c r="AI89" i="2"/>
  <c r="F107" i="2"/>
  <c r="O107" i="2"/>
  <c r="M96" i="2"/>
  <c r="V96" i="2"/>
  <c r="AI97" i="2"/>
  <c r="I25" i="12"/>
  <c r="J61" i="12"/>
  <c r="S61" i="12"/>
  <c r="AB61" i="12"/>
  <c r="L49" i="12"/>
  <c r="L52" i="12"/>
  <c r="L57" i="12"/>
  <c r="L60" i="12"/>
  <c r="J82" i="12"/>
  <c r="S82" i="12"/>
  <c r="AA82" i="12"/>
  <c r="R68" i="12"/>
  <c r="R72" i="12"/>
  <c r="R76" i="12"/>
  <c r="R80" i="12"/>
  <c r="J103" i="12"/>
  <c r="S103" i="12"/>
  <c r="T88" i="12"/>
  <c r="T92" i="12"/>
  <c r="T96" i="12"/>
  <c r="T100" i="12"/>
  <c r="H33" i="9"/>
  <c r="T45" i="9"/>
  <c r="AB45" i="9"/>
  <c r="AD27" i="9"/>
  <c r="AF27" i="9" s="1"/>
  <c r="AD35" i="9"/>
  <c r="AF35" i="9" s="1"/>
  <c r="AD38" i="9"/>
  <c r="AF38" i="9" s="1"/>
  <c r="F65" i="2"/>
  <c r="N65" i="2"/>
  <c r="W65" i="2"/>
  <c r="O52" i="2"/>
  <c r="O53" i="2"/>
  <c r="O54" i="2"/>
  <c r="O55" i="2"/>
  <c r="O56" i="2"/>
  <c r="F88" i="2"/>
  <c r="N88" i="2"/>
  <c r="W88" i="2"/>
  <c r="O73" i="2"/>
  <c r="AI78" i="2"/>
  <c r="Z79" i="2"/>
  <c r="O81" i="2"/>
  <c r="AI86" i="2"/>
  <c r="Z87" i="2"/>
  <c r="G107" i="2"/>
  <c r="P107" i="2"/>
  <c r="M93" i="2"/>
  <c r="V93" i="2"/>
  <c r="AI94" i="2"/>
  <c r="K61" i="12"/>
  <c r="T61" i="12"/>
  <c r="AC61" i="12"/>
  <c r="L47" i="12"/>
  <c r="AH48" i="12"/>
  <c r="Z51" i="12"/>
  <c r="AH51" i="12"/>
  <c r="L55" i="12"/>
  <c r="AH56" i="12"/>
  <c r="Z59" i="12"/>
  <c r="AH59" i="12"/>
  <c r="AF68" i="12"/>
  <c r="R69" i="12"/>
  <c r="AF72" i="12"/>
  <c r="R73" i="12"/>
  <c r="AF76" i="12"/>
  <c r="R77" i="12"/>
  <c r="AF80" i="12"/>
  <c r="R81" i="12"/>
  <c r="L88" i="12"/>
  <c r="L92" i="12"/>
  <c r="L96" i="12"/>
  <c r="L100" i="12"/>
  <c r="AD26" i="9"/>
  <c r="AF26" i="9" s="1"/>
  <c r="AD37" i="9"/>
  <c r="AF37" i="9" s="1"/>
  <c r="H65" i="2"/>
  <c r="Q65" i="2"/>
  <c r="Z65" i="2"/>
  <c r="O51" i="2"/>
  <c r="X51" i="2"/>
  <c r="AI51" i="2"/>
  <c r="X52" i="2"/>
  <c r="AI52" i="2"/>
  <c r="X53" i="2"/>
  <c r="AI53" i="2"/>
  <c r="X54" i="2"/>
  <c r="X55" i="2"/>
  <c r="X56" i="2"/>
  <c r="O57" i="2"/>
  <c r="X57" i="2"/>
  <c r="O58" i="2"/>
  <c r="X58" i="2"/>
  <c r="AI72" i="2"/>
  <c r="H88" i="2"/>
  <c r="Q88" i="2"/>
  <c r="Y88" i="2"/>
  <c r="Z73" i="2"/>
  <c r="O75" i="2"/>
  <c r="AI80" i="2"/>
  <c r="Z81" i="2"/>
  <c r="O83" i="2"/>
  <c r="AI88" i="2"/>
  <c r="I107" i="2"/>
  <c r="R107" i="2"/>
  <c r="M95" i="2"/>
  <c r="V95" i="2"/>
  <c r="AI96" i="2"/>
  <c r="E61" i="12"/>
  <c r="N61" i="12"/>
  <c r="V61" i="12"/>
  <c r="AE61" i="12"/>
  <c r="Z48" i="12"/>
  <c r="AH49" i="12"/>
  <c r="Z56" i="12"/>
  <c r="AH57" i="12"/>
  <c r="E82" i="12"/>
  <c r="M82" i="12"/>
  <c r="V82" i="12"/>
  <c r="AD82" i="12"/>
  <c r="E103" i="12"/>
  <c r="N103" i="12"/>
  <c r="L91" i="12"/>
  <c r="L95" i="12"/>
  <c r="L99" i="12"/>
  <c r="W45" i="9"/>
  <c r="AD22" i="9"/>
  <c r="AF22" i="9" s="1"/>
  <c r="AD30" i="9"/>
  <c r="AF30" i="9" s="1"/>
  <c r="AD41" i="9"/>
  <c r="AF41" i="9" s="1"/>
  <c r="AD43" i="9"/>
  <c r="AF43" i="9" s="1"/>
  <c r="N59" i="7"/>
  <c r="J90" i="8"/>
  <c r="S90" i="8"/>
  <c r="AA90" i="8"/>
  <c r="AJ90" i="8"/>
  <c r="AK99" i="8"/>
  <c r="AK105" i="8"/>
  <c r="AK114" i="8"/>
  <c r="E34" i="2"/>
  <c r="I65" i="2"/>
  <c r="R65" i="2"/>
  <c r="AA65" i="2"/>
  <c r="AI54" i="2"/>
  <c r="AI56" i="2"/>
  <c r="AI57" i="2"/>
  <c r="O59" i="2"/>
  <c r="X59" i="2"/>
  <c r="AI59" i="2"/>
  <c r="X60" i="2"/>
  <c r="AI60" i="2"/>
  <c r="X61" i="2"/>
  <c r="AI61" i="2"/>
  <c r="X62" i="2"/>
  <c r="X63" i="2"/>
  <c r="X64" i="2"/>
  <c r="I88" i="2"/>
  <c r="R88" i="2"/>
  <c r="AI73" i="2"/>
  <c r="O74" i="2"/>
  <c r="Z80" i="2"/>
  <c r="AI81" i="2"/>
  <c r="O82" i="2"/>
  <c r="J107" i="2"/>
  <c r="S107" i="2"/>
  <c r="M92" i="2"/>
  <c r="V92" i="2"/>
  <c r="AI93" i="2"/>
  <c r="E25" i="12"/>
  <c r="G36" i="12"/>
  <c r="L45" i="12"/>
  <c r="O61" i="12"/>
  <c r="W61" i="12"/>
  <c r="AF61" i="12"/>
  <c r="L48" i="12"/>
  <c r="L53" i="12"/>
  <c r="L56" i="12"/>
  <c r="F82" i="12"/>
  <c r="N82" i="12"/>
  <c r="W82" i="12"/>
  <c r="AE82" i="12"/>
  <c r="R70" i="12"/>
  <c r="R74" i="12"/>
  <c r="R78" i="12"/>
  <c r="F103" i="12"/>
  <c r="O103" i="12"/>
  <c r="T90" i="12"/>
  <c r="T94" i="12"/>
  <c r="T98" i="12"/>
  <c r="T102" i="12"/>
  <c r="D33" i="9"/>
  <c r="X45" i="9"/>
  <c r="AD21" i="9"/>
  <c r="AF21" i="9" s="1"/>
  <c r="AD23" i="9"/>
  <c r="AF23" i="9" s="1"/>
  <c r="AD32" i="9"/>
  <c r="AF32" i="9" s="1"/>
  <c r="AD33" i="9"/>
  <c r="AF33" i="9" s="1"/>
  <c r="E41" i="9"/>
  <c r="AD40" i="9"/>
  <c r="AF40" i="9" s="1"/>
  <c r="L59" i="7"/>
  <c r="O59" i="7"/>
  <c r="P59" i="7"/>
  <c r="P74" i="8"/>
  <c r="AN74" i="8"/>
  <c r="M91" i="2"/>
  <c r="AF123" i="8"/>
  <c r="V91" i="2"/>
  <c r="M53" i="8"/>
  <c r="O49" i="2"/>
  <c r="AI49" i="2"/>
  <c r="O72" i="2"/>
  <c r="AD99" i="2"/>
  <c r="V53" i="8"/>
  <c r="X49" i="2"/>
  <c r="D25" i="12"/>
  <c r="AE53" i="8"/>
  <c r="AB74" i="8"/>
  <c r="Z72" i="2"/>
  <c r="F35" i="8"/>
  <c r="G25" i="12"/>
  <c r="F61" i="12"/>
  <c r="AF66" i="12"/>
  <c r="L87" i="12"/>
  <c r="T87" i="12"/>
  <c r="AD17" i="9"/>
  <c r="R66" i="12"/>
  <c r="Z45" i="12"/>
  <c r="AH45" i="12"/>
  <c r="AE69" i="8" l="1"/>
  <c r="V69" i="8"/>
  <c r="M69" i="8"/>
  <c r="T14" i="11"/>
  <c r="T3" i="11"/>
  <c r="T2" i="11"/>
  <c r="T9" i="11"/>
  <c r="T4" i="11"/>
  <c r="T10" i="11"/>
  <c r="T6" i="11"/>
  <c r="T17" i="11"/>
  <c r="L103" i="12"/>
  <c r="O65" i="2"/>
  <c r="X65" i="2"/>
  <c r="V107" i="2"/>
  <c r="T13" i="11"/>
  <c r="Z61" i="12"/>
  <c r="O88" i="2"/>
  <c r="AI65" i="2"/>
  <c r="T103" i="12"/>
  <c r="AI99" i="2"/>
  <c r="AH61" i="12"/>
  <c r="AF82" i="12"/>
  <c r="M107" i="2"/>
  <c r="L61" i="12"/>
  <c r="P90" i="8"/>
  <c r="R82" i="12"/>
  <c r="Z88" i="2"/>
  <c r="T11" i="11"/>
  <c r="T5" i="11"/>
  <c r="AB90" i="8"/>
  <c r="AK123" i="8"/>
  <c r="T21" i="11"/>
  <c r="T7" i="11"/>
  <c r="T8" i="11"/>
  <c r="T18" i="11"/>
  <c r="T20" i="11"/>
  <c r="T19" i="11"/>
  <c r="T12" i="11"/>
  <c r="T15" i="11"/>
  <c r="T16" i="11"/>
  <c r="AN90" i="8"/>
  <c r="AD45" i="9"/>
  <c r="AF17" i="9"/>
  <c r="AF45" i="9" s="1"/>
</calcChain>
</file>

<file path=xl/sharedStrings.xml><?xml version="1.0" encoding="utf-8"?>
<sst xmlns="http://schemas.openxmlformats.org/spreadsheetml/2006/main" count="1117" uniqueCount="287">
  <si>
    <t>benchmark_id</t>
  </si>
  <si>
    <t>cantidad</t>
  </si>
  <si>
    <t>codigo_emi</t>
  </si>
  <si>
    <t>codigo_fdo</t>
  </si>
  <si>
    <t>codigo_ins</t>
  </si>
  <si>
    <t>ctd</t>
  </si>
  <si>
    <t>ctr</t>
  </si>
  <si>
    <t>duration_x</t>
  </si>
  <si>
    <t>duration_y</t>
  </si>
  <si>
    <t>fec_vtco</t>
  </si>
  <si>
    <t>fecha_x</t>
  </si>
  <si>
    <t>fecha_y</t>
  </si>
  <si>
    <t>index_x</t>
  </si>
  <si>
    <t>index_y</t>
  </si>
  <si>
    <t>mcr_x</t>
  </si>
  <si>
    <t>mcr_y</t>
  </si>
  <si>
    <t>moneda_x</t>
  </si>
  <si>
    <t>moneda_y</t>
  </si>
  <si>
    <t>monto</t>
  </si>
  <si>
    <t>nombre_instrumento</t>
  </si>
  <si>
    <t>nominal</t>
  </si>
  <si>
    <t>pcr</t>
  </si>
  <si>
    <t>precio</t>
  </si>
  <si>
    <t>riesgo_x</t>
  </si>
  <si>
    <t>riesgo_y</t>
  </si>
  <si>
    <t>tasa_x</t>
  </si>
  <si>
    <t>tasa_y</t>
  </si>
  <si>
    <t>weight_active</t>
  </si>
  <si>
    <t>weight_x</t>
  </si>
  <si>
    <t>DEUDA CORP</t>
  </si>
  <si>
    <t>US$</t>
  </si>
  <si>
    <t>CL</t>
  </si>
  <si>
    <t>UF</t>
  </si>
  <si>
    <t>AA</t>
  </si>
  <si>
    <t>AA-</t>
  </si>
  <si>
    <t>Consumo</t>
  </si>
  <si>
    <t>AA+</t>
  </si>
  <si>
    <t>Otros</t>
  </si>
  <si>
    <t>Diversificados</t>
  </si>
  <si>
    <t>$</t>
  </si>
  <si>
    <t>Salud</t>
  </si>
  <si>
    <t>Financieras</t>
  </si>
  <si>
    <t>AAA</t>
  </si>
  <si>
    <t>Comunicaciones</t>
  </si>
  <si>
    <t>Industriales</t>
  </si>
  <si>
    <t>Caja</t>
  </si>
  <si>
    <t>Caja Activos $</t>
  </si>
  <si>
    <t>N/A</t>
  </si>
  <si>
    <t>Caja Pasivos $</t>
  </si>
  <si>
    <t>EU</t>
  </si>
  <si>
    <t>Caja Pasivos EU</t>
  </si>
  <si>
    <t>Caja Activos US$</t>
  </si>
  <si>
    <t>N-1+</t>
  </si>
  <si>
    <t>SPREADCORP</t>
  </si>
  <si>
    <t>BBB</t>
  </si>
  <si>
    <t>A</t>
  </si>
  <si>
    <t>Retail</t>
  </si>
  <si>
    <t>Transporte</t>
  </si>
  <si>
    <t>Telecomunicaciones</t>
  </si>
  <si>
    <t>DEUDA 360</t>
  </si>
  <si>
    <t>LIQUIDEZ</t>
  </si>
  <si>
    <t>RENTA</t>
  </si>
  <si>
    <t>MACRO 1.5</t>
  </si>
  <si>
    <t>MACRO CLP3</t>
  </si>
  <si>
    <t>Depósitos UF</t>
  </si>
  <si>
    <t>Facturas</t>
  </si>
  <si>
    <t>Total</t>
  </si>
  <si>
    <t>Gobierno UF</t>
  </si>
  <si>
    <t>tipo_instrumento_x</t>
  </si>
  <si>
    <t>tipo_instrumento_y</t>
  </si>
  <si>
    <t>weight</t>
  </si>
  <si>
    <t>mcr</t>
  </si>
  <si>
    <t>duration</t>
  </si>
  <si>
    <t>Spread UF</t>
  </si>
  <si>
    <t>Información de Uso Interno - No distribuir</t>
  </si>
  <si>
    <t>exposure</t>
  </si>
  <si>
    <t>dep $</t>
  </si>
  <si>
    <t>dep UF</t>
  </si>
  <si>
    <t>gob $</t>
  </si>
  <si>
    <t>gob UF</t>
  </si>
  <si>
    <t>spread $</t>
  </si>
  <si>
    <t>spread UF</t>
  </si>
  <si>
    <t>spread US$</t>
  </si>
  <si>
    <t>otros</t>
  </si>
  <si>
    <t>total</t>
  </si>
  <si>
    <t>ranking</t>
  </si>
  <si>
    <t>instrument</t>
  </si>
  <si>
    <t>IMT E-PLUS</t>
  </si>
  <si>
    <t>Alimentos</t>
  </si>
  <si>
    <t>Utilities</t>
  </si>
  <si>
    <t>dep US$</t>
  </si>
  <si>
    <t>Gobierno EU</t>
  </si>
  <si>
    <t>FX Forwards EU</t>
  </si>
  <si>
    <t>FX EU</t>
  </si>
  <si>
    <t>gob EU</t>
  </si>
  <si>
    <t>Depósitos $</t>
  </si>
  <si>
    <t>Gobierno $</t>
  </si>
  <si>
    <t>Spread US$</t>
  </si>
  <si>
    <t>Spread $</t>
  </si>
  <si>
    <t>FX Forwards $</t>
  </si>
  <si>
    <t>FX Forwards US$</t>
  </si>
  <si>
    <t>FX $</t>
  </si>
  <si>
    <t>FX US$</t>
  </si>
  <si>
    <t>ESTRATEGIA</t>
  </si>
  <si>
    <t>SMALLCAP</t>
  </si>
  <si>
    <t>weight_y</t>
  </si>
  <si>
    <t>sector_x</t>
  </si>
  <si>
    <t>sector_y</t>
  </si>
  <si>
    <t>Forwards</t>
  </si>
  <si>
    <t>index</t>
  </si>
  <si>
    <t>currency</t>
  </si>
  <si>
    <t xml:space="preserve"> weight decomposition by rating</t>
  </si>
  <si>
    <t>Summary view</t>
  </si>
  <si>
    <t>facturas</t>
  </si>
  <si>
    <t>letras</t>
  </si>
  <si>
    <t>Sector view</t>
  </si>
  <si>
    <t>M_MARKET</t>
  </si>
  <si>
    <t>Depósitos US$</t>
  </si>
  <si>
    <t>Gobierno US$</t>
  </si>
  <si>
    <t>FX Forwards UF</t>
  </si>
  <si>
    <t>gob US$</t>
  </si>
  <si>
    <t>Top 15 holdings by weight</t>
  </si>
  <si>
    <t>Gob $</t>
  </si>
  <si>
    <t>0-3</t>
  </si>
  <si>
    <t>3-5</t>
  </si>
  <si>
    <t>5-10</t>
  </si>
  <si>
    <t>10+</t>
  </si>
  <si>
    <t>Gob UF</t>
  </si>
  <si>
    <t>Gob Otros</t>
  </si>
  <si>
    <t>AAA ó AA</t>
  </si>
  <si>
    <t>A ó menos</t>
  </si>
  <si>
    <t>Spread Otros</t>
  </si>
  <si>
    <t>IIF</t>
  </si>
  <si>
    <t>0-90</t>
  </si>
  <si>
    <t>90-180</t>
  </si>
  <si>
    <t>180+</t>
  </si>
  <si>
    <t>Risk budget</t>
  </si>
  <si>
    <t xml:space="preserve"> </t>
  </si>
  <si>
    <t>Fecha</t>
  </si>
  <si>
    <t>Fondo</t>
  </si>
  <si>
    <t>Duration</t>
  </si>
  <si>
    <t>Total TE</t>
  </si>
  <si>
    <t>A+</t>
  </si>
  <si>
    <t>CO</t>
  </si>
  <si>
    <t>BB</t>
  </si>
  <si>
    <t>MX</t>
  </si>
  <si>
    <t>BBB-</t>
  </si>
  <si>
    <t>PE</t>
  </si>
  <si>
    <t>BBB+</t>
  </si>
  <si>
    <t>BB+</t>
  </si>
  <si>
    <t>A-</t>
  </si>
  <si>
    <t>LATAM IG</t>
  </si>
  <si>
    <t>riesgo_internacional_x</t>
  </si>
  <si>
    <t>riesgo_internacional_y</t>
  </si>
  <si>
    <t>BB-</t>
  </si>
  <si>
    <t>pais_emisor_x</t>
  </si>
  <si>
    <t>pais_emisor_y</t>
  </si>
  <si>
    <t>BR</t>
  </si>
  <si>
    <t>PA</t>
  </si>
  <si>
    <t>CAJA $ 1</t>
  </si>
  <si>
    <t>CAJA $ 2</t>
  </si>
  <si>
    <t>CAJA US$ 1</t>
  </si>
  <si>
    <t>CAJA EU 2</t>
  </si>
  <si>
    <t>B</t>
  </si>
  <si>
    <t>nombre_emisor_x</t>
  </si>
  <si>
    <t>Entretenimiento</t>
  </si>
  <si>
    <t>Gobierno MX</t>
  </si>
  <si>
    <t>gob MX</t>
  </si>
  <si>
    <t>cty</t>
  </si>
  <si>
    <t>yield</t>
  </si>
  <si>
    <t>gobMX</t>
  </si>
  <si>
    <t>Gobierno REA</t>
  </si>
  <si>
    <t>REA</t>
  </si>
  <si>
    <t>gob REA</t>
  </si>
  <si>
    <t>FX</t>
  </si>
  <si>
    <t>Energia</t>
  </si>
  <si>
    <t>Construccion</t>
  </si>
  <si>
    <t>Materiales Basicos</t>
  </si>
  <si>
    <t>Servicios Basicos</t>
  </si>
  <si>
    <t>Tecnologia</t>
  </si>
  <si>
    <t>Mineria</t>
  </si>
  <si>
    <t>Banco BBVA</t>
  </si>
  <si>
    <t>Gobierno</t>
  </si>
  <si>
    <t>Codigo_Fdo</t>
  </si>
  <si>
    <t>Metric</t>
  </si>
  <si>
    <t>Slice</t>
  </si>
  <si>
    <t>chile</t>
  </si>
  <si>
    <t>mexico</t>
  </si>
  <si>
    <t>colombia</t>
  </si>
  <si>
    <t>peru</t>
  </si>
  <si>
    <t>brazil</t>
  </si>
  <si>
    <t>other</t>
  </si>
  <si>
    <t>Chile</t>
  </si>
  <si>
    <t>Mexico</t>
  </si>
  <si>
    <t>Colombia</t>
  </si>
  <si>
    <t>Peru</t>
  </si>
  <si>
    <t>Brazil</t>
  </si>
  <si>
    <t>Panama</t>
  </si>
  <si>
    <t>Cash</t>
  </si>
  <si>
    <t>Other</t>
  </si>
  <si>
    <t>Banco Santander</t>
  </si>
  <si>
    <t>Forward  Banco Santander long leg</t>
  </si>
  <si>
    <t>FX Forward</t>
  </si>
  <si>
    <t>BBVA</t>
  </si>
  <si>
    <t>SANTANDER</t>
  </si>
  <si>
    <t>Forward  Banco Santander short leg</t>
  </si>
  <si>
    <t>BCI</t>
  </si>
  <si>
    <t>PAGARE NR</t>
  </si>
  <si>
    <t>Deposito Banco BCI</t>
  </si>
  <si>
    <t>Deposito</t>
  </si>
  <si>
    <t>Banco Falabella</t>
  </si>
  <si>
    <t>Deposito Banco Santander</t>
  </si>
  <si>
    <t>N-1</t>
  </si>
  <si>
    <t>INTERNACIO</t>
  </si>
  <si>
    <t>Banco Internacional</t>
  </si>
  <si>
    <t>Deposito Banco Internacio</t>
  </si>
  <si>
    <t>RIPLEY</t>
  </si>
  <si>
    <t>Banco Ripley</t>
  </si>
  <si>
    <t>Deposito Banco Ripley</t>
  </si>
  <si>
    <t>PAGARE R</t>
  </si>
  <si>
    <t>Index_Id</t>
  </si>
  <si>
    <t>SOL</t>
  </si>
  <si>
    <t>Gobierno SOL</t>
  </si>
  <si>
    <t>gob SOL</t>
  </si>
  <si>
    <t>Deposito Banco BBVA</t>
  </si>
  <si>
    <t>FALABELLA</t>
  </si>
  <si>
    <t>Deposito Banco Falabella</t>
  </si>
  <si>
    <t>Leverage</t>
  </si>
  <si>
    <t>Banco Consorcio</t>
  </si>
  <si>
    <t>BICE</t>
  </si>
  <si>
    <t>CAJA US$ 2</t>
  </si>
  <si>
    <t>Caja Pasivos US$</t>
  </si>
  <si>
    <t>CONSORCIO</t>
  </si>
  <si>
    <t>Deposito Banco Consorcio</t>
  </si>
  <si>
    <t>Deposito Banco Bice</t>
  </si>
  <si>
    <t>Forward  Banco BBVA long leg</t>
  </si>
  <si>
    <t>FWDCLUS51518</t>
  </si>
  <si>
    <t>FWDCLUS51718</t>
  </si>
  <si>
    <t>FWDUSCL51618</t>
  </si>
  <si>
    <t>Forward  Banco BBVA short leg</t>
  </si>
  <si>
    <t>FWDUSCL51718</t>
  </si>
  <si>
    <t>CAJA MACRO 1.5</t>
  </si>
  <si>
    <t>CAJA EU 1</t>
  </si>
  <si>
    <t>Caja Activos EU</t>
  </si>
  <si>
    <t>BTP</t>
  </si>
  <si>
    <t>BTP0450321</t>
  </si>
  <si>
    <t>Tesorería General de la República</t>
  </si>
  <si>
    <t>Bono Tesorería en CLP</t>
  </si>
  <si>
    <t>Bono de Gobierno</t>
  </si>
  <si>
    <t>BCP</t>
  </si>
  <si>
    <t>BCP0600322</t>
  </si>
  <si>
    <t>Banco Central de Chile</t>
  </si>
  <si>
    <t>Bono Bullet Bco Central En Pesos</t>
  </si>
  <si>
    <t>BTP0500335</t>
  </si>
  <si>
    <t>BTU</t>
  </si>
  <si>
    <t>BTU0300120</t>
  </si>
  <si>
    <t>Bono Tesorería en UF</t>
  </si>
  <si>
    <t>BTU0150321</t>
  </si>
  <si>
    <t>BTU0150326</t>
  </si>
  <si>
    <t>BTU0200335</t>
  </si>
  <si>
    <t>JP MORGAN</t>
  </si>
  <si>
    <t>JP Morgan</t>
  </si>
  <si>
    <t>Forward  JP Morgan short leg</t>
  </si>
  <si>
    <t>Forward  JP Morgan long leg</t>
  </si>
  <si>
    <t>Investment Report</t>
  </si>
  <si>
    <t>Δ</t>
  </si>
  <si>
    <t>Currency view</t>
  </si>
  <si>
    <t>Top 10 position instruments</t>
  </si>
  <si>
    <t>Top 10 risk instruments</t>
  </si>
  <si>
    <t>Weight by rating</t>
  </si>
  <si>
    <t>PCR by rating</t>
  </si>
  <si>
    <t>DV10 by rating</t>
  </si>
  <si>
    <t>Weight by type</t>
  </si>
  <si>
    <t>PCR by type</t>
  </si>
  <si>
    <t>IIF Weight</t>
  </si>
  <si>
    <t>Active Weight by type</t>
  </si>
  <si>
    <t>DV10 by type</t>
  </si>
  <si>
    <t>Weight by country</t>
  </si>
  <si>
    <t>DV10 by country</t>
  </si>
  <si>
    <t>Active weight by rating</t>
  </si>
  <si>
    <t>Active weight by country</t>
  </si>
  <si>
    <t>PCR by country</t>
  </si>
  <si>
    <t>}</t>
  </si>
  <si>
    <t>Top 15 holdings by PCR</t>
  </si>
  <si>
    <t>FWDCLUS121217</t>
  </si>
  <si>
    <t>FWDCLUS111717</t>
  </si>
  <si>
    <t>FWDUSCL111717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</si>
</sst>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* #,##0.00_-;\-&quot;$&quot;* #,##0.00_-;_-&quot;$&quot;* &quot;-&quot;??_-;_-@_-"/>
    <numFmt numFmtId="165" formatCode="#,##0.00%;[Red]\(#,##0.00%\)"/>
    <numFmt numFmtId="166" formatCode="&quot;$&quot;##,##0.000,\ &quot; MM&quot;;[Red]\(&quot;$&quot;##,##0.000,\ &quot; MM&quot;\)"/>
    <numFmt numFmtId="167" formatCode="#,##0.0%;\(#,##0.0%\)"/>
    <numFmt numFmtId="168" formatCode="0.000000000000000000%"/>
    <numFmt numFmtId="169" formatCode="#,##0.0%;[Red]\(#,##0.0%\)"/>
    <numFmt numFmtId="170" formatCode="0.00000000"/>
    <numFmt numFmtId="171" formatCode="0.000%"/>
    <numFmt numFmtId="172" formatCode="0.000000%"/>
  </numFmts>
  <fonts count="5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u/>
      <sz val="24"/>
      <color theme="1"/>
      <name val="Arial"/>
      <family val="2"/>
      <scheme val="minor"/>
    </font>
    <font>
      <b/>
      <sz val="24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theme="1"/>
      <name val="Calibri"/>
      <family val="2"/>
    </font>
    <font>
      <b/>
      <sz val="22"/>
      <color theme="3"/>
      <name val="Calibri"/>
      <family val="2"/>
    </font>
    <font>
      <sz val="28"/>
      <color theme="1"/>
      <name val="Calibri"/>
      <family val="2"/>
    </font>
    <font>
      <b/>
      <sz val="48"/>
      <color theme="3"/>
      <name val="Calibri"/>
      <family val="2"/>
    </font>
    <font>
      <b/>
      <sz val="28"/>
      <color theme="1"/>
      <name val="Calibri"/>
      <family val="2"/>
    </font>
    <font>
      <b/>
      <sz val="20"/>
      <color theme="1"/>
      <name val="Calibri"/>
      <family val="2"/>
    </font>
    <font>
      <b/>
      <sz val="24"/>
      <color theme="1"/>
      <name val="Calibri"/>
      <family val="2"/>
    </font>
    <font>
      <b/>
      <sz val="24"/>
      <color theme="4"/>
      <name val="Calibri"/>
      <family val="2"/>
    </font>
    <font>
      <b/>
      <sz val="48"/>
      <color theme="4"/>
      <name val="Calibri"/>
      <family val="2"/>
    </font>
    <font>
      <sz val="26"/>
      <color theme="1"/>
      <name val="Calibri"/>
      <family val="2"/>
    </font>
    <font>
      <sz val="11"/>
      <color theme="1"/>
      <name val="Arial Narrow"/>
      <family val="2"/>
    </font>
    <font>
      <b/>
      <sz val="36"/>
      <color theme="3"/>
      <name val="Arial Narrow"/>
      <family val="2"/>
    </font>
    <font>
      <sz val="20"/>
      <color theme="1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b/>
      <sz val="22"/>
      <color theme="3"/>
      <name val="Arial Narrow"/>
      <family val="2"/>
    </font>
    <font>
      <b/>
      <sz val="11"/>
      <color theme="4"/>
      <name val="Arial Narrow"/>
      <family val="2"/>
    </font>
    <font>
      <sz val="36"/>
      <color theme="1"/>
      <name val="Arial Narrow"/>
      <family val="2"/>
    </font>
    <font>
      <b/>
      <sz val="48"/>
      <color theme="1"/>
      <name val="Arial Narrow"/>
      <family val="2"/>
    </font>
    <font>
      <b/>
      <sz val="48"/>
      <color theme="4"/>
      <name val="Arial Narrow"/>
      <family val="2"/>
    </font>
    <font>
      <b/>
      <u/>
      <sz val="36"/>
      <color theme="1"/>
      <name val="Arial Narrow"/>
      <family val="2"/>
    </font>
    <font>
      <b/>
      <sz val="28"/>
      <color theme="1"/>
      <name val="Arial Narrow"/>
      <family val="2"/>
    </font>
    <font>
      <b/>
      <sz val="24"/>
      <color theme="1"/>
      <name val="Arial Narrow"/>
      <family val="2"/>
    </font>
    <font>
      <b/>
      <sz val="20"/>
      <color theme="1"/>
      <name val="Arial Narrow"/>
      <family val="2"/>
    </font>
    <font>
      <sz val="26"/>
      <color theme="1"/>
      <name val="Arial Narrow"/>
      <family val="2"/>
    </font>
    <font>
      <b/>
      <u/>
      <sz val="22"/>
      <color theme="1"/>
      <name val="Arial Narrow"/>
      <family val="2"/>
    </font>
    <font>
      <sz val="22"/>
      <color theme="1"/>
      <name val="Arial Narrow"/>
      <family val="2"/>
    </font>
    <font>
      <b/>
      <sz val="36"/>
      <color theme="1"/>
      <name val="Arial Narrow"/>
      <family val="2"/>
    </font>
    <font>
      <b/>
      <sz val="18"/>
      <color theme="1"/>
      <name val="Arial Narrow"/>
      <family val="2"/>
    </font>
    <font>
      <sz val="10"/>
      <color theme="1"/>
      <name val="Arial Narrow"/>
      <family val="2"/>
    </font>
    <font>
      <b/>
      <sz val="24"/>
      <color theme="3"/>
      <name val="Arial Narrow"/>
      <family val="2"/>
    </font>
    <font>
      <b/>
      <sz val="11"/>
      <color theme="3"/>
      <name val="Arial Narrow"/>
      <family val="2"/>
    </font>
    <font>
      <b/>
      <sz val="24"/>
      <color theme="4"/>
      <name val="Arial Narrow"/>
      <family val="2"/>
    </font>
    <font>
      <b/>
      <sz val="72"/>
      <color theme="3"/>
      <name val="Arial Narrow"/>
      <family val="2"/>
    </font>
    <font>
      <sz val="28"/>
      <color theme="1"/>
      <name val="Arial Narrow"/>
      <family val="2"/>
    </font>
    <font>
      <sz val="24"/>
      <color theme="1"/>
      <name val="Arial Narrow"/>
      <family val="2"/>
    </font>
    <font>
      <b/>
      <sz val="90"/>
      <color theme="3"/>
      <name val="Arial Narrow"/>
      <family val="2"/>
    </font>
    <font>
      <sz val="64"/>
      <color theme="1"/>
      <name val="Arial Narrow"/>
      <family val="2"/>
    </font>
    <font>
      <sz val="12"/>
      <color theme="1"/>
      <name val="Arial Narrow"/>
      <family val="2"/>
    </font>
    <font>
      <b/>
      <sz val="72"/>
      <color theme="4"/>
      <name val="Arial Narrow"/>
      <family val="2"/>
    </font>
    <font>
      <b/>
      <u/>
      <sz val="48"/>
      <color theme="1"/>
      <name val="Arial Narrow"/>
      <family val="2"/>
    </font>
    <font>
      <b/>
      <sz val="72"/>
      <color theme="1"/>
      <name val="Arial Narrow"/>
      <family val="2"/>
    </font>
    <font>
      <sz val="4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9997558519241921"/>
      </left>
      <right style="thin">
        <color indexed="64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indexed="64"/>
      </right>
      <top style="thin">
        <color theme="1" tint="0.39997558519241921"/>
      </top>
      <bottom style="thin">
        <color indexed="64"/>
      </bottom>
      <diagonal/>
    </border>
    <border>
      <left style="thin">
        <color theme="1" tint="0.39997558519241921"/>
      </left>
      <right style="thin">
        <color indexed="64"/>
      </right>
      <top style="thin">
        <color indexed="64"/>
      </top>
      <bottom style="thin">
        <color theme="1" tint="0.39997558519241921"/>
      </bottom>
      <diagonal/>
    </border>
    <border>
      <left style="thin">
        <color theme="1" tint="0.39997558519241921"/>
      </left>
      <right style="thin">
        <color indexed="64"/>
      </right>
      <top/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indexed="64"/>
      </top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theme="1" tint="0.39997558519241921"/>
      </top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theme="1" tint="0.39997558519241921"/>
      </top>
      <bottom style="thin">
        <color indexed="64"/>
      </bottom>
      <diagonal/>
    </border>
    <border>
      <left style="thin">
        <color theme="1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39997558519241921"/>
      </right>
      <top/>
      <bottom style="thin">
        <color theme="1" tint="0.39997558519241921"/>
      </bottom>
      <diagonal/>
    </border>
    <border>
      <left style="thin">
        <color indexed="64"/>
      </left>
      <right style="thin">
        <color theme="1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3999755851924192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24" applyNumberFormat="0" applyFill="0" applyAlignment="0" applyProtection="0"/>
  </cellStyleXfs>
  <cellXfs count="195">
    <xf numFmtId="0" fontId="0" fillId="0" borderId="0" xfId="0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10" fontId="0" fillId="0" borderId="0" xfId="2" applyNumberFormat="1" applyFont="1"/>
    <xf numFmtId="0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49" fontId="6" fillId="0" borderId="0" xfId="0" applyNumberFormat="1" applyFont="1"/>
    <xf numFmtId="0" fontId="11" fillId="0" borderId="25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7" fillId="0" borderId="25" xfId="6" applyFont="1" applyBorder="1" applyAlignment="1">
      <alignment vertical="center"/>
    </xf>
    <xf numFmtId="0" fontId="13" fillId="0" borderId="0" xfId="0" applyFont="1"/>
    <xf numFmtId="0" fontId="14" fillId="0" borderId="25" xfId="0" applyFont="1" applyBorder="1"/>
    <xf numFmtId="165" fontId="15" fillId="0" borderId="0" xfId="2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165" fontId="15" fillId="0" borderId="26" xfId="2" applyNumberFormat="1" applyFont="1" applyBorder="1" applyAlignment="1">
      <alignment horizontal="center" vertical="center"/>
    </xf>
    <xf numFmtId="166" fontId="15" fillId="0" borderId="0" xfId="2" applyNumberFormat="1" applyFont="1" applyAlignment="1">
      <alignment horizontal="center" vertical="center"/>
    </xf>
    <xf numFmtId="166" fontId="15" fillId="0" borderId="26" xfId="2" applyNumberFormat="1" applyFont="1" applyBorder="1" applyAlignment="1">
      <alignment horizontal="center" vertical="center"/>
    </xf>
    <xf numFmtId="0" fontId="16" fillId="0" borderId="0" xfId="0" applyFont="1"/>
    <xf numFmtId="0" fontId="21" fillId="5" borderId="2" xfId="5" applyFont="1" applyBorder="1" applyAlignment="1">
      <alignment horizontal="center" vertical="center"/>
    </xf>
    <xf numFmtId="165" fontId="21" fillId="0" borderId="8" xfId="2" applyNumberFormat="1" applyFont="1" applyBorder="1" applyAlignment="1">
      <alignment horizontal="center" vertical="center"/>
    </xf>
    <xf numFmtId="165" fontId="21" fillId="0" borderId="6" xfId="2" applyNumberFormat="1" applyFont="1" applyBorder="1" applyAlignment="1">
      <alignment horizontal="center" vertical="center"/>
    </xf>
    <xf numFmtId="170" fontId="16" fillId="0" borderId="0" xfId="0" applyNumberFormat="1" applyFont="1"/>
    <xf numFmtId="165" fontId="21" fillId="0" borderId="9" xfId="2" applyNumberFormat="1" applyFont="1" applyBorder="1" applyAlignment="1">
      <alignment horizontal="center" vertical="center"/>
    </xf>
    <xf numFmtId="165" fontId="21" fillId="0" borderId="4" xfId="2" applyNumberFormat="1" applyFont="1" applyBorder="1" applyAlignment="1">
      <alignment horizontal="center" vertical="center"/>
    </xf>
    <xf numFmtId="165" fontId="21" fillId="0" borderId="10" xfId="2" applyNumberFormat="1" applyFont="1" applyBorder="1" applyAlignment="1">
      <alignment horizontal="center" vertical="center"/>
    </xf>
    <xf numFmtId="165" fontId="21" fillId="0" borderId="5" xfId="2" applyNumberFormat="1" applyFont="1" applyBorder="1" applyAlignment="1">
      <alignment horizontal="center" vertical="center"/>
    </xf>
    <xf numFmtId="49" fontId="21" fillId="5" borderId="2" xfId="5" applyNumberFormat="1" applyFont="1" applyBorder="1" applyAlignment="1">
      <alignment horizontal="center" vertical="center"/>
    </xf>
    <xf numFmtId="49" fontId="21" fillId="5" borderId="3" xfId="5" applyNumberFormat="1" applyFont="1" applyBorder="1" applyAlignment="1">
      <alignment horizontal="center" vertical="center"/>
    </xf>
    <xf numFmtId="165" fontId="21" fillId="0" borderId="14" xfId="2" applyNumberFormat="1" applyFont="1" applyBorder="1" applyAlignment="1">
      <alignment horizontal="center" vertical="center"/>
    </xf>
    <xf numFmtId="165" fontId="21" fillId="0" borderId="7" xfId="2" applyNumberFormat="1" applyFont="1" applyBorder="1" applyAlignment="1">
      <alignment horizontal="center" vertical="center"/>
    </xf>
    <xf numFmtId="172" fontId="16" fillId="0" borderId="0" xfId="2" applyNumberFormat="1" applyFont="1"/>
    <xf numFmtId="165" fontId="21" fillId="0" borderId="15" xfId="2" applyNumberFormat="1" applyFont="1" applyBorder="1" applyAlignment="1">
      <alignment horizontal="center" vertical="center"/>
    </xf>
    <xf numFmtId="165" fontId="21" fillId="0" borderId="11" xfId="2" applyNumberFormat="1" applyFont="1" applyBorder="1" applyAlignment="1">
      <alignment horizontal="center" vertical="center"/>
    </xf>
    <xf numFmtId="169" fontId="22" fillId="0" borderId="16" xfId="2" applyNumberFormat="1" applyFont="1" applyBorder="1" applyAlignment="1">
      <alignment horizontal="center" vertical="center"/>
    </xf>
    <xf numFmtId="169" fontId="22" fillId="0" borderId="12" xfId="2" applyNumberFormat="1" applyFont="1" applyBorder="1" applyAlignment="1">
      <alignment horizontal="center" vertical="center"/>
    </xf>
    <xf numFmtId="165" fontId="21" fillId="0" borderId="12" xfId="2" applyNumberFormat="1" applyFont="1" applyBorder="1" applyAlignment="1">
      <alignment horizontal="center" vertical="center"/>
    </xf>
    <xf numFmtId="165" fontId="21" fillId="0" borderId="16" xfId="2" applyNumberFormat="1" applyFont="1" applyBorder="1" applyAlignment="1">
      <alignment horizontal="center" vertical="center"/>
    </xf>
    <xf numFmtId="49" fontId="16" fillId="0" borderId="0" xfId="0" applyNumberFormat="1" applyFont="1"/>
    <xf numFmtId="171" fontId="16" fillId="0" borderId="0" xfId="2" applyNumberFormat="1" applyFont="1"/>
    <xf numFmtId="0" fontId="24" fillId="0" borderId="0" xfId="0" applyFont="1"/>
    <xf numFmtId="164" fontId="16" fillId="0" borderId="0" xfId="1" applyFont="1"/>
    <xf numFmtId="0" fontId="2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27" fillId="0" borderId="25" xfId="0" applyFont="1" applyBorder="1"/>
    <xf numFmtId="0" fontId="16" fillId="0" borderId="25" xfId="0" applyFont="1" applyBorder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0" fillId="0" borderId="28" xfId="0" applyFont="1" applyBorder="1"/>
    <xf numFmtId="0" fontId="30" fillId="0" borderId="25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168" fontId="16" fillId="0" borderId="0" xfId="0" applyNumberFormat="1" applyFont="1"/>
    <xf numFmtId="0" fontId="30" fillId="0" borderId="27" xfId="0" applyFont="1" applyBorder="1" applyAlignment="1">
      <alignment vertical="center"/>
    </xf>
    <xf numFmtId="165" fontId="32" fillId="0" borderId="0" xfId="2" applyNumberFormat="1" applyFont="1" applyAlignment="1">
      <alignment horizontal="center" vertical="center"/>
    </xf>
    <xf numFmtId="166" fontId="32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0" fontId="30" fillId="0" borderId="27" xfId="0" applyFont="1" applyBorder="1" applyAlignment="1">
      <alignment horizontal="center" vertical="center"/>
    </xf>
    <xf numFmtId="0" fontId="18" fillId="0" borderId="0" xfId="0" applyFont="1"/>
    <xf numFmtId="0" fontId="33" fillId="0" borderId="0" xfId="0" applyFont="1" applyAlignment="1">
      <alignment vertical="center"/>
    </xf>
    <xf numFmtId="165" fontId="34" fillId="0" borderId="0" xfId="2" applyNumberFormat="1" applyFont="1" applyAlignment="1">
      <alignment horizontal="center" vertical="center"/>
    </xf>
    <xf numFmtId="0" fontId="30" fillId="0" borderId="29" xfId="0" applyFont="1" applyBorder="1" applyAlignment="1">
      <alignment vertical="center"/>
    </xf>
    <xf numFmtId="165" fontId="32" fillId="0" borderId="26" xfId="2" applyNumberFormat="1" applyFont="1" applyBorder="1" applyAlignment="1">
      <alignment horizontal="center" vertical="center"/>
    </xf>
    <xf numFmtId="166" fontId="32" fillId="0" borderId="26" xfId="0" applyNumberFormat="1" applyFont="1" applyBorder="1" applyAlignment="1">
      <alignment horizontal="center" vertical="center"/>
    </xf>
    <xf numFmtId="2" fontId="32" fillId="0" borderId="26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16" fillId="0" borderId="0" xfId="0" applyFont="1" applyBorder="1"/>
    <xf numFmtId="0" fontId="36" fillId="0" borderId="0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167" fontId="32" fillId="0" borderId="30" xfId="2" applyNumberFormat="1" applyFont="1" applyBorder="1" applyAlignment="1">
      <alignment horizontal="center" vertical="center"/>
    </xf>
    <xf numFmtId="167" fontId="32" fillId="0" borderId="26" xfId="2" applyNumberFormat="1" applyFont="1" applyBorder="1" applyAlignment="1">
      <alignment horizontal="center" vertical="center"/>
    </xf>
    <xf numFmtId="167" fontId="32" fillId="0" borderId="33" xfId="2" applyNumberFormat="1" applyFont="1" applyBorder="1" applyAlignment="1">
      <alignment horizontal="center" vertical="center"/>
    </xf>
    <xf numFmtId="2" fontId="32" fillId="0" borderId="30" xfId="2" applyNumberFormat="1" applyFont="1" applyBorder="1" applyAlignment="1">
      <alignment horizontal="center" vertical="center"/>
    </xf>
    <xf numFmtId="2" fontId="32" fillId="0" borderId="26" xfId="2" applyNumberFormat="1" applyFont="1" applyBorder="1" applyAlignment="1">
      <alignment horizontal="center" vertical="center"/>
    </xf>
    <xf numFmtId="2" fontId="32" fillId="0" borderId="33" xfId="2" applyNumberFormat="1" applyFont="1" applyBorder="1" applyAlignment="1">
      <alignment horizontal="center" vertical="center"/>
    </xf>
    <xf numFmtId="0" fontId="37" fillId="0" borderId="0" xfId="0" applyFont="1"/>
    <xf numFmtId="0" fontId="30" fillId="0" borderId="0" xfId="0" applyFont="1" applyBorder="1" applyAlignment="1">
      <alignment horizontal="center" vertical="center"/>
    </xf>
    <xf numFmtId="167" fontId="32" fillId="0" borderId="31" xfId="2" applyNumberFormat="1" applyFont="1" applyBorder="1" applyAlignment="1">
      <alignment horizontal="center" vertical="center"/>
    </xf>
    <xf numFmtId="167" fontId="32" fillId="0" borderId="0" xfId="2" applyNumberFormat="1" applyFont="1" applyBorder="1" applyAlignment="1">
      <alignment horizontal="center" vertical="center"/>
    </xf>
    <xf numFmtId="167" fontId="32" fillId="0" borderId="34" xfId="2" applyNumberFormat="1" applyFont="1" applyBorder="1" applyAlignment="1">
      <alignment horizontal="center" vertical="center"/>
    </xf>
    <xf numFmtId="2" fontId="32" fillId="0" borderId="31" xfId="2" applyNumberFormat="1" applyFont="1" applyBorder="1" applyAlignment="1">
      <alignment horizontal="center" vertical="center"/>
    </xf>
    <xf numFmtId="2" fontId="32" fillId="0" borderId="0" xfId="2" applyNumberFormat="1" applyFont="1" applyBorder="1" applyAlignment="1">
      <alignment horizontal="center" vertical="center"/>
    </xf>
    <xf numFmtId="2" fontId="32" fillId="0" borderId="34" xfId="2" applyNumberFormat="1" applyFont="1" applyBorder="1" applyAlignment="1">
      <alignment horizontal="center" vertical="center"/>
    </xf>
    <xf numFmtId="167" fontId="32" fillId="0" borderId="32" xfId="2" applyNumberFormat="1" applyFont="1" applyBorder="1" applyAlignment="1">
      <alignment horizontal="center" vertical="center"/>
    </xf>
    <xf numFmtId="167" fontId="32" fillId="0" borderId="25" xfId="2" applyNumberFormat="1" applyFont="1" applyBorder="1" applyAlignment="1">
      <alignment horizontal="center" vertical="center"/>
    </xf>
    <xf numFmtId="167" fontId="32" fillId="0" borderId="35" xfId="2" applyNumberFormat="1" applyFont="1" applyBorder="1" applyAlignment="1">
      <alignment horizontal="center" vertical="center"/>
    </xf>
    <xf numFmtId="2" fontId="32" fillId="0" borderId="32" xfId="2" applyNumberFormat="1" applyFont="1" applyBorder="1" applyAlignment="1">
      <alignment horizontal="center" vertical="center"/>
    </xf>
    <xf numFmtId="2" fontId="32" fillId="0" borderId="25" xfId="2" applyNumberFormat="1" applyFont="1" applyBorder="1" applyAlignment="1">
      <alignment horizontal="center" vertical="center"/>
    </xf>
    <xf numFmtId="2" fontId="32" fillId="0" borderId="35" xfId="2" applyNumberFormat="1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0" fontId="30" fillId="0" borderId="33" xfId="0" applyFont="1" applyBorder="1" applyAlignment="1">
      <alignment horizontal="center" vertical="center"/>
    </xf>
    <xf numFmtId="167" fontId="32" fillId="3" borderId="26" xfId="2" applyNumberFormat="1" applyFont="1" applyFill="1" applyBorder="1" applyAlignment="1">
      <alignment horizontal="center" vertical="center"/>
    </xf>
    <xf numFmtId="167" fontId="32" fillId="3" borderId="29" xfId="2" applyNumberFormat="1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167" fontId="32" fillId="3" borderId="0" xfId="2" applyNumberFormat="1" applyFont="1" applyFill="1" applyBorder="1" applyAlignment="1">
      <alignment horizontal="center" vertical="center"/>
    </xf>
    <xf numFmtId="167" fontId="32" fillId="3" borderId="27" xfId="2" applyNumberFormat="1" applyFont="1" applyFill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167" fontId="32" fillId="3" borderId="25" xfId="2" applyNumberFormat="1" applyFont="1" applyFill="1" applyBorder="1" applyAlignment="1">
      <alignment horizontal="center" vertical="center"/>
    </xf>
    <xf numFmtId="167" fontId="32" fillId="3" borderId="28" xfId="2" applyNumberFormat="1" applyFont="1" applyFill="1" applyBorder="1" applyAlignment="1">
      <alignment horizontal="center" vertical="center"/>
    </xf>
    <xf numFmtId="0" fontId="16" fillId="0" borderId="0" xfId="0" applyFont="1" applyAlignment="1"/>
    <xf numFmtId="0" fontId="40" fillId="0" borderId="0" xfId="0" applyFont="1"/>
    <xf numFmtId="0" fontId="23" fillId="0" borderId="25" xfId="6" applyFont="1" applyBorder="1" applyAlignment="1">
      <alignment vertical="center"/>
    </xf>
    <xf numFmtId="167" fontId="32" fillId="3" borderId="30" xfId="2" applyNumberFormat="1" applyFont="1" applyFill="1" applyBorder="1" applyAlignment="1">
      <alignment horizontal="center" vertical="center"/>
    </xf>
    <xf numFmtId="2" fontId="32" fillId="3" borderId="30" xfId="2" applyNumberFormat="1" applyFont="1" applyFill="1" applyBorder="1" applyAlignment="1">
      <alignment horizontal="center" vertical="center"/>
    </xf>
    <xf numFmtId="2" fontId="32" fillId="3" borderId="26" xfId="2" applyNumberFormat="1" applyFont="1" applyFill="1" applyBorder="1" applyAlignment="1">
      <alignment horizontal="center" vertical="center"/>
    </xf>
    <xf numFmtId="2" fontId="32" fillId="3" borderId="29" xfId="2" applyNumberFormat="1" applyFont="1" applyFill="1" applyBorder="1" applyAlignment="1">
      <alignment horizontal="center" vertical="center"/>
    </xf>
    <xf numFmtId="167" fontId="32" fillId="3" borderId="31" xfId="2" applyNumberFormat="1" applyFont="1" applyFill="1" applyBorder="1" applyAlignment="1">
      <alignment horizontal="center" vertical="center"/>
    </xf>
    <xf numFmtId="167" fontId="32" fillId="0" borderId="27" xfId="2" applyNumberFormat="1" applyFont="1" applyBorder="1" applyAlignment="1">
      <alignment horizontal="center" vertical="center"/>
    </xf>
    <xf numFmtId="2" fontId="32" fillId="3" borderId="31" xfId="2" applyNumberFormat="1" applyFont="1" applyFill="1" applyBorder="1" applyAlignment="1">
      <alignment horizontal="center" vertical="center"/>
    </xf>
    <xf numFmtId="2" fontId="32" fillId="0" borderId="27" xfId="2" applyNumberFormat="1" applyFont="1" applyBorder="1" applyAlignment="1">
      <alignment horizontal="center" vertical="center"/>
    </xf>
    <xf numFmtId="2" fontId="32" fillId="3" borderId="0" xfId="2" applyNumberFormat="1" applyFont="1" applyFill="1" applyBorder="1" applyAlignment="1">
      <alignment horizontal="center" vertical="center"/>
    </xf>
    <xf numFmtId="2" fontId="32" fillId="3" borderId="27" xfId="2" applyNumberFormat="1" applyFont="1" applyFill="1" applyBorder="1" applyAlignment="1">
      <alignment horizontal="center" vertical="center"/>
    </xf>
    <xf numFmtId="167" fontId="32" fillId="3" borderId="32" xfId="2" applyNumberFormat="1" applyFont="1" applyFill="1" applyBorder="1" applyAlignment="1">
      <alignment horizontal="center" vertical="center"/>
    </xf>
    <xf numFmtId="167" fontId="32" fillId="0" borderId="28" xfId="2" applyNumberFormat="1" applyFont="1" applyBorder="1" applyAlignment="1">
      <alignment horizontal="center" vertical="center"/>
    </xf>
    <xf numFmtId="2" fontId="32" fillId="3" borderId="32" xfId="2" applyNumberFormat="1" applyFont="1" applyFill="1" applyBorder="1" applyAlignment="1">
      <alignment horizontal="center" vertical="center"/>
    </xf>
    <xf numFmtId="2" fontId="32" fillId="0" borderId="28" xfId="2" applyNumberFormat="1" applyFont="1" applyBorder="1" applyAlignment="1">
      <alignment horizontal="center" vertical="center"/>
    </xf>
    <xf numFmtId="167" fontId="32" fillId="0" borderId="29" xfId="2" applyNumberFormat="1" applyFont="1" applyBorder="1" applyAlignment="1">
      <alignment horizontal="center" vertical="center"/>
    </xf>
    <xf numFmtId="2" fontId="32" fillId="0" borderId="29" xfId="2" applyNumberFormat="1" applyFont="1" applyBorder="1" applyAlignment="1">
      <alignment horizontal="center" vertical="center"/>
    </xf>
    <xf numFmtId="167" fontId="43" fillId="0" borderId="0" xfId="2" applyNumberFormat="1" applyFont="1" applyBorder="1" applyAlignment="1">
      <alignment horizontal="center" vertical="center"/>
    </xf>
    <xf numFmtId="0" fontId="46" fillId="0" borderId="0" xfId="0" applyFont="1"/>
    <xf numFmtId="0" fontId="47" fillId="0" borderId="25" xfId="0" applyFont="1" applyBorder="1"/>
    <xf numFmtId="0" fontId="48" fillId="0" borderId="0" xfId="0" applyFont="1" applyBorder="1" applyAlignment="1">
      <alignment horizontal="left" vertical="center"/>
    </xf>
    <xf numFmtId="0" fontId="26" fillId="0" borderId="28" xfId="0" applyFont="1" applyBorder="1"/>
    <xf numFmtId="0" fontId="26" fillId="0" borderId="25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165" fontId="50" fillId="0" borderId="0" xfId="2" applyNumberFormat="1" applyFont="1" applyAlignment="1">
      <alignment horizontal="center" vertical="center"/>
    </xf>
    <xf numFmtId="166" fontId="50" fillId="0" borderId="0" xfId="0" applyNumberFormat="1" applyFont="1" applyAlignment="1">
      <alignment horizontal="center"/>
    </xf>
    <xf numFmtId="2" fontId="50" fillId="0" borderId="0" xfId="0" applyNumberFormat="1" applyFont="1" applyAlignment="1">
      <alignment horizontal="center"/>
    </xf>
    <xf numFmtId="0" fontId="26" fillId="0" borderId="27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167" fontId="50" fillId="3" borderId="0" xfId="2" applyNumberFormat="1" applyFont="1" applyFill="1" applyBorder="1" applyAlignment="1">
      <alignment horizontal="center" vertical="center"/>
    </xf>
    <xf numFmtId="167" fontId="50" fillId="3" borderId="30" xfId="2" applyNumberFormat="1" applyFont="1" applyFill="1" applyBorder="1" applyAlignment="1">
      <alignment horizontal="center" vertical="center"/>
    </xf>
    <xf numFmtId="167" fontId="50" fillId="3" borderId="33" xfId="2" applyNumberFormat="1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167" fontId="50" fillId="3" borderId="31" xfId="2" applyNumberFormat="1" applyFont="1" applyFill="1" applyBorder="1" applyAlignment="1">
      <alignment horizontal="center" vertical="center"/>
    </xf>
    <xf numFmtId="167" fontId="50" fillId="3" borderId="34" xfId="2" applyNumberFormat="1" applyFont="1" applyFill="1" applyBorder="1" applyAlignment="1">
      <alignment horizontal="center" vertical="center"/>
    </xf>
    <xf numFmtId="0" fontId="26" fillId="0" borderId="29" xfId="0" applyFont="1" applyBorder="1" applyAlignment="1">
      <alignment vertical="center"/>
    </xf>
    <xf numFmtId="165" fontId="50" fillId="0" borderId="26" xfId="2" applyNumberFormat="1" applyFont="1" applyBorder="1" applyAlignment="1">
      <alignment horizontal="center" vertical="center"/>
    </xf>
    <xf numFmtId="166" fontId="50" fillId="0" borderId="26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167" fontId="50" fillId="3" borderId="32" xfId="2" applyNumberFormat="1" applyFont="1" applyFill="1" applyBorder="1" applyAlignment="1">
      <alignment horizontal="center" vertical="center"/>
    </xf>
    <xf numFmtId="167" fontId="50" fillId="3" borderId="35" xfId="2" applyNumberFormat="1" applyFont="1" applyFill="1" applyBorder="1" applyAlignment="1">
      <alignment horizontal="center" vertical="center"/>
    </xf>
    <xf numFmtId="167" fontId="50" fillId="0" borderId="26" xfId="2" applyNumberFormat="1" applyFont="1" applyBorder="1" applyAlignment="1">
      <alignment horizontal="center" vertical="center"/>
    </xf>
    <xf numFmtId="167" fontId="50" fillId="0" borderId="29" xfId="2" applyNumberFormat="1" applyFont="1" applyBorder="1" applyAlignment="1">
      <alignment horizontal="center" vertical="center"/>
    </xf>
    <xf numFmtId="167" fontId="50" fillId="0" borderId="34" xfId="2" applyNumberFormat="1" applyFont="1" applyBorder="1" applyAlignment="1">
      <alignment horizontal="center" vertical="center"/>
    </xf>
    <xf numFmtId="0" fontId="19" fillId="2" borderId="22" xfId="3" applyFont="1" applyBorder="1" applyAlignment="1">
      <alignment horizontal="center"/>
    </xf>
    <xf numFmtId="0" fontId="19" fillId="2" borderId="23" xfId="3" applyFont="1" applyBorder="1" applyAlignment="1">
      <alignment horizontal="center"/>
    </xf>
    <xf numFmtId="0" fontId="19" fillId="2" borderId="13" xfId="3" applyFont="1" applyBorder="1" applyAlignment="1">
      <alignment horizontal="center"/>
    </xf>
    <xf numFmtId="0" fontId="19" fillId="2" borderId="2" xfId="3" applyFont="1" applyBorder="1" applyAlignment="1">
      <alignment horizontal="center"/>
    </xf>
    <xf numFmtId="49" fontId="21" fillId="5" borderId="2" xfId="5" applyNumberFormat="1" applyFont="1" applyBorder="1" applyAlignment="1">
      <alignment horizontal="center" vertical="center" textRotation="90"/>
    </xf>
    <xf numFmtId="0" fontId="19" fillId="2" borderId="2" xfId="3" applyFont="1" applyBorder="1" applyAlignment="1">
      <alignment horizontal="center" vertical="center" textRotation="90"/>
    </xf>
    <xf numFmtId="49" fontId="21" fillId="5" borderId="2" xfId="5" applyNumberFormat="1" applyFont="1" applyBorder="1" applyAlignment="1">
      <alignment horizontal="center" vertical="center"/>
    </xf>
    <xf numFmtId="49" fontId="21" fillId="5" borderId="3" xfId="5" applyNumberFormat="1" applyFont="1" applyBorder="1" applyAlignment="1">
      <alignment horizontal="center" vertical="center" textRotation="90"/>
    </xf>
    <xf numFmtId="0" fontId="20" fillId="2" borderId="2" xfId="3" applyFont="1" applyBorder="1" applyAlignment="1">
      <alignment horizontal="center" vertical="center"/>
    </xf>
    <xf numFmtId="0" fontId="19" fillId="6" borderId="3" xfId="4" applyFont="1" applyFill="1" applyBorder="1" applyAlignment="1">
      <alignment horizontal="center"/>
    </xf>
    <xf numFmtId="0" fontId="19" fillId="2" borderId="17" xfId="3" applyFont="1" applyBorder="1" applyAlignment="1">
      <alignment horizontal="center" vertical="center"/>
    </xf>
    <xf numFmtId="0" fontId="19" fillId="2" borderId="18" xfId="3" applyFont="1" applyBorder="1" applyAlignment="1">
      <alignment horizontal="center" vertical="center"/>
    </xf>
    <xf numFmtId="0" fontId="19" fillId="2" borderId="19" xfId="3" applyFont="1" applyBorder="1" applyAlignment="1">
      <alignment horizontal="center" vertical="center"/>
    </xf>
    <xf numFmtId="0" fontId="19" fillId="2" borderId="20" xfId="3" applyFont="1" applyBorder="1" applyAlignment="1">
      <alignment horizontal="center" vertical="center"/>
    </xf>
    <xf numFmtId="0" fontId="19" fillId="2" borderId="1" xfId="3" applyFont="1" applyBorder="1" applyAlignment="1">
      <alignment horizontal="center" vertical="center"/>
    </xf>
    <xf numFmtId="0" fontId="19" fillId="2" borderId="21" xfId="3" applyFont="1" applyBorder="1" applyAlignment="1">
      <alignment horizontal="center" vertical="center"/>
    </xf>
    <xf numFmtId="0" fontId="20" fillId="2" borderId="13" xfId="3" applyFont="1" applyBorder="1" applyAlignment="1">
      <alignment horizontal="center" vertical="center"/>
    </xf>
    <xf numFmtId="0" fontId="17" fillId="0" borderId="25" xfId="6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23" fillId="0" borderId="25" xfId="6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41" fillId="0" borderId="25" xfId="6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7" fontId="43" fillId="0" borderId="26" xfId="2" applyNumberFormat="1" applyFont="1" applyBorder="1" applyAlignment="1">
      <alignment horizontal="center" vertical="center"/>
    </xf>
    <xf numFmtId="167" fontId="43" fillId="0" borderId="29" xfId="2" applyNumberFormat="1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167" fontId="50" fillId="0" borderId="26" xfId="2" applyNumberFormat="1" applyFont="1" applyBorder="1" applyAlignment="1">
      <alignment horizontal="center" vertical="center"/>
    </xf>
    <xf numFmtId="167" fontId="50" fillId="0" borderId="29" xfId="2" applyNumberFormat="1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44" fillId="0" borderId="25" xfId="6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9" fillId="0" borderId="25" xfId="6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</cellXfs>
  <cellStyles count="7">
    <cellStyle name="60% - Énfasis6" xfId="5" builtinId="52"/>
    <cellStyle name="Énfasis2" xfId="4" builtinId="33"/>
    <cellStyle name="Énfasis6" xfId="3" builtinId="49"/>
    <cellStyle name="Moneda" xfId="1" builtinId="4"/>
    <cellStyle name="Normal" xfId="0" builtinId="0"/>
    <cellStyle name="Porcentaje" xfId="2" builtinId="5"/>
    <cellStyle name="Título 2" xfId="6" builtinId="17"/>
  </cellStyles>
  <dxfs count="48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Risk/Position by duration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051785603571207"/>
          <c:y val="0.10131978574951457"/>
          <c:w val="0.8709806352946039"/>
          <c:h val="0.81181198933576137"/>
        </c:manualLayout>
      </c:layout>
      <c:barChart>
        <c:barDir val="col"/>
        <c:grouping val="stacked"/>
        <c:varyColors val="0"/>
        <c:ser>
          <c:idx val="0"/>
          <c:order val="0"/>
          <c:tx>
            <c:v>weight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'retorno absoluto'!$D$74:$D$89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'retorno absoluto'!$M$53:$M$68</c:f>
              <c:numCache>
                <c:formatCode>#,##0.0%;\(#,##0.0%\)</c:formatCode>
                <c:ptCount val="16"/>
                <c:pt idx="0">
                  <c:v>0.24480908036255239</c:v>
                </c:pt>
                <c:pt idx="1">
                  <c:v>2.0722494620328113E-2</c:v>
                </c:pt>
                <c:pt idx="2">
                  <c:v>2.0883851202040872E-2</c:v>
                </c:pt>
                <c:pt idx="3">
                  <c:v>0.53095693510272479</c:v>
                </c:pt>
                <c:pt idx="4">
                  <c:v>6.0535771129191465E-2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6.7018375027363616E-2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3.683292733448891E-2</c:v>
                </c:pt>
                <c:pt idx="13">
                  <c:v>0</c:v>
                </c:pt>
                <c:pt idx="14">
                  <c:v>0</c:v>
                </c:pt>
                <c:pt idx="15">
                  <c:v>1.8240565221309797E-2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A-47C1-ABD7-0926E04097A4}"/>
            </c:ext>
          </c:extLst>
        </c:ser>
        <c:ser>
          <c:idx val="1"/>
          <c:order val="1"/>
          <c:tx>
            <c:v>pcr</c:v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'retorno absoluto'!$D$74:$D$89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'retorno absoluto'!$AB$74:$AB$89</c:f>
              <c:numCache>
                <c:formatCode>#,##0.0%;\(#,##0.0%\)</c:formatCode>
                <c:ptCount val="16"/>
                <c:pt idx="0">
                  <c:v>6.675715672994546E-3</c:v>
                </c:pt>
                <c:pt idx="1">
                  <c:v>1.5394410439025536E-3</c:v>
                </c:pt>
                <c:pt idx="2">
                  <c:v>1.8613077057260424E-2</c:v>
                </c:pt>
                <c:pt idx="3">
                  <c:v>0.53182584974751179</c:v>
                </c:pt>
                <c:pt idx="4">
                  <c:v>6.9659338567267734E-2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0.11526376482291698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0.11814551142634716</c:v>
                </c:pt>
                <c:pt idx="13">
                  <c:v>0</c:v>
                </c:pt>
                <c:pt idx="14">
                  <c:v>0</c:v>
                </c:pt>
                <c:pt idx="15">
                  <c:v>0.1382773016617985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A-47C1-ABD7-0926E040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332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Spread position view</a:t>
            </a:r>
          </a:p>
        </c:rich>
      </c:tx>
      <c:layout>
        <c:manualLayout>
          <c:xMode val="edge"/>
          <c:yMode val="edge"/>
          <c:x val="0.44803314680004624"/>
          <c:y val="2.24163558502555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845521668282029E-2"/>
          <c:y val="0.10350081502970022"/>
          <c:w val="0.88581455619934302"/>
          <c:h val="0.70816256389004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'credito latam'!$E$44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'credito latam'!$D$45:$D$60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latam'!$E$45:$E$60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563-BF74-3D64067F5026}"/>
            </c:ext>
          </c:extLst>
        </c:ser>
        <c:ser>
          <c:idx val="1"/>
          <c:order val="1"/>
          <c:tx>
            <c:strRef>
              <c:f>'credito latam'!$F$44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'credito latam'!$D$45:$D$60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latam'!$F$45:$F$60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F-4563-BF74-3D64067F5026}"/>
            </c:ext>
          </c:extLst>
        </c:ser>
        <c:ser>
          <c:idx val="2"/>
          <c:order val="2"/>
          <c:tx>
            <c:strRef>
              <c:f>'credito latam'!$G$44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'credito latam'!$D$45:$D$60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latam'!$G$45:$G$60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F-4563-BF74-3D64067F5026}"/>
            </c:ext>
          </c:extLst>
        </c:ser>
        <c:ser>
          <c:idx val="3"/>
          <c:order val="3"/>
          <c:tx>
            <c:strRef>
              <c:f>'credito latam'!$H$44</c:f>
              <c:strCache>
                <c:ptCount val="1"/>
                <c:pt idx="0">
                  <c:v>PE</c:v>
                </c:pt>
              </c:strCache>
            </c:strRef>
          </c:tx>
          <c:invertIfNegative val="0"/>
          <c:cat>
            <c:numRef>
              <c:f>'credito latam'!$D$45:$D$60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latam'!$H$45:$H$60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4-47E9-B5B6-A06A0CE9626D}"/>
            </c:ext>
          </c:extLst>
        </c:ser>
        <c:ser>
          <c:idx val="4"/>
          <c:order val="4"/>
          <c:tx>
            <c:strRef>
              <c:f>'credito latam'!$I$44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</c:spPr>
          <c:invertIfNegative val="0"/>
          <c:cat>
            <c:numRef>
              <c:f>'credito latam'!$D$45:$D$60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latam'!$I$45:$I$60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4-47E9-B5B6-A06A0CE9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Historical Tracking Error v/s Duration </a:t>
            </a:r>
            <a:endParaRPr lang="es-MX"/>
          </a:p>
        </c:rich>
      </c:tx>
      <c:layout>
        <c:manualLayout>
          <c:xMode val="edge"/>
          <c:yMode val="edge"/>
          <c:x val="0.35553883019900823"/>
          <c:y val="1.9431271515989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44992216663896"/>
          <c:y val="9.3811848518935134E-2"/>
          <c:w val="0.7573850677494488"/>
          <c:h val="0.76179407106689567"/>
        </c:manualLayout>
      </c:layout>
      <c:areaChart>
        <c:grouping val="stacked"/>
        <c:varyColors val="0"/>
        <c:ser>
          <c:idx val="0"/>
          <c:order val="1"/>
          <c:tx>
            <c:strRef>
              <c:f>Historical!$V$1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00B050"/>
            </a:solidFill>
            <a:ln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Historical!$V$2:$V$21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7-4C93-B90C-201F3278ABDC}"/>
            </c:ext>
          </c:extLst>
        </c:ser>
        <c:ser>
          <c:idx val="1"/>
          <c:order val="2"/>
          <c:tx>
            <c:strRef>
              <c:f>Historical!$W$1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Historical!$W$2:$W$21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7-4C93-B90C-201F3278ABDC}"/>
            </c:ext>
          </c:extLst>
        </c:ser>
        <c:ser>
          <c:idx val="2"/>
          <c:order val="3"/>
          <c:tx>
            <c:strRef>
              <c:f>Historical!$X$1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Historical!$X$2:$X$21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67-4C93-B90C-201F3278ABDC}"/>
            </c:ext>
          </c:extLst>
        </c:ser>
        <c:ser>
          <c:idx val="3"/>
          <c:order val="4"/>
          <c:tx>
            <c:strRef>
              <c:f>Historical!$Y$1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FFC000"/>
            </a:solidFill>
            <a:ln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Historical!$Y$2:$Y$21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67-4C93-B90C-201F3278ABDC}"/>
            </c:ext>
          </c:extLst>
        </c:ser>
        <c:ser>
          <c:idx val="6"/>
          <c:order val="5"/>
          <c:tx>
            <c:strRef>
              <c:f>Historical!$Z$1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  <a:ln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Historical!$Z$2:$Z$21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-1.0698484693971348E-5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67-4C93-B90C-201F3278ABDC}"/>
            </c:ext>
          </c:extLst>
        </c:ser>
        <c:ser>
          <c:idx val="5"/>
          <c:order val="6"/>
          <c:tx>
            <c:strRef>
              <c:f>Historical!$U$1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rgbClr val="C00000"/>
            </a:solidFill>
            <a:ln w="3175" cap="rnd">
              <a:noFill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Historical!$U$2:$U$21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1.0109258995445271E-2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2-4D53-A8EE-379994D5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85039"/>
        <c:axId val="377747615"/>
      </c:areaChart>
      <c:lineChart>
        <c:grouping val="standard"/>
        <c:varyColors val="0"/>
        <c:ser>
          <c:idx val="4"/>
          <c:order val="0"/>
          <c:tx>
            <c:strRef>
              <c:f>Historical!$S$1</c:f>
              <c:strCache>
                <c:ptCount val="1"/>
                <c:pt idx="0">
                  <c:v>Duration</c:v>
                </c:pt>
              </c:strCache>
            </c:strRef>
          </c:tx>
          <c:spPr>
            <a:ln w="66675" cap="rnd" cmpd="sng">
              <a:solidFill>
                <a:schemeClr val="tx1">
                  <a:lumMod val="50000"/>
                </a:schemeClr>
              </a:solidFill>
              <a:prstDash val="sysDash"/>
              <a:round/>
              <a:tailEnd type="diamond"/>
            </a:ln>
            <a:effectLst/>
          </c:spPr>
          <c:marker>
            <c:symbol val="circle"/>
            <c:size val="27"/>
            <c:spPr>
              <a:solidFill>
                <a:schemeClr val="bg2"/>
              </a:solidFill>
              <a:ln w="53975">
                <a:solidFill>
                  <a:schemeClr val="bg2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bg2"/>
                </a:solidFill>
                <a:ln w="53975">
                  <a:solidFill>
                    <a:schemeClr val="bg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9C-4F60-9469-B47E59F6E313}"/>
              </c:ext>
            </c:extLst>
          </c:dPt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Historical!$S$2:$S$21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3.22514118942108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19C-4F60-9469-B47E59F6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77168"/>
        <c:axId val="946983552"/>
      </c:lineChart>
      <c:dateAx>
        <c:axId val="365385039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77747615"/>
        <c:crosses val="autoZero"/>
        <c:auto val="0"/>
        <c:lblOffset val="100"/>
        <c:baseTimeUnit val="days"/>
        <c:majorUnit val="3"/>
        <c:majorTimeUnit val="days"/>
      </c:dateAx>
      <c:valAx>
        <c:axId val="377747615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65385039"/>
        <c:crosses val="autoZero"/>
        <c:crossBetween val="between"/>
      </c:valAx>
      <c:valAx>
        <c:axId val="946983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809277168"/>
        <c:crosses val="max"/>
        <c:crossBetween val="between"/>
        <c:majorUnit val="0.5"/>
      </c:valAx>
      <c:catAx>
        <c:axId val="809277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698355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MX"/>
              <a:t>Active Position vs Risk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1191754965814456E-2"/>
          <c:y val="9.6494340482877222E-2"/>
          <c:w val="0.83918335439551539"/>
          <c:h val="0.79580502540928555"/>
        </c:manualLayout>
      </c:layout>
      <c:barChart>
        <c:barDir val="col"/>
        <c:grouping val="stacked"/>
        <c:varyColors val="0"/>
        <c:ser>
          <c:idx val="0"/>
          <c:order val="0"/>
          <c:tx>
            <c:v>active weight</c:v>
          </c:tx>
          <c:spPr>
            <a:solidFill>
              <a:schemeClr val="tx2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'credito latam'!$M$86:$R$86</c:f>
              <c:strCache>
                <c:ptCount val="6"/>
                <c:pt idx="0">
                  <c:v>CL</c:v>
                </c:pt>
                <c:pt idx="1">
                  <c:v>MX</c:v>
                </c:pt>
                <c:pt idx="2">
                  <c:v>CO</c:v>
                </c:pt>
                <c:pt idx="3">
                  <c:v>PE</c:v>
                </c:pt>
                <c:pt idx="4">
                  <c:v>BR</c:v>
                </c:pt>
                <c:pt idx="5">
                  <c:v>PA</c:v>
                </c:pt>
              </c:strCache>
            </c:strRef>
          </c:cat>
          <c:val>
            <c:numRef>
              <c:f>'credito latam'!$E$103:$J$103</c:f>
              <c:numCache>
                <c:formatCode>#,##0.0%;\(#,##0.0%\)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6-4D4F-8FD7-57B9DEB22741}"/>
            </c:ext>
          </c:extLst>
        </c:ser>
        <c:ser>
          <c:idx val="1"/>
          <c:order val="1"/>
          <c:tx>
            <c:v>pcr</c:v>
          </c:tx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'credito latam'!$M$86:$R$86</c:f>
              <c:strCache>
                <c:ptCount val="6"/>
                <c:pt idx="0">
                  <c:v>CL</c:v>
                </c:pt>
                <c:pt idx="1">
                  <c:v>MX</c:v>
                </c:pt>
                <c:pt idx="2">
                  <c:v>CO</c:v>
                </c:pt>
                <c:pt idx="3">
                  <c:v>PE</c:v>
                </c:pt>
                <c:pt idx="4">
                  <c:v>BR</c:v>
                </c:pt>
                <c:pt idx="5">
                  <c:v>PA</c:v>
                </c:pt>
              </c:strCache>
            </c:strRef>
          </c:cat>
          <c:val>
            <c:numRef>
              <c:f>'credito latam'!$M$103:$R$103</c:f>
              <c:numCache>
                <c:formatCode>#,##0.0%;\(#,##0.0%\)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6-4D4F-8FD7-57B9DEB2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100"/>
        <c:axId val="855323344"/>
        <c:axId val="848157968"/>
      </c:barChart>
      <c:catAx>
        <c:axId val="8553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0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848157968"/>
        <c:crosses val="autoZero"/>
        <c:auto val="0"/>
        <c:lblAlgn val="ctr"/>
        <c:lblOffset val="100"/>
        <c:noMultiLvlLbl val="0"/>
      </c:catAx>
      <c:valAx>
        <c:axId val="848157968"/>
        <c:scaling>
          <c:orientation val="minMax"/>
          <c:max val="0.5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855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22753272862173E-2"/>
          <c:y val="6.2014324480626361E-2"/>
          <c:w val="0.82978273516915357"/>
          <c:h val="0.758834018881968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'renta fija'!$T$16</c:f>
              <c:strCache>
                <c:ptCount val="1"/>
                <c:pt idx="0">
                  <c:v>dep $</c:v>
                </c:pt>
              </c:strCache>
            </c:strRef>
          </c:tx>
          <c:spPr>
            <a:solidFill>
              <a:schemeClr val="accent6"/>
            </a:solidFill>
            <a:ln w="9525"/>
            <a:effectLst>
              <a:outerShdw blurRad="40000" dist="20000" dir="5400000" sx="1000" sy="1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fija'!$T$17:$T$44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7-4C4E-9610-34E95EC5F272}"/>
            </c:ext>
          </c:extLst>
        </c:ser>
        <c:ser>
          <c:idx val="1"/>
          <c:order val="1"/>
          <c:tx>
            <c:strRef>
              <c:f>'renta fija'!$U$16</c:f>
              <c:strCache>
                <c:ptCount val="1"/>
                <c:pt idx="0">
                  <c:v>dep UF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fija'!$U$17:$U$44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7-4C4E-9610-34E95EC5F272}"/>
            </c:ext>
          </c:extLst>
        </c:ser>
        <c:ser>
          <c:idx val="2"/>
          <c:order val="2"/>
          <c:tx>
            <c:strRef>
              <c:f>'renta fija'!$V$16</c:f>
              <c:strCache>
                <c:ptCount val="1"/>
                <c:pt idx="0">
                  <c:v>dep US$</c:v>
                </c:pt>
              </c:strCache>
            </c:strRef>
          </c:tx>
          <c:spPr>
            <a:solidFill>
              <a:schemeClr val="bg2">
                <a:lumMod val="90000"/>
                <a:lumOff val="10000"/>
              </a:schemeClr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fija'!$V$17:$V$44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7-4C4E-9610-34E95EC5F272}"/>
            </c:ext>
          </c:extLst>
        </c:ser>
        <c:ser>
          <c:idx val="5"/>
          <c:order val="3"/>
          <c:tx>
            <c:strRef>
              <c:f>'renta fija'!$W$16</c:f>
              <c:strCache>
                <c:ptCount val="1"/>
                <c:pt idx="0">
                  <c:v>gob $</c:v>
                </c:pt>
              </c:strCache>
            </c:strRef>
          </c:tx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fija'!$W$17:$W$44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4-4AF3-A86A-59D5C75E2CDB}"/>
            </c:ext>
          </c:extLst>
        </c:ser>
        <c:ser>
          <c:idx val="6"/>
          <c:order val="4"/>
          <c:tx>
            <c:strRef>
              <c:f>'renta fija'!$X$16</c:f>
              <c:strCache>
                <c:ptCount val="1"/>
                <c:pt idx="0">
                  <c:v>gob UF</c:v>
                </c:pt>
              </c:strCache>
            </c:strRef>
          </c:tx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fija'!$X$17:$X$44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4-4AF3-A86A-59D5C75E2CDB}"/>
            </c:ext>
          </c:extLst>
        </c:ser>
        <c:ser>
          <c:idx val="7"/>
          <c:order val="5"/>
          <c:tx>
            <c:strRef>
              <c:f>'renta fija'!$Y$16</c:f>
              <c:strCache>
                <c:ptCount val="1"/>
                <c:pt idx="0">
                  <c:v>gob US$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fija'!$Y$17:$Y$44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4-4AF3-A86A-59D5C75E2CDB}"/>
            </c:ext>
          </c:extLst>
        </c:ser>
        <c:ser>
          <c:idx val="8"/>
          <c:order val="6"/>
          <c:tx>
            <c:strRef>
              <c:f>'renta fija'!$Z$16</c:f>
              <c:strCache>
                <c:ptCount val="1"/>
                <c:pt idx="0">
                  <c:v>spread $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fija'!$Z$17:$Z$44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94-4AF3-A86A-59D5C75E2CDB}"/>
            </c:ext>
          </c:extLst>
        </c:ser>
        <c:ser>
          <c:idx val="9"/>
          <c:order val="7"/>
          <c:tx>
            <c:strRef>
              <c:f>'renta fija'!$AA$16</c:f>
              <c:strCache>
                <c:ptCount val="1"/>
                <c:pt idx="0">
                  <c:v>spread UF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fija'!$AA$17:$AA$44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94-4AF3-A86A-59D5C75E2CDB}"/>
            </c:ext>
          </c:extLst>
        </c:ser>
        <c:ser>
          <c:idx val="3"/>
          <c:order val="10"/>
          <c:tx>
            <c:strRef>
              <c:f>'renta fija'!$AB$16</c:f>
              <c:strCache>
                <c:ptCount val="1"/>
                <c:pt idx="0">
                  <c:v>spread US$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fija'!$AB$17:$AB$44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5-4DAB-B45E-82F300B8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332672"/>
        <c:axId val="138547712"/>
      </c:barChart>
      <c:lineChart>
        <c:grouping val="standard"/>
        <c:varyColors val="0"/>
        <c:ser>
          <c:idx val="11"/>
          <c:order val="8"/>
          <c:tx>
            <c:strRef>
              <c:f>'renta fija'!$AE$16</c:f>
              <c:strCache>
                <c:ptCount val="1"/>
                <c:pt idx="0">
                  <c:v>cty</c:v>
                </c:pt>
              </c:strCache>
            </c:strRef>
          </c:tx>
          <c:spPr>
            <a:ln w="177800">
              <a:gradFill>
                <a:gsLst>
                  <a:gs pos="0">
                    <a:srgbClr val="C00000"/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57000">
                    <a:schemeClr val="accent1">
                      <a:lumMod val="45000"/>
                      <a:lumOff val="55000"/>
                    </a:schemeClr>
                  </a:gs>
                  <a:gs pos="68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</a:ln>
          </c:spPr>
          <c:marker>
            <c:symbol val="diamond"/>
            <c:size val="60"/>
            <c:spPr>
              <a:solidFill>
                <a:srgbClr val="C00000"/>
              </a:solidFill>
              <a:ln w="130175">
                <a:solidFill>
                  <a:schemeClr val="bg2">
                    <a:lumMod val="90000"/>
                    <a:lumOff val="10000"/>
                  </a:schemeClr>
                </a:solidFill>
              </a:ln>
            </c:spPr>
          </c:marker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fija'!$AE$17:$AE$44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2-45BA-B9D8-1AF0E137496A}"/>
            </c:ext>
          </c:extLst>
        </c:ser>
        <c:ser>
          <c:idx val="12"/>
          <c:order val="9"/>
          <c:tx>
            <c:strRef>
              <c:f>'renta fija'!$AF$16</c:f>
              <c:strCache>
                <c:ptCount val="1"/>
                <c:pt idx="0">
                  <c:v>yield</c:v>
                </c:pt>
              </c:strCache>
            </c:strRef>
          </c:tx>
          <c:spPr>
            <a:ln>
              <a:gradFill>
                <a:gsLst>
                  <a:gs pos="0">
                    <a:srgbClr val="00B05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</a:ln>
          </c:spPr>
          <c:marker>
            <c:symbol val="diamond"/>
            <c:size val="60"/>
            <c:spPr>
              <a:solidFill>
                <a:srgbClr val="00B050"/>
              </a:solidFill>
              <a:ln>
                <a:solidFill>
                  <a:schemeClr val="bg2">
                    <a:lumMod val="90000"/>
                    <a:lumOff val="10000"/>
                  </a:schemeClr>
                </a:solidFill>
              </a:ln>
            </c:spPr>
          </c:marker>
          <c:cat>
            <c:numRef>
              <c:f>'renta fija'!$R$17:$R$44</c:f>
              <c:numCache>
                <c:formatCode>General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720</c:v>
                </c:pt>
                <c:pt idx="26">
                  <c:v>1080</c:v>
                </c:pt>
                <c:pt idx="27">
                  <c:v>3600</c:v>
                </c:pt>
              </c:numCache>
            </c:numRef>
          </c:cat>
          <c:val>
            <c:numRef>
              <c:f>'renta fija'!$AF$17:$AF$44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2-45BA-B9D8-1AF0E137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99520"/>
        <c:axId val="1807794352"/>
      </c:line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  <c:valAx>
        <c:axId val="1807794352"/>
        <c:scaling>
          <c:orientation val="minMax"/>
        </c:scaling>
        <c:delete val="0"/>
        <c:axPos val="r"/>
        <c:numFmt formatCode="#,##0.0%;\(#,##0.0%\)" sourceLinked="1"/>
        <c:majorTickMark val="out"/>
        <c:minorTickMark val="none"/>
        <c:tickLblPos val="nextTo"/>
        <c:spPr>
          <a:solidFill>
            <a:sysClr val="window" lastClr="FFFFFF"/>
          </a:solidFill>
        </c:spPr>
        <c:crossAx val="1886499520"/>
        <c:crosses val="max"/>
        <c:crossBetween val="between"/>
      </c:valAx>
      <c:catAx>
        <c:axId val="1886499520"/>
        <c:scaling>
          <c:orientation val="minMax"/>
        </c:scaling>
        <c:delete val="1"/>
        <c:axPos val="b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MX"/>
                  <a:t>Yield</a:t>
                </a:r>
              </a:p>
            </c:rich>
          </c:tx>
          <c:layout>
            <c:manualLayout>
              <c:xMode val="edge"/>
              <c:yMode val="edge"/>
              <c:x val="0.9607611717345621"/>
              <c:y val="0.40008323213329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77943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5.6928528588014546E-2"/>
          <c:y val="0.90653287633163504"/>
          <c:w val="0.88957070932171212"/>
          <c:h val="4.9767287324378573E-2"/>
        </c:manualLayout>
      </c:layout>
      <c:overlay val="0"/>
      <c:spPr>
        <a:noFill/>
        <a:effectLst>
          <a:glow>
            <a:schemeClr val="accent1">
              <a:alpha val="40000"/>
            </a:schemeClr>
          </a:glow>
        </a:effectLst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8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'renta variable'!$P$19</c:f>
              <c:strCache>
                <c:ptCount val="1"/>
                <c:pt idx="0">
                  <c:v>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'renta variable'!$K$20:$K$34</c:f>
              <c:strCache>
                <c:ptCount val="15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'renta variable'!$P$20:$P$34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C-4DD8-A6D7-BAC4D378532D}"/>
            </c:ext>
          </c:extLst>
        </c:ser>
        <c:ser>
          <c:idx val="1"/>
          <c:order val="1"/>
          <c:tx>
            <c:strRef>
              <c:f>'renta variable'!$O$19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'renta variable'!$K$20:$K$34</c:f>
              <c:strCache>
                <c:ptCount val="15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</c:strCache>
            </c:strRef>
          </c:cat>
          <c:val>
            <c:numRef>
              <c:f>'renta variable'!$O$20:$O$34</c:f>
              <c:numCache>
                <c:formatCode>#,##0.00%;[Red]\(#,##0.00%\)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C-4DD8-A6D7-BAC4D3785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7927744"/>
        <c:axId val="676029024"/>
      </c:barChart>
      <c:catAx>
        <c:axId val="7079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cap="none" spc="0" normalizeH="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676029024"/>
        <c:crosses val="autoZero"/>
        <c:auto val="1"/>
        <c:lblAlgn val="ctr"/>
        <c:lblOffset val="100"/>
        <c:noMultiLvlLbl val="0"/>
      </c:catAx>
      <c:valAx>
        <c:axId val="6760290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s-CL"/>
          </a:p>
        </c:txPr>
        <c:crossAx val="707927744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Calibri" panose="020F0502020204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>
                    <a:lumMod val="75000"/>
                  </a:schemeClr>
                </a:solidFill>
              </a:rPr>
              <a:t>Historical Tracking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920513006169135E-2"/>
          <c:y val="0.12145211041918451"/>
          <c:w val="0.92015729416801628"/>
          <c:h val="0.74719533840496799"/>
        </c:manualLayout>
      </c:layout>
      <c:areaChart>
        <c:grouping val="standard"/>
        <c:varyColors val="0"/>
        <c:ser>
          <c:idx val="0"/>
          <c:order val="0"/>
          <c:tx>
            <c:v>Tracking Error</c:v>
          </c:tx>
          <c:spPr>
            <a:solidFill>
              <a:schemeClr val="tx1">
                <a:lumMod val="75000"/>
              </a:schemeClr>
            </a:solidFill>
            <a:ln w="104775" cap="rnd" cmpd="sng">
              <a:solidFill>
                <a:srgbClr val="C00000"/>
              </a:solidFill>
              <a:prstDash val="sysDot"/>
              <a:round/>
            </a:ln>
            <a:effectLst/>
          </c:spPr>
          <c:cat>
            <c:numRef>
              <c:f>Historical!$J$2:$J$21</c:f>
              <c:numCache>
                <c:formatCode>m/d/yyyy</c:formatCode>
                <c:ptCount val="20"/>
                <c:pt idx="0">
                  <c:v>43025</c:v>
                </c:pt>
                <c:pt idx="1">
                  <c:v>43026</c:v>
                </c:pt>
                <c:pt idx="2">
                  <c:v>43027</c:v>
                </c:pt>
                <c:pt idx="3">
                  <c:v>43028</c:v>
                </c:pt>
                <c:pt idx="4">
                  <c:v>43031</c:v>
                </c:pt>
                <c:pt idx="5">
                  <c:v>43032</c:v>
                </c:pt>
                <c:pt idx="6">
                  <c:v>43033</c:v>
                </c:pt>
                <c:pt idx="7">
                  <c:v>43034</c:v>
                </c:pt>
                <c:pt idx="8">
                  <c:v>43035</c:v>
                </c:pt>
                <c:pt idx="9">
                  <c:v>43038</c:v>
                </c:pt>
                <c:pt idx="10">
                  <c:v>43039</c:v>
                </c:pt>
                <c:pt idx="11">
                  <c:v>43040</c:v>
                </c:pt>
                <c:pt idx="12">
                  <c:v>43041</c:v>
                </c:pt>
                <c:pt idx="13">
                  <c:v>43042</c:v>
                </c:pt>
                <c:pt idx="14">
                  <c:v>43045</c:v>
                </c:pt>
                <c:pt idx="15">
                  <c:v>43046</c:v>
                </c:pt>
                <c:pt idx="16">
                  <c:v>43047</c:v>
                </c:pt>
                <c:pt idx="17">
                  <c:v>43048</c:v>
                </c:pt>
                <c:pt idx="18">
                  <c:v>43049</c:v>
                </c:pt>
                <c:pt idx="19">
                  <c:v>43052</c:v>
                </c:pt>
              </c:numCache>
            </c:numRef>
          </c:cat>
          <c:val>
            <c:numRef>
              <c:f>Historical!$T$2:$T$21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1.0098560510751295E-2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49AC-BC2C-B4FAAE53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86847"/>
        <c:axId val="1039983119"/>
      </c:areaChart>
      <c:dateAx>
        <c:axId val="893186847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9983119"/>
        <c:crosses val="autoZero"/>
        <c:auto val="0"/>
        <c:lblOffset val="100"/>
        <c:baseTimeUnit val="days"/>
        <c:majorUnit val="2"/>
        <c:majorTimeUnit val="days"/>
      </c:dateAx>
      <c:valAx>
        <c:axId val="103998311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1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IIF position by currency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837902273159771E-2"/>
          <c:y val="0.13369133858267718"/>
          <c:w val="0.90566060227423695"/>
          <c:h val="0.68146296026980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'retorno absoluto'!$AF$94</c:f>
              <c:strCache>
                <c:ptCount val="1"/>
                <c:pt idx="0">
                  <c:v>dep $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'retorno absoluto'!$AE$95:$AE$122</c:f>
              <c:numCache>
                <c:formatCode>General</c:formatCode>
                <c:ptCount val="2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720</c:v>
                </c:pt>
                <c:pt idx="25">
                  <c:v>1080</c:v>
                </c:pt>
                <c:pt idx="26">
                  <c:v>3600</c:v>
                </c:pt>
                <c:pt idx="27">
                  <c:v>10000</c:v>
                </c:pt>
              </c:numCache>
            </c:numRef>
          </c:cat>
          <c:val>
            <c:numRef>
              <c:f>'retorno absoluto'!$AF$95:$AF$122</c:f>
              <c:numCache>
                <c:formatCode>#,##0.0%;\(#,##0.0%\)</c:formatCode>
                <c:ptCount val="28"/>
                <c:pt idx="0">
                  <c:v>4.260558030816728E-2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3.6798362604261246E-2</c:v>
                </c:pt>
                <c:pt idx="6">
                  <c:v>0</c:v>
                </c:pt>
                <c:pt idx="7">
                  <c:v>0</c:v>
                </c:pt>
                <c:pt idx="8">
                  <c:v>8.9062401347875061E-2</c:v>
                </c:pt>
                <c:pt idx="9">
                  <c:v>5.2274077615494234E-2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2.0722494620328113E-2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9-46FC-AF68-7DB8C18C0DBA}"/>
            </c:ext>
          </c:extLst>
        </c:ser>
        <c:ser>
          <c:idx val="1"/>
          <c:order val="1"/>
          <c:tx>
            <c:strRef>
              <c:f>'retorno absoluto'!$AG$94</c:f>
              <c:strCache>
                <c:ptCount val="1"/>
                <c:pt idx="0">
                  <c:v>dep UF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'retorno absoluto'!$AE$95:$AE$122</c:f>
              <c:numCache>
                <c:formatCode>General</c:formatCode>
                <c:ptCount val="2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720</c:v>
                </c:pt>
                <c:pt idx="25">
                  <c:v>1080</c:v>
                </c:pt>
                <c:pt idx="26">
                  <c:v>3600</c:v>
                </c:pt>
                <c:pt idx="27">
                  <c:v>10000</c:v>
                </c:pt>
              </c:numCache>
            </c:numRef>
          </c:cat>
          <c:val>
            <c:numRef>
              <c:f>'retorno absoluto'!$AG$95:$AG$122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1.4063961953218742E-2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9-46FC-AF68-7DB8C18C0DBA}"/>
            </c:ext>
          </c:extLst>
        </c:ser>
        <c:ser>
          <c:idx val="2"/>
          <c:order val="2"/>
          <c:tx>
            <c:strRef>
              <c:f>'retorno absoluto'!$AH$94</c:f>
              <c:strCache>
                <c:ptCount val="1"/>
                <c:pt idx="0">
                  <c:v>dep US$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'retorno absoluto'!$AE$95:$AE$122</c:f>
              <c:numCache>
                <c:formatCode>General</c:formatCode>
                <c:ptCount val="28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720</c:v>
                </c:pt>
                <c:pt idx="25">
                  <c:v>1080</c:v>
                </c:pt>
                <c:pt idx="26">
                  <c:v>3600</c:v>
                </c:pt>
                <c:pt idx="27">
                  <c:v>10000</c:v>
                </c:pt>
              </c:numCache>
            </c:numRef>
          </c:cat>
          <c:val>
            <c:numRef>
              <c:f>'retorno absoluto'!$AH$95:$AH$122</c:f>
              <c:numCache>
                <c:formatCode>#,##0.0%;\(#,##0.0%\)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9-46FC-AF68-7DB8C18C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Historical Tracking Error v/s Duration by Currency</a:t>
            </a:r>
          </a:p>
        </c:rich>
      </c:tx>
      <c:layout>
        <c:manualLayout>
          <c:xMode val="edge"/>
          <c:yMode val="edge"/>
          <c:x val="0.33507710963150111"/>
          <c:y val="2.111655443522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45635954113086"/>
          <c:y val="0.10338433150401655"/>
          <c:w val="0.70148482925763733"/>
          <c:h val="0.73987002571648242"/>
        </c:manualLayout>
      </c:layout>
      <c:areaChart>
        <c:grouping val="stacked"/>
        <c:varyColors val="0"/>
        <c:ser>
          <c:idx val="1"/>
          <c:order val="0"/>
          <c:tx>
            <c:strRef>
              <c:f>Historical!$L$1</c:f>
              <c:strCache>
                <c:ptCount val="1"/>
                <c:pt idx="0">
                  <c:v>$</c:v>
                </c:pt>
              </c:strCache>
            </c:strRef>
          </c:tx>
          <c:spPr>
            <a:solidFill>
              <a:schemeClr val="accent1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Historical!$L$2:$L$21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5.5821739329855111E-3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F-4132-B959-5B8F6542D7B2}"/>
            </c:ext>
          </c:extLst>
        </c:ser>
        <c:ser>
          <c:idx val="0"/>
          <c:order val="1"/>
          <c:tx>
            <c:strRef>
              <c:f>Historical!$M$1</c:f>
              <c:strCache>
                <c:ptCount val="1"/>
                <c:pt idx="0">
                  <c:v>UF</c:v>
                </c:pt>
              </c:strCache>
            </c:strRef>
          </c:tx>
          <c:spPr>
            <a:solidFill>
              <a:schemeClr val="accent6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Historical!$M$2:$M$21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4.5270850624597545E-3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F-4132-B959-5B8F6542D7B2}"/>
            </c:ext>
          </c:extLst>
        </c:ser>
        <c:ser>
          <c:idx val="2"/>
          <c:order val="2"/>
          <c:tx>
            <c:strRef>
              <c:f>Historical!$N$1</c:f>
              <c:strCache>
                <c:ptCount val="1"/>
                <c:pt idx="0">
                  <c:v>US$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Historical!$N$2:$N$21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-1.0827434532968943E-5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F-4132-B959-5B8F6542D7B2}"/>
            </c:ext>
          </c:extLst>
        </c:ser>
        <c:ser>
          <c:idx val="3"/>
          <c:order val="3"/>
          <c:tx>
            <c:strRef>
              <c:f>Historical!$O$1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Historical!$O$2:$O$21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1.289498389975945E-7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CF-4132-B959-5B8F6542D7B2}"/>
            </c:ext>
          </c:extLst>
        </c:ser>
        <c:ser>
          <c:idx val="4"/>
          <c:order val="4"/>
          <c:tx>
            <c:strRef>
              <c:f>Historical!$P$1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rgbClr val="00B050"/>
            </a:solidFill>
            <a:ln w="9525" cmpd="sng">
              <a:noFill/>
              <a:prstDash val="solid"/>
              <a:tailEnd type="diamond"/>
            </a:ln>
            <a:effectLst/>
          </c:spP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1-0C0B-4098-B516-D0A37FF858F2}"/>
              </c:ext>
            </c:extLst>
          </c:dPt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Historical!$P$2:$P$21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098-B516-D0A37FF858F2}"/>
            </c:ext>
          </c:extLst>
        </c:ser>
        <c:ser>
          <c:idx val="5"/>
          <c:order val="5"/>
          <c:tx>
            <c:strRef>
              <c:f>Historical!$Q$1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rgbClr val="C00000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Historical!$Q$2:$Q$21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8-4E85-9264-6CFAE7586A47}"/>
            </c:ext>
          </c:extLst>
        </c:ser>
        <c:ser>
          <c:idx val="7"/>
          <c:order val="6"/>
          <c:tx>
            <c:strRef>
              <c:f>Historical!$R$1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Historical!$R$2:$R$21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4-4857-9F8F-93706A8F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21472"/>
        <c:axId val="1714773776"/>
      </c:areaChart>
      <c:lineChart>
        <c:grouping val="standard"/>
        <c:varyColors val="0"/>
        <c:ser>
          <c:idx val="6"/>
          <c:order val="7"/>
          <c:tx>
            <c:strRef>
              <c:f>Historical!$S$1</c:f>
              <c:strCache>
                <c:ptCount val="1"/>
                <c:pt idx="0">
                  <c:v>Duration</c:v>
                </c:pt>
              </c:strCache>
            </c:strRef>
          </c:tx>
          <c:spPr>
            <a:ln w="571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diamond"/>
            <c:size val="21"/>
            <c:spPr>
              <a:solidFill>
                <a:srgbClr val="C000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Historical!$S$2:$S$21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3.22514118942108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33-4E8E-8441-675FC873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5039"/>
        <c:axId val="377747615"/>
      </c:lineChart>
      <c:dateAx>
        <c:axId val="365385039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77747615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377747615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65385039"/>
        <c:crosses val="autoZero"/>
        <c:crossBetween val="between"/>
        <c:majorUnit val="0.5"/>
      </c:valAx>
      <c:valAx>
        <c:axId val="17147737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97721472"/>
        <c:crosses val="max"/>
        <c:crossBetween val="between"/>
      </c:valAx>
      <c:catAx>
        <c:axId val="1697721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477377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Spread active position by currency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79451975148676"/>
          <c:y val="9.250167856924861E-2"/>
          <c:w val="0.8418600701019967"/>
          <c:h val="0.70079741677027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credito!$K$71</c:f>
              <c:strCache>
                <c:ptCount val="1"/>
                <c:pt idx="0">
                  <c:v>spread $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credito!$D$72:$D$87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credito!$K$72:$K$87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511-ABDB-2F0D076940FB}"/>
            </c:ext>
          </c:extLst>
        </c:ser>
        <c:ser>
          <c:idx val="1"/>
          <c:order val="1"/>
          <c:tx>
            <c:strRef>
              <c:f>credito!$L$71</c:f>
              <c:strCache>
                <c:ptCount val="1"/>
                <c:pt idx="0">
                  <c:v>spread UF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credito!$D$72:$D$87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credito!$L$72:$L$87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5-4511-ABDB-2F0D076940FB}"/>
            </c:ext>
          </c:extLst>
        </c:ser>
        <c:ser>
          <c:idx val="2"/>
          <c:order val="2"/>
          <c:tx>
            <c:strRef>
              <c:f>credito!$M$71</c:f>
              <c:strCache>
                <c:ptCount val="1"/>
                <c:pt idx="0">
                  <c:v>spread US$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credito!$D$72:$D$87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credito!$M$72:$M$87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5-4511-ABDB-2F0D0769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Risk/Position by duration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7542505044589727E-2"/>
          <c:y val="0.12645847339258032"/>
          <c:w val="0.83428169498214488"/>
          <c:h val="0.71292798199220075"/>
        </c:manualLayout>
      </c:layout>
      <c:barChart>
        <c:barDir val="col"/>
        <c:grouping val="stacked"/>
        <c:varyColors val="0"/>
        <c:ser>
          <c:idx val="0"/>
          <c:order val="0"/>
          <c:tx>
            <c:v>active weight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credito!$D$72:$D$87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credito!$O$72:$O$87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E15-BE6A-D48D290DB4DC}"/>
            </c:ext>
          </c:extLst>
        </c:ser>
        <c:ser>
          <c:idx val="1"/>
          <c:order val="1"/>
          <c:tx>
            <c:v>pcr</c:v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credito!$D$72:$D$87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credito!$Z$72:$Z$87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1-4E15-BE6A-D48D290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332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Spread position view</a:t>
            </a:r>
          </a:p>
        </c:rich>
      </c:tx>
      <c:layout>
        <c:manualLayout>
          <c:xMode val="edge"/>
          <c:yMode val="edge"/>
          <c:x val="0.42111597171653181"/>
          <c:y val="2.24162853103608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764143566130283E-2"/>
          <c:y val="8.933992660107859E-2"/>
          <c:w val="0.87127499389712171"/>
          <c:h val="0.71286465451616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credito!$K$48</c:f>
              <c:strCache>
                <c:ptCount val="1"/>
                <c:pt idx="0">
                  <c:v>spread $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credito!$D$49:$D$64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credito!$K$49:$K$64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D-4AE9-BF50-9634ED0D7E51}"/>
            </c:ext>
          </c:extLst>
        </c:ser>
        <c:ser>
          <c:idx val="1"/>
          <c:order val="1"/>
          <c:tx>
            <c:strRef>
              <c:f>credito!$L$48</c:f>
              <c:strCache>
                <c:ptCount val="1"/>
                <c:pt idx="0">
                  <c:v>spread UF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credito!$D$49:$D$64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credito!$L$49:$L$64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D-4AE9-BF50-9634ED0D7E51}"/>
            </c:ext>
          </c:extLst>
        </c:ser>
        <c:ser>
          <c:idx val="2"/>
          <c:order val="2"/>
          <c:tx>
            <c:strRef>
              <c:f>credito!$M$48</c:f>
              <c:strCache>
                <c:ptCount val="1"/>
                <c:pt idx="0">
                  <c:v>spread US$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credito!$D$49:$D$64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credito!$M$49:$M$64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D-4AE9-BF50-9634ED0D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Historical Tracking Error v/s Duration by Currency</a:t>
            </a:r>
          </a:p>
        </c:rich>
      </c:tx>
      <c:layout>
        <c:manualLayout>
          <c:xMode val="edge"/>
          <c:yMode val="edge"/>
          <c:x val="0.30705021597636617"/>
          <c:y val="3.702565020281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1373031496062998E-2"/>
          <c:y val="0.10338433150401655"/>
          <c:w val="0.78109793892950896"/>
          <c:h val="0.79555627605372858"/>
        </c:manualLayout>
      </c:layout>
      <c:areaChart>
        <c:grouping val="stacked"/>
        <c:varyColors val="0"/>
        <c:ser>
          <c:idx val="1"/>
          <c:order val="0"/>
          <c:tx>
            <c:strRef>
              <c:f>Historical!$L$1</c:f>
              <c:strCache>
                <c:ptCount val="1"/>
                <c:pt idx="0">
                  <c:v>$</c:v>
                </c:pt>
              </c:strCache>
            </c:strRef>
          </c:tx>
          <c:spPr>
            <a:solidFill>
              <a:schemeClr val="accent1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Historical!$L$2:$L$21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5.5821739329855111E-3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821-842D-7B4662D232BE}"/>
            </c:ext>
          </c:extLst>
        </c:ser>
        <c:ser>
          <c:idx val="0"/>
          <c:order val="1"/>
          <c:tx>
            <c:strRef>
              <c:f>Historical!$M$1</c:f>
              <c:strCache>
                <c:ptCount val="1"/>
                <c:pt idx="0">
                  <c:v>UF</c:v>
                </c:pt>
              </c:strCache>
            </c:strRef>
          </c:tx>
          <c:spPr>
            <a:solidFill>
              <a:schemeClr val="accent6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Historical!$M$2:$M$21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4.5270850624597545E-3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821-842D-7B4662D232BE}"/>
            </c:ext>
          </c:extLst>
        </c:ser>
        <c:ser>
          <c:idx val="2"/>
          <c:order val="2"/>
          <c:tx>
            <c:strRef>
              <c:f>Historical!$N$1</c:f>
              <c:strCache>
                <c:ptCount val="1"/>
                <c:pt idx="0">
                  <c:v>US$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Historical!$N$2:$N$21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-1.0827434532968943E-5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6-4821-842D-7B4662D232BE}"/>
            </c:ext>
          </c:extLst>
        </c:ser>
        <c:ser>
          <c:idx val="3"/>
          <c:order val="3"/>
          <c:tx>
            <c:strRef>
              <c:f>Historical!$O$1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Historical!$O$2:$O$21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1.289498389975945E-7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6-4821-842D-7B4662D232BE}"/>
            </c:ext>
          </c:extLst>
        </c:ser>
        <c:ser>
          <c:idx val="4"/>
          <c:order val="4"/>
          <c:tx>
            <c:strRef>
              <c:f>Historical!$P$1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rgbClr val="00B050"/>
            </a:solidFill>
            <a:ln w="9525" cmpd="sng">
              <a:noFill/>
              <a:prstDash val="solid"/>
              <a:tailEnd type="diamond"/>
            </a:ln>
            <a:effectLst/>
          </c:spP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4-6316-4821-842D-7B4662D232BE}"/>
              </c:ext>
            </c:extLst>
          </c:dPt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Historical!$P$2:$P$21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16-4821-842D-7B4662D232BE}"/>
            </c:ext>
          </c:extLst>
        </c:ser>
        <c:ser>
          <c:idx val="5"/>
          <c:order val="5"/>
          <c:tx>
            <c:strRef>
              <c:f>Historical!$Q$1</c:f>
              <c:strCache>
                <c:ptCount val="1"/>
                <c:pt idx="0">
                  <c:v>SOL</c:v>
                </c:pt>
              </c:strCache>
            </c:strRef>
          </c:tx>
          <c:spPr>
            <a:solidFill>
              <a:srgbClr val="C00000"/>
            </a:solidFill>
            <a:ln cap="rnd"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Historical!$Q$2:$Q$21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16-4821-842D-7B4662D232BE}"/>
            </c:ext>
          </c:extLst>
        </c:ser>
        <c:ser>
          <c:idx val="7"/>
          <c:order val="6"/>
          <c:tx>
            <c:strRef>
              <c:f>Historical!$R$1</c:f>
              <c:strCache>
                <c:ptCount val="1"/>
                <c:pt idx="0">
                  <c:v>REA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Historical!$R$2:$R$21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16-4821-842D-7B4662D2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21472"/>
        <c:axId val="1714773776"/>
      </c:areaChart>
      <c:lineChart>
        <c:grouping val="standard"/>
        <c:varyColors val="0"/>
        <c:ser>
          <c:idx val="6"/>
          <c:order val="7"/>
          <c:tx>
            <c:strRef>
              <c:f>Historical!$S$1</c:f>
              <c:strCache>
                <c:ptCount val="1"/>
                <c:pt idx="0">
                  <c:v>Duration</c:v>
                </c:pt>
              </c:strCache>
            </c:strRef>
          </c:tx>
          <c:spPr>
            <a:ln w="571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diamond"/>
            <c:size val="21"/>
            <c:spPr>
              <a:solidFill>
                <a:srgbClr val="C000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Historical!$J$2:$K$21</c:f>
              <c:strCache>
                <c:ptCount val="20"/>
                <c:pt idx="0">
                  <c:v>17-10-2017</c:v>
                </c:pt>
                <c:pt idx="1">
                  <c:v>18-10-2017</c:v>
                </c:pt>
                <c:pt idx="2">
                  <c:v>19-10-2017</c:v>
                </c:pt>
                <c:pt idx="3">
                  <c:v>20-10-2017</c:v>
                </c:pt>
                <c:pt idx="4">
                  <c:v>23-10-2017</c:v>
                </c:pt>
                <c:pt idx="5">
                  <c:v>24-10-2017</c:v>
                </c:pt>
                <c:pt idx="6">
                  <c:v>25-10-2017</c:v>
                </c:pt>
                <c:pt idx="7">
                  <c:v>26-10-2017</c:v>
                </c:pt>
                <c:pt idx="8">
                  <c:v>27-10-2017</c:v>
                </c:pt>
                <c:pt idx="9">
                  <c:v>30-10-2017</c:v>
                </c:pt>
                <c:pt idx="10">
                  <c:v>31-10-2017</c:v>
                </c:pt>
                <c:pt idx="11">
                  <c:v>01-11-2017</c:v>
                </c:pt>
                <c:pt idx="12">
                  <c:v>02-11-2017</c:v>
                </c:pt>
                <c:pt idx="13">
                  <c:v>03-11-2017</c:v>
                </c:pt>
                <c:pt idx="14">
                  <c:v>06-11-2017</c:v>
                </c:pt>
                <c:pt idx="15">
                  <c:v>07-11-2017</c:v>
                </c:pt>
                <c:pt idx="16">
                  <c:v>08-11-2017</c:v>
                </c:pt>
                <c:pt idx="17">
                  <c:v>09-11-2017</c:v>
                </c:pt>
                <c:pt idx="18">
                  <c:v>10-11-2017</c:v>
                </c:pt>
                <c:pt idx="19">
                  <c:v>13-11-2017</c:v>
                </c:pt>
              </c:strCache>
            </c:strRef>
          </c:cat>
          <c:val>
            <c:numRef>
              <c:f>Historical!$S$2:$S$21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3.22514118942108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316-4821-842D-7B4662D2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85039"/>
        <c:axId val="377747615"/>
      </c:lineChart>
      <c:dateAx>
        <c:axId val="365385039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77747615"/>
        <c:crosses val="autoZero"/>
        <c:auto val="0"/>
        <c:lblOffset val="100"/>
        <c:baseTimeUnit val="days"/>
        <c:majorUnit val="2"/>
        <c:majorTimeUnit val="days"/>
        <c:minorUnit val="2"/>
        <c:minorTimeUnit val="days"/>
      </c:dateAx>
      <c:valAx>
        <c:axId val="377747615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365385039"/>
        <c:crosses val="autoZero"/>
        <c:crossBetween val="between"/>
        <c:majorUnit val="0.5"/>
      </c:valAx>
      <c:valAx>
        <c:axId val="17147737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97721472"/>
        <c:crosses val="max"/>
        <c:crossBetween val="between"/>
      </c:valAx>
      <c:catAx>
        <c:axId val="1697721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1477377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Spread active position by country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610915161028606E-2"/>
          <c:y val="9.250167856924861E-2"/>
          <c:w val="0.89288754159967287"/>
          <c:h val="0.69653642978172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'credito latam'!$E$86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latam'!$E$87:$E$102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D-4AE1-BECD-F133806B6AE2}"/>
            </c:ext>
          </c:extLst>
        </c:ser>
        <c:ser>
          <c:idx val="1"/>
          <c:order val="1"/>
          <c:tx>
            <c:strRef>
              <c:f>'credito latam'!$F$86</c:f>
              <c:strCache>
                <c:ptCount val="1"/>
                <c:pt idx="0">
                  <c:v>MX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latam'!$F$87:$F$102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D-4AE1-BECD-F133806B6AE2}"/>
            </c:ext>
          </c:extLst>
        </c:ser>
        <c:ser>
          <c:idx val="2"/>
          <c:order val="2"/>
          <c:tx>
            <c:strRef>
              <c:f>'credito latam'!$G$86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latam'!$G$87:$G$102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D-4AE1-BECD-F133806B6AE2}"/>
            </c:ext>
          </c:extLst>
        </c:ser>
        <c:ser>
          <c:idx val="3"/>
          <c:order val="3"/>
          <c:tx>
            <c:strRef>
              <c:f>'credito latam'!$H$86</c:f>
              <c:strCache>
                <c:ptCount val="1"/>
                <c:pt idx="0">
                  <c:v>PE</c:v>
                </c:pt>
              </c:strCache>
            </c:strRef>
          </c:tx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latam'!$H$87:$H$102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0-4168-9623-059D29807A1E}"/>
            </c:ext>
          </c:extLst>
        </c:ser>
        <c:ser>
          <c:idx val="4"/>
          <c:order val="4"/>
          <c:tx>
            <c:strRef>
              <c:f>'credito latam'!$I$86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bg2">
                <a:lumMod val="50000"/>
                <a:lumOff val="50000"/>
              </a:schemeClr>
            </a:solidFill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latam'!$I$87:$I$102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0-4168-9623-059D2980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crossAx val="1383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32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Risk/Active Position by duration</a:t>
            </a:r>
          </a:p>
        </c:rich>
      </c:tx>
      <c:layout>
        <c:manualLayout>
          <c:xMode val="edge"/>
          <c:yMode val="edge"/>
          <c:x val="0.35279507448883413"/>
          <c:y val="2.2416300710261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32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9291930401745725E-2"/>
          <c:y val="0.1111022519243918"/>
          <c:w val="0.8553914690020521"/>
          <c:h val="0.70406383025651198"/>
        </c:manualLayout>
      </c:layout>
      <c:barChart>
        <c:barDir val="col"/>
        <c:grouping val="stacked"/>
        <c:varyColors val="0"/>
        <c:ser>
          <c:idx val="0"/>
          <c:order val="0"/>
          <c:tx>
            <c:v>active weight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latam'!$L$87:$L$102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7-47B8-AC87-98C99DCBB707}"/>
            </c:ext>
          </c:extLst>
        </c:ser>
        <c:ser>
          <c:idx val="1"/>
          <c:order val="1"/>
          <c:tx>
            <c:v>pcr</c:v>
          </c:tx>
          <c:spPr>
            <a:solidFill>
              <a:schemeClr val="accent6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'credito latam'!$D$87:$D$102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100</c:v>
                </c:pt>
              </c:numCache>
            </c:numRef>
          </c:cat>
          <c:val>
            <c:numRef>
              <c:f>'credito latam'!$T$87:$T$102</c:f>
              <c:numCache>
                <c:formatCode>#,##0.0%;\(#,##0.0%\)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7-47B8-AC87-98C99DCB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38332672"/>
        <c:axId val="138547712"/>
      </c:barChart>
      <c:catAx>
        <c:axId val="138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547712"/>
        <c:crosses val="autoZero"/>
        <c:auto val="1"/>
        <c:lblAlgn val="ctr"/>
        <c:lblOffset val="100"/>
        <c:noMultiLvlLbl val="0"/>
      </c:catAx>
      <c:valAx>
        <c:axId val="13854771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83326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3600" b="1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1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1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77933</xdr:colOff>
      <xdr:row>0</xdr:row>
      <xdr:rowOff>138545</xdr:rowOff>
    </xdr:from>
    <xdr:to>
      <xdr:col>2</xdr:col>
      <xdr:colOff>1021773</xdr:colOff>
      <xdr:row>1</xdr:row>
      <xdr:rowOff>305232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5A9E01E-6CA9-4D27-8384-31E1F6FB9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9206" y="138545"/>
          <a:ext cx="1757794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1219200</xdr:colOff>
      <xdr:row>91</xdr:row>
      <xdr:rowOff>95250</xdr:rowOff>
    </xdr:from>
    <xdr:to>
      <xdr:col>28</xdr:col>
      <xdr:colOff>0</xdr:colOff>
      <xdr:row>125</xdr:row>
      <xdr:rowOff>152400</xdr:rowOff>
    </xdr:to>
    <xdr:graphicFrame macro="">
      <xdr:nvGraphicFramePr>
        <xdr:cNvPr id="7" name="5 Gráfico">
          <a:extLst>
            <a:ext uri="{FF2B5EF4-FFF2-40B4-BE49-F238E27FC236}">
              <a16:creationId xmlns:a16="http://schemas.microsoft.com/office/drawing/2014/main" id="{2F114C40-6804-4573-82D2-E63DE22B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91</xdr:row>
      <xdr:rowOff>114300</xdr:rowOff>
    </xdr:from>
    <xdr:to>
      <xdr:col>14</xdr:col>
      <xdr:colOff>1447800</xdr:colOff>
      <xdr:row>125</xdr:row>
      <xdr:rowOff>114300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B77AA0EF-31E3-42BA-9682-04D0C521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1390650</xdr:colOff>
      <xdr:row>11</xdr:row>
      <xdr:rowOff>190500</xdr:rowOff>
    </xdr:from>
    <xdr:to>
      <xdr:col>39</xdr:col>
      <xdr:colOff>476250</xdr:colOff>
      <xdr:row>46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F920C3-C178-431A-BF7A-F2F3BEE64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116032</xdr:colOff>
      <xdr:row>1</xdr:row>
      <xdr:rowOff>100444</xdr:rowOff>
    </xdr:from>
    <xdr:to>
      <xdr:col>4</xdr:col>
      <xdr:colOff>837889</xdr:colOff>
      <xdr:row>2</xdr:row>
      <xdr:rowOff>990600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3E324B5-86C0-4A15-AB72-F5B1A422A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16232" y="443344"/>
          <a:ext cx="5674857" cy="1233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107</xdr:row>
      <xdr:rowOff>304800</xdr:rowOff>
    </xdr:from>
    <xdr:to>
      <xdr:col>23</xdr:col>
      <xdr:colOff>1524000</xdr:colOff>
      <xdr:row>131</xdr:row>
      <xdr:rowOff>266700</xdr:rowOff>
    </xdr:to>
    <xdr:graphicFrame macro="">
      <xdr:nvGraphicFramePr>
        <xdr:cNvPr id="10" name="5 Gráfico">
          <a:extLst>
            <a:ext uri="{FF2B5EF4-FFF2-40B4-BE49-F238E27FC236}">
              <a16:creationId xmlns:a16="http://schemas.microsoft.com/office/drawing/2014/main" id="{7AF685EA-7FB0-4AA9-B728-89B9BF43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381000</xdr:colOff>
      <xdr:row>100</xdr:row>
      <xdr:rowOff>57150</xdr:rowOff>
    </xdr:from>
    <xdr:to>
      <xdr:col>35</xdr:col>
      <xdr:colOff>0</xdr:colOff>
      <xdr:row>131</xdr:row>
      <xdr:rowOff>304800</xdr:rowOff>
    </xdr:to>
    <xdr:graphicFrame macro="">
      <xdr:nvGraphicFramePr>
        <xdr:cNvPr id="12" name="5 Gráfico">
          <a:extLst>
            <a:ext uri="{FF2B5EF4-FFF2-40B4-BE49-F238E27FC236}">
              <a16:creationId xmlns:a16="http://schemas.microsoft.com/office/drawing/2014/main" id="{F993A6A1-F64E-49FD-BBD7-3BEAF438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107</xdr:row>
      <xdr:rowOff>247650</xdr:rowOff>
    </xdr:from>
    <xdr:to>
      <xdr:col>11</xdr:col>
      <xdr:colOff>3133725</xdr:colOff>
      <xdr:row>131</xdr:row>
      <xdr:rowOff>228600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CA2B1F86-40C8-4CCF-9E0A-F98DC2E4C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116033</xdr:colOff>
      <xdr:row>0</xdr:row>
      <xdr:rowOff>329044</xdr:rowOff>
    </xdr:from>
    <xdr:to>
      <xdr:col>3</xdr:col>
      <xdr:colOff>1736267</xdr:colOff>
      <xdr:row>2</xdr:row>
      <xdr:rowOff>533399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1EC504F-4241-49EC-A56D-92656C8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7183" y="329044"/>
          <a:ext cx="4096734" cy="890155"/>
        </a:xfrm>
        <a:prstGeom prst="rect">
          <a:avLst/>
        </a:prstGeom>
      </xdr:spPr>
    </xdr:pic>
    <xdr:clientData/>
  </xdr:twoCellAnchor>
  <xdr:twoCellAnchor>
    <xdr:from>
      <xdr:col>18</xdr:col>
      <xdr:colOff>685800</xdr:colOff>
      <xdr:row>8</xdr:row>
      <xdr:rowOff>0</xdr:rowOff>
    </xdr:from>
    <xdr:to>
      <xdr:col>34</xdr:col>
      <xdr:colOff>1714500</xdr:colOff>
      <xdr:row>44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C19162-C561-443B-89A6-7EB91187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1638300</xdr:colOff>
      <xdr:row>103</xdr:row>
      <xdr:rowOff>266700</xdr:rowOff>
    </xdr:from>
    <xdr:to>
      <xdr:col>21</xdr:col>
      <xdr:colOff>1619250</xdr:colOff>
      <xdr:row>128</xdr:row>
      <xdr:rowOff>228600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15E3FBBE-9D4E-492F-9746-3B8808381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2000251</xdr:colOff>
      <xdr:row>103</xdr:row>
      <xdr:rowOff>304800</xdr:rowOff>
    </xdr:from>
    <xdr:to>
      <xdr:col>34</xdr:col>
      <xdr:colOff>0</xdr:colOff>
      <xdr:row>128</xdr:row>
      <xdr:rowOff>304800</xdr:rowOff>
    </xdr:to>
    <xdr:graphicFrame macro="">
      <xdr:nvGraphicFramePr>
        <xdr:cNvPr id="7" name="5 Gráfico">
          <a:extLst>
            <a:ext uri="{FF2B5EF4-FFF2-40B4-BE49-F238E27FC236}">
              <a16:creationId xmlns:a16="http://schemas.microsoft.com/office/drawing/2014/main" id="{9A905E52-C22E-4763-A1BA-41EC3D769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103</xdr:row>
      <xdr:rowOff>247650</xdr:rowOff>
    </xdr:from>
    <xdr:to>
      <xdr:col>11</xdr:col>
      <xdr:colOff>1238250</xdr:colOff>
      <xdr:row>128</xdr:row>
      <xdr:rowOff>228600</xdr:rowOff>
    </xdr:to>
    <xdr:graphicFrame macro="">
      <xdr:nvGraphicFramePr>
        <xdr:cNvPr id="8" name="5 Gráfico">
          <a:extLst>
            <a:ext uri="{FF2B5EF4-FFF2-40B4-BE49-F238E27FC236}">
              <a16:creationId xmlns:a16="http://schemas.microsoft.com/office/drawing/2014/main" id="{1832372D-E9BC-4EA8-AD72-0D20B3600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971550</xdr:colOff>
      <xdr:row>12</xdr:row>
      <xdr:rowOff>304800</xdr:rowOff>
    </xdr:from>
    <xdr:to>
      <xdr:col>34</xdr:col>
      <xdr:colOff>0</xdr:colOff>
      <xdr:row>40</xdr:row>
      <xdr:rowOff>685800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41C3BA7-FCA2-4B0D-9EC6-510034ED5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685800</xdr:colOff>
      <xdr:row>83</xdr:row>
      <xdr:rowOff>114300</xdr:rowOff>
    </xdr:from>
    <xdr:to>
      <xdr:col>33</xdr:col>
      <xdr:colOff>1447800</xdr:colOff>
      <xdr:row>103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867368A-4570-4BCC-9868-4B56E060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116033</xdr:colOff>
      <xdr:row>0</xdr:row>
      <xdr:rowOff>329044</xdr:rowOff>
    </xdr:from>
    <xdr:to>
      <xdr:col>3</xdr:col>
      <xdr:colOff>1736267</xdr:colOff>
      <xdr:row>2</xdr:row>
      <xdr:rowOff>533399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AD9744D-185D-4D12-BAD8-FE43F5757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7183" y="329044"/>
          <a:ext cx="4096734" cy="890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762000</xdr:rowOff>
    </xdr:from>
    <xdr:to>
      <xdr:col>31</xdr:col>
      <xdr:colOff>1143000</xdr:colOff>
      <xdr:row>102</xdr:row>
      <xdr:rowOff>342900</xdr:rowOff>
    </xdr:to>
    <xdr:graphicFrame macro="">
      <xdr:nvGraphicFramePr>
        <xdr:cNvPr id="8" name="5 Gráfico">
          <a:extLst>
            <a:ext uri="{FF2B5EF4-FFF2-40B4-BE49-F238E27FC236}">
              <a16:creationId xmlns:a16="http://schemas.microsoft.com/office/drawing/2014/main" id="{28A28E1B-20E5-49B7-8A98-D0C54D17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116032</xdr:colOff>
      <xdr:row>0</xdr:row>
      <xdr:rowOff>329044</xdr:rowOff>
    </xdr:from>
    <xdr:to>
      <xdr:col>3</xdr:col>
      <xdr:colOff>1177339</xdr:colOff>
      <xdr:row>2</xdr:row>
      <xdr:rowOff>1143000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1C40C7E-2A2B-4195-81CC-92EC2C7F0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35282" y="329044"/>
          <a:ext cx="6681057" cy="15759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8</xdr:col>
      <xdr:colOff>800100</xdr:colOff>
      <xdr:row>57</xdr:row>
      <xdr:rowOff>304800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93D744-A57B-422B-9AF3-51BA32525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60</xdr:row>
      <xdr:rowOff>152400</xdr:rowOff>
    </xdr:from>
    <xdr:to>
      <xdr:col>15</xdr:col>
      <xdr:colOff>2019300</xdr:colOff>
      <xdr:row>108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8B6BF0-FD1A-436C-BCFC-77969A4A3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344633</xdr:colOff>
      <xdr:row>1</xdr:row>
      <xdr:rowOff>152401</xdr:rowOff>
    </xdr:from>
    <xdr:to>
      <xdr:col>2</xdr:col>
      <xdr:colOff>1811625</xdr:colOff>
      <xdr:row>2</xdr:row>
      <xdr:rowOff>724007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F646494-CA9D-4C86-8609-9C67E996D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2833" y="342901"/>
          <a:ext cx="2876692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-0.249977111117893"/>
  </sheetPr>
  <dimension ref="A1:AQ2194"/>
  <sheetViews>
    <sheetView topLeftCell="O76" zoomScale="85" zoomScaleNormal="85" workbookViewId="0">
      <selection activeCell="T91" sqref="T91:T92"/>
    </sheetView>
  </sheetViews>
  <sheetFormatPr baseColWidth="10" defaultRowHeight="14.25" x14ac:dyDescent="0.2"/>
  <cols>
    <col min="1" max="1" width="11" customWidth="1"/>
    <col min="2" max="2" width="23.375" customWidth="1"/>
    <col min="3" max="3" width="16.75" customWidth="1"/>
    <col min="4" max="4" width="25.25" customWidth="1"/>
    <col min="5" max="5" width="22.75" customWidth="1"/>
    <col min="6" max="6" width="21.875" customWidth="1"/>
    <col min="7" max="7" width="23.375" customWidth="1"/>
    <col min="10" max="10" width="15.875" customWidth="1"/>
    <col min="12" max="12" width="14.25" customWidth="1"/>
    <col min="18" max="18" width="29" customWidth="1"/>
    <col min="19" max="19" width="17.625" customWidth="1"/>
    <col min="20" max="20" width="20.875" customWidth="1"/>
    <col min="23" max="23" width="21.5" customWidth="1"/>
    <col min="24" max="24" width="39.25" customWidth="1"/>
    <col min="26" max="26" width="27.625" customWidth="1"/>
    <col min="31" max="31" width="27.5" customWidth="1"/>
    <col min="32" max="32" width="17.625" customWidth="1"/>
    <col min="33" max="33" width="11.875" customWidth="1"/>
    <col min="34" max="35" width="29.375" customWidth="1"/>
    <col min="36" max="36" width="16.875" customWidth="1"/>
    <col min="37" max="37" width="14" customWidth="1"/>
    <col min="40" max="40" width="22" customWidth="1"/>
    <col min="41" max="41" width="24.625" customWidth="1"/>
  </cols>
  <sheetData>
    <row r="1" spans="1:43" x14ac:dyDescent="0.2">
      <c r="B1" t="s">
        <v>220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109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164</v>
      </c>
      <c r="X1" t="s">
        <v>19</v>
      </c>
      <c r="Y1" t="s">
        <v>20</v>
      </c>
      <c r="Z1" t="s">
        <v>155</v>
      </c>
      <c r="AA1" t="s">
        <v>21</v>
      </c>
      <c r="AB1" t="s">
        <v>22</v>
      </c>
      <c r="AC1" t="s">
        <v>23</v>
      </c>
      <c r="AD1" t="s">
        <v>24</v>
      </c>
      <c r="AE1" t="s">
        <v>106</v>
      </c>
      <c r="AF1" t="s">
        <v>25</v>
      </c>
      <c r="AG1" t="s">
        <v>26</v>
      </c>
      <c r="AH1" t="s">
        <v>68</v>
      </c>
      <c r="AI1" t="s">
        <v>69</v>
      </c>
      <c r="AJ1" t="s">
        <v>27</v>
      </c>
      <c r="AK1" t="s">
        <v>28</v>
      </c>
      <c r="AL1" t="s">
        <v>105</v>
      </c>
      <c r="AM1" t="s">
        <v>107</v>
      </c>
      <c r="AN1" t="s">
        <v>152</v>
      </c>
      <c r="AO1" t="s">
        <v>153</v>
      </c>
      <c r="AP1" t="s">
        <v>156</v>
      </c>
      <c r="AQ1" t="s">
        <v>168</v>
      </c>
    </row>
    <row r="2" spans="1:43" x14ac:dyDescent="0.2">
      <c r="A2">
        <v>0</v>
      </c>
      <c r="B2">
        <v>0</v>
      </c>
      <c r="C2">
        <v>3</v>
      </c>
      <c r="D2">
        <v>0</v>
      </c>
      <c r="E2" t="s">
        <v>260</v>
      </c>
      <c r="F2" t="s">
        <v>62</v>
      </c>
      <c r="G2" t="s">
        <v>284</v>
      </c>
      <c r="H2">
        <v>0</v>
      </c>
      <c r="I2">
        <v>0</v>
      </c>
      <c r="J2">
        <v>0</v>
      </c>
      <c r="L2" s="1">
        <v>43081</v>
      </c>
      <c r="M2" s="1">
        <v>43052</v>
      </c>
      <c r="N2" s="1"/>
      <c r="R2">
        <v>0</v>
      </c>
      <c r="T2" t="s">
        <v>39</v>
      </c>
      <c r="V2">
        <v>50582400</v>
      </c>
      <c r="W2" t="s">
        <v>261</v>
      </c>
      <c r="X2" t="s">
        <v>263</v>
      </c>
      <c r="Y2">
        <v>0</v>
      </c>
      <c r="Z2" t="s">
        <v>47</v>
      </c>
      <c r="AA2">
        <v>0</v>
      </c>
      <c r="AB2">
        <v>0</v>
      </c>
      <c r="AC2" t="s">
        <v>47</v>
      </c>
      <c r="AE2" t="s">
        <v>108</v>
      </c>
      <c r="AF2">
        <v>0</v>
      </c>
      <c r="AH2" t="s">
        <v>202</v>
      </c>
      <c r="AJ2">
        <v>5.353613421237898E-3</v>
      </c>
      <c r="AK2">
        <v>5.353613421237898E-3</v>
      </c>
      <c r="AL2">
        <v>0</v>
      </c>
      <c r="AN2" t="s">
        <v>47</v>
      </c>
      <c r="AQ2">
        <v>0</v>
      </c>
    </row>
    <row r="3" spans="1:43" x14ac:dyDescent="0.2">
      <c r="A3">
        <v>1</v>
      </c>
      <c r="B3">
        <v>0</v>
      </c>
      <c r="C3">
        <v>3</v>
      </c>
      <c r="D3">
        <v>0</v>
      </c>
      <c r="E3" t="s">
        <v>204</v>
      </c>
      <c r="F3" t="s">
        <v>62</v>
      </c>
      <c r="G3" t="s">
        <v>285</v>
      </c>
      <c r="H3">
        <v>0</v>
      </c>
      <c r="I3">
        <v>0</v>
      </c>
      <c r="J3">
        <v>0</v>
      </c>
      <c r="L3" s="1">
        <v>43056</v>
      </c>
      <c r="M3" s="1">
        <v>43052</v>
      </c>
      <c r="R3">
        <v>0</v>
      </c>
      <c r="T3" t="s">
        <v>39</v>
      </c>
      <c r="V3">
        <v>49878400</v>
      </c>
      <c r="W3" t="s">
        <v>200</v>
      </c>
      <c r="X3" t="s">
        <v>201</v>
      </c>
      <c r="Y3">
        <v>0</v>
      </c>
      <c r="Z3" t="s">
        <v>47</v>
      </c>
      <c r="AA3">
        <v>0</v>
      </c>
      <c r="AB3">
        <v>0</v>
      </c>
      <c r="AC3" t="s">
        <v>47</v>
      </c>
      <c r="AE3" t="s">
        <v>108</v>
      </c>
      <c r="AF3">
        <v>0</v>
      </c>
      <c r="AH3" t="s">
        <v>202</v>
      </c>
      <c r="AJ3">
        <v>5.2791024480821859E-3</v>
      </c>
      <c r="AK3">
        <v>5.2791024480821859E-3</v>
      </c>
      <c r="AL3">
        <v>0</v>
      </c>
      <c r="AN3" t="s">
        <v>47</v>
      </c>
      <c r="AQ3">
        <v>0</v>
      </c>
    </row>
    <row r="4" spans="1:43" x14ac:dyDescent="0.2">
      <c r="A4">
        <v>2</v>
      </c>
      <c r="B4">
        <v>0</v>
      </c>
      <c r="C4">
        <v>3</v>
      </c>
      <c r="D4">
        <v>0</v>
      </c>
      <c r="E4" t="s">
        <v>204</v>
      </c>
      <c r="F4" t="s">
        <v>62</v>
      </c>
      <c r="G4" t="s">
        <v>236</v>
      </c>
      <c r="H4">
        <v>0</v>
      </c>
      <c r="I4">
        <v>0</v>
      </c>
      <c r="J4">
        <v>0</v>
      </c>
      <c r="L4" s="1">
        <v>43236</v>
      </c>
      <c r="M4" s="1">
        <v>43052</v>
      </c>
      <c r="N4" s="1"/>
      <c r="R4">
        <v>0</v>
      </c>
      <c r="T4" t="s">
        <v>39</v>
      </c>
      <c r="V4">
        <v>652950000</v>
      </c>
      <c r="W4" t="s">
        <v>200</v>
      </c>
      <c r="X4" t="s">
        <v>201</v>
      </c>
      <c r="Y4">
        <v>0</v>
      </c>
      <c r="Z4" t="s">
        <v>47</v>
      </c>
      <c r="AA4">
        <v>0</v>
      </c>
      <c r="AB4">
        <v>0</v>
      </c>
      <c r="AC4" t="s">
        <v>47</v>
      </c>
      <c r="AE4" t="s">
        <v>108</v>
      </c>
      <c r="AF4">
        <v>0</v>
      </c>
      <c r="AH4" t="s">
        <v>202</v>
      </c>
      <c r="AJ4">
        <v>6.910786920741771E-2</v>
      </c>
      <c r="AK4">
        <v>6.910786920741771E-2</v>
      </c>
      <c r="AL4">
        <v>0</v>
      </c>
      <c r="AN4" t="s">
        <v>47</v>
      </c>
      <c r="AQ4">
        <v>0</v>
      </c>
    </row>
    <row r="5" spans="1:43" x14ac:dyDescent="0.2">
      <c r="A5">
        <v>3</v>
      </c>
      <c r="B5">
        <v>0</v>
      </c>
      <c r="C5">
        <v>3</v>
      </c>
      <c r="D5">
        <v>0</v>
      </c>
      <c r="E5" t="s">
        <v>204</v>
      </c>
      <c r="F5" t="s">
        <v>62</v>
      </c>
      <c r="G5" t="s">
        <v>237</v>
      </c>
      <c r="H5">
        <v>0</v>
      </c>
      <c r="I5">
        <v>0</v>
      </c>
      <c r="J5">
        <v>0</v>
      </c>
      <c r="L5" s="1">
        <v>43237</v>
      </c>
      <c r="M5" s="1">
        <v>43052</v>
      </c>
      <c r="N5" s="1"/>
      <c r="R5">
        <v>0</v>
      </c>
      <c r="T5" t="s">
        <v>39</v>
      </c>
      <c r="V5">
        <v>645000000</v>
      </c>
      <c r="W5" t="s">
        <v>200</v>
      </c>
      <c r="X5" t="s">
        <v>201</v>
      </c>
      <c r="Y5">
        <v>0</v>
      </c>
      <c r="Z5" t="s">
        <v>47</v>
      </c>
      <c r="AA5">
        <v>0</v>
      </c>
      <c r="AB5">
        <v>0</v>
      </c>
      <c r="AC5" t="s">
        <v>47</v>
      </c>
      <c r="AE5" t="s">
        <v>108</v>
      </c>
      <c r="AF5">
        <v>0</v>
      </c>
      <c r="AH5" t="s">
        <v>202</v>
      </c>
      <c r="AJ5">
        <v>6.8266445575900794E-2</v>
      </c>
      <c r="AK5">
        <v>6.8266445575900794E-2</v>
      </c>
      <c r="AL5">
        <v>0</v>
      </c>
      <c r="AN5" t="s">
        <v>47</v>
      </c>
      <c r="AQ5">
        <v>0</v>
      </c>
    </row>
    <row r="6" spans="1:43" x14ac:dyDescent="0.2">
      <c r="A6">
        <v>4</v>
      </c>
      <c r="B6">
        <v>0</v>
      </c>
      <c r="C6">
        <v>3</v>
      </c>
      <c r="D6">
        <v>0</v>
      </c>
      <c r="E6" t="s">
        <v>203</v>
      </c>
      <c r="F6" t="s">
        <v>62</v>
      </c>
      <c r="G6" t="s">
        <v>238</v>
      </c>
      <c r="H6">
        <v>0</v>
      </c>
      <c r="I6">
        <v>0</v>
      </c>
      <c r="J6">
        <v>0</v>
      </c>
      <c r="L6" s="1">
        <v>43236</v>
      </c>
      <c r="M6" s="1">
        <v>43052</v>
      </c>
      <c r="N6" s="1"/>
      <c r="R6">
        <v>0</v>
      </c>
      <c r="T6" t="s">
        <v>39</v>
      </c>
      <c r="V6">
        <v>-644350016</v>
      </c>
      <c r="W6" t="s">
        <v>181</v>
      </c>
      <c r="X6" t="s">
        <v>239</v>
      </c>
      <c r="Y6">
        <v>0</v>
      </c>
      <c r="Z6" t="s">
        <v>47</v>
      </c>
      <c r="AA6">
        <v>0</v>
      </c>
      <c r="AB6">
        <v>0</v>
      </c>
      <c r="AC6" t="s">
        <v>47</v>
      </c>
      <c r="AE6" t="s">
        <v>108</v>
      </c>
      <c r="AF6">
        <v>0</v>
      </c>
      <c r="AH6" t="s">
        <v>202</v>
      </c>
      <c r="AJ6">
        <v>-6.8197651626503569E-2</v>
      </c>
      <c r="AK6">
        <v>-6.8197651626503569E-2</v>
      </c>
      <c r="AL6">
        <v>0</v>
      </c>
      <c r="AN6" t="s">
        <v>47</v>
      </c>
      <c r="AQ6">
        <v>0</v>
      </c>
    </row>
    <row r="7" spans="1:43" x14ac:dyDescent="0.2">
      <c r="A7">
        <v>5</v>
      </c>
      <c r="B7">
        <v>0</v>
      </c>
      <c r="C7">
        <v>3</v>
      </c>
      <c r="D7">
        <v>0</v>
      </c>
      <c r="E7" t="s">
        <v>260</v>
      </c>
      <c r="F7" t="s">
        <v>62</v>
      </c>
      <c r="G7" t="s">
        <v>286</v>
      </c>
      <c r="H7">
        <v>0</v>
      </c>
      <c r="I7">
        <v>0</v>
      </c>
      <c r="J7">
        <v>0</v>
      </c>
      <c r="L7" s="1">
        <v>43056</v>
      </c>
      <c r="M7" s="1">
        <v>43052</v>
      </c>
      <c r="N7" s="1"/>
      <c r="R7">
        <v>0</v>
      </c>
      <c r="T7" t="s">
        <v>39</v>
      </c>
      <c r="V7">
        <v>-50560000</v>
      </c>
      <c r="W7" t="s">
        <v>261</v>
      </c>
      <c r="X7" t="s">
        <v>262</v>
      </c>
      <c r="Y7">
        <v>0</v>
      </c>
      <c r="Z7" t="s">
        <v>47</v>
      </c>
      <c r="AA7">
        <v>0</v>
      </c>
      <c r="AB7">
        <v>0</v>
      </c>
      <c r="AC7" t="s">
        <v>47</v>
      </c>
      <c r="AE7" t="s">
        <v>108</v>
      </c>
      <c r="AF7">
        <v>0</v>
      </c>
      <c r="AH7" t="s">
        <v>202</v>
      </c>
      <c r="AJ7">
        <v>-5.3512426175465798E-3</v>
      </c>
      <c r="AK7">
        <v>-5.3512426175465798E-3</v>
      </c>
      <c r="AL7">
        <v>0</v>
      </c>
      <c r="AN7" t="s">
        <v>47</v>
      </c>
      <c r="AQ7">
        <v>0</v>
      </c>
    </row>
    <row r="8" spans="1:43" x14ac:dyDescent="0.2">
      <c r="A8">
        <v>6</v>
      </c>
      <c r="B8">
        <v>0</v>
      </c>
      <c r="C8">
        <v>3</v>
      </c>
      <c r="D8">
        <v>0</v>
      </c>
      <c r="E8" t="s">
        <v>204</v>
      </c>
      <c r="F8" t="s">
        <v>62</v>
      </c>
      <c r="G8" t="s">
        <v>240</v>
      </c>
      <c r="H8">
        <v>0</v>
      </c>
      <c r="I8">
        <v>0</v>
      </c>
      <c r="J8">
        <v>0</v>
      </c>
      <c r="L8" s="1">
        <v>43237</v>
      </c>
      <c r="M8" s="1">
        <v>43052</v>
      </c>
      <c r="N8" s="1"/>
      <c r="R8">
        <v>0</v>
      </c>
      <c r="T8" t="s">
        <v>39</v>
      </c>
      <c r="V8">
        <v>-641539968</v>
      </c>
      <c r="W8" t="s">
        <v>200</v>
      </c>
      <c r="X8" t="s">
        <v>205</v>
      </c>
      <c r="Y8">
        <v>0</v>
      </c>
      <c r="Z8" t="s">
        <v>47</v>
      </c>
      <c r="AA8">
        <v>0</v>
      </c>
      <c r="AB8">
        <v>0</v>
      </c>
      <c r="AC8" t="s">
        <v>47</v>
      </c>
      <c r="AE8" t="s">
        <v>108</v>
      </c>
      <c r="AF8">
        <v>0</v>
      </c>
      <c r="AH8" t="s">
        <v>202</v>
      </c>
      <c r="AJ8">
        <v>-6.7900237690290133E-2</v>
      </c>
      <c r="AK8">
        <v>-6.7900237690290133E-2</v>
      </c>
      <c r="AL8">
        <v>0</v>
      </c>
      <c r="AN8" t="s">
        <v>47</v>
      </c>
      <c r="AQ8">
        <v>0</v>
      </c>
    </row>
    <row r="9" spans="1:43" x14ac:dyDescent="0.2">
      <c r="A9">
        <v>7</v>
      </c>
      <c r="B9">
        <v>0</v>
      </c>
      <c r="C9">
        <v>3</v>
      </c>
      <c r="D9">
        <v>0</v>
      </c>
      <c r="E9" t="s">
        <v>241</v>
      </c>
      <c r="F9" t="s">
        <v>62</v>
      </c>
      <c r="G9" t="s">
        <v>159</v>
      </c>
      <c r="H9">
        <v>0</v>
      </c>
      <c r="I9">
        <v>0</v>
      </c>
      <c r="J9">
        <v>0</v>
      </c>
      <c r="L9" s="1">
        <v>43052</v>
      </c>
      <c r="M9" s="1">
        <v>43052</v>
      </c>
      <c r="N9" s="1"/>
      <c r="R9">
        <v>0</v>
      </c>
      <c r="T9" t="s">
        <v>39</v>
      </c>
      <c r="V9">
        <v>70802783</v>
      </c>
      <c r="W9" t="s">
        <v>45</v>
      </c>
      <c r="X9" t="s">
        <v>46</v>
      </c>
      <c r="Y9">
        <v>0</v>
      </c>
      <c r="Z9" t="s">
        <v>47</v>
      </c>
      <c r="AA9">
        <v>0</v>
      </c>
      <c r="AB9">
        <v>0</v>
      </c>
      <c r="AC9" t="s">
        <v>47</v>
      </c>
      <c r="AE9" t="s">
        <v>45</v>
      </c>
      <c r="AF9">
        <v>0</v>
      </c>
      <c r="AH9" t="s">
        <v>174</v>
      </c>
      <c r="AJ9">
        <v>7.4937276469640521E-3</v>
      </c>
      <c r="AK9">
        <v>7.4937276469640521E-3</v>
      </c>
      <c r="AL9">
        <v>0</v>
      </c>
      <c r="AN9" t="s">
        <v>47</v>
      </c>
      <c r="AQ9">
        <v>0</v>
      </c>
    </row>
    <row r="10" spans="1:43" x14ac:dyDescent="0.2">
      <c r="A10">
        <v>8</v>
      </c>
      <c r="B10">
        <v>0</v>
      </c>
      <c r="C10">
        <v>3</v>
      </c>
      <c r="D10">
        <v>0</v>
      </c>
      <c r="E10" t="s">
        <v>241</v>
      </c>
      <c r="F10" t="s">
        <v>62</v>
      </c>
      <c r="G10" t="s">
        <v>160</v>
      </c>
      <c r="H10">
        <v>0</v>
      </c>
      <c r="I10">
        <v>0</v>
      </c>
      <c r="J10">
        <v>0</v>
      </c>
      <c r="L10" s="1">
        <v>43052</v>
      </c>
      <c r="M10" s="1">
        <v>43052</v>
      </c>
      <c r="N10" s="1"/>
      <c r="R10">
        <v>0</v>
      </c>
      <c r="T10" t="s">
        <v>39</v>
      </c>
      <c r="V10">
        <v>0</v>
      </c>
      <c r="W10" t="s">
        <v>45</v>
      </c>
      <c r="X10" t="s">
        <v>48</v>
      </c>
      <c r="Y10">
        <v>0</v>
      </c>
      <c r="Z10" t="s">
        <v>47</v>
      </c>
      <c r="AA10">
        <v>0</v>
      </c>
      <c r="AB10">
        <v>0</v>
      </c>
      <c r="AC10" t="s">
        <v>47</v>
      </c>
      <c r="AE10" t="s">
        <v>45</v>
      </c>
      <c r="AF10">
        <v>0</v>
      </c>
      <c r="AH10" t="s">
        <v>174</v>
      </c>
      <c r="AJ10">
        <v>0</v>
      </c>
      <c r="AK10">
        <v>0</v>
      </c>
      <c r="AL10">
        <v>0</v>
      </c>
      <c r="AN10" t="s">
        <v>47</v>
      </c>
      <c r="AQ10">
        <v>0</v>
      </c>
    </row>
    <row r="11" spans="1:43" x14ac:dyDescent="0.2">
      <c r="A11">
        <v>9</v>
      </c>
      <c r="B11">
        <v>66</v>
      </c>
      <c r="C11">
        <v>3</v>
      </c>
      <c r="D11">
        <v>0</v>
      </c>
      <c r="E11" t="s">
        <v>203</v>
      </c>
      <c r="F11" t="s">
        <v>62</v>
      </c>
      <c r="G11" t="s">
        <v>238</v>
      </c>
      <c r="H11">
        <v>0</v>
      </c>
      <c r="I11">
        <v>1.7797073378405601E-4</v>
      </c>
      <c r="J11">
        <v>0</v>
      </c>
      <c r="L11" s="1">
        <v>43236</v>
      </c>
      <c r="M11" s="1">
        <v>43052</v>
      </c>
      <c r="N11" s="1"/>
      <c r="R11">
        <v>2.6664912400601293E-3</v>
      </c>
      <c r="T11" t="s">
        <v>30</v>
      </c>
      <c r="V11">
        <v>630610000</v>
      </c>
      <c r="W11" t="s">
        <v>181</v>
      </c>
      <c r="X11" t="s">
        <v>235</v>
      </c>
      <c r="Y11">
        <v>0</v>
      </c>
      <c r="Z11" t="s">
        <v>47</v>
      </c>
      <c r="AA11">
        <v>1.7623376479705383E-2</v>
      </c>
      <c r="AB11">
        <v>0</v>
      </c>
      <c r="AC11" t="s">
        <v>47</v>
      </c>
      <c r="AE11" t="s">
        <v>108</v>
      </c>
      <c r="AF11">
        <v>0</v>
      </c>
      <c r="AH11" t="s">
        <v>202</v>
      </c>
      <c r="AJ11">
        <v>6.6743415883129917E-2</v>
      </c>
      <c r="AK11">
        <v>6.6743415883129917E-2</v>
      </c>
      <c r="AL11">
        <v>0</v>
      </c>
      <c r="AN11" t="s">
        <v>47</v>
      </c>
      <c r="AQ11">
        <v>0</v>
      </c>
    </row>
    <row r="12" spans="1:43" x14ac:dyDescent="0.2">
      <c r="A12">
        <v>10</v>
      </c>
      <c r="B12">
        <v>66</v>
      </c>
      <c r="C12">
        <v>3</v>
      </c>
      <c r="D12">
        <v>0</v>
      </c>
      <c r="E12" t="s">
        <v>260</v>
      </c>
      <c r="F12" t="s">
        <v>62</v>
      </c>
      <c r="G12" t="s">
        <v>286</v>
      </c>
      <c r="H12">
        <v>0</v>
      </c>
      <c r="I12">
        <v>1.4237658702724482E-5</v>
      </c>
      <c r="J12">
        <v>0</v>
      </c>
      <c r="L12" s="1">
        <v>43056</v>
      </c>
      <c r="M12" s="1">
        <v>43052</v>
      </c>
      <c r="N12" s="1"/>
      <c r="R12">
        <v>2.6664912400601293E-3</v>
      </c>
      <c r="T12" t="s">
        <v>30</v>
      </c>
      <c r="V12">
        <v>50448800</v>
      </c>
      <c r="W12" t="s">
        <v>261</v>
      </c>
      <c r="X12" t="s">
        <v>263</v>
      </c>
      <c r="Y12">
        <v>0</v>
      </c>
      <c r="Z12" t="s">
        <v>47</v>
      </c>
      <c r="AA12">
        <v>1.4098701183764308E-3</v>
      </c>
      <c r="AB12">
        <v>0</v>
      </c>
      <c r="AC12" t="s">
        <v>47</v>
      </c>
      <c r="AE12" t="s">
        <v>108</v>
      </c>
      <c r="AF12">
        <v>0</v>
      </c>
      <c r="AH12" t="s">
        <v>202</v>
      </c>
      <c r="AJ12">
        <v>5.3394732706503936E-3</v>
      </c>
      <c r="AK12">
        <v>5.3394732706503936E-3</v>
      </c>
      <c r="AL12">
        <v>0</v>
      </c>
      <c r="AN12" t="s">
        <v>47</v>
      </c>
      <c r="AQ12">
        <v>0</v>
      </c>
    </row>
    <row r="13" spans="1:43" x14ac:dyDescent="0.2">
      <c r="A13">
        <v>11</v>
      </c>
      <c r="B13">
        <v>66</v>
      </c>
      <c r="C13">
        <v>3</v>
      </c>
      <c r="D13">
        <v>0</v>
      </c>
      <c r="E13" t="s">
        <v>204</v>
      </c>
      <c r="F13" t="s">
        <v>62</v>
      </c>
      <c r="G13" t="s">
        <v>240</v>
      </c>
      <c r="H13">
        <v>0</v>
      </c>
      <c r="I13">
        <v>1.7797073378405601E-4</v>
      </c>
      <c r="J13">
        <v>0</v>
      </c>
      <c r="L13" s="1">
        <v>43237</v>
      </c>
      <c r="M13" s="1">
        <v>43052</v>
      </c>
      <c r="N13" s="1"/>
      <c r="R13">
        <v>2.6664912400601293E-3</v>
      </c>
      <c r="T13" t="s">
        <v>30</v>
      </c>
      <c r="V13">
        <v>630610000</v>
      </c>
      <c r="W13" t="s">
        <v>200</v>
      </c>
      <c r="X13" t="s">
        <v>201</v>
      </c>
      <c r="Y13">
        <v>0</v>
      </c>
      <c r="Z13" t="s">
        <v>47</v>
      </c>
      <c r="AA13">
        <v>1.7623376479705383E-2</v>
      </c>
      <c r="AB13">
        <v>0</v>
      </c>
      <c r="AC13" t="s">
        <v>47</v>
      </c>
      <c r="AE13" t="s">
        <v>108</v>
      </c>
      <c r="AF13">
        <v>0</v>
      </c>
      <c r="AH13" t="s">
        <v>202</v>
      </c>
      <c r="AJ13">
        <v>6.6743415883129917E-2</v>
      </c>
      <c r="AK13">
        <v>6.6743415883129917E-2</v>
      </c>
      <c r="AL13">
        <v>0</v>
      </c>
      <c r="AN13" t="s">
        <v>47</v>
      </c>
      <c r="AQ13">
        <v>0</v>
      </c>
    </row>
    <row r="14" spans="1:43" x14ac:dyDescent="0.2">
      <c r="A14">
        <v>12</v>
      </c>
      <c r="B14">
        <v>66</v>
      </c>
      <c r="C14">
        <v>3</v>
      </c>
      <c r="D14">
        <v>0</v>
      </c>
      <c r="E14" t="s">
        <v>260</v>
      </c>
      <c r="F14" t="s">
        <v>62</v>
      </c>
      <c r="G14" t="s">
        <v>284</v>
      </c>
      <c r="H14">
        <v>0</v>
      </c>
      <c r="I14">
        <v>-1.4237658702724482E-5</v>
      </c>
      <c r="J14">
        <v>0</v>
      </c>
      <c r="L14" s="1">
        <v>43081</v>
      </c>
      <c r="M14" s="1">
        <v>43052</v>
      </c>
      <c r="N14" s="1"/>
      <c r="R14">
        <v>2.6664912400601293E-3</v>
      </c>
      <c r="T14" t="s">
        <v>30</v>
      </c>
      <c r="V14">
        <v>-50448800</v>
      </c>
      <c r="W14" t="s">
        <v>261</v>
      </c>
      <c r="X14" t="s">
        <v>262</v>
      </c>
      <c r="Y14">
        <v>0</v>
      </c>
      <c r="Z14" t="s">
        <v>47</v>
      </c>
      <c r="AA14">
        <v>-1.4098701183764308E-3</v>
      </c>
      <c r="AB14">
        <v>0</v>
      </c>
      <c r="AC14" t="s">
        <v>47</v>
      </c>
      <c r="AE14" t="s">
        <v>108</v>
      </c>
      <c r="AF14">
        <v>0</v>
      </c>
      <c r="AH14" t="s">
        <v>202</v>
      </c>
      <c r="AJ14">
        <v>-5.3394732706503936E-3</v>
      </c>
      <c r="AK14">
        <v>-5.3394732706503936E-3</v>
      </c>
      <c r="AL14">
        <v>0</v>
      </c>
      <c r="AN14" t="s">
        <v>47</v>
      </c>
      <c r="AQ14">
        <v>0</v>
      </c>
    </row>
    <row r="15" spans="1:43" x14ac:dyDescent="0.2">
      <c r="A15">
        <v>13</v>
      </c>
      <c r="B15">
        <v>66</v>
      </c>
      <c r="C15">
        <v>3</v>
      </c>
      <c r="D15">
        <v>0</v>
      </c>
      <c r="E15" t="s">
        <v>204</v>
      </c>
      <c r="F15" t="s">
        <v>62</v>
      </c>
      <c r="G15" t="s">
        <v>285</v>
      </c>
      <c r="H15">
        <v>0</v>
      </c>
      <c r="I15">
        <v>-1.4237658702724482E-5</v>
      </c>
      <c r="J15">
        <v>0</v>
      </c>
      <c r="L15" s="1">
        <v>43056</v>
      </c>
      <c r="M15" s="1">
        <v>43052</v>
      </c>
      <c r="N15" s="1"/>
      <c r="R15">
        <v>2.6664912400601293E-3</v>
      </c>
      <c r="T15" t="s">
        <v>30</v>
      </c>
      <c r="V15">
        <v>-50448800</v>
      </c>
      <c r="W15" t="s">
        <v>200</v>
      </c>
      <c r="X15" t="s">
        <v>205</v>
      </c>
      <c r="Y15">
        <v>0</v>
      </c>
      <c r="Z15" t="s">
        <v>47</v>
      </c>
      <c r="AA15">
        <v>-1.4098701183764308E-3</v>
      </c>
      <c r="AB15">
        <v>0</v>
      </c>
      <c r="AC15" t="s">
        <v>47</v>
      </c>
      <c r="AE15" t="s">
        <v>108</v>
      </c>
      <c r="AF15">
        <v>0</v>
      </c>
      <c r="AH15" t="s">
        <v>202</v>
      </c>
      <c r="AJ15">
        <v>-5.3394732706503936E-3</v>
      </c>
      <c r="AK15">
        <v>-5.3394732706503936E-3</v>
      </c>
      <c r="AL15">
        <v>0</v>
      </c>
      <c r="AN15" t="s">
        <v>47</v>
      </c>
      <c r="AQ15">
        <v>0</v>
      </c>
    </row>
    <row r="16" spans="1:43" x14ac:dyDescent="0.2">
      <c r="A16">
        <v>14</v>
      </c>
      <c r="B16">
        <v>66</v>
      </c>
      <c r="C16">
        <v>3</v>
      </c>
      <c r="D16">
        <v>0</v>
      </c>
      <c r="E16" t="s">
        <v>204</v>
      </c>
      <c r="F16" t="s">
        <v>62</v>
      </c>
      <c r="G16" t="s">
        <v>236</v>
      </c>
      <c r="H16">
        <v>0</v>
      </c>
      <c r="I16">
        <v>-1.7797073378405601E-4</v>
      </c>
      <c r="J16">
        <v>0</v>
      </c>
      <c r="L16" s="1">
        <v>43236</v>
      </c>
      <c r="M16" s="1">
        <v>43052</v>
      </c>
      <c r="N16" s="1"/>
      <c r="R16">
        <v>2.6664912400601293E-3</v>
      </c>
      <c r="T16" t="s">
        <v>30</v>
      </c>
      <c r="V16">
        <v>-630610000</v>
      </c>
      <c r="W16" t="s">
        <v>200</v>
      </c>
      <c r="X16" t="s">
        <v>205</v>
      </c>
      <c r="Y16">
        <v>0</v>
      </c>
      <c r="Z16" t="s">
        <v>47</v>
      </c>
      <c r="AA16">
        <v>-1.7623376479705383E-2</v>
      </c>
      <c r="AB16">
        <v>0</v>
      </c>
      <c r="AC16" t="s">
        <v>47</v>
      </c>
      <c r="AE16" t="s">
        <v>108</v>
      </c>
      <c r="AF16">
        <v>0</v>
      </c>
      <c r="AH16" t="s">
        <v>202</v>
      </c>
      <c r="AJ16">
        <v>-6.6743415883129917E-2</v>
      </c>
      <c r="AK16">
        <v>-6.6743415883129917E-2</v>
      </c>
      <c r="AL16">
        <v>0</v>
      </c>
      <c r="AN16" t="s">
        <v>47</v>
      </c>
      <c r="AQ16">
        <v>0</v>
      </c>
    </row>
    <row r="17" spans="1:43" x14ac:dyDescent="0.2">
      <c r="A17">
        <v>15</v>
      </c>
      <c r="B17">
        <v>66</v>
      </c>
      <c r="C17">
        <v>3</v>
      </c>
      <c r="D17">
        <v>0</v>
      </c>
      <c r="E17" t="s">
        <v>204</v>
      </c>
      <c r="F17" t="s">
        <v>62</v>
      </c>
      <c r="G17" t="s">
        <v>237</v>
      </c>
      <c r="H17">
        <v>0</v>
      </c>
      <c r="I17">
        <v>-1.7797073378405601E-4</v>
      </c>
      <c r="J17">
        <v>0</v>
      </c>
      <c r="L17" s="1">
        <v>43237</v>
      </c>
      <c r="M17" s="1">
        <v>43052</v>
      </c>
      <c r="N17" s="1"/>
      <c r="R17">
        <v>2.6664912400601293E-3</v>
      </c>
      <c r="T17" t="s">
        <v>30</v>
      </c>
      <c r="V17">
        <v>-630610000</v>
      </c>
      <c r="W17" t="s">
        <v>200</v>
      </c>
      <c r="X17" t="s">
        <v>205</v>
      </c>
      <c r="Y17">
        <v>0</v>
      </c>
      <c r="Z17" t="s">
        <v>47</v>
      </c>
      <c r="AA17">
        <v>-1.7623376479705383E-2</v>
      </c>
      <c r="AB17">
        <v>0</v>
      </c>
      <c r="AC17" t="s">
        <v>47</v>
      </c>
      <c r="AE17" t="s">
        <v>108</v>
      </c>
      <c r="AF17">
        <v>0</v>
      </c>
      <c r="AH17" t="s">
        <v>202</v>
      </c>
      <c r="AJ17">
        <v>-6.6743415883129917E-2</v>
      </c>
      <c r="AK17">
        <v>-6.6743415883129917E-2</v>
      </c>
      <c r="AL17">
        <v>0</v>
      </c>
      <c r="AN17" t="s">
        <v>47</v>
      </c>
      <c r="AQ17">
        <v>0</v>
      </c>
    </row>
    <row r="18" spans="1:43" x14ac:dyDescent="0.2">
      <c r="A18">
        <v>16</v>
      </c>
      <c r="B18">
        <v>66</v>
      </c>
      <c r="C18">
        <v>3</v>
      </c>
      <c r="D18">
        <v>0</v>
      </c>
      <c r="E18" t="s">
        <v>241</v>
      </c>
      <c r="F18" t="s">
        <v>62</v>
      </c>
      <c r="G18" t="s">
        <v>161</v>
      </c>
      <c r="H18">
        <v>0</v>
      </c>
      <c r="I18">
        <v>3.4102241697555359E-6</v>
      </c>
      <c r="J18">
        <v>0</v>
      </c>
      <c r="L18" s="1">
        <v>43052</v>
      </c>
      <c r="M18" s="1">
        <v>43052</v>
      </c>
      <c r="N18" s="1"/>
      <c r="R18">
        <v>2.6664912400601293E-3</v>
      </c>
      <c r="T18" t="s">
        <v>30</v>
      </c>
      <c r="V18">
        <v>12083568</v>
      </c>
      <c r="W18" t="s">
        <v>45</v>
      </c>
      <c r="X18" t="s">
        <v>51</v>
      </c>
      <c r="Y18">
        <v>0</v>
      </c>
      <c r="Z18" t="s">
        <v>47</v>
      </c>
      <c r="AA18">
        <v>3.3769408680820259E-4</v>
      </c>
      <c r="AB18">
        <v>0</v>
      </c>
      <c r="AC18" t="s">
        <v>47</v>
      </c>
      <c r="AE18" t="s">
        <v>45</v>
      </c>
      <c r="AF18">
        <v>0</v>
      </c>
      <c r="AH18" t="s">
        <v>174</v>
      </c>
      <c r="AJ18">
        <v>1.2789181972630952E-3</v>
      </c>
      <c r="AK18">
        <v>1.2789181972630952E-3</v>
      </c>
      <c r="AL18">
        <v>0</v>
      </c>
      <c r="AN18" t="s">
        <v>47</v>
      </c>
      <c r="AQ18">
        <v>0</v>
      </c>
    </row>
    <row r="19" spans="1:43" x14ac:dyDescent="0.2">
      <c r="A19">
        <v>17</v>
      </c>
      <c r="B19">
        <v>66</v>
      </c>
      <c r="C19">
        <v>3</v>
      </c>
      <c r="D19">
        <v>0</v>
      </c>
      <c r="E19" t="s">
        <v>241</v>
      </c>
      <c r="F19" t="s">
        <v>62</v>
      </c>
      <c r="G19" t="s">
        <v>230</v>
      </c>
      <c r="H19">
        <v>0</v>
      </c>
      <c r="I19">
        <v>0</v>
      </c>
      <c r="J19">
        <v>0</v>
      </c>
      <c r="L19" s="1">
        <v>43052</v>
      </c>
      <c r="M19" s="1">
        <v>43052</v>
      </c>
      <c r="R19">
        <v>2.6664912400601293E-3</v>
      </c>
      <c r="T19" t="s">
        <v>30</v>
      </c>
      <c r="V19">
        <v>0</v>
      </c>
      <c r="W19" t="s">
        <v>45</v>
      </c>
      <c r="X19" t="s">
        <v>231</v>
      </c>
      <c r="Y19">
        <v>0</v>
      </c>
      <c r="Z19" t="s">
        <v>47</v>
      </c>
      <c r="AA19">
        <v>0</v>
      </c>
      <c r="AB19">
        <v>0</v>
      </c>
      <c r="AC19" t="s">
        <v>47</v>
      </c>
      <c r="AE19" t="s">
        <v>45</v>
      </c>
      <c r="AF19">
        <v>0</v>
      </c>
      <c r="AH19" t="s">
        <v>174</v>
      </c>
      <c r="AJ19">
        <v>0</v>
      </c>
      <c r="AK19">
        <v>0</v>
      </c>
      <c r="AL19">
        <v>0</v>
      </c>
      <c r="AN19" t="s">
        <v>47</v>
      </c>
      <c r="AQ19">
        <v>0</v>
      </c>
    </row>
    <row r="20" spans="1:43" x14ac:dyDescent="0.2">
      <c r="A20">
        <v>18</v>
      </c>
      <c r="B20">
        <v>73</v>
      </c>
      <c r="C20">
        <v>3</v>
      </c>
      <c r="D20">
        <v>0</v>
      </c>
      <c r="E20" t="s">
        <v>241</v>
      </c>
      <c r="F20" t="s">
        <v>62</v>
      </c>
      <c r="G20" t="s">
        <v>242</v>
      </c>
      <c r="H20">
        <v>0</v>
      </c>
      <c r="I20">
        <v>1.289498389975945E-7</v>
      </c>
      <c r="J20">
        <v>0</v>
      </c>
      <c r="L20" s="1">
        <v>43052</v>
      </c>
      <c r="M20" s="1">
        <v>43052</v>
      </c>
      <c r="N20" s="1"/>
      <c r="R20">
        <v>9.4640405071581436E-3</v>
      </c>
      <c r="T20" t="s">
        <v>49</v>
      </c>
      <c r="V20">
        <v>128735</v>
      </c>
      <c r="W20" t="s">
        <v>45</v>
      </c>
      <c r="X20" t="s">
        <v>243</v>
      </c>
      <c r="Y20">
        <v>0</v>
      </c>
      <c r="Z20" t="s">
        <v>47</v>
      </c>
      <c r="AA20">
        <v>1.2769130695440184E-5</v>
      </c>
      <c r="AB20">
        <v>0</v>
      </c>
      <c r="AC20" t="s">
        <v>47</v>
      </c>
      <c r="AE20" t="s">
        <v>45</v>
      </c>
      <c r="AF20">
        <v>0</v>
      </c>
      <c r="AH20" t="s">
        <v>174</v>
      </c>
      <c r="AJ20">
        <v>1.362524166079626E-5</v>
      </c>
      <c r="AK20">
        <v>1.362524166079626E-5</v>
      </c>
      <c r="AL20">
        <v>0</v>
      </c>
      <c r="AN20" t="s">
        <v>47</v>
      </c>
      <c r="AQ20">
        <v>0</v>
      </c>
    </row>
    <row r="21" spans="1:43" x14ac:dyDescent="0.2">
      <c r="A21">
        <v>19</v>
      </c>
      <c r="B21">
        <v>73</v>
      </c>
      <c r="C21">
        <v>3</v>
      </c>
      <c r="D21">
        <v>0</v>
      </c>
      <c r="E21" t="s">
        <v>241</v>
      </c>
      <c r="F21" t="s">
        <v>62</v>
      </c>
      <c r="G21" t="s">
        <v>162</v>
      </c>
      <c r="H21">
        <v>0</v>
      </c>
      <c r="I21">
        <v>0</v>
      </c>
      <c r="J21">
        <v>0</v>
      </c>
      <c r="L21" s="1">
        <v>43052</v>
      </c>
      <c r="M21" s="1">
        <v>43052</v>
      </c>
      <c r="N21" s="1"/>
      <c r="R21">
        <v>9.4640405071581436E-3</v>
      </c>
      <c r="T21" t="s">
        <v>49</v>
      </c>
      <c r="V21">
        <v>0</v>
      </c>
      <c r="W21" t="s">
        <v>45</v>
      </c>
      <c r="X21" t="s">
        <v>50</v>
      </c>
      <c r="Y21">
        <v>0</v>
      </c>
      <c r="Z21" t="s">
        <v>47</v>
      </c>
      <c r="AA21">
        <v>0</v>
      </c>
      <c r="AB21">
        <v>0</v>
      </c>
      <c r="AC21" t="s">
        <v>47</v>
      </c>
      <c r="AE21" t="s">
        <v>45</v>
      </c>
      <c r="AF21">
        <v>0</v>
      </c>
      <c r="AH21" t="s">
        <v>174</v>
      </c>
      <c r="AJ21">
        <v>0</v>
      </c>
      <c r="AK21">
        <v>0</v>
      </c>
      <c r="AL21">
        <v>0</v>
      </c>
      <c r="AN21" t="s">
        <v>47</v>
      </c>
      <c r="AQ21">
        <v>0</v>
      </c>
    </row>
    <row r="22" spans="1:43" x14ac:dyDescent="0.2">
      <c r="A22">
        <v>20</v>
      </c>
      <c r="B22">
        <v>129</v>
      </c>
      <c r="C22">
        <v>3</v>
      </c>
      <c r="D22">
        <v>3930000000</v>
      </c>
      <c r="E22" t="s">
        <v>244</v>
      </c>
      <c r="F22" t="s">
        <v>62</v>
      </c>
      <c r="G22" t="s">
        <v>245</v>
      </c>
      <c r="H22">
        <v>1.3263053167010557</v>
      </c>
      <c r="I22">
        <v>3.5687047133015552E-3</v>
      </c>
      <c r="J22">
        <v>3.08</v>
      </c>
      <c r="L22" s="1">
        <v>44256</v>
      </c>
      <c r="M22" s="1">
        <v>43052</v>
      </c>
      <c r="N22" s="1"/>
      <c r="R22">
        <v>8.2873908281604659E-3</v>
      </c>
      <c r="T22" t="s">
        <v>39</v>
      </c>
      <c r="V22">
        <v>4068602088</v>
      </c>
      <c r="W22" t="s">
        <v>246</v>
      </c>
      <c r="X22" t="s">
        <v>247</v>
      </c>
      <c r="Y22">
        <v>3930000000</v>
      </c>
      <c r="Z22" t="s">
        <v>31</v>
      </c>
      <c r="AA22">
        <v>0.35338746641188923</v>
      </c>
      <c r="AB22">
        <v>102.61</v>
      </c>
      <c r="AC22" t="s">
        <v>42</v>
      </c>
      <c r="AE22" t="s">
        <v>182</v>
      </c>
      <c r="AF22">
        <v>3.6799999999999999E-2</v>
      </c>
      <c r="AH22" t="s">
        <v>248</v>
      </c>
      <c r="AJ22">
        <v>0.43061860931852453</v>
      </c>
      <c r="AK22">
        <v>0.43061860931852453</v>
      </c>
      <c r="AL22">
        <v>0</v>
      </c>
      <c r="AN22" t="s">
        <v>142</v>
      </c>
      <c r="AQ22">
        <v>1.5846764822921702E-2</v>
      </c>
    </row>
    <row r="23" spans="1:43" x14ac:dyDescent="0.2">
      <c r="A23">
        <v>21</v>
      </c>
      <c r="B23">
        <v>130</v>
      </c>
      <c r="C23">
        <v>3</v>
      </c>
      <c r="D23">
        <v>520000000</v>
      </c>
      <c r="E23" t="s">
        <v>249</v>
      </c>
      <c r="F23" t="s">
        <v>62</v>
      </c>
      <c r="G23" t="s">
        <v>250</v>
      </c>
      <c r="H23">
        <v>0.2318520034248033</v>
      </c>
      <c r="I23">
        <v>7.0345904566046491E-4</v>
      </c>
      <c r="J23">
        <v>3.83</v>
      </c>
      <c r="L23" s="1">
        <v>44621</v>
      </c>
      <c r="M23" s="1">
        <v>43052</v>
      </c>
      <c r="N23" s="1"/>
      <c r="R23">
        <v>1.1620551494407973E-2</v>
      </c>
      <c r="T23" t="s">
        <v>39</v>
      </c>
      <c r="V23">
        <v>571958479</v>
      </c>
      <c r="W23" t="s">
        <v>251</v>
      </c>
      <c r="X23" t="s">
        <v>252</v>
      </c>
      <c r="Y23">
        <v>520000000</v>
      </c>
      <c r="Z23" t="s">
        <v>31</v>
      </c>
      <c r="AA23">
        <v>6.9659338567267734E-2</v>
      </c>
      <c r="AB23">
        <v>108.7</v>
      </c>
      <c r="AC23" t="s">
        <v>42</v>
      </c>
      <c r="AE23" t="s">
        <v>182</v>
      </c>
      <c r="AF23">
        <v>3.7999999999999999E-2</v>
      </c>
      <c r="AH23" t="s">
        <v>248</v>
      </c>
      <c r="AJ23">
        <v>6.0535771129191465E-2</v>
      </c>
      <c r="AK23">
        <v>6.0535771129191465E-2</v>
      </c>
      <c r="AL23">
        <v>0</v>
      </c>
      <c r="AN23" t="s">
        <v>142</v>
      </c>
      <c r="AQ23">
        <v>2.3003593029092754E-3</v>
      </c>
    </row>
    <row r="24" spans="1:43" x14ac:dyDescent="0.2">
      <c r="A24">
        <v>22</v>
      </c>
      <c r="B24">
        <v>134</v>
      </c>
      <c r="C24">
        <v>3</v>
      </c>
      <c r="D24">
        <v>340000000</v>
      </c>
      <c r="E24" t="s">
        <v>244</v>
      </c>
      <c r="F24" t="s">
        <v>62</v>
      </c>
      <c r="G24" t="s">
        <v>253</v>
      </c>
      <c r="H24">
        <v>0.43131357908686518</v>
      </c>
      <c r="I24">
        <v>1.1930995962126257E-3</v>
      </c>
      <c r="J24">
        <v>11.71</v>
      </c>
      <c r="L24" s="1">
        <v>49369</v>
      </c>
      <c r="M24" s="1">
        <v>43052</v>
      </c>
      <c r="N24" s="1"/>
      <c r="R24">
        <v>3.2392201287119907E-2</v>
      </c>
      <c r="T24" t="s">
        <v>39</v>
      </c>
      <c r="V24">
        <v>348007545</v>
      </c>
      <c r="W24" t="s">
        <v>246</v>
      </c>
      <c r="X24" t="s">
        <v>247</v>
      </c>
      <c r="Y24">
        <v>340000000</v>
      </c>
      <c r="Z24" t="s">
        <v>31</v>
      </c>
      <c r="AA24">
        <v>0.11814551142634716</v>
      </c>
      <c r="AB24">
        <v>101.35</v>
      </c>
      <c r="AC24" t="s">
        <v>42</v>
      </c>
      <c r="AE24" t="s">
        <v>182</v>
      </c>
      <c r="AF24">
        <v>4.9399999999999999E-2</v>
      </c>
      <c r="AH24" t="s">
        <v>248</v>
      </c>
      <c r="AJ24">
        <v>3.683292733448891E-2</v>
      </c>
      <c r="AK24">
        <v>3.683292733448891E-2</v>
      </c>
      <c r="AL24">
        <v>0</v>
      </c>
      <c r="AN24" t="s">
        <v>142</v>
      </c>
      <c r="AQ24">
        <v>1.8195466103237521E-3</v>
      </c>
    </row>
    <row r="25" spans="1:43" x14ac:dyDescent="0.2">
      <c r="A25">
        <v>23</v>
      </c>
      <c r="B25">
        <v>136</v>
      </c>
      <c r="C25">
        <v>3</v>
      </c>
      <c r="D25">
        <v>7000</v>
      </c>
      <c r="E25" t="s">
        <v>254</v>
      </c>
      <c r="F25" t="s">
        <v>62</v>
      </c>
      <c r="G25" t="s">
        <v>255</v>
      </c>
      <c r="H25">
        <v>4.30207334762042E-2</v>
      </c>
      <c r="I25">
        <v>1.8796528495402111E-4</v>
      </c>
      <c r="J25">
        <v>2.06</v>
      </c>
      <c r="L25" s="1">
        <v>43831</v>
      </c>
      <c r="M25" s="1">
        <v>43052</v>
      </c>
      <c r="N25" s="1"/>
      <c r="R25">
        <v>9.0005087249258042E-3</v>
      </c>
      <c r="T25" t="s">
        <v>32</v>
      </c>
      <c r="V25">
        <v>197316323</v>
      </c>
      <c r="W25" t="s">
        <v>246</v>
      </c>
      <c r="X25" t="s">
        <v>256</v>
      </c>
      <c r="Y25">
        <v>7000</v>
      </c>
      <c r="Z25" t="s">
        <v>31</v>
      </c>
      <c r="AA25">
        <v>1.8613077057260424E-2</v>
      </c>
      <c r="AB25">
        <v>104.65</v>
      </c>
      <c r="AC25" t="s">
        <v>42</v>
      </c>
      <c r="AE25" t="s">
        <v>182</v>
      </c>
      <c r="AF25">
        <v>8.0495104401065887E-2</v>
      </c>
      <c r="AH25" t="s">
        <v>248</v>
      </c>
      <c r="AJ25">
        <v>2.0883851202040872E-2</v>
      </c>
      <c r="AK25">
        <v>2.0883851202040872E-2</v>
      </c>
      <c r="AL25">
        <v>0</v>
      </c>
      <c r="AN25" t="s">
        <v>142</v>
      </c>
      <c r="AQ25">
        <v>1.6810477828046054E-3</v>
      </c>
    </row>
    <row r="26" spans="1:43" x14ac:dyDescent="0.2">
      <c r="A26">
        <v>24</v>
      </c>
      <c r="B26">
        <v>137</v>
      </c>
      <c r="C26">
        <v>3</v>
      </c>
      <c r="D26">
        <v>35000</v>
      </c>
      <c r="E26" t="s">
        <v>254</v>
      </c>
      <c r="F26" t="s">
        <v>62</v>
      </c>
      <c r="G26" t="s">
        <v>257</v>
      </c>
      <c r="H26">
        <v>0.3230894090251249</v>
      </c>
      <c r="I26">
        <v>1.8019708115554209E-3</v>
      </c>
      <c r="J26">
        <v>3.22</v>
      </c>
      <c r="L26" s="1">
        <v>44256</v>
      </c>
      <c r="M26" s="1">
        <v>43052</v>
      </c>
      <c r="N26" s="1"/>
      <c r="R26">
        <v>1.7958948362672075E-2</v>
      </c>
      <c r="T26" t="s">
        <v>32</v>
      </c>
      <c r="V26">
        <v>948023873</v>
      </c>
      <c r="W26" t="s">
        <v>246</v>
      </c>
      <c r="X26" t="s">
        <v>256</v>
      </c>
      <c r="Y26">
        <v>35000</v>
      </c>
      <c r="Z26" t="s">
        <v>31</v>
      </c>
      <c r="AA26">
        <v>0.17843838333562259</v>
      </c>
      <c r="AB26">
        <v>101.36</v>
      </c>
      <c r="AC26" t="s">
        <v>42</v>
      </c>
      <c r="AE26" t="s">
        <v>182</v>
      </c>
      <c r="AF26">
        <v>8.3595104401065892E-2</v>
      </c>
      <c r="AH26" t="s">
        <v>248</v>
      </c>
      <c r="AJ26">
        <v>0.10033832578420028</v>
      </c>
      <c r="AK26">
        <v>0.10033832578420028</v>
      </c>
      <c r="AL26">
        <v>0</v>
      </c>
      <c r="AN26" t="s">
        <v>142</v>
      </c>
      <c r="AQ26">
        <v>8.3877928193583848E-3</v>
      </c>
    </row>
    <row r="27" spans="1:43" x14ac:dyDescent="0.2">
      <c r="A27">
        <v>25</v>
      </c>
      <c r="B27">
        <v>140</v>
      </c>
      <c r="C27">
        <v>3</v>
      </c>
      <c r="D27">
        <v>24000</v>
      </c>
      <c r="E27" t="s">
        <v>254</v>
      </c>
      <c r="F27" t="s">
        <v>62</v>
      </c>
      <c r="G27" t="s">
        <v>258</v>
      </c>
      <c r="H27">
        <v>0.52341350896370986</v>
      </c>
      <c r="I27">
        <v>1.1639981037612341E-3</v>
      </c>
      <c r="J27">
        <v>7.81</v>
      </c>
      <c r="L27" s="1">
        <v>46082</v>
      </c>
      <c r="M27" s="1">
        <v>43052</v>
      </c>
      <c r="N27" s="1"/>
      <c r="R27">
        <v>1.7368342686404636E-2</v>
      </c>
      <c r="T27" t="s">
        <v>32</v>
      </c>
      <c r="V27">
        <v>633207889</v>
      </c>
      <c r="W27" t="s">
        <v>246</v>
      </c>
      <c r="X27" t="s">
        <v>256</v>
      </c>
      <c r="Y27">
        <v>24000</v>
      </c>
      <c r="Z27" t="s">
        <v>31</v>
      </c>
      <c r="AA27">
        <v>0.11526376482291698</v>
      </c>
      <c r="AB27">
        <v>98.74</v>
      </c>
      <c r="AC27" t="s">
        <v>42</v>
      </c>
      <c r="AE27" t="s">
        <v>182</v>
      </c>
      <c r="AF27">
        <v>8.9495104401065895E-2</v>
      </c>
      <c r="AH27" t="s">
        <v>248</v>
      </c>
      <c r="AJ27">
        <v>6.7018375027363616E-2</v>
      </c>
      <c r="AK27">
        <v>6.7018375027363616E-2</v>
      </c>
      <c r="AL27">
        <v>0</v>
      </c>
      <c r="AN27" t="s">
        <v>142</v>
      </c>
      <c r="AQ27">
        <v>5.9978164698636944E-3</v>
      </c>
    </row>
    <row r="28" spans="1:43" x14ac:dyDescent="0.2">
      <c r="A28">
        <v>26</v>
      </c>
      <c r="B28">
        <v>142</v>
      </c>
      <c r="C28">
        <v>3</v>
      </c>
      <c r="D28">
        <v>6500</v>
      </c>
      <c r="E28" t="s">
        <v>254</v>
      </c>
      <c r="F28" t="s">
        <v>62</v>
      </c>
      <c r="G28" t="s">
        <v>259</v>
      </c>
      <c r="H28">
        <v>0.26704187483997543</v>
      </c>
      <c r="I28">
        <v>1.3964016980950833E-3</v>
      </c>
      <c r="J28">
        <v>14.64</v>
      </c>
      <c r="L28" s="1">
        <v>49369</v>
      </c>
      <c r="M28" s="1">
        <v>43052</v>
      </c>
      <c r="N28" s="1"/>
      <c r="R28">
        <v>7.655473836214885E-2</v>
      </c>
      <c r="T28" t="s">
        <v>32</v>
      </c>
      <c r="V28">
        <v>172341836</v>
      </c>
      <c r="W28" t="s">
        <v>246</v>
      </c>
      <c r="X28" t="s">
        <v>256</v>
      </c>
      <c r="Y28">
        <v>6500</v>
      </c>
      <c r="Z28" t="s">
        <v>31</v>
      </c>
      <c r="AA28">
        <v>0.1382773016617985</v>
      </c>
      <c r="AB28">
        <v>99.13</v>
      </c>
      <c r="AC28" t="s">
        <v>42</v>
      </c>
      <c r="AE28" t="s">
        <v>182</v>
      </c>
      <c r="AF28">
        <v>9.3495104401065884E-2</v>
      </c>
      <c r="AH28" t="s">
        <v>248</v>
      </c>
      <c r="AJ28">
        <v>1.8240565221309797E-2</v>
      </c>
      <c r="AK28">
        <v>1.8240565221309797E-2</v>
      </c>
      <c r="AL28">
        <v>0</v>
      </c>
      <c r="AN28" t="s">
        <v>142</v>
      </c>
      <c r="AQ28">
        <v>1.705403549700811E-3</v>
      </c>
    </row>
    <row r="29" spans="1:43" x14ac:dyDescent="0.2">
      <c r="A29">
        <v>27</v>
      </c>
      <c r="B29">
        <v>147</v>
      </c>
      <c r="C29">
        <v>3</v>
      </c>
      <c r="D29">
        <v>1</v>
      </c>
      <c r="E29" t="s">
        <v>206</v>
      </c>
      <c r="F29" t="s">
        <v>62</v>
      </c>
      <c r="G29" t="s">
        <v>207</v>
      </c>
      <c r="H29">
        <v>1.7042232123266913E-3</v>
      </c>
      <c r="I29">
        <v>9.6986244149227853E-6</v>
      </c>
      <c r="J29">
        <v>0.04</v>
      </c>
      <c r="L29" s="1">
        <v>43068</v>
      </c>
      <c r="M29" s="1">
        <v>43052</v>
      </c>
      <c r="N29" s="1"/>
      <c r="R29">
        <v>2.27637420844227E-4</v>
      </c>
      <c r="T29" t="s">
        <v>39</v>
      </c>
      <c r="V29">
        <v>402549145</v>
      </c>
      <c r="W29" t="s">
        <v>206</v>
      </c>
      <c r="X29" t="s">
        <v>208</v>
      </c>
      <c r="Y29">
        <v>403000000</v>
      </c>
      <c r="Z29" t="s">
        <v>31</v>
      </c>
      <c r="AA29">
        <v>9.6039672234446416E-4</v>
      </c>
      <c r="AB29">
        <v>99.888125000000002</v>
      </c>
      <c r="AC29" t="s">
        <v>52</v>
      </c>
      <c r="AE29" t="s">
        <v>41</v>
      </c>
      <c r="AF29">
        <v>2.52E-2</v>
      </c>
      <c r="AH29" t="s">
        <v>209</v>
      </c>
      <c r="AJ29">
        <v>4.260558030816728E-2</v>
      </c>
      <c r="AK29">
        <v>4.260558030816728E-2</v>
      </c>
      <c r="AL29">
        <v>0</v>
      </c>
      <c r="AQ29">
        <v>1.0736606237658154E-3</v>
      </c>
    </row>
    <row r="30" spans="1:43" x14ac:dyDescent="0.2">
      <c r="A30">
        <v>28</v>
      </c>
      <c r="B30">
        <v>148</v>
      </c>
      <c r="C30">
        <v>3</v>
      </c>
      <c r="D30">
        <v>1</v>
      </c>
      <c r="E30" t="s">
        <v>229</v>
      </c>
      <c r="F30" t="s">
        <v>62</v>
      </c>
      <c r="G30" t="s">
        <v>207</v>
      </c>
      <c r="H30">
        <v>7.1269533975194272E-3</v>
      </c>
      <c r="I30">
        <v>1.1815568057542343E-5</v>
      </c>
      <c r="J30">
        <v>0.34</v>
      </c>
      <c r="L30" s="1">
        <v>43175</v>
      </c>
      <c r="M30" s="1">
        <v>43052</v>
      </c>
      <c r="N30" s="1"/>
      <c r="R30">
        <v>5.6367607805077498E-4</v>
      </c>
      <c r="T30" t="s">
        <v>39</v>
      </c>
      <c r="V30">
        <v>198051176</v>
      </c>
      <c r="W30" t="s">
        <v>229</v>
      </c>
      <c r="X30" t="s">
        <v>234</v>
      </c>
      <c r="Y30">
        <v>200000000</v>
      </c>
      <c r="Z30" t="s">
        <v>31</v>
      </c>
      <c r="AA30">
        <v>1.1700249797942049E-3</v>
      </c>
      <c r="AB30">
        <v>99.025587999999999</v>
      </c>
      <c r="AC30" t="s">
        <v>52</v>
      </c>
      <c r="AE30" t="s">
        <v>41</v>
      </c>
      <c r="AF30">
        <v>2.8799999999999999E-2</v>
      </c>
      <c r="AH30" t="s">
        <v>209</v>
      </c>
      <c r="AJ30">
        <v>2.096162763976302E-2</v>
      </c>
      <c r="AK30">
        <v>2.096162763976302E-2</v>
      </c>
      <c r="AL30">
        <v>0</v>
      </c>
      <c r="AQ30">
        <v>6.0369487602517492E-4</v>
      </c>
    </row>
    <row r="31" spans="1:43" x14ac:dyDescent="0.2">
      <c r="A31">
        <v>29</v>
      </c>
      <c r="B31">
        <v>148</v>
      </c>
      <c r="C31">
        <v>3</v>
      </c>
      <c r="D31">
        <v>2</v>
      </c>
      <c r="E31" t="s">
        <v>225</v>
      </c>
      <c r="F31" t="s">
        <v>62</v>
      </c>
      <c r="G31" t="s">
        <v>207</v>
      </c>
      <c r="H31">
        <v>9.1678069688230727E-3</v>
      </c>
      <c r="I31">
        <v>1.4764781361465009E-5</v>
      </c>
      <c r="J31">
        <v>0.35</v>
      </c>
      <c r="L31" s="1">
        <v>43179</v>
      </c>
      <c r="M31" s="1">
        <v>43052</v>
      </c>
      <c r="N31" s="1"/>
      <c r="R31">
        <v>5.6367607805077498E-4</v>
      </c>
      <c r="T31" t="s">
        <v>39</v>
      </c>
      <c r="V31">
        <v>247485546</v>
      </c>
      <c r="W31" t="s">
        <v>210</v>
      </c>
      <c r="X31" t="s">
        <v>226</v>
      </c>
      <c r="Y31">
        <v>250000000</v>
      </c>
      <c r="Z31" t="s">
        <v>31</v>
      </c>
      <c r="AA31">
        <v>1.4620679200511677E-3</v>
      </c>
      <c r="AB31">
        <v>98.994218000000004</v>
      </c>
      <c r="AC31" t="s">
        <v>33</v>
      </c>
      <c r="AE31" t="s">
        <v>41</v>
      </c>
      <c r="AF31">
        <v>2.8799999999999999E-2</v>
      </c>
      <c r="AH31" t="s">
        <v>209</v>
      </c>
      <c r="AJ31">
        <v>2.6193734196637352E-2</v>
      </c>
      <c r="AK31">
        <v>2.6193734196637352E-2</v>
      </c>
      <c r="AL31">
        <v>0</v>
      </c>
      <c r="AN31" t="s">
        <v>148</v>
      </c>
      <c r="AQ31">
        <v>7.5437954486315569E-4</v>
      </c>
    </row>
    <row r="32" spans="1:43" x14ac:dyDescent="0.2">
      <c r="A32">
        <v>30</v>
      </c>
      <c r="B32">
        <v>148</v>
      </c>
      <c r="C32">
        <v>3</v>
      </c>
      <c r="D32">
        <v>1</v>
      </c>
      <c r="E32" t="s">
        <v>213</v>
      </c>
      <c r="F32" t="s">
        <v>62</v>
      </c>
      <c r="G32" t="s">
        <v>207</v>
      </c>
      <c r="H32">
        <v>3.4578353765306038E-3</v>
      </c>
      <c r="I32">
        <v>5.9063608593575617E-6</v>
      </c>
      <c r="J32">
        <v>0.33</v>
      </c>
      <c r="L32" s="1">
        <v>43173</v>
      </c>
      <c r="M32" s="1">
        <v>43052</v>
      </c>
      <c r="N32" s="1"/>
      <c r="R32">
        <v>5.6367607805077498E-4</v>
      </c>
      <c r="T32" t="s">
        <v>39</v>
      </c>
      <c r="V32">
        <v>99001733</v>
      </c>
      <c r="W32" t="s">
        <v>214</v>
      </c>
      <c r="X32" t="s">
        <v>215</v>
      </c>
      <c r="Y32">
        <v>100000000</v>
      </c>
      <c r="Z32" t="s">
        <v>31</v>
      </c>
      <c r="AA32">
        <v>5.8487156194879787E-4</v>
      </c>
      <c r="AB32">
        <v>99.001733000000002</v>
      </c>
      <c r="AC32" t="s">
        <v>212</v>
      </c>
      <c r="AE32" t="s">
        <v>41</v>
      </c>
      <c r="AF32">
        <v>0.03</v>
      </c>
      <c r="AH32" t="s">
        <v>209</v>
      </c>
      <c r="AJ32">
        <v>1.0478289019789708E-2</v>
      </c>
      <c r="AK32">
        <v>1.0478289019789708E-2</v>
      </c>
      <c r="AL32">
        <v>0</v>
      </c>
      <c r="AQ32">
        <v>3.1434867059369125E-4</v>
      </c>
    </row>
    <row r="33" spans="1:43" x14ac:dyDescent="0.2">
      <c r="A33">
        <v>31</v>
      </c>
      <c r="B33">
        <v>148</v>
      </c>
      <c r="C33">
        <v>3</v>
      </c>
      <c r="D33">
        <v>1</v>
      </c>
      <c r="E33" t="s">
        <v>213</v>
      </c>
      <c r="F33" t="s">
        <v>62</v>
      </c>
      <c r="G33" t="s">
        <v>207</v>
      </c>
      <c r="H33">
        <v>7.7449882237401995E-3</v>
      </c>
      <c r="I33">
        <v>1.1799093477046794E-5</v>
      </c>
      <c r="J33">
        <v>0.37</v>
      </c>
      <c r="L33" s="1">
        <v>43187</v>
      </c>
      <c r="M33" s="1">
        <v>43052</v>
      </c>
      <c r="N33" s="1"/>
      <c r="R33">
        <v>5.6367607805077498E-4</v>
      </c>
      <c r="T33" t="s">
        <v>39</v>
      </c>
      <c r="V33">
        <v>197775031</v>
      </c>
      <c r="W33" t="s">
        <v>214</v>
      </c>
      <c r="X33" t="s">
        <v>215</v>
      </c>
      <c r="Y33">
        <v>200000000</v>
      </c>
      <c r="Z33" t="s">
        <v>31</v>
      </c>
      <c r="AA33">
        <v>1.1683936007003222E-3</v>
      </c>
      <c r="AB33">
        <v>98.887514999999993</v>
      </c>
      <c r="AC33" t="s">
        <v>212</v>
      </c>
      <c r="AE33" t="s">
        <v>41</v>
      </c>
      <c r="AF33">
        <v>0.03</v>
      </c>
      <c r="AH33" t="s">
        <v>209</v>
      </c>
      <c r="AJ33">
        <v>2.0932400604703243E-2</v>
      </c>
      <c r="AK33">
        <v>2.0932400604703243E-2</v>
      </c>
      <c r="AL33">
        <v>0</v>
      </c>
      <c r="AQ33">
        <v>6.2797201814109721E-4</v>
      </c>
    </row>
    <row r="34" spans="1:43" x14ac:dyDescent="0.2">
      <c r="A34">
        <v>32</v>
      </c>
      <c r="B34">
        <v>148</v>
      </c>
      <c r="C34">
        <v>3</v>
      </c>
      <c r="D34">
        <v>2</v>
      </c>
      <c r="E34" t="s">
        <v>216</v>
      </c>
      <c r="F34" t="s">
        <v>62</v>
      </c>
      <c r="G34" t="s">
        <v>207</v>
      </c>
      <c r="H34">
        <v>7.331777835131211E-3</v>
      </c>
      <c r="I34">
        <v>1.1807850786418179E-5</v>
      </c>
      <c r="J34">
        <v>0.35</v>
      </c>
      <c r="L34" s="1">
        <v>43178</v>
      </c>
      <c r="M34" s="1">
        <v>43052</v>
      </c>
      <c r="N34" s="1"/>
      <c r="R34">
        <v>5.6367607805077498E-4</v>
      </c>
      <c r="T34" t="s">
        <v>39</v>
      </c>
      <c r="V34">
        <v>197921820</v>
      </c>
      <c r="W34" t="s">
        <v>217</v>
      </c>
      <c r="X34" t="s">
        <v>218</v>
      </c>
      <c r="Y34">
        <v>200000000</v>
      </c>
      <c r="Z34" t="s">
        <v>31</v>
      </c>
      <c r="AA34">
        <v>1.1692607846283743E-3</v>
      </c>
      <c r="AB34">
        <v>98.960909999999998</v>
      </c>
      <c r="AC34" t="s">
        <v>52</v>
      </c>
      <c r="AE34" t="s">
        <v>41</v>
      </c>
      <c r="AF34">
        <v>0.03</v>
      </c>
      <c r="AH34" t="s">
        <v>209</v>
      </c>
      <c r="AJ34">
        <v>2.094793667180346E-2</v>
      </c>
      <c r="AK34">
        <v>2.094793667180346E-2</v>
      </c>
      <c r="AL34">
        <v>0</v>
      </c>
      <c r="AQ34">
        <v>6.284381001541038E-4</v>
      </c>
    </row>
    <row r="35" spans="1:43" x14ac:dyDescent="0.2">
      <c r="A35">
        <v>33</v>
      </c>
      <c r="B35">
        <v>148</v>
      </c>
      <c r="C35">
        <v>3</v>
      </c>
      <c r="D35">
        <v>2</v>
      </c>
      <c r="E35" t="s">
        <v>216</v>
      </c>
      <c r="F35" t="s">
        <v>62</v>
      </c>
      <c r="G35" t="s">
        <v>207</v>
      </c>
      <c r="H35">
        <v>1.2850087574424306E-2</v>
      </c>
      <c r="I35">
        <v>1.7666553576976803E-5</v>
      </c>
      <c r="J35">
        <v>0.41</v>
      </c>
      <c r="L35" s="1">
        <v>43203</v>
      </c>
      <c r="M35" s="1">
        <v>43052</v>
      </c>
      <c r="N35" s="1"/>
      <c r="R35">
        <v>5.6367607805077498E-4</v>
      </c>
      <c r="T35" t="s">
        <v>39</v>
      </c>
      <c r="V35">
        <v>296124714</v>
      </c>
      <c r="W35" t="s">
        <v>217</v>
      </c>
      <c r="X35" t="s">
        <v>218</v>
      </c>
      <c r="Y35">
        <v>300000000</v>
      </c>
      <c r="Z35" t="s">
        <v>31</v>
      </c>
      <c r="AA35">
        <v>1.7494130532929265E-3</v>
      </c>
      <c r="AB35">
        <v>98.708237999999994</v>
      </c>
      <c r="AC35" t="s">
        <v>52</v>
      </c>
      <c r="AE35" t="s">
        <v>41</v>
      </c>
      <c r="AF35">
        <v>3.1199999999999999E-2</v>
      </c>
      <c r="AH35" t="s">
        <v>209</v>
      </c>
      <c r="AJ35">
        <v>3.1341677010790991E-2</v>
      </c>
      <c r="AK35">
        <v>3.1341677010790991E-2</v>
      </c>
      <c r="AL35">
        <v>0</v>
      </c>
      <c r="AQ35">
        <v>9.7786032273667885E-4</v>
      </c>
    </row>
    <row r="36" spans="1:43" x14ac:dyDescent="0.2">
      <c r="A36">
        <v>34</v>
      </c>
      <c r="B36">
        <v>148</v>
      </c>
      <c r="C36">
        <v>3</v>
      </c>
      <c r="D36">
        <v>1</v>
      </c>
      <c r="E36" t="s">
        <v>204</v>
      </c>
      <c r="F36" t="s">
        <v>62</v>
      </c>
      <c r="G36" t="s">
        <v>207</v>
      </c>
      <c r="H36">
        <v>3.5634766987597136E-3</v>
      </c>
      <c r="I36">
        <v>5.9077840287711715E-6</v>
      </c>
      <c r="J36">
        <v>0.34</v>
      </c>
      <c r="L36" s="1">
        <v>43175</v>
      </c>
      <c r="M36" s="1">
        <v>43052</v>
      </c>
      <c r="N36" s="1"/>
      <c r="R36">
        <v>5.6367607805077498E-4</v>
      </c>
      <c r="T36" t="s">
        <v>39</v>
      </c>
      <c r="V36">
        <v>99025588</v>
      </c>
      <c r="W36" t="s">
        <v>200</v>
      </c>
      <c r="X36" t="s">
        <v>211</v>
      </c>
      <c r="Y36">
        <v>100000000</v>
      </c>
      <c r="Z36" t="s">
        <v>31</v>
      </c>
      <c r="AA36">
        <v>5.8501248989710247E-4</v>
      </c>
      <c r="AB36">
        <v>99.025587999999999</v>
      </c>
      <c r="AC36" t="s">
        <v>52</v>
      </c>
      <c r="AE36" t="s">
        <v>41</v>
      </c>
      <c r="AF36">
        <v>2.8799999999999999E-2</v>
      </c>
      <c r="AH36" t="s">
        <v>209</v>
      </c>
      <c r="AJ36">
        <v>1.048081381988151E-2</v>
      </c>
      <c r="AK36">
        <v>1.048081381988151E-2</v>
      </c>
      <c r="AL36">
        <v>0</v>
      </c>
      <c r="AQ36">
        <v>3.0184743801258746E-4</v>
      </c>
    </row>
    <row r="37" spans="1:43" x14ac:dyDescent="0.2">
      <c r="A37">
        <v>35</v>
      </c>
      <c r="B37">
        <v>151</v>
      </c>
      <c r="C37">
        <v>3</v>
      </c>
      <c r="D37">
        <v>1</v>
      </c>
      <c r="E37" t="s">
        <v>203</v>
      </c>
      <c r="F37" t="s">
        <v>62</v>
      </c>
      <c r="G37" t="s">
        <v>207</v>
      </c>
      <c r="H37">
        <v>8.8316070250226992E-3</v>
      </c>
      <c r="I37">
        <v>1.1997822713781455E-5</v>
      </c>
      <c r="J37">
        <v>0.24</v>
      </c>
      <c r="L37" s="1">
        <v>43139</v>
      </c>
      <c r="M37" s="1">
        <v>43052</v>
      </c>
      <c r="N37" s="1"/>
      <c r="R37">
        <v>3.2604229820791286E-4</v>
      </c>
      <c r="T37" t="s">
        <v>39</v>
      </c>
      <c r="V37">
        <v>347680968</v>
      </c>
      <c r="W37" t="s">
        <v>181</v>
      </c>
      <c r="X37" t="s">
        <v>224</v>
      </c>
      <c r="Y37">
        <v>350000000</v>
      </c>
      <c r="Z37" t="s">
        <v>31</v>
      </c>
      <c r="AA37">
        <v>1.1880725674721791E-3</v>
      </c>
      <c r="AB37">
        <v>99.337418999999997</v>
      </c>
      <c r="AC37" t="s">
        <v>52</v>
      </c>
      <c r="AE37" t="s">
        <v>41</v>
      </c>
      <c r="AF37">
        <v>2.76E-2</v>
      </c>
      <c r="AH37" t="s">
        <v>209</v>
      </c>
      <c r="AJ37">
        <v>3.6798362604261246E-2</v>
      </c>
      <c r="AK37">
        <v>3.6798362604261246E-2</v>
      </c>
      <c r="AL37">
        <v>0</v>
      </c>
      <c r="AQ37">
        <v>1.0156348078776104E-3</v>
      </c>
    </row>
    <row r="38" spans="1:43" x14ac:dyDescent="0.2">
      <c r="A38">
        <v>36</v>
      </c>
      <c r="B38">
        <v>152</v>
      </c>
      <c r="C38">
        <v>3</v>
      </c>
      <c r="D38">
        <v>1</v>
      </c>
      <c r="E38" t="s">
        <v>232</v>
      </c>
      <c r="F38" t="s">
        <v>62</v>
      </c>
      <c r="G38" t="s">
        <v>207</v>
      </c>
      <c r="H38">
        <v>1.4091296341823118E-2</v>
      </c>
      <c r="I38">
        <v>1.5546138534584083E-5</v>
      </c>
      <c r="J38">
        <v>0.68</v>
      </c>
      <c r="L38" s="1">
        <v>43300</v>
      </c>
      <c r="M38" s="1">
        <v>43052</v>
      </c>
      <c r="N38" s="1"/>
      <c r="R38">
        <v>7.5020593897675875E-4</v>
      </c>
      <c r="T38" t="s">
        <v>39</v>
      </c>
      <c r="V38">
        <v>195791782</v>
      </c>
      <c r="W38" t="s">
        <v>228</v>
      </c>
      <c r="X38" t="s">
        <v>233</v>
      </c>
      <c r="Y38">
        <v>200000000</v>
      </c>
      <c r="Z38" t="s">
        <v>31</v>
      </c>
      <c r="AA38">
        <v>1.5394410439025536E-3</v>
      </c>
      <c r="AB38">
        <v>97.895891000000006</v>
      </c>
      <c r="AC38" t="s">
        <v>52</v>
      </c>
      <c r="AE38" t="s">
        <v>41</v>
      </c>
      <c r="AF38">
        <v>3.1199999999999999E-2</v>
      </c>
      <c r="AH38" t="s">
        <v>209</v>
      </c>
      <c r="AJ38">
        <v>2.0722494620328113E-2</v>
      </c>
      <c r="AK38">
        <v>2.0722494620328113E-2</v>
      </c>
      <c r="AL38">
        <v>0</v>
      </c>
      <c r="AQ38">
        <v>6.4654183215423705E-4</v>
      </c>
    </row>
    <row r="39" spans="1:43" x14ac:dyDescent="0.2">
      <c r="A39">
        <v>37</v>
      </c>
      <c r="B39">
        <v>163</v>
      </c>
      <c r="C39">
        <v>3</v>
      </c>
      <c r="D39">
        <v>1</v>
      </c>
      <c r="E39" t="s">
        <v>204</v>
      </c>
      <c r="F39" t="s">
        <v>62</v>
      </c>
      <c r="G39" t="s">
        <v>219</v>
      </c>
      <c r="H39">
        <v>3.2347112492403106E-3</v>
      </c>
      <c r="I39">
        <v>-2.3250835906004533E-5</v>
      </c>
      <c r="J39">
        <v>0.23</v>
      </c>
      <c r="L39" s="1">
        <v>43137</v>
      </c>
      <c r="M39" s="1">
        <v>43052</v>
      </c>
      <c r="N39" s="1"/>
      <c r="R39">
        <v>-1.6532209048448999E-3</v>
      </c>
      <c r="T39" t="s">
        <v>32</v>
      </c>
      <c r="V39">
        <v>132880149</v>
      </c>
      <c r="W39" t="s">
        <v>200</v>
      </c>
      <c r="X39" t="s">
        <v>211</v>
      </c>
      <c r="Y39">
        <v>5000</v>
      </c>
      <c r="Z39" t="s">
        <v>31</v>
      </c>
      <c r="AA39">
        <v>-2.3023911062622082E-3</v>
      </c>
      <c r="AB39">
        <v>99.757400154500672</v>
      </c>
      <c r="AC39" t="s">
        <v>52</v>
      </c>
      <c r="AE39" t="s">
        <v>41</v>
      </c>
      <c r="AF39">
        <v>8.3095104401065892E-2</v>
      </c>
      <c r="AH39" t="s">
        <v>209</v>
      </c>
      <c r="AJ39">
        <v>1.4063961953218742E-2</v>
      </c>
      <c r="AK39">
        <v>1.4063961953218742E-2</v>
      </c>
      <c r="AL39">
        <v>0</v>
      </c>
      <c r="AQ39">
        <v>1.1686463867953299E-3</v>
      </c>
    </row>
    <row r="40" spans="1:43" x14ac:dyDescent="0.2">
      <c r="L40" s="1"/>
      <c r="M40" s="1"/>
      <c r="N40" s="1"/>
    </row>
    <row r="41" spans="1:43" x14ac:dyDescent="0.2">
      <c r="L41" s="1"/>
      <c r="M41" s="1"/>
      <c r="N41" s="1"/>
    </row>
    <row r="42" spans="1:43" x14ac:dyDescent="0.2">
      <c r="L42" s="1"/>
      <c r="M42" s="1"/>
      <c r="N42" s="1"/>
    </row>
    <row r="43" spans="1:43" x14ac:dyDescent="0.2">
      <c r="L43" s="1"/>
      <c r="M43" s="1"/>
      <c r="N43" s="1"/>
    </row>
    <row r="44" spans="1:43" x14ac:dyDescent="0.2">
      <c r="L44" s="1"/>
      <c r="M44" s="1"/>
      <c r="N44" s="1"/>
    </row>
    <row r="45" spans="1:43" x14ac:dyDescent="0.2">
      <c r="L45" s="1"/>
      <c r="M45" s="1"/>
      <c r="N45" s="1"/>
    </row>
    <row r="46" spans="1:43" x14ac:dyDescent="0.2">
      <c r="L46" s="1"/>
      <c r="M46" s="1"/>
      <c r="N46" s="1"/>
    </row>
    <row r="47" spans="1:43" x14ac:dyDescent="0.2">
      <c r="L47" s="1"/>
      <c r="M47" s="1"/>
      <c r="N47" s="1"/>
    </row>
    <row r="48" spans="1:43" x14ac:dyDescent="0.2">
      <c r="L48" s="1"/>
      <c r="M48" s="1"/>
      <c r="N48" s="1"/>
    </row>
    <row r="49" spans="12:14" x14ac:dyDescent="0.2">
      <c r="L49" s="1"/>
      <c r="M49" s="1"/>
      <c r="N49" s="1"/>
    </row>
    <row r="50" spans="12:14" x14ac:dyDescent="0.2">
      <c r="L50" s="1"/>
      <c r="M50" s="1"/>
      <c r="N50" s="1"/>
    </row>
    <row r="51" spans="12:14" x14ac:dyDescent="0.2">
      <c r="L51" s="1"/>
      <c r="M51" s="1"/>
      <c r="N51" s="1"/>
    </row>
    <row r="52" spans="12:14" x14ac:dyDescent="0.2">
      <c r="L52" s="1"/>
      <c r="M52" s="1"/>
      <c r="N52" s="1"/>
    </row>
    <row r="53" spans="12:14" x14ac:dyDescent="0.2">
      <c r="L53" s="1"/>
      <c r="M53" s="1"/>
      <c r="N53" s="1"/>
    </row>
    <row r="54" spans="12:14" x14ac:dyDescent="0.2">
      <c r="L54" s="1"/>
      <c r="M54" s="1"/>
      <c r="N54" s="1"/>
    </row>
    <row r="55" spans="12:14" x14ac:dyDescent="0.2">
      <c r="L55" s="1"/>
      <c r="M55" s="1"/>
    </row>
    <row r="56" spans="12:14" x14ac:dyDescent="0.2">
      <c r="L56" s="1"/>
      <c r="M56" s="1"/>
    </row>
    <row r="57" spans="12:14" x14ac:dyDescent="0.2">
      <c r="L57" s="1"/>
      <c r="M57" s="1"/>
      <c r="N57" s="1"/>
    </row>
    <row r="58" spans="12:14" x14ac:dyDescent="0.2">
      <c r="L58" s="1"/>
      <c r="M58" s="1"/>
      <c r="N58" s="1"/>
    </row>
    <row r="59" spans="12:14" x14ac:dyDescent="0.2">
      <c r="L59" s="1"/>
      <c r="M59" s="1"/>
      <c r="N59" s="1"/>
    </row>
    <row r="60" spans="12:14" x14ac:dyDescent="0.2">
      <c r="L60" s="1"/>
      <c r="M60" s="1"/>
      <c r="N60" s="1"/>
    </row>
    <row r="61" spans="12:14" x14ac:dyDescent="0.2">
      <c r="L61" s="1"/>
      <c r="M61" s="1"/>
      <c r="N61" s="1"/>
    </row>
    <row r="62" spans="12:14" x14ac:dyDescent="0.2">
      <c r="L62" s="1"/>
      <c r="M62" s="1"/>
      <c r="N62" s="1"/>
    </row>
    <row r="63" spans="12:14" x14ac:dyDescent="0.2">
      <c r="L63" s="1"/>
      <c r="M63" s="1"/>
      <c r="N63" s="1"/>
    </row>
    <row r="64" spans="12:14" x14ac:dyDescent="0.2">
      <c r="L64" s="1"/>
      <c r="M64" s="1"/>
      <c r="N64" s="1"/>
    </row>
    <row r="65" spans="12:14" x14ac:dyDescent="0.2">
      <c r="L65" s="1"/>
      <c r="M65" s="1"/>
      <c r="N65" s="1"/>
    </row>
    <row r="66" spans="12:14" x14ac:dyDescent="0.2">
      <c r="L66" s="1"/>
      <c r="M66" s="1"/>
      <c r="N66" s="1"/>
    </row>
    <row r="67" spans="12:14" x14ac:dyDescent="0.2">
      <c r="L67" s="1"/>
      <c r="M67" s="1"/>
    </row>
    <row r="68" spans="12:14" x14ac:dyDescent="0.2">
      <c r="L68" s="1"/>
      <c r="M68" s="1"/>
      <c r="N68" s="1"/>
    </row>
    <row r="69" spans="12:14" x14ac:dyDescent="0.2">
      <c r="L69" s="1"/>
      <c r="M69" s="1"/>
      <c r="N69" s="1"/>
    </row>
    <row r="70" spans="12:14" x14ac:dyDescent="0.2">
      <c r="L70" s="1"/>
      <c r="M70" s="1"/>
      <c r="N70" s="1"/>
    </row>
    <row r="71" spans="12:14" x14ac:dyDescent="0.2">
      <c r="L71" s="1"/>
      <c r="M71" s="1"/>
      <c r="N71" s="1"/>
    </row>
    <row r="72" spans="12:14" x14ac:dyDescent="0.2">
      <c r="L72" s="1"/>
      <c r="M72" s="1"/>
      <c r="N72" s="1"/>
    </row>
    <row r="73" spans="12:14" x14ac:dyDescent="0.2">
      <c r="L73" s="1"/>
      <c r="M73" s="1"/>
      <c r="N73" s="1"/>
    </row>
    <row r="74" spans="12:14" x14ac:dyDescent="0.2">
      <c r="L74" s="1"/>
      <c r="M74" s="1"/>
      <c r="N74" s="1"/>
    </row>
    <row r="75" spans="12:14" x14ac:dyDescent="0.2">
      <c r="L75" s="1"/>
      <c r="M75" s="1"/>
      <c r="N75" s="1"/>
    </row>
    <row r="76" spans="12:14" x14ac:dyDescent="0.2">
      <c r="L76" s="1"/>
      <c r="M76" s="1"/>
      <c r="N76" s="1"/>
    </row>
    <row r="77" spans="12:14" x14ac:dyDescent="0.2">
      <c r="L77" s="1"/>
      <c r="M77" s="1"/>
      <c r="N77" s="1"/>
    </row>
    <row r="78" spans="12:14" x14ac:dyDescent="0.2">
      <c r="L78" s="1"/>
      <c r="M78" s="1"/>
      <c r="N78" s="1"/>
    </row>
    <row r="79" spans="12:14" x14ac:dyDescent="0.2">
      <c r="L79" s="1"/>
      <c r="M79" s="1"/>
      <c r="N79" s="1"/>
    </row>
    <row r="80" spans="12:14" x14ac:dyDescent="0.2">
      <c r="L80" s="1"/>
      <c r="M80" s="1"/>
      <c r="N80" s="1"/>
    </row>
    <row r="81" spans="12:14" x14ac:dyDescent="0.2">
      <c r="L81" s="1"/>
      <c r="M81" s="1"/>
      <c r="N81" s="1"/>
    </row>
    <row r="82" spans="12:14" x14ac:dyDescent="0.2">
      <c r="L82" s="1"/>
      <c r="M82" s="1"/>
      <c r="N82" s="1"/>
    </row>
    <row r="83" spans="12:14" x14ac:dyDescent="0.2">
      <c r="L83" s="1"/>
      <c r="M83" s="1"/>
      <c r="N83" s="1"/>
    </row>
    <row r="84" spans="12:14" x14ac:dyDescent="0.2">
      <c r="L84" s="1"/>
      <c r="M84" s="1"/>
      <c r="N84" s="1"/>
    </row>
    <row r="85" spans="12:14" x14ac:dyDescent="0.2">
      <c r="L85" s="1"/>
      <c r="M85" s="1"/>
      <c r="N85" s="1"/>
    </row>
    <row r="86" spans="12:14" x14ac:dyDescent="0.2">
      <c r="L86" s="1"/>
      <c r="M86" s="1"/>
      <c r="N86" s="1"/>
    </row>
    <row r="87" spans="12:14" x14ac:dyDescent="0.2">
      <c r="L87" s="1"/>
      <c r="M87" s="1"/>
      <c r="N87" s="1"/>
    </row>
    <row r="88" spans="12:14" x14ac:dyDescent="0.2">
      <c r="L88" s="1"/>
      <c r="M88" s="1"/>
      <c r="N88" s="1"/>
    </row>
    <row r="89" spans="12:14" x14ac:dyDescent="0.2">
      <c r="L89" s="1"/>
      <c r="M89" s="1"/>
      <c r="N89" s="1"/>
    </row>
    <row r="90" spans="12:14" x14ac:dyDescent="0.2">
      <c r="L90" s="1"/>
      <c r="M90" s="1"/>
      <c r="N90" s="1"/>
    </row>
    <row r="91" spans="12:14" x14ac:dyDescent="0.2">
      <c r="L91" s="1"/>
      <c r="M91" s="1"/>
      <c r="N91" s="1"/>
    </row>
    <row r="92" spans="12:14" x14ac:dyDescent="0.2">
      <c r="L92" s="1"/>
      <c r="M92" s="1"/>
      <c r="N92" s="1"/>
    </row>
    <row r="93" spans="12:14" x14ac:dyDescent="0.2">
      <c r="L93" s="1"/>
      <c r="M93" s="1"/>
      <c r="N93" s="1"/>
    </row>
    <row r="94" spans="12:14" x14ac:dyDescent="0.2">
      <c r="L94" s="1"/>
      <c r="M94" s="1"/>
      <c r="N94" s="1"/>
    </row>
    <row r="95" spans="12:14" x14ac:dyDescent="0.2">
      <c r="L95" s="1"/>
      <c r="M95" s="1"/>
      <c r="N95" s="1"/>
    </row>
    <row r="96" spans="12:14" x14ac:dyDescent="0.2">
      <c r="L96" s="1"/>
      <c r="M96" s="1"/>
      <c r="N96" s="1"/>
    </row>
    <row r="97" spans="12:14" x14ac:dyDescent="0.2">
      <c r="L97" s="1"/>
      <c r="M97" s="1"/>
      <c r="N97" s="1"/>
    </row>
    <row r="98" spans="12:14" x14ac:dyDescent="0.2">
      <c r="L98" s="1"/>
      <c r="M98" s="1"/>
      <c r="N98" s="1"/>
    </row>
    <row r="99" spans="12:14" x14ac:dyDescent="0.2">
      <c r="L99" s="1"/>
      <c r="M99" s="1"/>
      <c r="N99" s="1"/>
    </row>
    <row r="100" spans="12:14" x14ac:dyDescent="0.2">
      <c r="L100" s="1"/>
      <c r="M100" s="1"/>
      <c r="N100" s="1"/>
    </row>
    <row r="101" spans="12:14" x14ac:dyDescent="0.2">
      <c r="L101" s="1"/>
      <c r="M101" s="1"/>
      <c r="N101" s="1"/>
    </row>
    <row r="102" spans="12:14" x14ac:dyDescent="0.2">
      <c r="L102" s="1"/>
      <c r="M102" s="1"/>
      <c r="N102" s="1"/>
    </row>
    <row r="103" spans="12:14" x14ac:dyDescent="0.2">
      <c r="L103" s="1"/>
      <c r="M103" s="1"/>
      <c r="N103" s="1"/>
    </row>
    <row r="104" spans="12:14" x14ac:dyDescent="0.2">
      <c r="L104" s="1"/>
      <c r="M104" s="1"/>
      <c r="N104" s="1"/>
    </row>
    <row r="105" spans="12:14" x14ac:dyDescent="0.2">
      <c r="L105" s="1"/>
      <c r="M105" s="1"/>
      <c r="N105" s="1"/>
    </row>
    <row r="106" spans="12:14" x14ac:dyDescent="0.2">
      <c r="L106" s="1"/>
      <c r="M106" s="1"/>
      <c r="N106" s="1"/>
    </row>
    <row r="107" spans="12:14" x14ac:dyDescent="0.2">
      <c r="L107" s="1"/>
      <c r="M107" s="1"/>
      <c r="N107" s="1"/>
    </row>
    <row r="108" spans="12:14" x14ac:dyDescent="0.2">
      <c r="L108" s="1"/>
      <c r="M108" s="1"/>
      <c r="N108" s="1"/>
    </row>
    <row r="109" spans="12:14" x14ac:dyDescent="0.2">
      <c r="L109" s="1"/>
      <c r="M109" s="1"/>
      <c r="N109" s="1"/>
    </row>
    <row r="110" spans="12:14" x14ac:dyDescent="0.2">
      <c r="L110" s="1"/>
      <c r="M110" s="1"/>
      <c r="N110" s="1"/>
    </row>
    <row r="111" spans="12:14" x14ac:dyDescent="0.2">
      <c r="L111" s="1"/>
      <c r="M111" s="1"/>
      <c r="N111" s="1"/>
    </row>
    <row r="112" spans="12:14" x14ac:dyDescent="0.2">
      <c r="L112" s="1"/>
      <c r="M112" s="1"/>
      <c r="N112" s="1"/>
    </row>
    <row r="113" spans="12:14" x14ac:dyDescent="0.2">
      <c r="L113" s="1"/>
      <c r="M113" s="1"/>
      <c r="N113" s="1"/>
    </row>
    <row r="114" spans="12:14" x14ac:dyDescent="0.2">
      <c r="L114" s="1"/>
      <c r="M114" s="1"/>
      <c r="N114" s="1"/>
    </row>
    <row r="115" spans="12:14" x14ac:dyDescent="0.2">
      <c r="L115" s="1"/>
      <c r="M115" s="1"/>
      <c r="N115" s="1"/>
    </row>
    <row r="116" spans="12:14" x14ac:dyDescent="0.2">
      <c r="L116" s="1"/>
      <c r="M116" s="1"/>
      <c r="N116" s="1"/>
    </row>
    <row r="117" spans="12:14" x14ac:dyDescent="0.2">
      <c r="L117" s="1"/>
      <c r="M117" s="1"/>
      <c r="N117" s="1"/>
    </row>
    <row r="118" spans="12:14" x14ac:dyDescent="0.2">
      <c r="L118" s="1"/>
      <c r="M118" s="1"/>
      <c r="N118" s="1"/>
    </row>
    <row r="119" spans="12:14" x14ac:dyDescent="0.2">
      <c r="L119" s="1"/>
      <c r="M119" s="1"/>
      <c r="N119" s="1"/>
    </row>
    <row r="120" spans="12:14" x14ac:dyDescent="0.2">
      <c r="L120" s="1"/>
      <c r="M120" s="1"/>
      <c r="N120" s="1"/>
    </row>
    <row r="121" spans="12:14" x14ac:dyDescent="0.2">
      <c r="L121" s="1"/>
      <c r="M121" s="1"/>
      <c r="N121" s="1"/>
    </row>
    <row r="122" spans="12:14" x14ac:dyDescent="0.2">
      <c r="L122" s="1"/>
      <c r="M122" s="1"/>
      <c r="N122" s="1"/>
    </row>
    <row r="123" spans="12:14" x14ac:dyDescent="0.2">
      <c r="L123" s="1"/>
      <c r="M123" s="1"/>
      <c r="N123" s="1"/>
    </row>
    <row r="124" spans="12:14" x14ac:dyDescent="0.2">
      <c r="L124" s="1"/>
      <c r="M124" s="1"/>
      <c r="N124" s="1"/>
    </row>
    <row r="125" spans="12:14" x14ac:dyDescent="0.2">
      <c r="L125" s="1"/>
      <c r="M125" s="1"/>
      <c r="N125" s="1"/>
    </row>
    <row r="126" spans="12:14" x14ac:dyDescent="0.2">
      <c r="L126" s="1"/>
      <c r="M126" s="1"/>
      <c r="N126" s="1"/>
    </row>
    <row r="127" spans="12:14" x14ac:dyDescent="0.2">
      <c r="L127" s="1"/>
      <c r="M127" s="1"/>
      <c r="N127" s="1"/>
    </row>
    <row r="128" spans="12:14" x14ac:dyDescent="0.2">
      <c r="L128" s="1"/>
      <c r="M128" s="1"/>
      <c r="N128" s="1"/>
    </row>
    <row r="129" spans="12:29" x14ac:dyDescent="0.2">
      <c r="L129" s="1"/>
      <c r="M129" s="1"/>
      <c r="N129" s="1"/>
      <c r="AC129" s="8"/>
    </row>
    <row r="130" spans="12:29" x14ac:dyDescent="0.2">
      <c r="L130" s="1"/>
      <c r="M130" s="1"/>
      <c r="N130" s="1"/>
    </row>
    <row r="131" spans="12:29" x14ac:dyDescent="0.2">
      <c r="L131" s="1"/>
      <c r="M131" s="1"/>
      <c r="N131" s="1"/>
    </row>
    <row r="132" spans="12:29" x14ac:dyDescent="0.2">
      <c r="L132" s="1"/>
      <c r="M132" s="1"/>
      <c r="N132" s="1"/>
    </row>
    <row r="133" spans="12:29" x14ac:dyDescent="0.2">
      <c r="L133" s="1"/>
      <c r="M133" s="1"/>
      <c r="N133" s="1"/>
    </row>
    <row r="134" spans="12:29" x14ac:dyDescent="0.2">
      <c r="L134" s="1"/>
      <c r="M134" s="1"/>
      <c r="N134" s="1"/>
    </row>
    <row r="135" spans="12:29" x14ac:dyDescent="0.2">
      <c r="L135" s="1"/>
      <c r="M135" s="1"/>
      <c r="N135" s="1"/>
    </row>
    <row r="136" spans="12:29" x14ac:dyDescent="0.2">
      <c r="L136" s="1"/>
      <c r="M136" s="1"/>
      <c r="N136" s="1"/>
    </row>
    <row r="137" spans="12:29" x14ac:dyDescent="0.2">
      <c r="L137" s="1"/>
      <c r="M137" s="1"/>
      <c r="N137" s="1"/>
      <c r="AC137" s="8"/>
    </row>
    <row r="138" spans="12:29" x14ac:dyDescent="0.2">
      <c r="L138" s="1"/>
      <c r="M138" s="1"/>
      <c r="N138" s="1"/>
    </row>
    <row r="139" spans="12:29" x14ac:dyDescent="0.2">
      <c r="L139" s="1"/>
      <c r="M139" s="1"/>
      <c r="N139" s="1"/>
    </row>
    <row r="140" spans="12:29" x14ac:dyDescent="0.2">
      <c r="L140" s="1"/>
      <c r="M140" s="1"/>
      <c r="N140" s="1"/>
    </row>
    <row r="141" spans="12:29" x14ac:dyDescent="0.2">
      <c r="L141" s="1"/>
      <c r="M141" s="1"/>
      <c r="N141" s="1"/>
    </row>
    <row r="142" spans="12:29" x14ac:dyDescent="0.2">
      <c r="L142" s="1"/>
      <c r="M142" s="1"/>
      <c r="N142" s="1"/>
    </row>
    <row r="143" spans="12:29" x14ac:dyDescent="0.2">
      <c r="L143" s="1"/>
      <c r="M143" s="1"/>
      <c r="N143" s="1"/>
    </row>
    <row r="144" spans="12:29" x14ac:dyDescent="0.2">
      <c r="L144" s="1"/>
      <c r="M144" s="1"/>
      <c r="N144" s="1"/>
    </row>
    <row r="145" spans="12:29" x14ac:dyDescent="0.2">
      <c r="L145" s="1"/>
      <c r="M145" s="1"/>
      <c r="N145" s="1"/>
      <c r="AC145" s="8"/>
    </row>
    <row r="146" spans="12:29" x14ac:dyDescent="0.2">
      <c r="L146" s="1"/>
      <c r="M146" s="1"/>
      <c r="N146" s="1"/>
    </row>
    <row r="147" spans="12:29" x14ac:dyDescent="0.2">
      <c r="L147" s="1"/>
      <c r="M147" s="1"/>
      <c r="N147" s="1"/>
    </row>
    <row r="148" spans="12:29" x14ac:dyDescent="0.2">
      <c r="L148" s="1"/>
      <c r="M148" s="1"/>
      <c r="N148" s="1"/>
    </row>
    <row r="149" spans="12:29" x14ac:dyDescent="0.2">
      <c r="L149" s="1"/>
      <c r="M149" s="1"/>
      <c r="N149" s="1"/>
    </row>
    <row r="150" spans="12:29" x14ac:dyDescent="0.2">
      <c r="L150" s="1"/>
      <c r="M150" s="1"/>
      <c r="N150" s="1"/>
    </row>
    <row r="151" spans="12:29" x14ac:dyDescent="0.2">
      <c r="L151" s="1"/>
      <c r="M151" s="1"/>
      <c r="N151" s="1"/>
      <c r="AC151" s="8"/>
    </row>
    <row r="152" spans="12:29" x14ac:dyDescent="0.2">
      <c r="L152" s="1"/>
      <c r="M152" s="1"/>
      <c r="N152" s="1"/>
    </row>
    <row r="153" spans="12:29" x14ac:dyDescent="0.2">
      <c r="L153" s="1"/>
      <c r="M153" s="1"/>
      <c r="N153" s="1"/>
    </row>
    <row r="154" spans="12:29" x14ac:dyDescent="0.2">
      <c r="L154" s="1"/>
      <c r="M154" s="1"/>
      <c r="N154" s="1"/>
    </row>
    <row r="155" spans="12:29" x14ac:dyDescent="0.2">
      <c r="L155" s="1"/>
      <c r="M155" s="1"/>
      <c r="N155" s="1"/>
    </row>
    <row r="156" spans="12:29" x14ac:dyDescent="0.2">
      <c r="L156" s="1"/>
      <c r="M156" s="1"/>
      <c r="N156" s="1"/>
      <c r="AC156" s="8"/>
    </row>
    <row r="157" spans="12:29" x14ac:dyDescent="0.2">
      <c r="L157" s="1"/>
      <c r="M157" s="1"/>
      <c r="N157" s="1"/>
      <c r="AC157" s="8"/>
    </row>
    <row r="158" spans="12:29" x14ac:dyDescent="0.2">
      <c r="L158" s="1"/>
      <c r="M158" s="1"/>
      <c r="N158" s="1"/>
    </row>
    <row r="159" spans="12:29" x14ac:dyDescent="0.2">
      <c r="L159" s="1"/>
      <c r="M159" s="1"/>
      <c r="N159" s="1"/>
    </row>
    <row r="160" spans="12:29" x14ac:dyDescent="0.2">
      <c r="L160" s="1"/>
      <c r="M160" s="1"/>
      <c r="N160" s="1"/>
      <c r="AC160" s="8"/>
    </row>
    <row r="161" spans="12:14" x14ac:dyDescent="0.2">
      <c r="L161" s="1"/>
      <c r="M161" s="1"/>
      <c r="N161" s="1"/>
    </row>
    <row r="162" spans="12:14" x14ac:dyDescent="0.2">
      <c r="L162" s="1"/>
      <c r="M162" s="1"/>
      <c r="N162" s="1"/>
    </row>
    <row r="163" spans="12:14" x14ac:dyDescent="0.2">
      <c r="L163" s="1"/>
      <c r="M163" s="1"/>
      <c r="N163" s="1"/>
    </row>
    <row r="164" spans="12:14" x14ac:dyDescent="0.2">
      <c r="L164" s="1"/>
      <c r="M164" s="1"/>
      <c r="N164" s="1"/>
    </row>
    <row r="165" spans="12:14" x14ac:dyDescent="0.2">
      <c r="L165" s="1"/>
      <c r="M165" s="1"/>
      <c r="N165" s="1"/>
    </row>
    <row r="166" spans="12:14" x14ac:dyDescent="0.2">
      <c r="L166" s="1"/>
      <c r="M166" s="1"/>
      <c r="N166" s="1"/>
    </row>
    <row r="167" spans="12:14" x14ac:dyDescent="0.2">
      <c r="L167" s="1"/>
      <c r="M167" s="1"/>
      <c r="N167" s="1"/>
    </row>
    <row r="168" spans="12:14" x14ac:dyDescent="0.2">
      <c r="L168" s="1"/>
      <c r="M168" s="1"/>
      <c r="N168" s="1"/>
    </row>
    <row r="169" spans="12:14" x14ac:dyDescent="0.2">
      <c r="L169" s="1"/>
      <c r="M169" s="1"/>
      <c r="N169" s="1"/>
    </row>
    <row r="170" spans="12:14" x14ac:dyDescent="0.2">
      <c r="L170" s="1"/>
      <c r="M170" s="1"/>
      <c r="N170" s="1"/>
    </row>
    <row r="171" spans="12:14" x14ac:dyDescent="0.2">
      <c r="L171" s="1"/>
      <c r="M171" s="1"/>
      <c r="N171" s="1"/>
    </row>
    <row r="172" spans="12:14" x14ac:dyDescent="0.2">
      <c r="L172" s="1"/>
      <c r="M172" s="1"/>
      <c r="N172" s="1"/>
    </row>
    <row r="173" spans="12:14" x14ac:dyDescent="0.2">
      <c r="L173" s="1"/>
      <c r="M173" s="1"/>
      <c r="N173" s="1"/>
    </row>
    <row r="174" spans="12:14" x14ac:dyDescent="0.2">
      <c r="L174" s="1"/>
      <c r="M174" s="1"/>
      <c r="N174" s="1"/>
    </row>
    <row r="175" spans="12:14" x14ac:dyDescent="0.2">
      <c r="L175" s="1"/>
      <c r="M175" s="1"/>
      <c r="N175" s="1"/>
    </row>
    <row r="176" spans="12:14" x14ac:dyDescent="0.2">
      <c r="L176" s="1"/>
      <c r="M176" s="1"/>
      <c r="N176" s="1"/>
    </row>
    <row r="177" spans="12:14" x14ac:dyDescent="0.2">
      <c r="L177" s="1"/>
      <c r="M177" s="1"/>
      <c r="N177" s="1"/>
    </row>
    <row r="178" spans="12:14" x14ac:dyDescent="0.2">
      <c r="L178" s="1"/>
      <c r="M178" s="1"/>
      <c r="N178" s="1"/>
    </row>
    <row r="179" spans="12:14" x14ac:dyDescent="0.2">
      <c r="L179" s="1"/>
      <c r="M179" s="1"/>
      <c r="N179" s="1"/>
    </row>
    <row r="180" spans="12:14" x14ac:dyDescent="0.2">
      <c r="L180" s="1"/>
      <c r="M180" s="1"/>
      <c r="N180" s="1"/>
    </row>
    <row r="181" spans="12:14" x14ac:dyDescent="0.2">
      <c r="L181" s="1"/>
      <c r="M181" s="1"/>
      <c r="N181" s="1"/>
    </row>
    <row r="182" spans="12:14" x14ac:dyDescent="0.2">
      <c r="L182" s="1"/>
      <c r="M182" s="1"/>
      <c r="N182" s="1"/>
    </row>
    <row r="183" spans="12:14" x14ac:dyDescent="0.2">
      <c r="L183" s="1"/>
      <c r="M183" s="1"/>
      <c r="N183" s="1"/>
    </row>
    <row r="184" spans="12:14" x14ac:dyDescent="0.2">
      <c r="L184" s="1"/>
      <c r="M184" s="1"/>
      <c r="N184" s="1"/>
    </row>
    <row r="185" spans="12:14" x14ac:dyDescent="0.2">
      <c r="L185" s="1"/>
      <c r="M185" s="1"/>
      <c r="N185" s="1"/>
    </row>
    <row r="186" spans="12:14" x14ac:dyDescent="0.2">
      <c r="L186" s="1"/>
      <c r="M186" s="1"/>
      <c r="N186" s="1"/>
    </row>
    <row r="187" spans="12:14" x14ac:dyDescent="0.2">
      <c r="L187" s="1"/>
      <c r="M187" s="1"/>
      <c r="N187" s="1"/>
    </row>
    <row r="188" spans="12:14" x14ac:dyDescent="0.2">
      <c r="L188" s="1"/>
      <c r="M188" s="1"/>
      <c r="N188" s="1"/>
    </row>
    <row r="189" spans="12:14" x14ac:dyDescent="0.2">
      <c r="L189" s="1"/>
      <c r="M189" s="1"/>
      <c r="N189" s="1"/>
    </row>
    <row r="190" spans="12:14" x14ac:dyDescent="0.2">
      <c r="L190" s="1"/>
      <c r="M190" s="1"/>
      <c r="N190" s="1"/>
    </row>
    <row r="191" spans="12:14" x14ac:dyDescent="0.2">
      <c r="L191" s="1"/>
      <c r="M191" s="1"/>
      <c r="N191" s="1"/>
    </row>
    <row r="192" spans="12:14" x14ac:dyDescent="0.2">
      <c r="L192" s="1"/>
      <c r="M192" s="1"/>
      <c r="N192" s="1"/>
    </row>
    <row r="193" spans="12:14" x14ac:dyDescent="0.2">
      <c r="L193" s="1"/>
      <c r="M193" s="1"/>
      <c r="N193" s="1"/>
    </row>
    <row r="194" spans="12:14" x14ac:dyDescent="0.2">
      <c r="L194" s="1"/>
      <c r="M194" s="1"/>
      <c r="N194" s="1"/>
    </row>
    <row r="195" spans="12:14" x14ac:dyDescent="0.2">
      <c r="L195" s="1"/>
      <c r="M195" s="1"/>
      <c r="N195" s="1"/>
    </row>
    <row r="196" spans="12:14" x14ac:dyDescent="0.2">
      <c r="L196" s="1"/>
      <c r="M196" s="1"/>
      <c r="N196" s="1"/>
    </row>
    <row r="197" spans="12:14" x14ac:dyDescent="0.2">
      <c r="L197" s="1"/>
      <c r="M197" s="1"/>
      <c r="N197" s="1"/>
    </row>
    <row r="198" spans="12:14" x14ac:dyDescent="0.2">
      <c r="L198" s="1"/>
      <c r="M198" s="1"/>
      <c r="N198" s="1"/>
    </row>
    <row r="199" spans="12:14" x14ac:dyDescent="0.2">
      <c r="L199" s="1"/>
      <c r="M199" s="1"/>
      <c r="N199" s="1"/>
    </row>
    <row r="200" spans="12:14" x14ac:dyDescent="0.2">
      <c r="L200" s="1"/>
      <c r="M200" s="1"/>
      <c r="N200" s="1"/>
    </row>
    <row r="201" spans="12:14" x14ac:dyDescent="0.2">
      <c r="L201" s="1"/>
      <c r="M201" s="1"/>
      <c r="N201" s="1"/>
    </row>
    <row r="202" spans="12:14" x14ac:dyDescent="0.2">
      <c r="L202" s="1"/>
      <c r="M202" s="1"/>
      <c r="N202" s="1"/>
    </row>
    <row r="203" spans="12:14" x14ac:dyDescent="0.2">
      <c r="L203" s="1"/>
      <c r="M203" s="1"/>
      <c r="N203" s="1"/>
    </row>
    <row r="204" spans="12:14" x14ac:dyDescent="0.2">
      <c r="L204" s="1"/>
      <c r="M204" s="1"/>
      <c r="N204" s="1"/>
    </row>
    <row r="205" spans="12:14" x14ac:dyDescent="0.2">
      <c r="L205" s="1"/>
      <c r="M205" s="1"/>
      <c r="N205" s="1"/>
    </row>
    <row r="206" spans="12:14" x14ac:dyDescent="0.2">
      <c r="L206" s="1"/>
      <c r="M206" s="1"/>
      <c r="N206" s="1"/>
    </row>
    <row r="207" spans="12:14" x14ac:dyDescent="0.2">
      <c r="L207" s="1"/>
      <c r="M207" s="1"/>
      <c r="N207" s="1"/>
    </row>
    <row r="208" spans="12:14" x14ac:dyDescent="0.2">
      <c r="L208" s="1"/>
      <c r="M208" s="1"/>
      <c r="N208" s="1"/>
    </row>
    <row r="209" spans="12:14" x14ac:dyDescent="0.2">
      <c r="L209" s="1"/>
      <c r="M209" s="1"/>
      <c r="N209" s="1"/>
    </row>
    <row r="210" spans="12:14" x14ac:dyDescent="0.2">
      <c r="L210" s="1"/>
      <c r="M210" s="1"/>
      <c r="N210" s="1"/>
    </row>
    <row r="211" spans="12:14" x14ac:dyDescent="0.2">
      <c r="L211" s="1"/>
      <c r="M211" s="1"/>
      <c r="N211" s="1"/>
    </row>
    <row r="212" spans="12:14" x14ac:dyDescent="0.2">
      <c r="L212" s="1"/>
      <c r="M212" s="1"/>
      <c r="N212" s="1"/>
    </row>
    <row r="213" spans="12:14" x14ac:dyDescent="0.2">
      <c r="L213" s="1"/>
      <c r="M213" s="1"/>
      <c r="N213" s="1"/>
    </row>
    <row r="214" spans="12:14" x14ac:dyDescent="0.2">
      <c r="L214" s="1"/>
      <c r="M214" s="1"/>
      <c r="N214" s="1"/>
    </row>
    <row r="215" spans="12:14" x14ac:dyDescent="0.2">
      <c r="L215" s="1"/>
      <c r="M215" s="1"/>
      <c r="N215" s="1"/>
    </row>
    <row r="216" spans="12:14" x14ac:dyDescent="0.2">
      <c r="L216" s="1"/>
      <c r="M216" s="1"/>
    </row>
    <row r="217" spans="12:14" x14ac:dyDescent="0.2">
      <c r="L217" s="1"/>
      <c r="M217" s="1"/>
      <c r="N217" s="1"/>
    </row>
    <row r="218" spans="12:14" x14ac:dyDescent="0.2">
      <c r="L218" s="1"/>
      <c r="M218" s="1"/>
      <c r="N218" s="1"/>
    </row>
    <row r="219" spans="12:14" x14ac:dyDescent="0.2">
      <c r="L219" s="1"/>
      <c r="M219" s="1"/>
      <c r="N219" s="1"/>
    </row>
    <row r="220" spans="12:14" x14ac:dyDescent="0.2">
      <c r="L220" s="1"/>
      <c r="M220" s="1"/>
      <c r="N220" s="1"/>
    </row>
    <row r="221" spans="12:14" x14ac:dyDescent="0.2">
      <c r="L221" s="1"/>
      <c r="M221" s="1"/>
      <c r="N221" s="1"/>
    </row>
    <row r="222" spans="12:14" x14ac:dyDescent="0.2">
      <c r="L222" s="1"/>
      <c r="M222" s="1"/>
      <c r="N222" s="1"/>
    </row>
    <row r="223" spans="12:14" x14ac:dyDescent="0.2">
      <c r="L223" s="1"/>
      <c r="M223" s="1"/>
      <c r="N223" s="1"/>
    </row>
    <row r="224" spans="12:14" x14ac:dyDescent="0.2">
      <c r="L224" s="1"/>
      <c r="M224" s="1"/>
      <c r="N224" s="1"/>
    </row>
    <row r="225" spans="12:14" x14ac:dyDescent="0.2">
      <c r="L225" s="1"/>
      <c r="M225" s="1"/>
      <c r="N225" s="1"/>
    </row>
    <row r="226" spans="12:14" x14ac:dyDescent="0.2">
      <c r="L226" s="1"/>
      <c r="M226" s="1"/>
      <c r="N226" s="1"/>
    </row>
    <row r="227" spans="12:14" x14ac:dyDescent="0.2">
      <c r="L227" s="1"/>
      <c r="M227" s="1"/>
      <c r="N227" s="1"/>
    </row>
    <row r="228" spans="12:14" x14ac:dyDescent="0.2">
      <c r="L228" s="1"/>
      <c r="M228" s="1"/>
      <c r="N228" s="1"/>
    </row>
    <row r="229" spans="12:14" x14ac:dyDescent="0.2">
      <c r="L229" s="1"/>
      <c r="M229" s="1"/>
      <c r="N229" s="1"/>
    </row>
    <row r="230" spans="12:14" x14ac:dyDescent="0.2">
      <c r="L230" s="1"/>
      <c r="M230" s="1"/>
      <c r="N230" s="1"/>
    </row>
    <row r="231" spans="12:14" x14ac:dyDescent="0.2">
      <c r="L231" s="1"/>
      <c r="M231" s="1"/>
      <c r="N231" s="1"/>
    </row>
    <row r="232" spans="12:14" x14ac:dyDescent="0.2">
      <c r="L232" s="1"/>
      <c r="M232" s="1"/>
      <c r="N232" s="1"/>
    </row>
    <row r="233" spans="12:14" x14ac:dyDescent="0.2">
      <c r="L233" s="1"/>
      <c r="M233" s="1"/>
      <c r="N233" s="1"/>
    </row>
    <row r="234" spans="12:14" x14ac:dyDescent="0.2">
      <c r="L234" s="1"/>
      <c r="M234" s="1"/>
      <c r="N234" s="1"/>
    </row>
    <row r="235" spans="12:14" x14ac:dyDescent="0.2">
      <c r="L235" s="1"/>
      <c r="M235" s="1"/>
      <c r="N235" s="1"/>
    </row>
    <row r="236" spans="12:14" x14ac:dyDescent="0.2">
      <c r="L236" s="1"/>
      <c r="M236" s="1"/>
      <c r="N236" s="1"/>
    </row>
    <row r="237" spans="12:14" x14ac:dyDescent="0.2">
      <c r="L237" s="1"/>
      <c r="M237" s="1"/>
      <c r="N237" s="1"/>
    </row>
    <row r="238" spans="12:14" x14ac:dyDescent="0.2">
      <c r="L238" s="1"/>
      <c r="M238" s="1"/>
      <c r="N238" s="1"/>
    </row>
    <row r="239" spans="12:14" x14ac:dyDescent="0.2">
      <c r="L239" s="1"/>
      <c r="M239" s="1"/>
      <c r="N239" s="1"/>
    </row>
    <row r="240" spans="12:14" x14ac:dyDescent="0.2">
      <c r="L240" s="1"/>
      <c r="M240" s="1"/>
      <c r="N240" s="1"/>
    </row>
    <row r="241" spans="12:14" x14ac:dyDescent="0.2">
      <c r="L241" s="1"/>
      <c r="M241" s="1"/>
      <c r="N241" s="1"/>
    </row>
    <row r="242" spans="12:14" x14ac:dyDescent="0.2">
      <c r="L242" s="1"/>
      <c r="M242" s="1"/>
      <c r="N242" s="1"/>
    </row>
    <row r="243" spans="12:14" x14ac:dyDescent="0.2">
      <c r="L243" s="1"/>
      <c r="M243" s="1"/>
      <c r="N243" s="1"/>
    </row>
    <row r="244" spans="12:14" x14ac:dyDescent="0.2">
      <c r="L244" s="1"/>
      <c r="M244" s="1"/>
      <c r="N244" s="1"/>
    </row>
    <row r="245" spans="12:14" x14ac:dyDescent="0.2">
      <c r="L245" s="1"/>
      <c r="M245" s="1"/>
      <c r="N245" s="1"/>
    </row>
    <row r="246" spans="12:14" x14ac:dyDescent="0.2">
      <c r="L246" s="1"/>
      <c r="M246" s="1"/>
      <c r="N246" s="1"/>
    </row>
    <row r="247" spans="12:14" x14ac:dyDescent="0.2">
      <c r="L247" s="1"/>
      <c r="M247" s="1"/>
      <c r="N247" s="1"/>
    </row>
    <row r="248" spans="12:14" x14ac:dyDescent="0.2">
      <c r="L248" s="1"/>
      <c r="M248" s="1"/>
      <c r="N248" s="1"/>
    </row>
    <row r="249" spans="12:14" x14ac:dyDescent="0.2">
      <c r="L249" s="1"/>
      <c r="M249" s="1"/>
      <c r="N249" s="1"/>
    </row>
    <row r="250" spans="12:14" x14ac:dyDescent="0.2">
      <c r="L250" s="1"/>
      <c r="M250" s="1"/>
      <c r="N250" s="1"/>
    </row>
    <row r="251" spans="12:14" x14ac:dyDescent="0.2">
      <c r="L251" s="1"/>
      <c r="M251" s="1"/>
      <c r="N251" s="1"/>
    </row>
    <row r="252" spans="12:14" x14ac:dyDescent="0.2">
      <c r="L252" s="1"/>
      <c r="M252" s="1"/>
      <c r="N252" s="1"/>
    </row>
    <row r="253" spans="12:14" x14ac:dyDescent="0.2">
      <c r="L253" s="1"/>
      <c r="M253" s="1"/>
      <c r="N253" s="1"/>
    </row>
    <row r="254" spans="12:14" x14ac:dyDescent="0.2">
      <c r="L254" s="1"/>
      <c r="M254" s="1"/>
      <c r="N254" s="1"/>
    </row>
    <row r="255" spans="12:14" x14ac:dyDescent="0.2">
      <c r="L255" s="1"/>
      <c r="M255" s="1"/>
      <c r="N255" s="1"/>
    </row>
    <row r="256" spans="12:14" x14ac:dyDescent="0.2">
      <c r="L256" s="1"/>
      <c r="M256" s="1"/>
      <c r="N256" s="1"/>
    </row>
    <row r="257" spans="12:14" x14ac:dyDescent="0.2">
      <c r="L257" s="1"/>
      <c r="M257" s="1"/>
      <c r="N257" s="1"/>
    </row>
    <row r="258" spans="12:14" x14ac:dyDescent="0.2">
      <c r="L258" s="1"/>
      <c r="M258" s="1"/>
      <c r="N258" s="1"/>
    </row>
    <row r="259" spans="12:14" x14ac:dyDescent="0.2">
      <c r="L259" s="1"/>
      <c r="M259" s="1"/>
      <c r="N259" s="1"/>
    </row>
    <row r="260" spans="12:14" x14ac:dyDescent="0.2">
      <c r="L260" s="1"/>
      <c r="M260" s="1"/>
      <c r="N260" s="1"/>
    </row>
    <row r="261" spans="12:14" x14ac:dyDescent="0.2">
      <c r="L261" s="1"/>
      <c r="M261" s="1"/>
      <c r="N261" s="1"/>
    </row>
    <row r="262" spans="12:14" x14ac:dyDescent="0.2">
      <c r="L262" s="1"/>
      <c r="M262" s="1"/>
      <c r="N262" s="1"/>
    </row>
    <row r="263" spans="12:14" x14ac:dyDescent="0.2">
      <c r="L263" s="1"/>
      <c r="M263" s="1"/>
      <c r="N263" s="1"/>
    </row>
    <row r="264" spans="12:14" x14ac:dyDescent="0.2">
      <c r="L264" s="1"/>
      <c r="M264" s="1"/>
      <c r="N264" s="1"/>
    </row>
    <row r="265" spans="12:14" x14ac:dyDescent="0.2">
      <c r="L265" s="1"/>
      <c r="M265" s="1"/>
      <c r="N265" s="1"/>
    </row>
    <row r="266" spans="12:14" x14ac:dyDescent="0.2">
      <c r="L266" s="1"/>
      <c r="M266" s="1"/>
      <c r="N266" s="1"/>
    </row>
    <row r="267" spans="12:14" x14ac:dyDescent="0.2">
      <c r="L267" s="1"/>
      <c r="M267" s="1"/>
      <c r="N267" s="1"/>
    </row>
    <row r="268" spans="12:14" x14ac:dyDescent="0.2">
      <c r="L268" s="1"/>
      <c r="M268" s="1"/>
      <c r="N268" s="1"/>
    </row>
    <row r="269" spans="12:14" x14ac:dyDescent="0.2">
      <c r="L269" s="1"/>
      <c r="M269" s="1"/>
      <c r="N269" s="1"/>
    </row>
    <row r="270" spans="12:14" x14ac:dyDescent="0.2">
      <c r="L270" s="1"/>
      <c r="M270" s="1"/>
      <c r="N270" s="1"/>
    </row>
    <row r="271" spans="12:14" x14ac:dyDescent="0.2">
      <c r="L271" s="1"/>
      <c r="M271" s="1"/>
      <c r="N271" s="1"/>
    </row>
    <row r="272" spans="12:14" x14ac:dyDescent="0.2">
      <c r="L272" s="1"/>
      <c r="M272" s="1"/>
      <c r="N272" s="1"/>
    </row>
    <row r="273" spans="12:14" x14ac:dyDescent="0.2">
      <c r="L273" s="1"/>
      <c r="M273" s="1"/>
      <c r="N273" s="1"/>
    </row>
    <row r="274" spans="12:14" x14ac:dyDescent="0.2">
      <c r="L274" s="1"/>
      <c r="M274" s="1"/>
      <c r="N274" s="1"/>
    </row>
    <row r="275" spans="12:14" x14ac:dyDescent="0.2">
      <c r="L275" s="1"/>
      <c r="M275" s="1"/>
      <c r="N275" s="1"/>
    </row>
    <row r="276" spans="12:14" x14ac:dyDescent="0.2">
      <c r="L276" s="1"/>
      <c r="M276" s="1"/>
      <c r="N276" s="1"/>
    </row>
    <row r="277" spans="12:14" x14ac:dyDescent="0.2">
      <c r="L277" s="1"/>
      <c r="M277" s="1"/>
      <c r="N277" s="1"/>
    </row>
    <row r="278" spans="12:14" x14ac:dyDescent="0.2">
      <c r="L278" s="1"/>
      <c r="M278" s="1"/>
      <c r="N278" s="1"/>
    </row>
    <row r="279" spans="12:14" x14ac:dyDescent="0.2">
      <c r="L279" s="1"/>
      <c r="M279" s="1"/>
      <c r="N279" s="1"/>
    </row>
    <row r="280" spans="12:14" x14ac:dyDescent="0.2">
      <c r="L280" s="1"/>
      <c r="M280" s="1"/>
      <c r="N280" s="1"/>
    </row>
    <row r="281" spans="12:14" x14ac:dyDescent="0.2">
      <c r="L281" s="1"/>
      <c r="M281" s="1"/>
      <c r="N281" s="1"/>
    </row>
    <row r="282" spans="12:14" x14ac:dyDescent="0.2">
      <c r="L282" s="1"/>
      <c r="M282" s="1"/>
      <c r="N282" s="1"/>
    </row>
    <row r="283" spans="12:14" x14ac:dyDescent="0.2">
      <c r="L283" s="1"/>
      <c r="M283" s="1"/>
      <c r="N283" s="1"/>
    </row>
    <row r="284" spans="12:14" x14ac:dyDescent="0.2">
      <c r="L284" s="1"/>
      <c r="M284" s="1"/>
      <c r="N284" s="1"/>
    </row>
    <row r="285" spans="12:14" x14ac:dyDescent="0.2">
      <c r="L285" s="1"/>
      <c r="M285" s="1"/>
      <c r="N285" s="1"/>
    </row>
    <row r="286" spans="12:14" x14ac:dyDescent="0.2">
      <c r="L286" s="1"/>
      <c r="M286" s="1"/>
      <c r="N286" s="1"/>
    </row>
    <row r="287" spans="12:14" x14ac:dyDescent="0.2">
      <c r="L287" s="1"/>
      <c r="M287" s="1"/>
      <c r="N287" s="1"/>
    </row>
    <row r="288" spans="12:14" x14ac:dyDescent="0.2">
      <c r="L288" s="1"/>
      <c r="M288" s="1"/>
      <c r="N288" s="1"/>
    </row>
    <row r="289" spans="12:14" x14ac:dyDescent="0.2">
      <c r="L289" s="1"/>
      <c r="M289" s="1"/>
      <c r="N289" s="1"/>
    </row>
    <row r="290" spans="12:14" x14ac:dyDescent="0.2">
      <c r="L290" s="1"/>
      <c r="M290" s="1"/>
      <c r="N290" s="1"/>
    </row>
    <row r="291" spans="12:14" x14ac:dyDescent="0.2">
      <c r="L291" s="1"/>
      <c r="M291" s="1"/>
      <c r="N291" s="1"/>
    </row>
    <row r="292" spans="12:14" x14ac:dyDescent="0.2">
      <c r="L292" s="1"/>
      <c r="M292" s="1"/>
      <c r="N292" s="1"/>
    </row>
    <row r="293" spans="12:14" x14ac:dyDescent="0.2">
      <c r="L293" s="1"/>
      <c r="M293" s="1"/>
      <c r="N293" s="1"/>
    </row>
    <row r="294" spans="12:14" x14ac:dyDescent="0.2">
      <c r="L294" s="1"/>
      <c r="M294" s="1"/>
      <c r="N294" s="1"/>
    </row>
    <row r="295" spans="12:14" x14ac:dyDescent="0.2">
      <c r="L295" s="1"/>
      <c r="M295" s="1"/>
      <c r="N295" s="1"/>
    </row>
    <row r="296" spans="12:14" x14ac:dyDescent="0.2">
      <c r="L296" s="1"/>
      <c r="M296" s="1"/>
      <c r="N296" s="1"/>
    </row>
    <row r="297" spans="12:14" x14ac:dyDescent="0.2">
      <c r="L297" s="1"/>
      <c r="M297" s="1"/>
      <c r="N297" s="1"/>
    </row>
    <row r="298" spans="12:14" x14ac:dyDescent="0.2">
      <c r="L298" s="1"/>
      <c r="M298" s="1"/>
      <c r="N298" s="1"/>
    </row>
    <row r="299" spans="12:14" x14ac:dyDescent="0.2">
      <c r="L299" s="1"/>
      <c r="M299" s="1"/>
      <c r="N299" s="1"/>
    </row>
    <row r="300" spans="12:14" x14ac:dyDescent="0.2">
      <c r="L300" s="1"/>
      <c r="M300" s="1"/>
      <c r="N300" s="1"/>
    </row>
    <row r="301" spans="12:14" x14ac:dyDescent="0.2">
      <c r="L301" s="1"/>
      <c r="M301" s="1"/>
      <c r="N301" s="1"/>
    </row>
    <row r="302" spans="12:14" x14ac:dyDescent="0.2">
      <c r="L302" s="1"/>
      <c r="M302" s="1"/>
      <c r="N302" s="1"/>
    </row>
    <row r="303" spans="12:14" x14ac:dyDescent="0.2">
      <c r="L303" s="1"/>
      <c r="M303" s="1"/>
      <c r="N303" s="1"/>
    </row>
    <row r="304" spans="12:14" x14ac:dyDescent="0.2">
      <c r="L304" s="1"/>
      <c r="M304" s="1"/>
      <c r="N304" s="1"/>
    </row>
    <row r="305" spans="12:14" x14ac:dyDescent="0.2">
      <c r="L305" s="1"/>
      <c r="M305" s="1"/>
      <c r="N305" s="1"/>
    </row>
    <row r="306" spans="12:14" x14ac:dyDescent="0.2">
      <c r="L306" s="1"/>
      <c r="M306" s="1"/>
      <c r="N306" s="1"/>
    </row>
    <row r="307" spans="12:14" x14ac:dyDescent="0.2">
      <c r="L307" s="1"/>
      <c r="M307" s="1"/>
      <c r="N307" s="1"/>
    </row>
    <row r="308" spans="12:14" x14ac:dyDescent="0.2">
      <c r="L308" s="1"/>
      <c r="M308" s="1"/>
      <c r="N308" s="1"/>
    </row>
    <row r="309" spans="12:14" x14ac:dyDescent="0.2">
      <c r="L309" s="1"/>
      <c r="M309" s="1"/>
      <c r="N309" s="1"/>
    </row>
    <row r="310" spans="12:14" x14ac:dyDescent="0.2">
      <c r="L310" s="1"/>
      <c r="M310" s="1"/>
      <c r="N310" s="1"/>
    </row>
    <row r="311" spans="12:14" x14ac:dyDescent="0.2">
      <c r="L311" s="1"/>
      <c r="M311" s="1"/>
      <c r="N311" s="1"/>
    </row>
    <row r="312" spans="12:14" x14ac:dyDescent="0.2">
      <c r="L312" s="1"/>
      <c r="M312" s="1"/>
      <c r="N312" s="1"/>
    </row>
    <row r="313" spans="12:14" x14ac:dyDescent="0.2">
      <c r="L313" s="1"/>
      <c r="M313" s="1"/>
      <c r="N313" s="1"/>
    </row>
    <row r="314" spans="12:14" x14ac:dyDescent="0.2">
      <c r="L314" s="1"/>
      <c r="M314" s="1"/>
      <c r="N314" s="1"/>
    </row>
    <row r="315" spans="12:14" x14ac:dyDescent="0.2">
      <c r="L315" s="1"/>
      <c r="M315" s="1"/>
      <c r="N315" s="1"/>
    </row>
    <row r="316" spans="12:14" x14ac:dyDescent="0.2">
      <c r="L316" s="1"/>
      <c r="M316" s="1"/>
      <c r="N316" s="1"/>
    </row>
    <row r="317" spans="12:14" x14ac:dyDescent="0.2">
      <c r="L317" s="1"/>
      <c r="M317" s="1"/>
      <c r="N317" s="1"/>
    </row>
    <row r="318" spans="12:14" x14ac:dyDescent="0.2">
      <c r="L318" s="1"/>
      <c r="M318" s="1"/>
      <c r="N318" s="1"/>
    </row>
    <row r="319" spans="12:14" x14ac:dyDescent="0.2">
      <c r="L319" s="1"/>
      <c r="M319" s="1"/>
      <c r="N319" s="1"/>
    </row>
    <row r="320" spans="12:14" x14ac:dyDescent="0.2">
      <c r="L320" s="1"/>
      <c r="M320" s="1"/>
      <c r="N320" s="1"/>
    </row>
    <row r="321" spans="12:14" x14ac:dyDescent="0.2">
      <c r="L321" s="1"/>
      <c r="M321" s="1"/>
      <c r="N321" s="1"/>
    </row>
    <row r="322" spans="12:14" x14ac:dyDescent="0.2">
      <c r="L322" s="1"/>
      <c r="M322" s="1"/>
      <c r="N322" s="1"/>
    </row>
    <row r="323" spans="12:14" x14ac:dyDescent="0.2">
      <c r="L323" s="1"/>
      <c r="M323" s="1"/>
      <c r="N323" s="1"/>
    </row>
    <row r="324" spans="12:14" x14ac:dyDescent="0.2">
      <c r="L324" s="1"/>
      <c r="M324" s="1"/>
      <c r="N324" s="1"/>
    </row>
    <row r="325" spans="12:14" x14ac:dyDescent="0.2">
      <c r="L325" s="1"/>
      <c r="M325" s="1"/>
      <c r="N325" s="1"/>
    </row>
    <row r="326" spans="12:14" x14ac:dyDescent="0.2">
      <c r="L326" s="1"/>
      <c r="M326" s="1"/>
      <c r="N326" s="1"/>
    </row>
    <row r="327" spans="12:14" x14ac:dyDescent="0.2">
      <c r="L327" s="1"/>
      <c r="M327" s="1"/>
      <c r="N327" s="1"/>
    </row>
    <row r="328" spans="12:14" x14ac:dyDescent="0.2">
      <c r="L328" s="1"/>
      <c r="M328" s="1"/>
      <c r="N328" s="1"/>
    </row>
    <row r="329" spans="12:14" x14ac:dyDescent="0.2">
      <c r="L329" s="1"/>
      <c r="M329" s="1"/>
      <c r="N329" s="1"/>
    </row>
    <row r="330" spans="12:14" x14ac:dyDescent="0.2">
      <c r="L330" s="1"/>
      <c r="M330" s="1"/>
      <c r="N330" s="1"/>
    </row>
    <row r="331" spans="12:14" x14ac:dyDescent="0.2">
      <c r="L331" s="1"/>
      <c r="M331" s="1"/>
      <c r="N331" s="1"/>
    </row>
    <row r="332" spans="12:14" x14ac:dyDescent="0.2">
      <c r="L332" s="1"/>
      <c r="M332" s="1"/>
      <c r="N332" s="1"/>
    </row>
    <row r="333" spans="12:14" x14ac:dyDescent="0.2">
      <c r="L333" s="1"/>
      <c r="M333" s="1"/>
      <c r="N333" s="1"/>
    </row>
    <row r="334" spans="12:14" x14ac:dyDescent="0.2">
      <c r="L334" s="1"/>
      <c r="M334" s="1"/>
      <c r="N334" s="1"/>
    </row>
    <row r="335" spans="12:14" x14ac:dyDescent="0.2">
      <c r="L335" s="1"/>
      <c r="M335" s="1"/>
      <c r="N335" s="1"/>
    </row>
    <row r="336" spans="12:14" x14ac:dyDescent="0.2">
      <c r="L336" s="1"/>
      <c r="M336" s="1"/>
      <c r="N336" s="1"/>
    </row>
    <row r="337" spans="12:14" x14ac:dyDescent="0.2">
      <c r="L337" s="1"/>
      <c r="M337" s="1"/>
      <c r="N337" s="1"/>
    </row>
    <row r="338" spans="12:14" x14ac:dyDescent="0.2">
      <c r="L338" s="1"/>
      <c r="M338" s="1"/>
      <c r="N338" s="1"/>
    </row>
    <row r="339" spans="12:14" x14ac:dyDescent="0.2">
      <c r="L339" s="1"/>
      <c r="M339" s="1"/>
      <c r="N339" s="1"/>
    </row>
    <row r="340" spans="12:14" x14ac:dyDescent="0.2">
      <c r="L340" s="1"/>
      <c r="M340" s="1"/>
      <c r="N340" s="1"/>
    </row>
    <row r="341" spans="12:14" x14ac:dyDescent="0.2">
      <c r="L341" s="1"/>
      <c r="M341" s="1"/>
      <c r="N341" s="1"/>
    </row>
    <row r="342" spans="12:14" x14ac:dyDescent="0.2">
      <c r="L342" s="1"/>
      <c r="M342" s="1"/>
      <c r="N342" s="1"/>
    </row>
    <row r="343" spans="12:14" x14ac:dyDescent="0.2">
      <c r="L343" s="1"/>
      <c r="M343" s="1"/>
      <c r="N343" s="1"/>
    </row>
    <row r="344" spans="12:14" x14ac:dyDescent="0.2">
      <c r="L344" s="1"/>
      <c r="M344" s="1"/>
    </row>
    <row r="345" spans="12:14" x14ac:dyDescent="0.2">
      <c r="L345" s="1"/>
      <c r="M345" s="1"/>
    </row>
    <row r="346" spans="12:14" x14ac:dyDescent="0.2">
      <c r="L346" s="1"/>
      <c r="M346" s="1"/>
    </row>
    <row r="347" spans="12:14" x14ac:dyDescent="0.2">
      <c r="L347" s="1"/>
      <c r="M347" s="1"/>
    </row>
    <row r="348" spans="12:14" x14ac:dyDescent="0.2">
      <c r="L348" s="1"/>
      <c r="M348" s="1"/>
    </row>
    <row r="349" spans="12:14" x14ac:dyDescent="0.2">
      <c r="L349" s="1"/>
      <c r="M349" s="1"/>
    </row>
    <row r="350" spans="12:14" x14ac:dyDescent="0.2">
      <c r="L350" s="1"/>
      <c r="M350" s="1"/>
    </row>
    <row r="351" spans="12:14" x14ac:dyDescent="0.2">
      <c r="L351" s="1"/>
      <c r="M351" s="1"/>
    </row>
    <row r="352" spans="12:14" x14ac:dyDescent="0.2">
      <c r="L352" s="1"/>
      <c r="M352" s="1"/>
    </row>
    <row r="353" spans="12:13" x14ac:dyDescent="0.2">
      <c r="L353" s="1"/>
      <c r="M353" s="1"/>
    </row>
    <row r="354" spans="12:13" x14ac:dyDescent="0.2">
      <c r="L354" s="1"/>
      <c r="M354" s="1"/>
    </row>
    <row r="355" spans="12:13" x14ac:dyDescent="0.2">
      <c r="L355" s="1"/>
      <c r="M355" s="1"/>
    </row>
    <row r="356" spans="12:13" x14ac:dyDescent="0.2">
      <c r="L356" s="1"/>
      <c r="M356" s="1"/>
    </row>
    <row r="357" spans="12:13" x14ac:dyDescent="0.2">
      <c r="L357" s="1"/>
      <c r="M357" s="1"/>
    </row>
    <row r="358" spans="12:13" x14ac:dyDescent="0.2">
      <c r="L358" s="1"/>
      <c r="M358" s="1"/>
    </row>
    <row r="359" spans="12:13" x14ac:dyDescent="0.2">
      <c r="L359" s="1"/>
      <c r="M359" s="1"/>
    </row>
    <row r="360" spans="12:13" x14ac:dyDescent="0.2">
      <c r="L360" s="1"/>
      <c r="M360" s="1"/>
    </row>
    <row r="361" spans="12:13" x14ac:dyDescent="0.2">
      <c r="L361" s="1"/>
      <c r="M361" s="1"/>
    </row>
    <row r="362" spans="12:13" x14ac:dyDescent="0.2">
      <c r="L362" s="1"/>
      <c r="M362" s="1"/>
    </row>
    <row r="363" spans="12:13" x14ac:dyDescent="0.2">
      <c r="L363" s="1"/>
      <c r="M363" s="1"/>
    </row>
    <row r="364" spans="12:13" x14ac:dyDescent="0.2">
      <c r="L364" s="1"/>
      <c r="M364" s="1"/>
    </row>
    <row r="365" spans="12:13" x14ac:dyDescent="0.2">
      <c r="L365" s="1"/>
      <c r="M365" s="1"/>
    </row>
    <row r="366" spans="12:13" x14ac:dyDescent="0.2">
      <c r="L366" s="1"/>
      <c r="M366" s="1"/>
    </row>
    <row r="367" spans="12:13" x14ac:dyDescent="0.2">
      <c r="L367" s="1"/>
      <c r="M367" s="1"/>
    </row>
    <row r="368" spans="12:13" x14ac:dyDescent="0.2">
      <c r="L368" s="1"/>
      <c r="M368" s="1"/>
    </row>
    <row r="369" spans="12:14" x14ac:dyDescent="0.2">
      <c r="L369" s="1"/>
      <c r="M369" s="1"/>
    </row>
    <row r="370" spans="12:14" x14ac:dyDescent="0.2">
      <c r="L370" s="1"/>
      <c r="M370" s="1"/>
    </row>
    <row r="371" spans="12:14" x14ac:dyDescent="0.2">
      <c r="L371" s="1"/>
      <c r="M371" s="1"/>
    </row>
    <row r="372" spans="12:14" x14ac:dyDescent="0.2">
      <c r="L372" s="1"/>
      <c r="M372" s="1"/>
    </row>
    <row r="373" spans="12:14" x14ac:dyDescent="0.2">
      <c r="L373" s="1"/>
      <c r="M373" s="1"/>
    </row>
    <row r="374" spans="12:14" x14ac:dyDescent="0.2">
      <c r="L374" s="1"/>
      <c r="M374" s="1"/>
    </row>
    <row r="375" spans="12:14" x14ac:dyDescent="0.2">
      <c r="L375" s="1"/>
      <c r="M375" s="1"/>
    </row>
    <row r="376" spans="12:14" x14ac:dyDescent="0.2">
      <c r="L376" s="1"/>
      <c r="M376" s="1"/>
    </row>
    <row r="377" spans="12:14" x14ac:dyDescent="0.2">
      <c r="L377" s="1"/>
      <c r="M377" s="1"/>
    </row>
    <row r="378" spans="12:14" x14ac:dyDescent="0.2">
      <c r="L378" s="1"/>
      <c r="M378" s="1"/>
    </row>
    <row r="379" spans="12:14" x14ac:dyDescent="0.2">
      <c r="L379" s="1"/>
      <c r="M379" s="1"/>
    </row>
    <row r="380" spans="12:14" x14ac:dyDescent="0.2">
      <c r="L380" s="1"/>
      <c r="M380" s="1"/>
    </row>
    <row r="381" spans="12:14" x14ac:dyDescent="0.2">
      <c r="L381" s="1"/>
      <c r="M381" s="1"/>
    </row>
    <row r="382" spans="12:14" x14ac:dyDescent="0.2">
      <c r="L382" s="1"/>
      <c r="M382" s="1"/>
    </row>
    <row r="383" spans="12:14" x14ac:dyDescent="0.2">
      <c r="L383" s="1"/>
      <c r="M383" s="1"/>
    </row>
    <row r="384" spans="12:14" x14ac:dyDescent="0.2">
      <c r="L384" s="1"/>
      <c r="M384" s="1"/>
      <c r="N384" s="1"/>
    </row>
    <row r="385" spans="12:14" x14ac:dyDescent="0.2">
      <c r="L385" s="1"/>
      <c r="M385" s="1"/>
      <c r="N385" s="1"/>
    </row>
    <row r="386" spans="12:14" x14ac:dyDescent="0.2">
      <c r="L386" s="1"/>
      <c r="M386" s="1"/>
      <c r="N386" s="1"/>
    </row>
    <row r="387" spans="12:14" x14ac:dyDescent="0.2">
      <c r="L387" s="1"/>
      <c r="M387" s="1"/>
      <c r="N387" s="1"/>
    </row>
    <row r="388" spans="12:14" x14ac:dyDescent="0.2">
      <c r="L388" s="1"/>
      <c r="M388" s="1"/>
    </row>
    <row r="389" spans="12:14" x14ac:dyDescent="0.2">
      <c r="L389" s="1"/>
      <c r="M389" s="1"/>
    </row>
    <row r="390" spans="12:14" x14ac:dyDescent="0.2">
      <c r="L390" s="1"/>
      <c r="M390" s="1"/>
    </row>
    <row r="391" spans="12:14" x14ac:dyDescent="0.2">
      <c r="L391" s="1"/>
      <c r="M391" s="1"/>
    </row>
    <row r="392" spans="12:14" x14ac:dyDescent="0.2">
      <c r="L392" s="1"/>
      <c r="M392" s="1"/>
      <c r="N392" s="1"/>
    </row>
    <row r="393" spans="12:14" x14ac:dyDescent="0.2">
      <c r="L393" s="1"/>
      <c r="M393" s="1"/>
      <c r="N393" s="1"/>
    </row>
    <row r="394" spans="12:14" x14ac:dyDescent="0.2">
      <c r="L394" s="1"/>
      <c r="M394" s="1"/>
    </row>
    <row r="395" spans="12:14" x14ac:dyDescent="0.2">
      <c r="L395" s="1"/>
      <c r="M395" s="1"/>
    </row>
    <row r="396" spans="12:14" x14ac:dyDescent="0.2">
      <c r="L396" s="1"/>
      <c r="M396" s="1"/>
    </row>
    <row r="397" spans="12:14" x14ac:dyDescent="0.2">
      <c r="L397" s="1"/>
      <c r="M397" s="1"/>
    </row>
    <row r="398" spans="12:14" x14ac:dyDescent="0.2">
      <c r="L398" s="1"/>
      <c r="M398" s="1"/>
    </row>
    <row r="399" spans="12:14" x14ac:dyDescent="0.2">
      <c r="L399" s="1"/>
      <c r="M399" s="1"/>
    </row>
    <row r="400" spans="12:14" x14ac:dyDescent="0.2">
      <c r="L400" s="1"/>
      <c r="M400" s="1"/>
    </row>
    <row r="401" spans="12:14" x14ac:dyDescent="0.2">
      <c r="L401" s="1"/>
      <c r="M401" s="1"/>
      <c r="N401" s="1"/>
    </row>
    <row r="402" spans="12:14" x14ac:dyDescent="0.2">
      <c r="L402" s="1"/>
      <c r="M402" s="1"/>
      <c r="N402" s="1"/>
    </row>
    <row r="403" spans="12:14" x14ac:dyDescent="0.2">
      <c r="L403" s="1"/>
      <c r="M403" s="1"/>
    </row>
    <row r="404" spans="12:14" x14ac:dyDescent="0.2">
      <c r="L404" s="1"/>
      <c r="M404" s="1"/>
    </row>
    <row r="405" spans="12:14" x14ac:dyDescent="0.2">
      <c r="L405" s="1"/>
      <c r="M405" s="1"/>
    </row>
    <row r="406" spans="12:14" x14ac:dyDescent="0.2">
      <c r="L406" s="1"/>
      <c r="M406" s="1"/>
    </row>
    <row r="407" spans="12:14" x14ac:dyDescent="0.2">
      <c r="L407" s="1"/>
      <c r="M407" s="1"/>
    </row>
    <row r="408" spans="12:14" x14ac:dyDescent="0.2">
      <c r="L408" s="1"/>
      <c r="M408" s="1"/>
      <c r="N408" s="1"/>
    </row>
    <row r="409" spans="12:14" x14ac:dyDescent="0.2">
      <c r="L409" s="1"/>
      <c r="M409" s="1"/>
      <c r="N409" s="1"/>
    </row>
    <row r="410" spans="12:14" x14ac:dyDescent="0.2">
      <c r="L410" s="1"/>
      <c r="M410" s="1"/>
      <c r="N410" s="1"/>
    </row>
    <row r="411" spans="12:14" x14ac:dyDescent="0.2">
      <c r="L411" s="1"/>
      <c r="M411" s="1"/>
    </row>
    <row r="412" spans="12:14" x14ac:dyDescent="0.2">
      <c r="L412" s="1"/>
      <c r="M412" s="1"/>
    </row>
    <row r="413" spans="12:14" x14ac:dyDescent="0.2">
      <c r="L413" s="1"/>
      <c r="M413" s="1"/>
    </row>
    <row r="414" spans="12:14" x14ac:dyDescent="0.2">
      <c r="L414" s="1"/>
      <c r="M414" s="1"/>
      <c r="N414" s="1"/>
    </row>
    <row r="415" spans="12:14" x14ac:dyDescent="0.2">
      <c r="L415" s="1"/>
      <c r="M415" s="1"/>
      <c r="N415" s="1"/>
    </row>
    <row r="416" spans="12:14" x14ac:dyDescent="0.2">
      <c r="L416" s="1"/>
      <c r="M416" s="1"/>
    </row>
    <row r="417" spans="12:14" x14ac:dyDescent="0.2">
      <c r="L417" s="1"/>
      <c r="M417" s="1"/>
    </row>
    <row r="418" spans="12:14" x14ac:dyDescent="0.2">
      <c r="L418" s="1"/>
      <c r="M418" s="1"/>
    </row>
    <row r="419" spans="12:14" x14ac:dyDescent="0.2">
      <c r="L419" s="1"/>
      <c r="M419" s="1"/>
    </row>
    <row r="420" spans="12:14" x14ac:dyDescent="0.2">
      <c r="L420" s="1"/>
      <c r="M420" s="1"/>
    </row>
    <row r="421" spans="12:14" x14ac:dyDescent="0.2">
      <c r="L421" s="1"/>
      <c r="M421" s="1"/>
    </row>
    <row r="422" spans="12:14" x14ac:dyDescent="0.2">
      <c r="L422" s="1"/>
      <c r="M422" s="1"/>
      <c r="N422" s="1"/>
    </row>
    <row r="423" spans="12:14" x14ac:dyDescent="0.2">
      <c r="L423" s="1"/>
      <c r="M423" s="1"/>
      <c r="N423" s="1"/>
    </row>
    <row r="424" spans="12:14" x14ac:dyDescent="0.2">
      <c r="L424" s="1"/>
      <c r="M424" s="1"/>
    </row>
    <row r="425" spans="12:14" x14ac:dyDescent="0.2">
      <c r="L425" s="1"/>
      <c r="M425" s="1"/>
      <c r="N425" s="1"/>
    </row>
    <row r="426" spans="12:14" x14ac:dyDescent="0.2">
      <c r="L426" s="1"/>
      <c r="M426" s="1"/>
      <c r="N426" s="1"/>
    </row>
    <row r="427" spans="12:14" x14ac:dyDescent="0.2">
      <c r="L427" s="1"/>
      <c r="M427" s="1"/>
      <c r="N427" s="1"/>
    </row>
    <row r="428" spans="12:14" x14ac:dyDescent="0.2">
      <c r="L428" s="1"/>
      <c r="M428" s="1"/>
    </row>
    <row r="429" spans="12:14" x14ac:dyDescent="0.2">
      <c r="L429" s="1"/>
      <c r="M429" s="1"/>
    </row>
    <row r="430" spans="12:14" x14ac:dyDescent="0.2">
      <c r="L430" s="1"/>
      <c r="M430" s="1"/>
    </row>
    <row r="431" spans="12:14" x14ac:dyDescent="0.2">
      <c r="L431" s="1"/>
      <c r="M431" s="1"/>
      <c r="N431" s="1"/>
    </row>
    <row r="432" spans="12:14" x14ac:dyDescent="0.2">
      <c r="L432" s="1"/>
      <c r="M432" s="1"/>
      <c r="N432" s="1"/>
    </row>
    <row r="433" spans="12:14" x14ac:dyDescent="0.2">
      <c r="L433" s="1"/>
      <c r="M433" s="1"/>
    </row>
    <row r="434" spans="12:14" x14ac:dyDescent="0.2">
      <c r="L434" s="1"/>
      <c r="M434" s="1"/>
    </row>
    <row r="435" spans="12:14" x14ac:dyDescent="0.2">
      <c r="L435" s="1"/>
      <c r="M435" s="1"/>
      <c r="N435" s="1"/>
    </row>
    <row r="436" spans="12:14" x14ac:dyDescent="0.2">
      <c r="L436" s="1"/>
      <c r="M436" s="1"/>
      <c r="N436" s="1"/>
    </row>
    <row r="437" spans="12:14" x14ac:dyDescent="0.2">
      <c r="L437" s="1"/>
      <c r="M437" s="1"/>
      <c r="N437" s="1"/>
    </row>
    <row r="438" spans="12:14" x14ac:dyDescent="0.2">
      <c r="L438" s="1"/>
      <c r="M438" s="1"/>
      <c r="N438" s="1"/>
    </row>
    <row r="439" spans="12:14" x14ac:dyDescent="0.2">
      <c r="L439" s="1"/>
      <c r="M439" s="1"/>
    </row>
    <row r="440" spans="12:14" x14ac:dyDescent="0.2">
      <c r="L440" s="1"/>
      <c r="M440" s="1"/>
      <c r="N440" s="1"/>
    </row>
    <row r="441" spans="12:14" x14ac:dyDescent="0.2">
      <c r="L441" s="1"/>
      <c r="M441" s="1"/>
      <c r="N441" s="1"/>
    </row>
    <row r="442" spans="12:14" x14ac:dyDescent="0.2">
      <c r="L442" s="1"/>
      <c r="M442" s="1"/>
      <c r="N442" s="1"/>
    </row>
    <row r="443" spans="12:14" x14ac:dyDescent="0.2">
      <c r="L443" s="1"/>
      <c r="M443" s="1"/>
      <c r="N443" s="1"/>
    </row>
    <row r="444" spans="12:14" x14ac:dyDescent="0.2">
      <c r="L444" s="1"/>
      <c r="M444" s="1"/>
      <c r="N444" s="1"/>
    </row>
    <row r="445" spans="12:14" x14ac:dyDescent="0.2">
      <c r="L445" s="1"/>
      <c r="M445" s="1"/>
      <c r="N445" s="1"/>
    </row>
    <row r="446" spans="12:14" x14ac:dyDescent="0.2">
      <c r="L446" s="1"/>
      <c r="M446" s="1"/>
    </row>
    <row r="447" spans="12:14" x14ac:dyDescent="0.2">
      <c r="L447" s="1"/>
      <c r="M447" s="1"/>
    </row>
    <row r="448" spans="12:14" x14ac:dyDescent="0.2">
      <c r="L448" s="1"/>
      <c r="M448" s="1"/>
    </row>
    <row r="449" spans="12:14" x14ac:dyDescent="0.2">
      <c r="L449" s="1"/>
      <c r="M449" s="1"/>
    </row>
    <row r="450" spans="12:14" x14ac:dyDescent="0.2">
      <c r="L450" s="1"/>
      <c r="M450" s="1"/>
    </row>
    <row r="451" spans="12:14" x14ac:dyDescent="0.2">
      <c r="L451" s="1"/>
      <c r="M451" s="1"/>
      <c r="N451" s="1"/>
    </row>
    <row r="452" spans="12:14" x14ac:dyDescent="0.2">
      <c r="L452" s="1"/>
      <c r="M452" s="1"/>
      <c r="N452" s="1"/>
    </row>
    <row r="453" spans="12:14" x14ac:dyDescent="0.2">
      <c r="L453" s="1"/>
      <c r="M453" s="1"/>
      <c r="N453" s="1"/>
    </row>
    <row r="454" spans="12:14" x14ac:dyDescent="0.2">
      <c r="L454" s="1"/>
      <c r="M454" s="1"/>
      <c r="N454" s="1"/>
    </row>
    <row r="455" spans="12:14" x14ac:dyDescent="0.2">
      <c r="L455" s="1"/>
      <c r="M455" s="1"/>
      <c r="N455" s="1"/>
    </row>
    <row r="456" spans="12:14" x14ac:dyDescent="0.2">
      <c r="L456" s="1"/>
      <c r="M456" s="1"/>
      <c r="N456" s="1"/>
    </row>
    <row r="457" spans="12:14" x14ac:dyDescent="0.2">
      <c r="L457" s="1"/>
      <c r="M457" s="1"/>
      <c r="N457" s="1"/>
    </row>
    <row r="458" spans="12:14" x14ac:dyDescent="0.2">
      <c r="L458" s="1"/>
      <c r="M458" s="1"/>
      <c r="N458" s="1"/>
    </row>
    <row r="459" spans="12:14" x14ac:dyDescent="0.2">
      <c r="L459" s="1"/>
      <c r="M459" s="1"/>
      <c r="N459" s="1"/>
    </row>
    <row r="460" spans="12:14" x14ac:dyDescent="0.2">
      <c r="L460" s="1"/>
      <c r="M460" s="1"/>
      <c r="N460" s="1"/>
    </row>
    <row r="461" spans="12:14" x14ac:dyDescent="0.2">
      <c r="L461" s="1"/>
      <c r="M461" s="1"/>
      <c r="N461" s="1"/>
    </row>
    <row r="462" spans="12:14" x14ac:dyDescent="0.2">
      <c r="L462" s="1"/>
      <c r="M462" s="1"/>
      <c r="N462" s="1"/>
    </row>
    <row r="463" spans="12:14" x14ac:dyDescent="0.2">
      <c r="L463" s="1"/>
      <c r="M463" s="1"/>
      <c r="N463" s="1"/>
    </row>
    <row r="464" spans="12:14" x14ac:dyDescent="0.2">
      <c r="L464" s="1"/>
      <c r="M464" s="1"/>
      <c r="N464" s="1"/>
    </row>
    <row r="465" spans="12:14" x14ac:dyDescent="0.2">
      <c r="L465" s="1"/>
      <c r="M465" s="1"/>
      <c r="N465" s="1"/>
    </row>
    <row r="466" spans="12:14" x14ac:dyDescent="0.2">
      <c r="L466" s="1"/>
      <c r="M466" s="1"/>
      <c r="N466" s="1"/>
    </row>
    <row r="467" spans="12:14" x14ac:dyDescent="0.2">
      <c r="L467" s="1"/>
      <c r="M467" s="1"/>
      <c r="N467" s="1"/>
    </row>
    <row r="468" spans="12:14" x14ac:dyDescent="0.2">
      <c r="L468" s="1"/>
      <c r="M468" s="1"/>
      <c r="N468" s="1"/>
    </row>
    <row r="469" spans="12:14" x14ac:dyDescent="0.2">
      <c r="L469" s="1"/>
      <c r="M469" s="1"/>
      <c r="N469" s="1"/>
    </row>
    <row r="470" spans="12:14" x14ac:dyDescent="0.2">
      <c r="L470" s="1"/>
      <c r="M470" s="1"/>
      <c r="N470" s="1"/>
    </row>
    <row r="471" spans="12:14" x14ac:dyDescent="0.2">
      <c r="L471" s="1"/>
      <c r="M471" s="1"/>
      <c r="N471" s="1"/>
    </row>
    <row r="472" spans="12:14" x14ac:dyDescent="0.2">
      <c r="L472" s="1"/>
      <c r="M472" s="1"/>
      <c r="N472" s="1"/>
    </row>
    <row r="473" spans="12:14" x14ac:dyDescent="0.2">
      <c r="L473" s="1"/>
      <c r="M473" s="1"/>
      <c r="N473" s="1"/>
    </row>
    <row r="474" spans="12:14" x14ac:dyDescent="0.2">
      <c r="L474" s="1"/>
      <c r="M474" s="1"/>
      <c r="N474" s="1"/>
    </row>
    <row r="475" spans="12:14" x14ac:dyDescent="0.2">
      <c r="L475" s="1"/>
      <c r="M475" s="1"/>
      <c r="N475" s="1"/>
    </row>
    <row r="476" spans="12:14" x14ac:dyDescent="0.2">
      <c r="L476" s="1"/>
      <c r="M476" s="1"/>
      <c r="N476" s="1"/>
    </row>
    <row r="477" spans="12:14" x14ac:dyDescent="0.2">
      <c r="L477" s="1"/>
      <c r="M477" s="1"/>
      <c r="N477" s="1"/>
    </row>
    <row r="478" spans="12:14" x14ac:dyDescent="0.2">
      <c r="L478" s="1"/>
      <c r="M478" s="1"/>
      <c r="N478" s="1"/>
    </row>
    <row r="479" spans="12:14" x14ac:dyDescent="0.2">
      <c r="L479" s="1"/>
      <c r="M479" s="1"/>
      <c r="N479" s="1"/>
    </row>
    <row r="480" spans="12:14" x14ac:dyDescent="0.2">
      <c r="L480" s="1"/>
      <c r="M480" s="1"/>
      <c r="N480" s="1"/>
    </row>
    <row r="481" spans="12:14" x14ac:dyDescent="0.2">
      <c r="L481" s="1"/>
      <c r="M481" s="1"/>
      <c r="N481" s="1"/>
    </row>
    <row r="482" spans="12:14" x14ac:dyDescent="0.2">
      <c r="L482" s="1"/>
      <c r="M482" s="1"/>
      <c r="N482" s="1"/>
    </row>
    <row r="483" spans="12:14" x14ac:dyDescent="0.2">
      <c r="L483" s="1"/>
      <c r="M483" s="1"/>
      <c r="N483" s="1"/>
    </row>
    <row r="484" spans="12:14" x14ac:dyDescent="0.2">
      <c r="L484" s="1"/>
      <c r="M484" s="1"/>
      <c r="N484" s="1"/>
    </row>
    <row r="485" spans="12:14" x14ac:dyDescent="0.2">
      <c r="L485" s="1"/>
      <c r="M485" s="1"/>
      <c r="N485" s="1"/>
    </row>
    <row r="486" spans="12:14" x14ac:dyDescent="0.2">
      <c r="L486" s="1"/>
      <c r="M486" s="1"/>
      <c r="N486" s="1"/>
    </row>
    <row r="487" spans="12:14" x14ac:dyDescent="0.2">
      <c r="L487" s="1"/>
      <c r="M487" s="1"/>
      <c r="N487" s="1"/>
    </row>
    <row r="488" spans="12:14" x14ac:dyDescent="0.2">
      <c r="L488" s="1"/>
      <c r="M488" s="1"/>
      <c r="N488" s="1"/>
    </row>
    <row r="489" spans="12:14" x14ac:dyDescent="0.2">
      <c r="L489" s="1"/>
      <c r="M489" s="1"/>
      <c r="N489" s="1"/>
    </row>
    <row r="490" spans="12:14" x14ac:dyDescent="0.2">
      <c r="L490" s="1"/>
      <c r="M490" s="1"/>
      <c r="N490" s="1"/>
    </row>
    <row r="491" spans="12:14" x14ac:dyDescent="0.2">
      <c r="L491" s="1"/>
      <c r="M491" s="1"/>
      <c r="N491" s="1"/>
    </row>
    <row r="492" spans="12:14" x14ac:dyDescent="0.2">
      <c r="L492" s="1"/>
      <c r="M492" s="1"/>
      <c r="N492" s="1"/>
    </row>
    <row r="493" spans="12:14" x14ac:dyDescent="0.2">
      <c r="L493" s="1"/>
      <c r="M493" s="1"/>
      <c r="N493" s="1"/>
    </row>
    <row r="494" spans="12:14" x14ac:dyDescent="0.2">
      <c r="L494" s="1"/>
      <c r="M494" s="1"/>
      <c r="N494" s="1"/>
    </row>
    <row r="495" spans="12:14" x14ac:dyDescent="0.2">
      <c r="L495" s="1"/>
      <c r="M495" s="1"/>
      <c r="N495" s="1"/>
    </row>
    <row r="496" spans="12:14" x14ac:dyDescent="0.2">
      <c r="L496" s="1"/>
      <c r="M496" s="1"/>
      <c r="N496" s="1"/>
    </row>
    <row r="497" spans="12:14" x14ac:dyDescent="0.2">
      <c r="L497" s="1"/>
      <c r="M497" s="1"/>
      <c r="N497" s="1"/>
    </row>
    <row r="498" spans="12:14" x14ac:dyDescent="0.2">
      <c r="L498" s="1"/>
      <c r="M498" s="1"/>
      <c r="N498" s="1"/>
    </row>
    <row r="499" spans="12:14" x14ac:dyDescent="0.2">
      <c r="L499" s="1"/>
      <c r="M499" s="1"/>
      <c r="N499" s="1"/>
    </row>
    <row r="500" spans="12:14" x14ac:dyDescent="0.2">
      <c r="L500" s="1"/>
      <c r="M500" s="1"/>
      <c r="N500" s="1"/>
    </row>
    <row r="501" spans="12:14" x14ac:dyDescent="0.2">
      <c r="L501" s="1"/>
      <c r="M501" s="1"/>
      <c r="N501" s="1"/>
    </row>
    <row r="502" spans="12:14" x14ac:dyDescent="0.2">
      <c r="L502" s="1"/>
      <c r="M502" s="1"/>
      <c r="N502" s="1"/>
    </row>
    <row r="503" spans="12:14" x14ac:dyDescent="0.2">
      <c r="L503" s="1"/>
      <c r="M503" s="1"/>
      <c r="N503" s="1"/>
    </row>
    <row r="504" spans="12:14" x14ac:dyDescent="0.2">
      <c r="L504" s="1"/>
      <c r="M504" s="1"/>
      <c r="N504" s="1"/>
    </row>
    <row r="505" spans="12:14" x14ac:dyDescent="0.2">
      <c r="L505" s="1"/>
      <c r="M505" s="1"/>
      <c r="N505" s="1"/>
    </row>
    <row r="506" spans="12:14" x14ac:dyDescent="0.2">
      <c r="L506" s="1"/>
      <c r="M506" s="1"/>
      <c r="N506" s="1"/>
    </row>
    <row r="507" spans="12:14" x14ac:dyDescent="0.2">
      <c r="L507" s="1"/>
      <c r="M507" s="1"/>
      <c r="N507" s="1"/>
    </row>
    <row r="508" spans="12:14" x14ac:dyDescent="0.2">
      <c r="L508" s="1"/>
      <c r="M508" s="1"/>
      <c r="N508" s="1"/>
    </row>
    <row r="509" spans="12:14" x14ac:dyDescent="0.2">
      <c r="L509" s="1"/>
      <c r="M509" s="1"/>
      <c r="N509" s="1"/>
    </row>
    <row r="510" spans="12:14" x14ac:dyDescent="0.2">
      <c r="L510" s="1"/>
      <c r="M510" s="1"/>
      <c r="N510" s="1"/>
    </row>
    <row r="511" spans="12:14" x14ac:dyDescent="0.2">
      <c r="L511" s="1"/>
      <c r="M511" s="1"/>
      <c r="N511" s="1"/>
    </row>
    <row r="512" spans="12:14" x14ac:dyDescent="0.2">
      <c r="L512" s="1"/>
      <c r="M512" s="1"/>
      <c r="N512" s="1"/>
    </row>
    <row r="513" spans="12:14" x14ac:dyDescent="0.2">
      <c r="L513" s="1"/>
      <c r="M513" s="1"/>
      <c r="N513" s="1"/>
    </row>
    <row r="514" spans="12:14" x14ac:dyDescent="0.2">
      <c r="L514" s="1"/>
      <c r="M514" s="1"/>
      <c r="N514" s="1"/>
    </row>
    <row r="515" spans="12:14" x14ac:dyDescent="0.2">
      <c r="L515" s="1"/>
      <c r="M515" s="1"/>
      <c r="N515" s="1"/>
    </row>
    <row r="516" spans="12:14" x14ac:dyDescent="0.2">
      <c r="L516" s="1"/>
      <c r="M516" s="1"/>
      <c r="N516" s="1"/>
    </row>
    <row r="517" spans="12:14" x14ac:dyDescent="0.2">
      <c r="L517" s="1"/>
      <c r="M517" s="1"/>
      <c r="N517" s="1"/>
    </row>
    <row r="518" spans="12:14" x14ac:dyDescent="0.2">
      <c r="L518" s="1"/>
      <c r="M518" s="1"/>
      <c r="N518" s="1"/>
    </row>
    <row r="519" spans="12:14" x14ac:dyDescent="0.2">
      <c r="L519" s="1"/>
      <c r="M519" s="1"/>
      <c r="N519" s="1"/>
    </row>
    <row r="520" spans="12:14" x14ac:dyDescent="0.2">
      <c r="L520" s="1"/>
      <c r="M520" s="1"/>
      <c r="N520" s="1"/>
    </row>
    <row r="521" spans="12:14" x14ac:dyDescent="0.2">
      <c r="L521" s="1"/>
      <c r="M521" s="1"/>
      <c r="N521" s="1"/>
    </row>
    <row r="522" spans="12:14" x14ac:dyDescent="0.2">
      <c r="L522" s="1"/>
      <c r="M522" s="1"/>
      <c r="N522" s="1"/>
    </row>
    <row r="523" spans="12:14" x14ac:dyDescent="0.2">
      <c r="L523" s="1"/>
      <c r="M523" s="1"/>
      <c r="N523" s="1"/>
    </row>
    <row r="524" spans="12:14" x14ac:dyDescent="0.2">
      <c r="L524" s="1"/>
      <c r="M524" s="1"/>
      <c r="N524" s="1"/>
    </row>
    <row r="525" spans="12:14" x14ac:dyDescent="0.2">
      <c r="L525" s="1"/>
      <c r="M525" s="1"/>
      <c r="N525" s="1"/>
    </row>
    <row r="526" spans="12:14" x14ac:dyDescent="0.2">
      <c r="L526" s="1"/>
      <c r="M526" s="1"/>
      <c r="N526" s="1"/>
    </row>
    <row r="527" spans="12:14" x14ac:dyDescent="0.2">
      <c r="L527" s="1"/>
      <c r="M527" s="1"/>
      <c r="N527" s="1"/>
    </row>
    <row r="528" spans="12:14" x14ac:dyDescent="0.2">
      <c r="L528" s="1"/>
      <c r="M528" s="1"/>
      <c r="N528" s="1"/>
    </row>
    <row r="529" spans="12:14" x14ac:dyDescent="0.2">
      <c r="L529" s="1"/>
      <c r="M529" s="1"/>
      <c r="N529" s="1"/>
    </row>
    <row r="530" spans="12:14" x14ac:dyDescent="0.2">
      <c r="L530" s="1"/>
      <c r="M530" s="1"/>
      <c r="N530" s="1"/>
    </row>
    <row r="531" spans="12:14" x14ac:dyDescent="0.2">
      <c r="L531" s="1"/>
      <c r="M531" s="1"/>
      <c r="N531" s="1"/>
    </row>
    <row r="532" spans="12:14" x14ac:dyDescent="0.2">
      <c r="L532" s="1"/>
      <c r="M532" s="1"/>
      <c r="N532" s="1"/>
    </row>
    <row r="533" spans="12:14" x14ac:dyDescent="0.2">
      <c r="L533" s="1"/>
      <c r="M533" s="1"/>
      <c r="N533" s="1"/>
    </row>
    <row r="534" spans="12:14" x14ac:dyDescent="0.2">
      <c r="L534" s="1"/>
      <c r="M534" s="1"/>
      <c r="N534" s="1"/>
    </row>
    <row r="535" spans="12:14" x14ac:dyDescent="0.2">
      <c r="L535" s="1"/>
      <c r="M535" s="1"/>
      <c r="N535" s="1"/>
    </row>
    <row r="536" spans="12:14" x14ac:dyDescent="0.2">
      <c r="L536" s="1"/>
      <c r="M536" s="1"/>
      <c r="N536" s="1"/>
    </row>
    <row r="537" spans="12:14" x14ac:dyDescent="0.2">
      <c r="L537" s="1"/>
      <c r="M537" s="1"/>
      <c r="N537" s="1"/>
    </row>
    <row r="538" spans="12:14" x14ac:dyDescent="0.2">
      <c r="L538" s="1"/>
      <c r="M538" s="1"/>
      <c r="N538" s="1"/>
    </row>
    <row r="539" spans="12:14" x14ac:dyDescent="0.2">
      <c r="L539" s="1"/>
      <c r="M539" s="1"/>
      <c r="N539" s="1"/>
    </row>
    <row r="540" spans="12:14" x14ac:dyDescent="0.2">
      <c r="L540" s="1"/>
      <c r="M540" s="1"/>
      <c r="N540" s="1"/>
    </row>
    <row r="541" spans="12:14" x14ac:dyDescent="0.2">
      <c r="L541" s="1"/>
      <c r="M541" s="1"/>
      <c r="N541" s="1"/>
    </row>
    <row r="542" spans="12:14" x14ac:dyDescent="0.2">
      <c r="L542" s="1"/>
      <c r="M542" s="1"/>
      <c r="N542" s="1"/>
    </row>
    <row r="543" spans="12:14" x14ac:dyDescent="0.2">
      <c r="L543" s="1"/>
      <c r="M543" s="1"/>
      <c r="N543" s="1"/>
    </row>
    <row r="544" spans="12:14" x14ac:dyDescent="0.2">
      <c r="L544" s="1"/>
      <c r="M544" s="1"/>
      <c r="N544" s="1"/>
    </row>
    <row r="545" spans="12:14" x14ac:dyDescent="0.2">
      <c r="L545" s="1"/>
      <c r="M545" s="1"/>
      <c r="N545" s="1"/>
    </row>
    <row r="546" spans="12:14" x14ac:dyDescent="0.2">
      <c r="L546" s="1"/>
      <c r="M546" s="1"/>
      <c r="N546" s="1"/>
    </row>
    <row r="547" spans="12:14" x14ac:dyDescent="0.2">
      <c r="L547" s="1"/>
      <c r="M547" s="1"/>
      <c r="N547" s="1"/>
    </row>
    <row r="548" spans="12:14" x14ac:dyDescent="0.2">
      <c r="L548" s="1"/>
      <c r="M548" s="1"/>
      <c r="N548" s="1"/>
    </row>
    <row r="549" spans="12:14" x14ac:dyDescent="0.2">
      <c r="L549" s="1"/>
      <c r="M549" s="1"/>
      <c r="N549" s="1"/>
    </row>
    <row r="550" spans="12:14" x14ac:dyDescent="0.2">
      <c r="L550" s="1"/>
      <c r="M550" s="1"/>
      <c r="N550" s="1"/>
    </row>
    <row r="551" spans="12:14" x14ac:dyDescent="0.2">
      <c r="L551" s="1"/>
      <c r="M551" s="1"/>
      <c r="N551" s="1"/>
    </row>
    <row r="552" spans="12:14" x14ac:dyDescent="0.2">
      <c r="L552" s="1"/>
      <c r="M552" s="1"/>
      <c r="N552" s="1"/>
    </row>
    <row r="553" spans="12:14" x14ac:dyDescent="0.2">
      <c r="L553" s="1"/>
      <c r="M553" s="1"/>
      <c r="N553" s="1"/>
    </row>
    <row r="554" spans="12:14" x14ac:dyDescent="0.2">
      <c r="L554" s="1"/>
      <c r="M554" s="1"/>
      <c r="N554" s="1"/>
    </row>
    <row r="555" spans="12:14" x14ac:dyDescent="0.2">
      <c r="L555" s="1"/>
      <c r="M555" s="1"/>
      <c r="N555" s="1"/>
    </row>
    <row r="556" spans="12:14" x14ac:dyDescent="0.2">
      <c r="L556" s="1"/>
      <c r="M556" s="1"/>
      <c r="N556" s="1"/>
    </row>
    <row r="557" spans="12:14" x14ac:dyDescent="0.2">
      <c r="L557" s="1"/>
      <c r="M557" s="1"/>
      <c r="N557" s="1"/>
    </row>
    <row r="558" spans="12:14" x14ac:dyDescent="0.2">
      <c r="L558" s="1"/>
      <c r="M558" s="1"/>
      <c r="N558" s="1"/>
    </row>
    <row r="559" spans="12:14" x14ac:dyDescent="0.2">
      <c r="L559" s="1"/>
      <c r="M559" s="1"/>
      <c r="N559" s="1"/>
    </row>
    <row r="560" spans="12:14" x14ac:dyDescent="0.2">
      <c r="L560" s="1"/>
      <c r="M560" s="1"/>
      <c r="N560" s="1"/>
    </row>
    <row r="561" spans="12:14" x14ac:dyDescent="0.2">
      <c r="L561" s="1"/>
      <c r="M561" s="1"/>
      <c r="N561" s="1"/>
    </row>
    <row r="562" spans="12:14" x14ac:dyDescent="0.2">
      <c r="L562" s="1"/>
      <c r="M562" s="1"/>
      <c r="N562" s="1"/>
    </row>
    <row r="563" spans="12:14" x14ac:dyDescent="0.2">
      <c r="L563" s="1"/>
      <c r="M563" s="1"/>
      <c r="N563" s="1"/>
    </row>
    <row r="564" spans="12:14" x14ac:dyDescent="0.2">
      <c r="L564" s="1"/>
      <c r="M564" s="1"/>
      <c r="N564" s="1"/>
    </row>
    <row r="565" spans="12:14" x14ac:dyDescent="0.2">
      <c r="L565" s="1"/>
      <c r="M565" s="1"/>
      <c r="N565" s="1"/>
    </row>
    <row r="566" spans="12:14" x14ac:dyDescent="0.2">
      <c r="L566" s="1"/>
      <c r="M566" s="1"/>
      <c r="N566" s="1"/>
    </row>
    <row r="567" spans="12:14" x14ac:dyDescent="0.2">
      <c r="L567" s="1"/>
      <c r="M567" s="1"/>
      <c r="N567" s="1"/>
    </row>
    <row r="568" spans="12:14" x14ac:dyDescent="0.2">
      <c r="L568" s="1"/>
      <c r="M568" s="1"/>
      <c r="N568" s="1"/>
    </row>
    <row r="569" spans="12:14" x14ac:dyDescent="0.2">
      <c r="L569" s="1"/>
      <c r="M569" s="1"/>
      <c r="N569" s="1"/>
    </row>
    <row r="570" spans="12:14" x14ac:dyDescent="0.2">
      <c r="L570" s="1"/>
      <c r="M570" s="1"/>
      <c r="N570" s="1"/>
    </row>
    <row r="571" spans="12:14" x14ac:dyDescent="0.2">
      <c r="L571" s="1"/>
      <c r="M571" s="1"/>
      <c r="N571" s="1"/>
    </row>
    <row r="572" spans="12:14" x14ac:dyDescent="0.2">
      <c r="L572" s="1"/>
      <c r="M572" s="1"/>
      <c r="N572" s="1"/>
    </row>
    <row r="573" spans="12:14" x14ac:dyDescent="0.2">
      <c r="L573" s="1"/>
      <c r="M573" s="1"/>
      <c r="N573" s="1"/>
    </row>
    <row r="574" spans="12:14" x14ac:dyDescent="0.2">
      <c r="L574" s="1"/>
      <c r="M574" s="1"/>
      <c r="N574" s="1"/>
    </row>
    <row r="575" spans="12:14" x14ac:dyDescent="0.2">
      <c r="L575" s="1"/>
      <c r="M575" s="1"/>
      <c r="N575" s="1"/>
    </row>
    <row r="576" spans="12:14" x14ac:dyDescent="0.2">
      <c r="L576" s="1"/>
      <c r="M576" s="1"/>
      <c r="N576" s="1"/>
    </row>
    <row r="577" spans="12:14" x14ac:dyDescent="0.2">
      <c r="L577" s="1"/>
      <c r="M577" s="1"/>
      <c r="N577" s="1"/>
    </row>
    <row r="578" spans="12:14" x14ac:dyDescent="0.2">
      <c r="L578" s="1"/>
      <c r="M578" s="1"/>
      <c r="N578" s="1"/>
    </row>
    <row r="579" spans="12:14" x14ac:dyDescent="0.2">
      <c r="L579" s="1"/>
      <c r="M579" s="1"/>
      <c r="N579" s="1"/>
    </row>
    <row r="580" spans="12:14" x14ac:dyDescent="0.2">
      <c r="L580" s="1"/>
      <c r="M580" s="1"/>
      <c r="N580" s="1"/>
    </row>
    <row r="581" spans="12:14" x14ac:dyDescent="0.2">
      <c r="L581" s="1"/>
      <c r="M581" s="1"/>
      <c r="N581" s="1"/>
    </row>
    <row r="582" spans="12:14" x14ac:dyDescent="0.2">
      <c r="L582" s="1"/>
      <c r="M582" s="1"/>
      <c r="N582" s="1"/>
    </row>
    <row r="583" spans="12:14" x14ac:dyDescent="0.2">
      <c r="L583" s="1"/>
      <c r="M583" s="1"/>
      <c r="N583" s="1"/>
    </row>
    <row r="584" spans="12:14" x14ac:dyDescent="0.2">
      <c r="L584" s="1"/>
      <c r="M584" s="1"/>
      <c r="N584" s="1"/>
    </row>
    <row r="585" spans="12:14" x14ac:dyDescent="0.2">
      <c r="L585" s="1"/>
      <c r="M585" s="1"/>
      <c r="N585" s="1"/>
    </row>
    <row r="586" spans="12:14" x14ac:dyDescent="0.2">
      <c r="L586" s="1"/>
      <c r="M586" s="1"/>
      <c r="N586" s="1"/>
    </row>
    <row r="587" spans="12:14" x14ac:dyDescent="0.2">
      <c r="L587" s="1"/>
      <c r="M587" s="1"/>
      <c r="N587" s="1"/>
    </row>
    <row r="588" spans="12:14" x14ac:dyDescent="0.2">
      <c r="L588" s="1"/>
      <c r="M588" s="1"/>
      <c r="N588" s="1"/>
    </row>
    <row r="589" spans="12:14" x14ac:dyDescent="0.2">
      <c r="L589" s="1"/>
      <c r="M589" s="1"/>
      <c r="N589" s="1"/>
    </row>
    <row r="590" spans="12:14" x14ac:dyDescent="0.2">
      <c r="L590" s="1"/>
      <c r="M590" s="1"/>
      <c r="N590" s="1"/>
    </row>
    <row r="591" spans="12:14" x14ac:dyDescent="0.2">
      <c r="L591" s="1"/>
      <c r="M591" s="1"/>
      <c r="N591" s="1"/>
    </row>
    <row r="592" spans="12:14" x14ac:dyDescent="0.2">
      <c r="L592" s="1"/>
      <c r="M592" s="1"/>
      <c r="N592" s="1"/>
    </row>
    <row r="593" spans="12:14" x14ac:dyDescent="0.2">
      <c r="L593" s="1"/>
      <c r="M593" s="1"/>
      <c r="N593" s="1"/>
    </row>
    <row r="594" spans="12:14" x14ac:dyDescent="0.2">
      <c r="L594" s="1"/>
      <c r="M594" s="1"/>
      <c r="N594" s="1"/>
    </row>
    <row r="595" spans="12:14" x14ac:dyDescent="0.2">
      <c r="L595" s="1"/>
      <c r="M595" s="1"/>
      <c r="N595" s="1"/>
    </row>
    <row r="596" spans="12:14" x14ac:dyDescent="0.2">
      <c r="L596" s="1"/>
      <c r="M596" s="1"/>
      <c r="N596" s="1"/>
    </row>
    <row r="597" spans="12:14" x14ac:dyDescent="0.2">
      <c r="L597" s="1"/>
      <c r="M597" s="1"/>
      <c r="N597" s="1"/>
    </row>
    <row r="598" spans="12:14" x14ac:dyDescent="0.2">
      <c r="L598" s="1"/>
      <c r="M598" s="1"/>
      <c r="N598" s="1"/>
    </row>
    <row r="599" spans="12:14" x14ac:dyDescent="0.2">
      <c r="L599" s="1"/>
      <c r="M599" s="1"/>
      <c r="N599" s="1"/>
    </row>
    <row r="600" spans="12:14" x14ac:dyDescent="0.2">
      <c r="L600" s="1"/>
      <c r="M600" s="1"/>
      <c r="N600" s="1"/>
    </row>
    <row r="601" spans="12:14" x14ac:dyDescent="0.2">
      <c r="L601" s="1"/>
      <c r="M601" s="1"/>
      <c r="N601" s="1"/>
    </row>
    <row r="602" spans="12:14" x14ac:dyDescent="0.2">
      <c r="L602" s="1"/>
      <c r="M602" s="1"/>
      <c r="N602" s="1"/>
    </row>
    <row r="603" spans="12:14" x14ac:dyDescent="0.2">
      <c r="L603" s="1"/>
      <c r="M603" s="1"/>
      <c r="N603" s="1"/>
    </row>
    <row r="604" spans="12:14" x14ac:dyDescent="0.2">
      <c r="L604" s="1"/>
      <c r="M604" s="1"/>
      <c r="N604" s="1"/>
    </row>
    <row r="605" spans="12:14" x14ac:dyDescent="0.2">
      <c r="L605" s="1"/>
      <c r="M605" s="1"/>
      <c r="N605" s="1"/>
    </row>
    <row r="606" spans="12:14" x14ac:dyDescent="0.2">
      <c r="L606" s="1"/>
      <c r="M606" s="1"/>
      <c r="N606" s="1"/>
    </row>
    <row r="607" spans="12:14" x14ac:dyDescent="0.2">
      <c r="L607" s="1"/>
      <c r="M607" s="1"/>
      <c r="N607" s="1"/>
    </row>
    <row r="608" spans="12:14" x14ac:dyDescent="0.2">
      <c r="L608" s="1"/>
      <c r="M608" s="1"/>
      <c r="N608" s="1"/>
    </row>
    <row r="609" spans="12:14" x14ac:dyDescent="0.2">
      <c r="L609" s="1"/>
      <c r="M609" s="1"/>
      <c r="N609" s="1"/>
    </row>
    <row r="610" spans="12:14" x14ac:dyDescent="0.2">
      <c r="L610" s="1"/>
      <c r="M610" s="1"/>
      <c r="N610" s="1"/>
    </row>
    <row r="611" spans="12:14" x14ac:dyDescent="0.2">
      <c r="L611" s="1"/>
      <c r="M611" s="1"/>
      <c r="N611" s="1"/>
    </row>
    <row r="612" spans="12:14" x14ac:dyDescent="0.2">
      <c r="L612" s="1"/>
      <c r="M612" s="1"/>
      <c r="N612" s="1"/>
    </row>
    <row r="613" spans="12:14" x14ac:dyDescent="0.2">
      <c r="L613" s="1"/>
      <c r="M613" s="1"/>
      <c r="N613" s="1"/>
    </row>
    <row r="614" spans="12:14" x14ac:dyDescent="0.2">
      <c r="L614" s="1"/>
      <c r="M614" s="1"/>
      <c r="N614" s="1"/>
    </row>
    <row r="615" spans="12:14" x14ac:dyDescent="0.2">
      <c r="L615" s="1"/>
      <c r="M615" s="1"/>
      <c r="N615" s="1"/>
    </row>
    <row r="616" spans="12:14" x14ac:dyDescent="0.2">
      <c r="L616" s="1"/>
      <c r="M616" s="1"/>
      <c r="N616" s="1"/>
    </row>
    <row r="617" spans="12:14" x14ac:dyDescent="0.2">
      <c r="L617" s="1"/>
      <c r="M617" s="1"/>
      <c r="N617" s="1"/>
    </row>
    <row r="618" spans="12:14" x14ac:dyDescent="0.2">
      <c r="L618" s="1"/>
      <c r="M618" s="1"/>
      <c r="N618" s="1"/>
    </row>
    <row r="619" spans="12:14" x14ac:dyDescent="0.2">
      <c r="L619" s="1"/>
      <c r="M619" s="1"/>
      <c r="N619" s="1"/>
    </row>
    <row r="620" spans="12:14" x14ac:dyDescent="0.2">
      <c r="L620" s="1"/>
      <c r="M620" s="1"/>
      <c r="N620" s="1"/>
    </row>
    <row r="621" spans="12:14" x14ac:dyDescent="0.2">
      <c r="L621" s="1"/>
      <c r="M621" s="1"/>
      <c r="N621" s="1"/>
    </row>
    <row r="622" spans="12:14" x14ac:dyDescent="0.2">
      <c r="L622" s="1"/>
      <c r="M622" s="1"/>
      <c r="N622" s="1"/>
    </row>
    <row r="623" spans="12:14" x14ac:dyDescent="0.2">
      <c r="L623" s="1"/>
      <c r="M623" s="1"/>
      <c r="N623" s="1"/>
    </row>
    <row r="624" spans="12:14" x14ac:dyDescent="0.2">
      <c r="L624" s="1"/>
      <c r="M624" s="1"/>
      <c r="N624" s="1"/>
    </row>
    <row r="625" spans="12:14" x14ac:dyDescent="0.2">
      <c r="L625" s="1"/>
      <c r="M625" s="1"/>
      <c r="N625" s="1"/>
    </row>
    <row r="626" spans="12:14" x14ac:dyDescent="0.2">
      <c r="L626" s="1"/>
      <c r="M626" s="1"/>
      <c r="N626" s="1"/>
    </row>
    <row r="627" spans="12:14" x14ac:dyDescent="0.2">
      <c r="L627" s="1"/>
      <c r="M627" s="1"/>
      <c r="N627" s="1"/>
    </row>
    <row r="628" spans="12:14" x14ac:dyDescent="0.2">
      <c r="L628" s="1"/>
      <c r="M628" s="1"/>
      <c r="N628" s="1"/>
    </row>
    <row r="629" spans="12:14" x14ac:dyDescent="0.2">
      <c r="L629" s="1"/>
      <c r="M629" s="1"/>
      <c r="N629" s="1"/>
    </row>
    <row r="630" spans="12:14" x14ac:dyDescent="0.2">
      <c r="L630" s="1"/>
      <c r="M630" s="1"/>
      <c r="N630" s="1"/>
    </row>
    <row r="631" spans="12:14" x14ac:dyDescent="0.2">
      <c r="L631" s="1"/>
      <c r="M631" s="1"/>
      <c r="N631" s="1"/>
    </row>
    <row r="632" spans="12:14" x14ac:dyDescent="0.2">
      <c r="L632" s="1"/>
      <c r="M632" s="1"/>
      <c r="N632" s="1"/>
    </row>
    <row r="633" spans="12:14" x14ac:dyDescent="0.2">
      <c r="L633" s="1"/>
      <c r="M633" s="1"/>
      <c r="N633" s="1"/>
    </row>
    <row r="634" spans="12:14" x14ac:dyDescent="0.2">
      <c r="L634" s="1"/>
      <c r="M634" s="1"/>
      <c r="N634" s="1"/>
    </row>
    <row r="635" spans="12:14" x14ac:dyDescent="0.2">
      <c r="L635" s="1"/>
      <c r="M635" s="1"/>
      <c r="N635" s="1"/>
    </row>
    <row r="636" spans="12:14" x14ac:dyDescent="0.2">
      <c r="L636" s="1"/>
      <c r="M636" s="1"/>
      <c r="N636" s="1"/>
    </row>
    <row r="637" spans="12:14" x14ac:dyDescent="0.2">
      <c r="L637" s="1"/>
      <c r="M637" s="1"/>
      <c r="N637" s="1"/>
    </row>
    <row r="638" spans="12:14" x14ac:dyDescent="0.2">
      <c r="L638" s="1"/>
      <c r="M638" s="1"/>
      <c r="N638" s="1"/>
    </row>
    <row r="639" spans="12:14" x14ac:dyDescent="0.2">
      <c r="L639" s="1"/>
      <c r="M639" s="1"/>
      <c r="N639" s="1"/>
    </row>
    <row r="640" spans="12:14" x14ac:dyDescent="0.2">
      <c r="L640" s="1"/>
      <c r="M640" s="1"/>
      <c r="N640" s="1"/>
    </row>
    <row r="641" spans="12:14" x14ac:dyDescent="0.2">
      <c r="L641" s="1"/>
      <c r="M641" s="1"/>
      <c r="N641" s="1"/>
    </row>
    <row r="642" spans="12:14" x14ac:dyDescent="0.2">
      <c r="L642" s="1"/>
      <c r="M642" s="1"/>
      <c r="N642" s="1"/>
    </row>
    <row r="643" spans="12:14" x14ac:dyDescent="0.2">
      <c r="L643" s="1"/>
      <c r="M643" s="1"/>
      <c r="N643" s="1"/>
    </row>
    <row r="644" spans="12:14" x14ac:dyDescent="0.2">
      <c r="L644" s="1"/>
      <c r="M644" s="1"/>
      <c r="N644" s="1"/>
    </row>
    <row r="645" spans="12:14" x14ac:dyDescent="0.2">
      <c r="L645" s="1"/>
      <c r="M645" s="1"/>
      <c r="N645" s="1"/>
    </row>
    <row r="646" spans="12:14" x14ac:dyDescent="0.2">
      <c r="L646" s="1"/>
      <c r="M646" s="1"/>
      <c r="N646" s="1"/>
    </row>
    <row r="647" spans="12:14" x14ac:dyDescent="0.2">
      <c r="L647" s="1"/>
      <c r="M647" s="1"/>
      <c r="N647" s="1"/>
    </row>
    <row r="648" spans="12:14" x14ac:dyDescent="0.2">
      <c r="L648" s="1"/>
      <c r="M648" s="1"/>
      <c r="N648" s="1"/>
    </row>
    <row r="649" spans="12:14" x14ac:dyDescent="0.2">
      <c r="L649" s="1"/>
      <c r="M649" s="1"/>
      <c r="N649" s="1"/>
    </row>
    <row r="650" spans="12:14" x14ac:dyDescent="0.2">
      <c r="L650" s="1"/>
      <c r="M650" s="1"/>
      <c r="N650" s="1"/>
    </row>
    <row r="651" spans="12:14" x14ac:dyDescent="0.2">
      <c r="L651" s="1"/>
      <c r="M651" s="1"/>
      <c r="N651" s="1"/>
    </row>
    <row r="652" spans="12:14" x14ac:dyDescent="0.2">
      <c r="L652" s="1"/>
      <c r="M652" s="1"/>
      <c r="N652" s="1"/>
    </row>
    <row r="653" spans="12:14" x14ac:dyDescent="0.2">
      <c r="L653" s="1"/>
      <c r="M653" s="1"/>
      <c r="N653" s="1"/>
    </row>
    <row r="654" spans="12:14" x14ac:dyDescent="0.2">
      <c r="L654" s="1"/>
      <c r="M654" s="1"/>
      <c r="N654" s="1"/>
    </row>
    <row r="655" spans="12:14" x14ac:dyDescent="0.2">
      <c r="L655" s="1"/>
      <c r="M655" s="1"/>
      <c r="N655" s="1"/>
    </row>
    <row r="656" spans="12:14" x14ac:dyDescent="0.2">
      <c r="L656" s="1"/>
      <c r="M656" s="1"/>
      <c r="N656" s="1"/>
    </row>
    <row r="657" spans="12:14" x14ac:dyDescent="0.2">
      <c r="L657" s="1"/>
      <c r="M657" s="1"/>
      <c r="N657" s="1"/>
    </row>
    <row r="658" spans="12:14" x14ac:dyDescent="0.2">
      <c r="L658" s="1"/>
      <c r="M658" s="1"/>
      <c r="N658" s="1"/>
    </row>
    <row r="659" spans="12:14" x14ac:dyDescent="0.2">
      <c r="L659" s="1"/>
      <c r="M659" s="1"/>
      <c r="N659" s="1"/>
    </row>
    <row r="660" spans="12:14" x14ac:dyDescent="0.2">
      <c r="L660" s="1"/>
      <c r="M660" s="1"/>
      <c r="N660" s="1"/>
    </row>
    <row r="661" spans="12:14" x14ac:dyDescent="0.2">
      <c r="L661" s="1"/>
      <c r="M661" s="1"/>
      <c r="N661" s="1"/>
    </row>
    <row r="662" spans="12:14" x14ac:dyDescent="0.2">
      <c r="L662" s="1"/>
      <c r="M662" s="1"/>
      <c r="N662" s="1"/>
    </row>
    <row r="663" spans="12:14" x14ac:dyDescent="0.2">
      <c r="L663" s="1"/>
      <c r="M663" s="1"/>
      <c r="N663" s="1"/>
    </row>
    <row r="664" spans="12:14" x14ac:dyDescent="0.2">
      <c r="L664" s="1"/>
      <c r="M664" s="1"/>
      <c r="N664" s="1"/>
    </row>
    <row r="665" spans="12:14" x14ac:dyDescent="0.2">
      <c r="L665" s="1"/>
      <c r="M665" s="1"/>
      <c r="N665" s="1"/>
    </row>
    <row r="666" spans="12:14" x14ac:dyDescent="0.2">
      <c r="L666" s="1"/>
      <c r="M666" s="1"/>
      <c r="N666" s="1"/>
    </row>
    <row r="667" spans="12:14" x14ac:dyDescent="0.2">
      <c r="L667" s="1"/>
      <c r="M667" s="1"/>
      <c r="N667" s="1"/>
    </row>
    <row r="668" spans="12:14" x14ac:dyDescent="0.2">
      <c r="L668" s="1"/>
      <c r="M668" s="1"/>
      <c r="N668" s="1"/>
    </row>
    <row r="669" spans="12:14" x14ac:dyDescent="0.2">
      <c r="L669" s="1"/>
      <c r="M669" s="1"/>
      <c r="N669" s="1"/>
    </row>
    <row r="670" spans="12:14" x14ac:dyDescent="0.2">
      <c r="L670" s="1"/>
      <c r="M670" s="1"/>
      <c r="N670" s="1"/>
    </row>
    <row r="671" spans="12:14" x14ac:dyDescent="0.2">
      <c r="L671" s="1"/>
      <c r="M671" s="1"/>
      <c r="N671" s="1"/>
    </row>
    <row r="672" spans="12:14" x14ac:dyDescent="0.2">
      <c r="L672" s="1"/>
      <c r="M672" s="1"/>
      <c r="N672" s="1"/>
    </row>
    <row r="673" spans="12:14" x14ac:dyDescent="0.2">
      <c r="L673" s="1"/>
      <c r="M673" s="1"/>
      <c r="N673" s="1"/>
    </row>
    <row r="674" spans="12:14" x14ac:dyDescent="0.2">
      <c r="L674" s="1"/>
      <c r="M674" s="1"/>
      <c r="N674" s="1"/>
    </row>
    <row r="675" spans="12:14" x14ac:dyDescent="0.2">
      <c r="L675" s="1"/>
      <c r="M675" s="1"/>
      <c r="N675" s="1"/>
    </row>
    <row r="676" spans="12:14" x14ac:dyDescent="0.2">
      <c r="L676" s="1"/>
      <c r="M676" s="1"/>
      <c r="N676" s="1"/>
    </row>
    <row r="677" spans="12:14" x14ac:dyDescent="0.2">
      <c r="L677" s="1"/>
      <c r="M677" s="1"/>
      <c r="N677" s="1"/>
    </row>
    <row r="678" spans="12:14" x14ac:dyDescent="0.2">
      <c r="L678" s="1"/>
      <c r="M678" s="1"/>
      <c r="N678" s="1"/>
    </row>
    <row r="679" spans="12:14" x14ac:dyDescent="0.2">
      <c r="L679" s="1"/>
      <c r="M679" s="1"/>
      <c r="N679" s="1"/>
    </row>
    <row r="680" spans="12:14" x14ac:dyDescent="0.2">
      <c r="L680" s="1"/>
      <c r="M680" s="1"/>
      <c r="N680" s="1"/>
    </row>
    <row r="681" spans="12:14" x14ac:dyDescent="0.2">
      <c r="L681" s="1"/>
      <c r="M681" s="1"/>
      <c r="N681" s="1"/>
    </row>
    <row r="682" spans="12:14" x14ac:dyDescent="0.2">
      <c r="L682" s="1"/>
      <c r="M682" s="1"/>
      <c r="N682" s="1"/>
    </row>
    <row r="683" spans="12:14" x14ac:dyDescent="0.2">
      <c r="L683" s="1"/>
      <c r="M683" s="1"/>
      <c r="N683" s="1"/>
    </row>
    <row r="684" spans="12:14" x14ac:dyDescent="0.2">
      <c r="L684" s="1"/>
      <c r="M684" s="1"/>
      <c r="N684" s="1"/>
    </row>
    <row r="685" spans="12:14" x14ac:dyDescent="0.2">
      <c r="L685" s="1"/>
      <c r="M685" s="1"/>
      <c r="N685" s="1"/>
    </row>
    <row r="686" spans="12:14" x14ac:dyDescent="0.2">
      <c r="L686" s="1"/>
      <c r="M686" s="1"/>
      <c r="N686" s="1"/>
    </row>
    <row r="687" spans="12:14" x14ac:dyDescent="0.2">
      <c r="L687" s="1"/>
      <c r="M687" s="1"/>
      <c r="N687" s="1"/>
    </row>
    <row r="688" spans="12:14" x14ac:dyDescent="0.2">
      <c r="L688" s="1"/>
      <c r="M688" s="1"/>
      <c r="N688" s="1"/>
    </row>
    <row r="689" spans="12:14" x14ac:dyDescent="0.2">
      <c r="L689" s="1"/>
      <c r="M689" s="1"/>
      <c r="N689" s="1"/>
    </row>
    <row r="690" spans="12:14" x14ac:dyDescent="0.2">
      <c r="L690" s="1"/>
      <c r="M690" s="1"/>
      <c r="N690" s="1"/>
    </row>
    <row r="691" spans="12:14" x14ac:dyDescent="0.2">
      <c r="L691" s="1"/>
      <c r="M691" s="1"/>
      <c r="N691" s="1"/>
    </row>
    <row r="692" spans="12:14" x14ac:dyDescent="0.2">
      <c r="L692" s="1"/>
      <c r="M692" s="1"/>
      <c r="N692" s="1"/>
    </row>
    <row r="693" spans="12:14" x14ac:dyDescent="0.2">
      <c r="L693" s="1"/>
      <c r="M693" s="1"/>
      <c r="N693" s="1"/>
    </row>
    <row r="694" spans="12:14" x14ac:dyDescent="0.2">
      <c r="L694" s="1"/>
      <c r="M694" s="1"/>
      <c r="N694" s="1"/>
    </row>
    <row r="695" spans="12:14" x14ac:dyDescent="0.2">
      <c r="L695" s="1"/>
      <c r="M695" s="1"/>
      <c r="N695" s="1"/>
    </row>
    <row r="696" spans="12:14" x14ac:dyDescent="0.2">
      <c r="L696" s="1"/>
      <c r="M696" s="1"/>
      <c r="N696" s="1"/>
    </row>
    <row r="697" spans="12:14" x14ac:dyDescent="0.2">
      <c r="L697" s="1"/>
      <c r="M697" s="1"/>
      <c r="N697" s="1"/>
    </row>
    <row r="698" spans="12:14" x14ac:dyDescent="0.2">
      <c r="L698" s="1"/>
      <c r="M698" s="1"/>
      <c r="N698" s="1"/>
    </row>
    <row r="699" spans="12:14" x14ac:dyDescent="0.2">
      <c r="L699" s="1"/>
      <c r="M699" s="1"/>
      <c r="N699" s="1"/>
    </row>
    <row r="700" spans="12:14" x14ac:dyDescent="0.2">
      <c r="L700" s="1"/>
      <c r="M700" s="1"/>
      <c r="N700" s="1"/>
    </row>
    <row r="701" spans="12:14" x14ac:dyDescent="0.2">
      <c r="L701" s="1"/>
      <c r="M701" s="1"/>
      <c r="N701" s="1"/>
    </row>
    <row r="702" spans="12:14" x14ac:dyDescent="0.2">
      <c r="L702" s="1"/>
      <c r="M702" s="1"/>
      <c r="N702" s="1"/>
    </row>
    <row r="703" spans="12:14" x14ac:dyDescent="0.2">
      <c r="L703" s="1"/>
      <c r="M703" s="1"/>
      <c r="N703" s="1"/>
    </row>
    <row r="704" spans="12:14" x14ac:dyDescent="0.2">
      <c r="L704" s="1"/>
      <c r="M704" s="1"/>
      <c r="N704" s="1"/>
    </row>
    <row r="705" spans="12:14" x14ac:dyDescent="0.2">
      <c r="L705" s="1"/>
      <c r="M705" s="1"/>
      <c r="N705" s="1"/>
    </row>
    <row r="706" spans="12:14" x14ac:dyDescent="0.2">
      <c r="L706" s="1"/>
      <c r="M706" s="1"/>
      <c r="N706" s="1"/>
    </row>
    <row r="707" spans="12:14" x14ac:dyDescent="0.2">
      <c r="L707" s="1"/>
      <c r="M707" s="1"/>
      <c r="N707" s="1"/>
    </row>
    <row r="708" spans="12:14" x14ac:dyDescent="0.2">
      <c r="L708" s="1"/>
      <c r="M708" s="1"/>
      <c r="N708" s="1"/>
    </row>
    <row r="709" spans="12:14" x14ac:dyDescent="0.2">
      <c r="L709" s="1"/>
      <c r="M709" s="1"/>
      <c r="N709" s="1"/>
    </row>
    <row r="710" spans="12:14" x14ac:dyDescent="0.2">
      <c r="L710" s="1"/>
      <c r="M710" s="1"/>
      <c r="N710" s="1"/>
    </row>
    <row r="711" spans="12:14" x14ac:dyDescent="0.2">
      <c r="L711" s="1"/>
      <c r="M711" s="1"/>
      <c r="N711" s="1"/>
    </row>
    <row r="712" spans="12:14" x14ac:dyDescent="0.2">
      <c r="L712" s="1"/>
      <c r="M712" s="1"/>
      <c r="N712" s="1"/>
    </row>
    <row r="713" spans="12:14" x14ac:dyDescent="0.2">
      <c r="L713" s="1"/>
      <c r="M713" s="1"/>
      <c r="N713" s="1"/>
    </row>
    <row r="714" spans="12:14" x14ac:dyDescent="0.2">
      <c r="L714" s="1"/>
      <c r="M714" s="1"/>
      <c r="N714" s="1"/>
    </row>
    <row r="715" spans="12:14" x14ac:dyDescent="0.2">
      <c r="L715" s="1"/>
      <c r="M715" s="1"/>
      <c r="N715" s="1"/>
    </row>
    <row r="716" spans="12:14" x14ac:dyDescent="0.2">
      <c r="L716" s="1"/>
      <c r="M716" s="1"/>
      <c r="N716" s="1"/>
    </row>
    <row r="717" spans="12:14" x14ac:dyDescent="0.2">
      <c r="L717" s="1"/>
      <c r="M717" s="1"/>
      <c r="N717" s="1"/>
    </row>
    <row r="718" spans="12:14" x14ac:dyDescent="0.2">
      <c r="L718" s="1"/>
      <c r="M718" s="1"/>
      <c r="N718" s="1"/>
    </row>
    <row r="719" spans="12:14" x14ac:dyDescent="0.2">
      <c r="L719" s="1"/>
      <c r="M719" s="1"/>
      <c r="N719" s="1"/>
    </row>
    <row r="720" spans="12:14" x14ac:dyDescent="0.2">
      <c r="L720" s="1"/>
      <c r="M720" s="1"/>
      <c r="N720" s="1"/>
    </row>
    <row r="721" spans="12:14" x14ac:dyDescent="0.2">
      <c r="L721" s="1"/>
      <c r="M721" s="1"/>
      <c r="N721" s="1"/>
    </row>
    <row r="722" spans="12:14" x14ac:dyDescent="0.2">
      <c r="L722" s="1"/>
      <c r="M722" s="1"/>
      <c r="N722" s="1"/>
    </row>
    <row r="723" spans="12:14" x14ac:dyDescent="0.2">
      <c r="L723" s="1"/>
      <c r="M723" s="1"/>
      <c r="N723" s="1"/>
    </row>
    <row r="724" spans="12:14" x14ac:dyDescent="0.2">
      <c r="L724" s="1"/>
      <c r="M724" s="1"/>
      <c r="N724" s="1"/>
    </row>
    <row r="725" spans="12:14" x14ac:dyDescent="0.2">
      <c r="L725" s="1"/>
      <c r="M725" s="1"/>
      <c r="N725" s="1"/>
    </row>
    <row r="726" spans="12:14" x14ac:dyDescent="0.2">
      <c r="L726" s="1"/>
      <c r="M726" s="1"/>
      <c r="N726" s="1"/>
    </row>
    <row r="727" spans="12:14" x14ac:dyDescent="0.2">
      <c r="L727" s="1"/>
      <c r="M727" s="1"/>
      <c r="N727" s="1"/>
    </row>
    <row r="728" spans="12:14" x14ac:dyDescent="0.2">
      <c r="L728" s="1"/>
      <c r="M728" s="1"/>
      <c r="N728" s="1"/>
    </row>
    <row r="729" spans="12:14" x14ac:dyDescent="0.2">
      <c r="L729" s="1"/>
      <c r="M729" s="1"/>
      <c r="N729" s="1"/>
    </row>
    <row r="730" spans="12:14" x14ac:dyDescent="0.2">
      <c r="L730" s="1"/>
      <c r="M730" s="1"/>
      <c r="N730" s="1"/>
    </row>
    <row r="731" spans="12:14" x14ac:dyDescent="0.2">
      <c r="L731" s="1"/>
      <c r="M731" s="1"/>
      <c r="N731" s="1"/>
    </row>
    <row r="732" spans="12:14" x14ac:dyDescent="0.2">
      <c r="L732" s="1"/>
      <c r="M732" s="1"/>
      <c r="N732" s="1"/>
    </row>
    <row r="733" spans="12:14" x14ac:dyDescent="0.2">
      <c r="L733" s="1"/>
      <c r="M733" s="1"/>
      <c r="N733" s="1"/>
    </row>
    <row r="734" spans="12:14" x14ac:dyDescent="0.2">
      <c r="L734" s="1"/>
      <c r="M734" s="1"/>
      <c r="N734" s="1"/>
    </row>
    <row r="735" spans="12:14" x14ac:dyDescent="0.2">
      <c r="L735" s="1"/>
      <c r="M735" s="1"/>
      <c r="N735" s="1"/>
    </row>
    <row r="736" spans="12:14" x14ac:dyDescent="0.2">
      <c r="L736" s="1"/>
      <c r="M736" s="1"/>
      <c r="N736" s="1"/>
    </row>
    <row r="737" spans="12:14" x14ac:dyDescent="0.2">
      <c r="L737" s="1"/>
      <c r="M737" s="1"/>
      <c r="N737" s="1"/>
    </row>
    <row r="738" spans="12:14" x14ac:dyDescent="0.2">
      <c r="L738" s="1"/>
      <c r="M738" s="1"/>
      <c r="N738" s="1"/>
    </row>
    <row r="739" spans="12:14" x14ac:dyDescent="0.2">
      <c r="L739" s="1"/>
      <c r="M739" s="1"/>
      <c r="N739" s="1"/>
    </row>
    <row r="740" spans="12:14" x14ac:dyDescent="0.2">
      <c r="L740" s="1"/>
      <c r="M740" s="1"/>
      <c r="N740" s="1"/>
    </row>
    <row r="741" spans="12:14" x14ac:dyDescent="0.2">
      <c r="L741" s="1"/>
      <c r="M741" s="1"/>
      <c r="N741" s="1"/>
    </row>
    <row r="742" spans="12:14" x14ac:dyDescent="0.2">
      <c r="L742" s="1"/>
      <c r="M742" s="1"/>
      <c r="N742" s="1"/>
    </row>
    <row r="743" spans="12:14" x14ac:dyDescent="0.2">
      <c r="L743" s="1"/>
      <c r="M743" s="1"/>
      <c r="N743" s="1"/>
    </row>
    <row r="744" spans="12:14" x14ac:dyDescent="0.2">
      <c r="L744" s="1"/>
      <c r="M744" s="1"/>
      <c r="N744" s="1"/>
    </row>
    <row r="745" spans="12:14" x14ac:dyDescent="0.2">
      <c r="L745" s="1"/>
      <c r="M745" s="1"/>
      <c r="N745" s="1"/>
    </row>
    <row r="746" spans="12:14" x14ac:dyDescent="0.2">
      <c r="L746" s="1"/>
      <c r="M746" s="1"/>
      <c r="N746" s="1"/>
    </row>
    <row r="747" spans="12:14" x14ac:dyDescent="0.2">
      <c r="L747" s="1"/>
      <c r="M747" s="1"/>
      <c r="N747" s="1"/>
    </row>
    <row r="748" spans="12:14" x14ac:dyDescent="0.2">
      <c r="L748" s="1"/>
      <c r="M748" s="1"/>
      <c r="N748" s="1"/>
    </row>
    <row r="749" spans="12:14" x14ac:dyDescent="0.2">
      <c r="L749" s="1"/>
      <c r="M749" s="1"/>
      <c r="N749" s="1"/>
    </row>
    <row r="750" spans="12:14" x14ac:dyDescent="0.2">
      <c r="L750" s="1"/>
      <c r="M750" s="1"/>
      <c r="N750" s="1"/>
    </row>
    <row r="751" spans="12:14" x14ac:dyDescent="0.2">
      <c r="L751" s="1"/>
      <c r="M751" s="1"/>
      <c r="N751" s="1"/>
    </row>
    <row r="752" spans="12:14" x14ac:dyDescent="0.2">
      <c r="L752" s="1"/>
      <c r="M752" s="1"/>
      <c r="N752" s="1"/>
    </row>
    <row r="753" spans="12:14" x14ac:dyDescent="0.2">
      <c r="L753" s="1"/>
      <c r="M753" s="1"/>
      <c r="N753" s="1"/>
    </row>
    <row r="754" spans="12:14" x14ac:dyDescent="0.2">
      <c r="L754" s="1"/>
      <c r="M754" s="1"/>
      <c r="N754" s="1"/>
    </row>
    <row r="755" spans="12:14" x14ac:dyDescent="0.2">
      <c r="L755" s="1"/>
      <c r="M755" s="1"/>
      <c r="N755" s="1"/>
    </row>
    <row r="756" spans="12:14" x14ac:dyDescent="0.2">
      <c r="L756" s="1"/>
      <c r="M756" s="1"/>
      <c r="N756" s="1"/>
    </row>
    <row r="757" spans="12:14" x14ac:dyDescent="0.2">
      <c r="L757" s="1"/>
      <c r="M757" s="1"/>
      <c r="N757" s="1"/>
    </row>
    <row r="758" spans="12:14" x14ac:dyDescent="0.2">
      <c r="L758" s="1"/>
      <c r="M758" s="1"/>
      <c r="N758" s="1"/>
    </row>
    <row r="759" spans="12:14" x14ac:dyDescent="0.2">
      <c r="L759" s="1"/>
      <c r="M759" s="1"/>
      <c r="N759" s="1"/>
    </row>
    <row r="760" spans="12:14" x14ac:dyDescent="0.2">
      <c r="L760" s="1"/>
      <c r="M760" s="1"/>
      <c r="N760" s="1"/>
    </row>
    <row r="761" spans="12:14" x14ac:dyDescent="0.2">
      <c r="L761" s="1"/>
      <c r="M761" s="1"/>
      <c r="N761" s="1"/>
    </row>
    <row r="762" spans="12:14" x14ac:dyDescent="0.2">
      <c r="L762" s="1"/>
      <c r="M762" s="1"/>
      <c r="N762" s="1"/>
    </row>
    <row r="763" spans="12:14" x14ac:dyDescent="0.2">
      <c r="L763" s="1"/>
      <c r="M763" s="1"/>
      <c r="N763" s="1"/>
    </row>
    <row r="764" spans="12:14" x14ac:dyDescent="0.2">
      <c r="L764" s="1"/>
      <c r="M764" s="1"/>
      <c r="N764" s="1"/>
    </row>
    <row r="765" spans="12:14" x14ac:dyDescent="0.2">
      <c r="L765" s="1"/>
      <c r="M765" s="1"/>
      <c r="N765" s="1"/>
    </row>
    <row r="766" spans="12:14" x14ac:dyDescent="0.2">
      <c r="L766" s="1"/>
      <c r="M766" s="1"/>
      <c r="N766" s="1"/>
    </row>
    <row r="767" spans="12:14" x14ac:dyDescent="0.2">
      <c r="L767" s="1"/>
      <c r="M767" s="1"/>
      <c r="N767" s="1"/>
    </row>
    <row r="768" spans="12:14" x14ac:dyDescent="0.2">
      <c r="L768" s="1"/>
      <c r="M768" s="1"/>
      <c r="N768" s="1"/>
    </row>
    <row r="769" spans="12:14" x14ac:dyDescent="0.2">
      <c r="L769" s="1"/>
      <c r="M769" s="1"/>
      <c r="N769" s="1"/>
    </row>
    <row r="770" spans="12:14" x14ac:dyDescent="0.2">
      <c r="L770" s="1"/>
      <c r="M770" s="1"/>
      <c r="N770" s="1"/>
    </row>
    <row r="771" spans="12:14" x14ac:dyDescent="0.2">
      <c r="L771" s="1"/>
      <c r="M771" s="1"/>
      <c r="N771" s="1"/>
    </row>
    <row r="772" spans="12:14" x14ac:dyDescent="0.2">
      <c r="L772" s="1"/>
      <c r="M772" s="1"/>
      <c r="N772" s="1"/>
    </row>
    <row r="773" spans="12:14" x14ac:dyDescent="0.2">
      <c r="L773" s="1"/>
      <c r="M773" s="1"/>
      <c r="N773" s="1"/>
    </row>
    <row r="774" spans="12:14" x14ac:dyDescent="0.2">
      <c r="L774" s="1"/>
      <c r="M774" s="1"/>
      <c r="N774" s="1"/>
    </row>
    <row r="775" spans="12:14" x14ac:dyDescent="0.2">
      <c r="L775" s="1"/>
      <c r="M775" s="1"/>
      <c r="N775" s="1"/>
    </row>
    <row r="776" spans="12:14" x14ac:dyDescent="0.2">
      <c r="L776" s="1"/>
      <c r="M776" s="1"/>
      <c r="N776" s="1"/>
    </row>
    <row r="777" spans="12:14" x14ac:dyDescent="0.2">
      <c r="L777" s="1"/>
      <c r="M777" s="1"/>
      <c r="N777" s="1"/>
    </row>
    <row r="778" spans="12:14" x14ac:dyDescent="0.2">
      <c r="L778" s="1"/>
      <c r="M778" s="1"/>
      <c r="N778" s="1"/>
    </row>
    <row r="779" spans="12:14" x14ac:dyDescent="0.2">
      <c r="L779" s="1"/>
      <c r="M779" s="1"/>
      <c r="N779" s="1"/>
    </row>
    <row r="780" spans="12:14" x14ac:dyDescent="0.2">
      <c r="L780" s="1"/>
      <c r="M780" s="1"/>
      <c r="N780" s="1"/>
    </row>
    <row r="781" spans="12:14" x14ac:dyDescent="0.2">
      <c r="L781" s="1"/>
      <c r="M781" s="1"/>
      <c r="N781" s="1"/>
    </row>
    <row r="782" spans="12:14" x14ac:dyDescent="0.2">
      <c r="L782" s="1"/>
      <c r="M782" s="1"/>
      <c r="N782" s="1"/>
    </row>
    <row r="783" spans="12:14" x14ac:dyDescent="0.2">
      <c r="L783" s="1"/>
      <c r="M783" s="1"/>
      <c r="N783" s="1"/>
    </row>
    <row r="784" spans="12:14" x14ac:dyDescent="0.2">
      <c r="L784" s="1"/>
      <c r="M784" s="1"/>
      <c r="N784" s="1"/>
    </row>
    <row r="785" spans="12:14" x14ac:dyDescent="0.2">
      <c r="L785" s="1"/>
      <c r="M785" s="1"/>
      <c r="N785" s="1"/>
    </row>
    <row r="786" spans="12:14" x14ac:dyDescent="0.2">
      <c r="L786" s="1"/>
      <c r="M786" s="1"/>
      <c r="N786" s="1"/>
    </row>
    <row r="787" spans="12:14" x14ac:dyDescent="0.2">
      <c r="L787" s="1"/>
      <c r="M787" s="1"/>
      <c r="N787" s="1"/>
    </row>
    <row r="788" spans="12:14" x14ac:dyDescent="0.2">
      <c r="L788" s="1"/>
      <c r="M788" s="1"/>
      <c r="N788" s="1"/>
    </row>
    <row r="789" spans="12:14" x14ac:dyDescent="0.2">
      <c r="L789" s="1"/>
      <c r="M789" s="1"/>
      <c r="N789" s="1"/>
    </row>
    <row r="790" spans="12:14" x14ac:dyDescent="0.2">
      <c r="L790" s="1"/>
      <c r="M790" s="1"/>
      <c r="N790" s="1"/>
    </row>
    <row r="791" spans="12:14" x14ac:dyDescent="0.2">
      <c r="L791" s="1"/>
      <c r="M791" s="1"/>
      <c r="N791" s="1"/>
    </row>
    <row r="792" spans="12:14" x14ac:dyDescent="0.2">
      <c r="L792" s="1"/>
      <c r="M792" s="1"/>
      <c r="N792" s="1"/>
    </row>
    <row r="793" spans="12:14" x14ac:dyDescent="0.2">
      <c r="L793" s="1"/>
      <c r="M793" s="1"/>
      <c r="N793" s="1"/>
    </row>
    <row r="794" spans="12:14" x14ac:dyDescent="0.2">
      <c r="L794" s="1"/>
      <c r="M794" s="1"/>
      <c r="N794" s="1"/>
    </row>
    <row r="795" spans="12:14" x14ac:dyDescent="0.2">
      <c r="L795" s="1"/>
      <c r="M795" s="1"/>
      <c r="N795" s="1"/>
    </row>
    <row r="796" spans="12:14" x14ac:dyDescent="0.2">
      <c r="L796" s="1"/>
      <c r="M796" s="1"/>
      <c r="N796" s="1"/>
    </row>
    <row r="797" spans="12:14" x14ac:dyDescent="0.2">
      <c r="L797" s="1"/>
      <c r="M797" s="1"/>
      <c r="N797" s="1"/>
    </row>
    <row r="798" spans="12:14" x14ac:dyDescent="0.2">
      <c r="L798" s="1"/>
      <c r="M798" s="1"/>
      <c r="N798" s="1"/>
    </row>
    <row r="799" spans="12:14" x14ac:dyDescent="0.2">
      <c r="L799" s="1"/>
      <c r="M799" s="1"/>
      <c r="N799" s="1"/>
    </row>
    <row r="800" spans="12:14" x14ac:dyDescent="0.2">
      <c r="L800" s="1"/>
      <c r="M800" s="1"/>
      <c r="N800" s="1"/>
    </row>
    <row r="801" spans="12:14" x14ac:dyDescent="0.2">
      <c r="L801" s="1"/>
      <c r="M801" s="1"/>
      <c r="N801" s="1"/>
    </row>
    <row r="802" spans="12:14" x14ac:dyDescent="0.2">
      <c r="L802" s="1"/>
      <c r="M802" s="1"/>
      <c r="N802" s="1"/>
    </row>
    <row r="803" spans="12:14" x14ac:dyDescent="0.2">
      <c r="L803" s="1"/>
      <c r="M803" s="1"/>
      <c r="N803" s="1"/>
    </row>
    <row r="804" spans="12:14" x14ac:dyDescent="0.2">
      <c r="L804" s="1"/>
      <c r="M804" s="1"/>
      <c r="N804" s="1"/>
    </row>
    <row r="805" spans="12:14" x14ac:dyDescent="0.2">
      <c r="L805" s="1"/>
      <c r="M805" s="1"/>
      <c r="N805" s="1"/>
    </row>
    <row r="806" spans="12:14" x14ac:dyDescent="0.2">
      <c r="L806" s="1"/>
      <c r="M806" s="1"/>
      <c r="N806" s="1"/>
    </row>
    <row r="807" spans="12:14" x14ac:dyDescent="0.2">
      <c r="L807" s="1"/>
      <c r="M807" s="1"/>
      <c r="N807" s="1"/>
    </row>
    <row r="808" spans="12:14" x14ac:dyDescent="0.2">
      <c r="L808" s="1"/>
      <c r="M808" s="1"/>
      <c r="N808" s="1"/>
    </row>
    <row r="809" spans="12:14" x14ac:dyDescent="0.2">
      <c r="L809" s="1"/>
      <c r="M809" s="1"/>
      <c r="N809" s="1"/>
    </row>
    <row r="810" spans="12:14" x14ac:dyDescent="0.2">
      <c r="L810" s="1"/>
      <c r="M810" s="1"/>
      <c r="N810" s="1"/>
    </row>
    <row r="811" spans="12:14" x14ac:dyDescent="0.2">
      <c r="L811" s="1"/>
      <c r="M811" s="1"/>
      <c r="N811" s="1"/>
    </row>
    <row r="812" spans="12:14" x14ac:dyDescent="0.2">
      <c r="L812" s="1"/>
      <c r="M812" s="1"/>
      <c r="N812" s="1"/>
    </row>
    <row r="813" spans="12:14" x14ac:dyDescent="0.2">
      <c r="L813" s="1"/>
      <c r="M813" s="1"/>
      <c r="N813" s="1"/>
    </row>
    <row r="814" spans="12:14" x14ac:dyDescent="0.2">
      <c r="L814" s="1"/>
      <c r="M814" s="1"/>
      <c r="N814" s="1"/>
    </row>
    <row r="815" spans="12:14" x14ac:dyDescent="0.2">
      <c r="L815" s="1"/>
      <c r="M815" s="1"/>
      <c r="N815" s="1"/>
    </row>
    <row r="816" spans="12:14" x14ac:dyDescent="0.2">
      <c r="L816" s="1"/>
      <c r="M816" s="1"/>
      <c r="N816" s="1"/>
    </row>
    <row r="817" spans="12:14" x14ac:dyDescent="0.2">
      <c r="L817" s="1"/>
      <c r="M817" s="1"/>
      <c r="N817" s="1"/>
    </row>
    <row r="818" spans="12:14" x14ac:dyDescent="0.2">
      <c r="L818" s="1"/>
      <c r="M818" s="1"/>
      <c r="N818" s="1"/>
    </row>
    <row r="819" spans="12:14" x14ac:dyDescent="0.2">
      <c r="L819" s="1"/>
      <c r="M819" s="1"/>
      <c r="N819" s="1"/>
    </row>
    <row r="820" spans="12:14" x14ac:dyDescent="0.2">
      <c r="L820" s="1"/>
      <c r="M820" s="1"/>
      <c r="N820" s="1"/>
    </row>
    <row r="821" spans="12:14" x14ac:dyDescent="0.2">
      <c r="L821" s="1"/>
      <c r="M821" s="1"/>
      <c r="N821" s="1"/>
    </row>
    <row r="822" spans="12:14" x14ac:dyDescent="0.2">
      <c r="L822" s="1"/>
      <c r="M822" s="1"/>
      <c r="N822" s="1"/>
    </row>
    <row r="823" spans="12:14" x14ac:dyDescent="0.2">
      <c r="L823" s="1"/>
      <c r="M823" s="1"/>
      <c r="N823" s="1"/>
    </row>
    <row r="824" spans="12:14" x14ac:dyDescent="0.2">
      <c r="L824" s="1"/>
      <c r="M824" s="1"/>
      <c r="N824" s="1"/>
    </row>
    <row r="825" spans="12:14" x14ac:dyDescent="0.2">
      <c r="L825" s="1"/>
      <c r="M825" s="1"/>
      <c r="N825" s="1"/>
    </row>
    <row r="826" spans="12:14" x14ac:dyDescent="0.2">
      <c r="L826" s="1"/>
      <c r="M826" s="1"/>
      <c r="N826" s="1"/>
    </row>
    <row r="827" spans="12:14" x14ac:dyDescent="0.2">
      <c r="L827" s="1"/>
      <c r="M827" s="1"/>
      <c r="N827" s="1"/>
    </row>
    <row r="828" spans="12:14" x14ac:dyDescent="0.2">
      <c r="L828" s="1"/>
      <c r="M828" s="1"/>
      <c r="N828" s="1"/>
    </row>
    <row r="829" spans="12:14" x14ac:dyDescent="0.2">
      <c r="L829" s="1"/>
      <c r="M829" s="1"/>
      <c r="N829" s="1"/>
    </row>
    <row r="830" spans="12:14" x14ac:dyDescent="0.2">
      <c r="L830" s="1"/>
      <c r="M830" s="1"/>
      <c r="N830" s="1"/>
    </row>
    <row r="831" spans="12:14" x14ac:dyDescent="0.2">
      <c r="L831" s="1"/>
      <c r="M831" s="1"/>
      <c r="N831" s="1"/>
    </row>
    <row r="832" spans="12:14" x14ac:dyDescent="0.2">
      <c r="L832" s="1"/>
      <c r="M832" s="1"/>
      <c r="N832" s="1"/>
    </row>
    <row r="833" spans="12:14" x14ac:dyDescent="0.2">
      <c r="L833" s="1"/>
      <c r="M833" s="1"/>
      <c r="N833" s="1"/>
    </row>
    <row r="834" spans="12:14" x14ac:dyDescent="0.2">
      <c r="L834" s="1"/>
      <c r="M834" s="1"/>
      <c r="N834" s="1"/>
    </row>
    <row r="835" spans="12:14" x14ac:dyDescent="0.2">
      <c r="L835" s="1"/>
      <c r="M835" s="1"/>
      <c r="N835" s="1"/>
    </row>
    <row r="836" spans="12:14" x14ac:dyDescent="0.2">
      <c r="L836" s="1"/>
      <c r="M836" s="1"/>
      <c r="N836" s="1"/>
    </row>
    <row r="837" spans="12:14" x14ac:dyDescent="0.2">
      <c r="L837" s="1"/>
      <c r="M837" s="1"/>
      <c r="N837" s="1"/>
    </row>
    <row r="838" spans="12:14" x14ac:dyDescent="0.2">
      <c r="L838" s="1"/>
      <c r="M838" s="1"/>
      <c r="N838" s="1"/>
    </row>
    <row r="839" spans="12:14" x14ac:dyDescent="0.2">
      <c r="L839" s="1"/>
      <c r="M839" s="1"/>
      <c r="N839" s="1"/>
    </row>
    <row r="840" spans="12:14" x14ac:dyDescent="0.2">
      <c r="L840" s="1"/>
      <c r="M840" s="1"/>
      <c r="N840" s="1"/>
    </row>
    <row r="841" spans="12:14" x14ac:dyDescent="0.2">
      <c r="L841" s="1"/>
      <c r="M841" s="1"/>
      <c r="N841" s="1"/>
    </row>
    <row r="842" spans="12:14" x14ac:dyDescent="0.2">
      <c r="L842" s="1"/>
      <c r="M842" s="1"/>
      <c r="N842" s="1"/>
    </row>
    <row r="843" spans="12:14" x14ac:dyDescent="0.2">
      <c r="L843" s="1"/>
      <c r="M843" s="1"/>
      <c r="N843" s="1"/>
    </row>
    <row r="844" spans="12:14" x14ac:dyDescent="0.2">
      <c r="L844" s="1"/>
      <c r="M844" s="1"/>
      <c r="N844" s="1"/>
    </row>
    <row r="845" spans="12:14" x14ac:dyDescent="0.2">
      <c r="L845" s="1"/>
      <c r="M845" s="1"/>
      <c r="N845" s="1"/>
    </row>
    <row r="846" spans="12:14" x14ac:dyDescent="0.2">
      <c r="L846" s="1"/>
      <c r="M846" s="1"/>
      <c r="N846" s="1"/>
    </row>
    <row r="847" spans="12:14" x14ac:dyDescent="0.2">
      <c r="L847" s="1"/>
      <c r="M847" s="1"/>
      <c r="N847" s="1"/>
    </row>
    <row r="848" spans="12:14" x14ac:dyDescent="0.2">
      <c r="L848" s="1"/>
      <c r="M848" s="1"/>
      <c r="N848" s="1"/>
    </row>
    <row r="849" spans="12:14" x14ac:dyDescent="0.2">
      <c r="L849" s="1"/>
      <c r="M849" s="1"/>
      <c r="N849" s="1"/>
    </row>
    <row r="850" spans="12:14" x14ac:dyDescent="0.2">
      <c r="L850" s="1"/>
      <c r="M850" s="1"/>
      <c r="N850" s="1"/>
    </row>
    <row r="851" spans="12:14" x14ac:dyDescent="0.2">
      <c r="L851" s="1"/>
      <c r="M851" s="1"/>
      <c r="N851" s="1"/>
    </row>
    <row r="852" spans="12:14" x14ac:dyDescent="0.2">
      <c r="L852" s="1"/>
      <c r="M852" s="1"/>
      <c r="N852" s="1"/>
    </row>
    <row r="853" spans="12:14" x14ac:dyDescent="0.2">
      <c r="L853" s="1"/>
      <c r="M853" s="1"/>
      <c r="N853" s="1"/>
    </row>
    <row r="854" spans="12:14" x14ac:dyDescent="0.2">
      <c r="L854" s="1"/>
      <c r="M854" s="1"/>
      <c r="N854" s="1"/>
    </row>
    <row r="855" spans="12:14" x14ac:dyDescent="0.2">
      <c r="L855" s="1"/>
      <c r="M855" s="1"/>
      <c r="N855" s="1"/>
    </row>
    <row r="856" spans="12:14" x14ac:dyDescent="0.2">
      <c r="L856" s="1"/>
      <c r="M856" s="1"/>
      <c r="N856" s="1"/>
    </row>
    <row r="857" spans="12:14" x14ac:dyDescent="0.2">
      <c r="L857" s="1"/>
      <c r="M857" s="1"/>
      <c r="N857" s="1"/>
    </row>
    <row r="858" spans="12:14" x14ac:dyDescent="0.2">
      <c r="L858" s="1"/>
      <c r="M858" s="1"/>
      <c r="N858" s="1"/>
    </row>
    <row r="859" spans="12:14" x14ac:dyDescent="0.2">
      <c r="L859" s="1"/>
      <c r="M859" s="1"/>
      <c r="N859" s="1"/>
    </row>
    <row r="860" spans="12:14" x14ac:dyDescent="0.2">
      <c r="L860" s="1"/>
      <c r="M860" s="1"/>
      <c r="N860" s="1"/>
    </row>
    <row r="861" spans="12:14" x14ac:dyDescent="0.2">
      <c r="L861" s="1"/>
      <c r="M861" s="1"/>
      <c r="N861" s="1"/>
    </row>
    <row r="862" spans="12:14" x14ac:dyDescent="0.2">
      <c r="L862" s="1"/>
      <c r="M862" s="1"/>
      <c r="N862" s="1"/>
    </row>
    <row r="863" spans="12:14" x14ac:dyDescent="0.2">
      <c r="L863" s="1"/>
      <c r="M863" s="1"/>
      <c r="N863" s="1"/>
    </row>
    <row r="864" spans="12:14" x14ac:dyDescent="0.2">
      <c r="L864" s="1"/>
      <c r="M864" s="1"/>
      <c r="N864" s="1"/>
    </row>
    <row r="865" spans="12:14" x14ac:dyDescent="0.2">
      <c r="L865" s="1"/>
      <c r="M865" s="1"/>
      <c r="N865" s="1"/>
    </row>
    <row r="866" spans="12:14" x14ac:dyDescent="0.2">
      <c r="L866" s="1"/>
      <c r="M866" s="1"/>
      <c r="N866" s="1"/>
    </row>
    <row r="867" spans="12:14" x14ac:dyDescent="0.2">
      <c r="L867" s="1"/>
      <c r="M867" s="1"/>
      <c r="N867" s="1"/>
    </row>
    <row r="868" spans="12:14" x14ac:dyDescent="0.2">
      <c r="L868" s="1"/>
      <c r="M868" s="1"/>
      <c r="N868" s="1"/>
    </row>
    <row r="869" spans="12:14" x14ac:dyDescent="0.2">
      <c r="L869" s="1"/>
      <c r="M869" s="1"/>
      <c r="N869" s="1"/>
    </row>
    <row r="870" spans="12:14" x14ac:dyDescent="0.2">
      <c r="L870" s="1"/>
      <c r="M870" s="1"/>
      <c r="N870" s="1"/>
    </row>
    <row r="871" spans="12:14" x14ac:dyDescent="0.2">
      <c r="L871" s="1"/>
      <c r="M871" s="1"/>
      <c r="N871" s="1"/>
    </row>
    <row r="872" spans="12:14" x14ac:dyDescent="0.2">
      <c r="L872" s="1"/>
      <c r="M872" s="1"/>
      <c r="N872" s="1"/>
    </row>
    <row r="873" spans="12:14" x14ac:dyDescent="0.2">
      <c r="L873" s="1"/>
      <c r="M873" s="1"/>
      <c r="N873" s="1"/>
    </row>
    <row r="874" spans="12:14" x14ac:dyDescent="0.2">
      <c r="L874" s="1"/>
      <c r="M874" s="1"/>
      <c r="N874" s="1"/>
    </row>
    <row r="875" spans="12:14" x14ac:dyDescent="0.2">
      <c r="L875" s="1"/>
      <c r="M875" s="1"/>
      <c r="N875" s="1"/>
    </row>
    <row r="876" spans="12:14" x14ac:dyDescent="0.2">
      <c r="L876" s="1"/>
      <c r="M876" s="1"/>
      <c r="N876" s="1"/>
    </row>
    <row r="877" spans="12:14" x14ac:dyDescent="0.2">
      <c r="L877" s="1"/>
      <c r="M877" s="1"/>
      <c r="N877" s="1"/>
    </row>
    <row r="878" spans="12:14" x14ac:dyDescent="0.2">
      <c r="L878" s="1"/>
      <c r="M878" s="1"/>
      <c r="N878" s="1"/>
    </row>
    <row r="879" spans="12:14" x14ac:dyDescent="0.2">
      <c r="L879" s="1"/>
      <c r="M879" s="1"/>
      <c r="N879" s="1"/>
    </row>
    <row r="880" spans="12:14" x14ac:dyDescent="0.2">
      <c r="L880" s="1"/>
      <c r="M880" s="1"/>
      <c r="N880" s="1"/>
    </row>
    <row r="881" spans="12:14" x14ac:dyDescent="0.2">
      <c r="L881" s="1"/>
      <c r="M881" s="1"/>
      <c r="N881" s="1"/>
    </row>
    <row r="882" spans="12:14" x14ac:dyDescent="0.2">
      <c r="L882" s="1"/>
      <c r="M882" s="1"/>
      <c r="N882" s="1"/>
    </row>
    <row r="883" spans="12:14" x14ac:dyDescent="0.2">
      <c r="L883" s="1"/>
      <c r="M883" s="1"/>
      <c r="N883" s="1"/>
    </row>
    <row r="884" spans="12:14" x14ac:dyDescent="0.2">
      <c r="L884" s="1"/>
      <c r="M884" s="1"/>
      <c r="N884" s="1"/>
    </row>
    <row r="885" spans="12:14" x14ac:dyDescent="0.2">
      <c r="L885" s="1"/>
      <c r="M885" s="1"/>
      <c r="N885" s="1"/>
    </row>
    <row r="886" spans="12:14" x14ac:dyDescent="0.2">
      <c r="L886" s="1"/>
      <c r="M886" s="1"/>
      <c r="N886" s="1"/>
    </row>
    <row r="887" spans="12:14" x14ac:dyDescent="0.2">
      <c r="L887" s="1"/>
      <c r="M887" s="1"/>
      <c r="N887" s="1"/>
    </row>
    <row r="888" spans="12:14" x14ac:dyDescent="0.2">
      <c r="L888" s="1"/>
      <c r="M888" s="1"/>
      <c r="N888" s="1"/>
    </row>
    <row r="889" spans="12:14" x14ac:dyDescent="0.2">
      <c r="L889" s="1"/>
      <c r="M889" s="1"/>
      <c r="N889" s="1"/>
    </row>
    <row r="890" spans="12:14" x14ac:dyDescent="0.2">
      <c r="L890" s="1"/>
      <c r="M890" s="1"/>
      <c r="N890" s="1"/>
    </row>
    <row r="891" spans="12:14" x14ac:dyDescent="0.2">
      <c r="L891" s="1"/>
      <c r="M891" s="1"/>
      <c r="N891" s="1"/>
    </row>
    <row r="892" spans="12:14" x14ac:dyDescent="0.2">
      <c r="L892" s="1"/>
      <c r="M892" s="1"/>
      <c r="N892" s="1"/>
    </row>
    <row r="893" spans="12:14" x14ac:dyDescent="0.2">
      <c r="L893" s="1"/>
      <c r="M893" s="1"/>
      <c r="N893" s="1"/>
    </row>
    <row r="894" spans="12:14" x14ac:dyDescent="0.2">
      <c r="L894" s="1"/>
      <c r="M894" s="1"/>
      <c r="N894" s="1"/>
    </row>
    <row r="895" spans="12:14" x14ac:dyDescent="0.2">
      <c r="L895" s="1"/>
      <c r="M895" s="1"/>
      <c r="N895" s="1"/>
    </row>
    <row r="896" spans="12:14" x14ac:dyDescent="0.2">
      <c r="L896" s="1"/>
      <c r="M896" s="1"/>
      <c r="N896" s="1"/>
    </row>
    <row r="897" spans="12:14" x14ac:dyDescent="0.2">
      <c r="L897" s="1"/>
      <c r="M897" s="1"/>
      <c r="N897" s="1"/>
    </row>
    <row r="898" spans="12:14" x14ac:dyDescent="0.2">
      <c r="L898" s="1"/>
      <c r="M898" s="1"/>
      <c r="N898" s="1"/>
    </row>
    <row r="899" spans="12:14" x14ac:dyDescent="0.2">
      <c r="L899" s="1"/>
      <c r="M899" s="1"/>
      <c r="N899" s="1"/>
    </row>
    <row r="900" spans="12:14" x14ac:dyDescent="0.2">
      <c r="L900" s="1"/>
      <c r="M900" s="1"/>
      <c r="N900" s="1"/>
    </row>
    <row r="901" spans="12:14" x14ac:dyDescent="0.2">
      <c r="L901" s="1"/>
      <c r="M901" s="1"/>
      <c r="N901" s="1"/>
    </row>
    <row r="902" spans="12:14" x14ac:dyDescent="0.2">
      <c r="L902" s="1"/>
      <c r="M902" s="1"/>
      <c r="N902" s="1"/>
    </row>
    <row r="903" spans="12:14" x14ac:dyDescent="0.2">
      <c r="L903" s="1"/>
      <c r="M903" s="1"/>
      <c r="N903" s="1"/>
    </row>
    <row r="904" spans="12:14" x14ac:dyDescent="0.2">
      <c r="L904" s="1"/>
      <c r="M904" s="1"/>
      <c r="N904" s="1"/>
    </row>
    <row r="905" spans="12:14" x14ac:dyDescent="0.2">
      <c r="L905" s="1"/>
      <c r="M905" s="1"/>
      <c r="N905" s="1"/>
    </row>
    <row r="906" spans="12:14" x14ac:dyDescent="0.2">
      <c r="L906" s="1"/>
      <c r="M906" s="1"/>
      <c r="N906" s="1"/>
    </row>
    <row r="907" spans="12:14" x14ac:dyDescent="0.2">
      <c r="L907" s="1"/>
      <c r="M907" s="1"/>
      <c r="N907" s="1"/>
    </row>
    <row r="908" spans="12:14" x14ac:dyDescent="0.2">
      <c r="L908" s="1"/>
      <c r="M908" s="1"/>
      <c r="N908" s="1"/>
    </row>
    <row r="909" spans="12:14" x14ac:dyDescent="0.2">
      <c r="L909" s="1"/>
      <c r="M909" s="1"/>
      <c r="N909" s="1"/>
    </row>
    <row r="910" spans="12:14" x14ac:dyDescent="0.2">
      <c r="L910" s="1"/>
      <c r="M910" s="1"/>
      <c r="N910" s="1"/>
    </row>
    <row r="911" spans="12:14" x14ac:dyDescent="0.2">
      <c r="L911" s="1"/>
      <c r="M911" s="1"/>
      <c r="N911" s="1"/>
    </row>
    <row r="912" spans="12:14" x14ac:dyDescent="0.2">
      <c r="L912" s="1"/>
      <c r="M912" s="1"/>
      <c r="N912" s="1"/>
    </row>
    <row r="913" spans="12:14" x14ac:dyDescent="0.2">
      <c r="L913" s="1"/>
      <c r="M913" s="1"/>
      <c r="N913" s="1"/>
    </row>
    <row r="914" spans="12:14" x14ac:dyDescent="0.2">
      <c r="L914" s="1"/>
      <c r="M914" s="1"/>
      <c r="N914" s="1"/>
    </row>
    <row r="915" spans="12:14" x14ac:dyDescent="0.2">
      <c r="L915" s="1"/>
      <c r="M915" s="1"/>
      <c r="N915" s="1"/>
    </row>
    <row r="916" spans="12:14" x14ac:dyDescent="0.2">
      <c r="L916" s="1"/>
      <c r="M916" s="1"/>
      <c r="N916" s="1"/>
    </row>
    <row r="917" spans="12:14" x14ac:dyDescent="0.2">
      <c r="L917" s="1"/>
      <c r="M917" s="1"/>
      <c r="N917" s="1"/>
    </row>
    <row r="918" spans="12:14" x14ac:dyDescent="0.2">
      <c r="L918" s="1"/>
      <c r="M918" s="1"/>
      <c r="N918" s="1"/>
    </row>
    <row r="919" spans="12:14" x14ac:dyDescent="0.2">
      <c r="L919" s="1"/>
      <c r="M919" s="1"/>
      <c r="N919" s="1"/>
    </row>
    <row r="920" spans="12:14" x14ac:dyDescent="0.2">
      <c r="L920" s="1"/>
      <c r="M920" s="1"/>
      <c r="N920" s="1"/>
    </row>
    <row r="921" spans="12:14" x14ac:dyDescent="0.2">
      <c r="L921" s="1"/>
      <c r="M921" s="1"/>
      <c r="N921" s="1"/>
    </row>
    <row r="922" spans="12:14" x14ac:dyDescent="0.2">
      <c r="L922" s="1"/>
      <c r="M922" s="1"/>
      <c r="N922" s="1"/>
    </row>
    <row r="923" spans="12:14" x14ac:dyDescent="0.2">
      <c r="L923" s="1"/>
      <c r="M923" s="1"/>
      <c r="N923" s="1"/>
    </row>
    <row r="924" spans="12:14" x14ac:dyDescent="0.2">
      <c r="L924" s="1"/>
      <c r="M924" s="1"/>
      <c r="N924" s="1"/>
    </row>
    <row r="925" spans="12:14" x14ac:dyDescent="0.2">
      <c r="L925" s="1"/>
      <c r="M925" s="1"/>
      <c r="N925" s="1"/>
    </row>
    <row r="926" spans="12:14" x14ac:dyDescent="0.2">
      <c r="L926" s="1"/>
      <c r="M926" s="1"/>
      <c r="N926" s="1"/>
    </row>
    <row r="927" spans="12:14" x14ac:dyDescent="0.2">
      <c r="L927" s="1"/>
      <c r="M927" s="1"/>
      <c r="N927" s="1"/>
    </row>
    <row r="928" spans="12:14" x14ac:dyDescent="0.2">
      <c r="L928" s="1"/>
      <c r="M928" s="1"/>
      <c r="N928" s="1"/>
    </row>
    <row r="929" spans="12:14" x14ac:dyDescent="0.2">
      <c r="L929" s="1"/>
      <c r="M929" s="1"/>
      <c r="N929" s="1"/>
    </row>
    <row r="930" spans="12:14" x14ac:dyDescent="0.2">
      <c r="L930" s="1"/>
      <c r="M930" s="1"/>
      <c r="N930" s="1"/>
    </row>
    <row r="931" spans="12:14" x14ac:dyDescent="0.2">
      <c r="L931" s="1"/>
      <c r="M931" s="1"/>
      <c r="N931" s="1"/>
    </row>
    <row r="932" spans="12:14" x14ac:dyDescent="0.2">
      <c r="L932" s="1"/>
      <c r="M932" s="1"/>
      <c r="N932" s="1"/>
    </row>
    <row r="933" spans="12:14" x14ac:dyDescent="0.2">
      <c r="L933" s="1"/>
      <c r="M933" s="1"/>
      <c r="N933" s="1"/>
    </row>
    <row r="934" spans="12:14" x14ac:dyDescent="0.2">
      <c r="L934" s="1"/>
      <c r="M934" s="1"/>
      <c r="N934" s="1"/>
    </row>
    <row r="935" spans="12:14" x14ac:dyDescent="0.2">
      <c r="L935" s="1"/>
      <c r="M935" s="1"/>
      <c r="N935" s="1"/>
    </row>
    <row r="936" spans="12:14" x14ac:dyDescent="0.2">
      <c r="L936" s="1"/>
      <c r="M936" s="1"/>
      <c r="N936" s="1"/>
    </row>
    <row r="937" spans="12:14" x14ac:dyDescent="0.2">
      <c r="L937" s="1"/>
      <c r="M937" s="1"/>
      <c r="N937" s="1"/>
    </row>
    <row r="938" spans="12:14" x14ac:dyDescent="0.2">
      <c r="L938" s="1"/>
      <c r="M938" s="1"/>
      <c r="N938" s="1"/>
    </row>
    <row r="939" spans="12:14" x14ac:dyDescent="0.2">
      <c r="L939" s="1"/>
      <c r="M939" s="1"/>
      <c r="N939" s="1"/>
    </row>
    <row r="940" spans="12:14" x14ac:dyDescent="0.2">
      <c r="L940" s="1"/>
      <c r="M940" s="1"/>
      <c r="N940" s="1"/>
    </row>
    <row r="941" spans="12:14" x14ac:dyDescent="0.2">
      <c r="L941" s="1"/>
      <c r="M941" s="1"/>
      <c r="N941" s="1"/>
    </row>
    <row r="942" spans="12:14" x14ac:dyDescent="0.2">
      <c r="L942" s="1"/>
      <c r="M942" s="1"/>
      <c r="N942" s="1"/>
    </row>
    <row r="943" spans="12:14" x14ac:dyDescent="0.2">
      <c r="L943" s="1"/>
      <c r="M943" s="1"/>
      <c r="N943" s="1"/>
    </row>
    <row r="944" spans="12:14" x14ac:dyDescent="0.2">
      <c r="L944" s="1"/>
      <c r="M944" s="1"/>
      <c r="N944" s="1"/>
    </row>
    <row r="945" spans="12:14" x14ac:dyDescent="0.2">
      <c r="L945" s="1"/>
      <c r="M945" s="1"/>
      <c r="N945" s="1"/>
    </row>
    <row r="946" spans="12:14" x14ac:dyDescent="0.2">
      <c r="L946" s="1"/>
      <c r="M946" s="1"/>
      <c r="N946" s="1"/>
    </row>
    <row r="947" spans="12:14" x14ac:dyDescent="0.2">
      <c r="L947" s="1"/>
      <c r="M947" s="1"/>
      <c r="N947" s="1"/>
    </row>
    <row r="948" spans="12:14" x14ac:dyDescent="0.2">
      <c r="L948" s="1"/>
      <c r="M948" s="1"/>
      <c r="N948" s="1"/>
    </row>
    <row r="949" spans="12:14" x14ac:dyDescent="0.2">
      <c r="L949" s="1"/>
      <c r="M949" s="1"/>
      <c r="N949" s="1"/>
    </row>
    <row r="950" spans="12:14" x14ac:dyDescent="0.2">
      <c r="L950" s="1"/>
      <c r="M950" s="1"/>
      <c r="N950" s="1"/>
    </row>
    <row r="951" spans="12:14" x14ac:dyDescent="0.2">
      <c r="L951" s="1"/>
      <c r="M951" s="1"/>
      <c r="N951" s="1"/>
    </row>
    <row r="952" spans="12:14" x14ac:dyDescent="0.2">
      <c r="L952" s="1"/>
      <c r="M952" s="1"/>
      <c r="N952" s="1"/>
    </row>
    <row r="953" spans="12:14" x14ac:dyDescent="0.2">
      <c r="L953" s="1"/>
      <c r="M953" s="1"/>
      <c r="N953" s="1"/>
    </row>
    <row r="954" spans="12:14" x14ac:dyDescent="0.2">
      <c r="L954" s="1"/>
      <c r="M954" s="1"/>
      <c r="N954" s="1"/>
    </row>
    <row r="955" spans="12:14" x14ac:dyDescent="0.2">
      <c r="L955" s="1"/>
      <c r="M955" s="1"/>
      <c r="N955" s="1"/>
    </row>
    <row r="956" spans="12:14" x14ac:dyDescent="0.2">
      <c r="L956" s="1"/>
      <c r="M956" s="1"/>
      <c r="N956" s="1"/>
    </row>
    <row r="957" spans="12:14" x14ac:dyDescent="0.2">
      <c r="L957" s="1"/>
      <c r="M957" s="1"/>
      <c r="N957" s="1"/>
    </row>
    <row r="958" spans="12:14" x14ac:dyDescent="0.2">
      <c r="L958" s="1"/>
      <c r="M958" s="1"/>
      <c r="N958" s="1"/>
    </row>
    <row r="959" spans="12:14" x14ac:dyDescent="0.2">
      <c r="L959" s="1"/>
      <c r="M959" s="1"/>
      <c r="N959" s="1"/>
    </row>
    <row r="960" spans="12:14" x14ac:dyDescent="0.2">
      <c r="L960" s="1"/>
      <c r="M960" s="1"/>
      <c r="N960" s="1"/>
    </row>
    <row r="961" spans="12:14" x14ac:dyDescent="0.2">
      <c r="L961" s="1"/>
      <c r="M961" s="1"/>
      <c r="N961" s="1"/>
    </row>
    <row r="962" spans="12:14" x14ac:dyDescent="0.2">
      <c r="L962" s="1"/>
      <c r="M962" s="1"/>
      <c r="N962" s="1"/>
    </row>
    <row r="963" spans="12:14" x14ac:dyDescent="0.2">
      <c r="L963" s="1"/>
      <c r="M963" s="1"/>
      <c r="N963" s="1"/>
    </row>
    <row r="964" spans="12:14" x14ac:dyDescent="0.2">
      <c r="L964" s="1"/>
      <c r="M964" s="1"/>
      <c r="N964" s="1"/>
    </row>
    <row r="965" spans="12:14" x14ac:dyDescent="0.2">
      <c r="L965" s="1"/>
      <c r="M965" s="1"/>
      <c r="N965" s="1"/>
    </row>
    <row r="966" spans="12:14" x14ac:dyDescent="0.2">
      <c r="L966" s="1"/>
      <c r="M966" s="1"/>
      <c r="N966" s="1"/>
    </row>
    <row r="967" spans="12:14" x14ac:dyDescent="0.2">
      <c r="L967" s="1"/>
      <c r="M967" s="1"/>
      <c r="N967" s="1"/>
    </row>
    <row r="968" spans="12:14" x14ac:dyDescent="0.2">
      <c r="L968" s="1"/>
      <c r="M968" s="1"/>
      <c r="N968" s="1"/>
    </row>
    <row r="969" spans="12:14" x14ac:dyDescent="0.2">
      <c r="L969" s="1"/>
      <c r="M969" s="1"/>
      <c r="N969" s="1"/>
    </row>
    <row r="970" spans="12:14" x14ac:dyDescent="0.2">
      <c r="L970" s="1"/>
      <c r="M970" s="1"/>
      <c r="N970" s="1"/>
    </row>
    <row r="971" spans="12:14" x14ac:dyDescent="0.2">
      <c r="L971" s="1"/>
      <c r="M971" s="1"/>
      <c r="N971" s="1"/>
    </row>
    <row r="972" spans="12:14" x14ac:dyDescent="0.2">
      <c r="L972" s="1"/>
      <c r="M972" s="1"/>
      <c r="N972" s="1"/>
    </row>
    <row r="973" spans="12:14" x14ac:dyDescent="0.2">
      <c r="L973" s="1"/>
      <c r="M973" s="1"/>
      <c r="N973" s="1"/>
    </row>
    <row r="974" spans="12:14" x14ac:dyDescent="0.2">
      <c r="L974" s="1"/>
      <c r="M974" s="1"/>
      <c r="N974" s="1"/>
    </row>
    <row r="975" spans="12:14" x14ac:dyDescent="0.2">
      <c r="L975" s="1"/>
      <c r="M975" s="1"/>
      <c r="N975" s="1"/>
    </row>
    <row r="976" spans="12:14" x14ac:dyDescent="0.2">
      <c r="L976" s="1"/>
      <c r="M976" s="1"/>
      <c r="N976" s="1"/>
    </row>
    <row r="977" spans="12:14" x14ac:dyDescent="0.2">
      <c r="L977" s="1"/>
      <c r="M977" s="1"/>
      <c r="N977" s="1"/>
    </row>
    <row r="978" spans="12:14" x14ac:dyDescent="0.2">
      <c r="L978" s="1"/>
      <c r="M978" s="1"/>
      <c r="N978" s="1"/>
    </row>
    <row r="979" spans="12:14" x14ac:dyDescent="0.2">
      <c r="L979" s="1"/>
      <c r="M979" s="1"/>
      <c r="N979" s="1"/>
    </row>
    <row r="980" spans="12:14" x14ac:dyDescent="0.2">
      <c r="L980" s="1"/>
      <c r="M980" s="1"/>
      <c r="N980" s="1"/>
    </row>
    <row r="981" spans="12:14" x14ac:dyDescent="0.2">
      <c r="L981" s="1"/>
      <c r="M981" s="1"/>
      <c r="N981" s="1"/>
    </row>
    <row r="982" spans="12:14" x14ac:dyDescent="0.2">
      <c r="L982" s="1"/>
      <c r="M982" s="1"/>
      <c r="N982" s="1"/>
    </row>
    <row r="983" spans="12:14" x14ac:dyDescent="0.2">
      <c r="L983" s="1"/>
      <c r="M983" s="1"/>
      <c r="N983" s="1"/>
    </row>
    <row r="984" spans="12:14" x14ac:dyDescent="0.2">
      <c r="L984" s="1"/>
      <c r="M984" s="1"/>
      <c r="N984" s="1"/>
    </row>
    <row r="985" spans="12:14" x14ac:dyDescent="0.2">
      <c r="L985" s="1"/>
      <c r="M985" s="1"/>
      <c r="N985" s="1"/>
    </row>
    <row r="986" spans="12:14" x14ac:dyDescent="0.2">
      <c r="L986" s="1"/>
      <c r="M986" s="1"/>
      <c r="N986" s="1"/>
    </row>
    <row r="987" spans="12:14" x14ac:dyDescent="0.2">
      <c r="L987" s="1"/>
      <c r="M987" s="1"/>
      <c r="N987" s="1"/>
    </row>
    <row r="988" spans="12:14" x14ac:dyDescent="0.2">
      <c r="L988" s="1"/>
      <c r="M988" s="1"/>
      <c r="N988" s="1"/>
    </row>
    <row r="989" spans="12:14" x14ac:dyDescent="0.2">
      <c r="L989" s="1"/>
      <c r="M989" s="1"/>
      <c r="N989" s="1"/>
    </row>
    <row r="990" spans="12:14" x14ac:dyDescent="0.2">
      <c r="L990" s="1"/>
      <c r="M990" s="1"/>
      <c r="N990" s="1"/>
    </row>
    <row r="991" spans="12:14" x14ac:dyDescent="0.2">
      <c r="L991" s="1"/>
      <c r="M991" s="1"/>
      <c r="N991" s="1"/>
    </row>
    <row r="992" spans="12:14" x14ac:dyDescent="0.2">
      <c r="L992" s="1"/>
      <c r="M992" s="1"/>
      <c r="N992" s="1"/>
    </row>
    <row r="993" spans="12:14" x14ac:dyDescent="0.2">
      <c r="L993" s="1"/>
      <c r="M993" s="1"/>
      <c r="N993" s="1"/>
    </row>
    <row r="994" spans="12:14" x14ac:dyDescent="0.2">
      <c r="L994" s="1"/>
      <c r="M994" s="1"/>
      <c r="N994" s="1"/>
    </row>
    <row r="995" spans="12:14" x14ac:dyDescent="0.2">
      <c r="L995" s="1"/>
      <c r="M995" s="1"/>
      <c r="N995" s="1"/>
    </row>
    <row r="996" spans="12:14" x14ac:dyDescent="0.2">
      <c r="L996" s="1"/>
      <c r="M996" s="1"/>
      <c r="N996" s="1"/>
    </row>
    <row r="997" spans="12:14" x14ac:dyDescent="0.2">
      <c r="L997" s="1"/>
      <c r="M997" s="1"/>
      <c r="N997" s="1"/>
    </row>
    <row r="998" spans="12:14" x14ac:dyDescent="0.2">
      <c r="L998" s="1"/>
      <c r="M998" s="1"/>
      <c r="N998" s="1"/>
    </row>
    <row r="999" spans="12:14" x14ac:dyDescent="0.2">
      <c r="L999" s="1"/>
      <c r="M999" s="1"/>
      <c r="N999" s="1"/>
    </row>
    <row r="1000" spans="12:14" x14ac:dyDescent="0.2">
      <c r="L1000" s="1"/>
      <c r="M1000" s="1"/>
      <c r="N1000" s="1"/>
    </row>
    <row r="1001" spans="12:14" x14ac:dyDescent="0.2">
      <c r="L1001" s="1"/>
      <c r="M1001" s="1"/>
      <c r="N1001" s="1"/>
    </row>
    <row r="1002" spans="12:14" x14ac:dyDescent="0.2">
      <c r="L1002" s="1"/>
      <c r="M1002" s="1"/>
      <c r="N1002" s="1"/>
    </row>
    <row r="1003" spans="12:14" x14ac:dyDescent="0.2">
      <c r="L1003" s="1"/>
      <c r="M1003" s="1"/>
      <c r="N1003" s="1"/>
    </row>
    <row r="1004" spans="12:14" x14ac:dyDescent="0.2">
      <c r="L1004" s="1"/>
      <c r="M1004" s="1"/>
      <c r="N1004" s="1"/>
    </row>
    <row r="1005" spans="12:14" x14ac:dyDescent="0.2">
      <c r="L1005" s="1"/>
      <c r="M1005" s="1"/>
      <c r="N1005" s="1"/>
    </row>
    <row r="1006" spans="12:14" x14ac:dyDescent="0.2">
      <c r="L1006" s="1"/>
      <c r="M1006" s="1"/>
      <c r="N1006" s="1"/>
    </row>
    <row r="1007" spans="12:14" x14ac:dyDescent="0.2">
      <c r="L1007" s="1"/>
      <c r="M1007" s="1"/>
      <c r="N1007" s="1"/>
    </row>
    <row r="1008" spans="12:14" x14ac:dyDescent="0.2">
      <c r="L1008" s="1"/>
      <c r="M1008" s="1"/>
      <c r="N1008" s="1"/>
    </row>
    <row r="1009" spans="12:14" x14ac:dyDescent="0.2">
      <c r="L1009" s="1"/>
      <c r="M1009" s="1"/>
      <c r="N1009" s="1"/>
    </row>
    <row r="1010" spans="12:14" x14ac:dyDescent="0.2">
      <c r="L1010" s="1"/>
      <c r="M1010" s="1"/>
      <c r="N1010" s="1"/>
    </row>
    <row r="1011" spans="12:14" x14ac:dyDescent="0.2">
      <c r="L1011" s="1"/>
      <c r="M1011" s="1"/>
      <c r="N1011" s="1"/>
    </row>
    <row r="1012" spans="12:14" x14ac:dyDescent="0.2">
      <c r="L1012" s="1"/>
      <c r="M1012" s="1"/>
      <c r="N1012" s="1"/>
    </row>
    <row r="1013" spans="12:14" x14ac:dyDescent="0.2">
      <c r="L1013" s="1"/>
      <c r="M1013" s="1"/>
      <c r="N1013" s="1"/>
    </row>
    <row r="1014" spans="12:14" x14ac:dyDescent="0.2">
      <c r="L1014" s="1"/>
      <c r="M1014" s="1"/>
      <c r="N1014" s="1"/>
    </row>
    <row r="1015" spans="12:14" x14ac:dyDescent="0.2">
      <c r="L1015" s="1"/>
      <c r="M1015" s="1"/>
      <c r="N1015" s="1"/>
    </row>
    <row r="1016" spans="12:14" x14ac:dyDescent="0.2">
      <c r="L1016" s="1"/>
      <c r="M1016" s="1"/>
      <c r="N1016" s="1"/>
    </row>
    <row r="1017" spans="12:14" x14ac:dyDescent="0.2">
      <c r="L1017" s="1"/>
      <c r="M1017" s="1"/>
      <c r="N1017" s="1"/>
    </row>
    <row r="1018" spans="12:14" x14ac:dyDescent="0.2">
      <c r="L1018" s="1"/>
      <c r="M1018" s="1"/>
      <c r="N1018" s="1"/>
    </row>
    <row r="1019" spans="12:14" x14ac:dyDescent="0.2">
      <c r="L1019" s="1"/>
      <c r="M1019" s="1"/>
      <c r="N1019" s="1"/>
    </row>
    <row r="1020" spans="12:14" x14ac:dyDescent="0.2">
      <c r="L1020" s="1"/>
      <c r="M1020" s="1"/>
      <c r="N1020" s="1"/>
    </row>
    <row r="1021" spans="12:14" x14ac:dyDescent="0.2">
      <c r="L1021" s="1"/>
      <c r="M1021" s="1"/>
      <c r="N1021" s="1"/>
    </row>
    <row r="1022" spans="12:14" x14ac:dyDescent="0.2">
      <c r="L1022" s="1"/>
      <c r="M1022" s="1"/>
      <c r="N1022" s="1"/>
    </row>
    <row r="1023" spans="12:14" x14ac:dyDescent="0.2">
      <c r="L1023" s="1"/>
      <c r="M1023" s="1"/>
      <c r="N1023" s="1"/>
    </row>
    <row r="1024" spans="12:14" x14ac:dyDescent="0.2">
      <c r="L1024" s="1"/>
      <c r="M1024" s="1"/>
      <c r="N1024" s="1"/>
    </row>
    <row r="1025" spans="12:14" x14ac:dyDescent="0.2">
      <c r="L1025" s="1"/>
      <c r="M1025" s="1"/>
      <c r="N1025" s="1"/>
    </row>
    <row r="1026" spans="12:14" x14ac:dyDescent="0.2">
      <c r="L1026" s="1"/>
      <c r="M1026" s="1"/>
      <c r="N1026" s="1"/>
    </row>
    <row r="1027" spans="12:14" x14ac:dyDescent="0.2">
      <c r="L1027" s="1"/>
      <c r="M1027" s="1"/>
      <c r="N1027" s="1"/>
    </row>
    <row r="1028" spans="12:14" x14ac:dyDescent="0.2">
      <c r="L1028" s="1"/>
      <c r="M1028" s="1"/>
      <c r="N1028" s="1"/>
    </row>
    <row r="1029" spans="12:14" x14ac:dyDescent="0.2">
      <c r="L1029" s="1"/>
      <c r="M1029" s="1"/>
      <c r="N1029" s="1"/>
    </row>
    <row r="1030" spans="12:14" x14ac:dyDescent="0.2">
      <c r="L1030" s="1"/>
      <c r="M1030" s="1"/>
      <c r="N1030" s="1"/>
    </row>
    <row r="1031" spans="12:14" x14ac:dyDescent="0.2">
      <c r="L1031" s="1"/>
      <c r="M1031" s="1"/>
      <c r="N1031" s="1"/>
    </row>
    <row r="1032" spans="12:14" x14ac:dyDescent="0.2">
      <c r="L1032" s="1"/>
      <c r="M1032" s="1"/>
      <c r="N1032" s="1"/>
    </row>
    <row r="1033" spans="12:14" x14ac:dyDescent="0.2">
      <c r="L1033" s="1"/>
      <c r="M1033" s="1"/>
      <c r="N1033" s="1"/>
    </row>
    <row r="1034" spans="12:14" x14ac:dyDescent="0.2">
      <c r="L1034" s="1"/>
      <c r="M1034" s="1"/>
      <c r="N1034" s="1"/>
    </row>
    <row r="1035" spans="12:14" x14ac:dyDescent="0.2">
      <c r="L1035" s="1"/>
      <c r="M1035" s="1"/>
      <c r="N1035" s="1"/>
    </row>
    <row r="1036" spans="12:14" x14ac:dyDescent="0.2">
      <c r="L1036" s="1"/>
      <c r="M1036" s="1"/>
      <c r="N1036" s="1"/>
    </row>
    <row r="1037" spans="12:14" x14ac:dyDescent="0.2">
      <c r="L1037" s="1"/>
      <c r="M1037" s="1"/>
      <c r="N1037" s="1"/>
    </row>
    <row r="1038" spans="12:14" x14ac:dyDescent="0.2">
      <c r="L1038" s="1"/>
      <c r="M1038" s="1"/>
      <c r="N1038" s="1"/>
    </row>
    <row r="1039" spans="12:14" x14ac:dyDescent="0.2">
      <c r="L1039" s="1"/>
      <c r="M1039" s="1"/>
      <c r="N1039" s="1"/>
    </row>
    <row r="1040" spans="12:14" x14ac:dyDescent="0.2">
      <c r="L1040" s="1"/>
      <c r="M1040" s="1"/>
      <c r="N1040" s="1"/>
    </row>
    <row r="1041" spans="12:14" x14ac:dyDescent="0.2">
      <c r="L1041" s="1"/>
      <c r="M1041" s="1"/>
      <c r="N1041" s="1"/>
    </row>
    <row r="1042" spans="12:14" x14ac:dyDescent="0.2">
      <c r="L1042" s="1"/>
      <c r="M1042" s="1"/>
      <c r="N1042" s="1"/>
    </row>
    <row r="1043" spans="12:14" x14ac:dyDescent="0.2">
      <c r="L1043" s="1"/>
      <c r="M1043" s="1"/>
      <c r="N1043" s="1"/>
    </row>
    <row r="1044" spans="12:14" x14ac:dyDescent="0.2">
      <c r="L1044" s="1"/>
      <c r="M1044" s="1"/>
      <c r="N1044" s="1"/>
    </row>
    <row r="1045" spans="12:14" x14ac:dyDescent="0.2">
      <c r="L1045" s="1"/>
      <c r="M1045" s="1"/>
      <c r="N1045" s="1"/>
    </row>
    <row r="1046" spans="12:14" x14ac:dyDescent="0.2">
      <c r="L1046" s="1"/>
      <c r="M1046" s="1"/>
      <c r="N1046" s="1"/>
    </row>
    <row r="1047" spans="12:14" x14ac:dyDescent="0.2">
      <c r="L1047" s="1"/>
      <c r="M1047" s="1"/>
      <c r="N1047" s="1"/>
    </row>
    <row r="1048" spans="12:14" x14ac:dyDescent="0.2">
      <c r="L1048" s="1"/>
      <c r="M1048" s="1"/>
      <c r="N1048" s="1"/>
    </row>
    <row r="1049" spans="12:14" x14ac:dyDescent="0.2">
      <c r="L1049" s="1"/>
      <c r="M1049" s="1"/>
      <c r="N1049" s="1"/>
    </row>
    <row r="1050" spans="12:14" x14ac:dyDescent="0.2">
      <c r="L1050" s="1"/>
      <c r="M1050" s="1"/>
      <c r="N1050" s="1"/>
    </row>
    <row r="1051" spans="12:14" x14ac:dyDescent="0.2">
      <c r="L1051" s="1"/>
      <c r="M1051" s="1"/>
      <c r="N1051" s="1"/>
    </row>
    <row r="1052" spans="12:14" x14ac:dyDescent="0.2">
      <c r="L1052" s="1"/>
      <c r="M1052" s="1"/>
      <c r="N1052" s="1"/>
    </row>
    <row r="1053" spans="12:14" x14ac:dyDescent="0.2">
      <c r="L1053" s="1"/>
      <c r="M1053" s="1"/>
      <c r="N1053" s="1"/>
    </row>
    <row r="1054" spans="12:14" x14ac:dyDescent="0.2">
      <c r="L1054" s="1"/>
      <c r="M1054" s="1"/>
      <c r="N1054" s="1"/>
    </row>
    <row r="1055" spans="12:14" x14ac:dyDescent="0.2">
      <c r="L1055" s="1"/>
      <c r="M1055" s="1"/>
      <c r="N1055" s="1"/>
    </row>
    <row r="1056" spans="12:14" x14ac:dyDescent="0.2">
      <c r="L1056" s="1"/>
      <c r="M1056" s="1"/>
      <c r="N1056" s="1"/>
    </row>
    <row r="1057" spans="12:14" x14ac:dyDescent="0.2">
      <c r="L1057" s="1"/>
      <c r="M1057" s="1"/>
      <c r="N1057" s="1"/>
    </row>
    <row r="1058" spans="12:14" x14ac:dyDescent="0.2">
      <c r="L1058" s="1"/>
      <c r="M1058" s="1"/>
      <c r="N1058" s="1"/>
    </row>
    <row r="1059" spans="12:14" x14ac:dyDescent="0.2">
      <c r="L1059" s="1"/>
      <c r="M1059" s="1"/>
      <c r="N1059" s="1"/>
    </row>
    <row r="1060" spans="12:14" x14ac:dyDescent="0.2">
      <c r="L1060" s="1"/>
      <c r="M1060" s="1"/>
      <c r="N1060" s="1"/>
    </row>
    <row r="1061" spans="12:14" x14ac:dyDescent="0.2">
      <c r="L1061" s="1"/>
      <c r="M1061" s="1"/>
      <c r="N1061" s="1"/>
    </row>
    <row r="1062" spans="12:14" x14ac:dyDescent="0.2">
      <c r="L1062" s="1"/>
      <c r="M1062" s="1"/>
      <c r="N1062" s="1"/>
    </row>
    <row r="1063" spans="12:14" x14ac:dyDescent="0.2">
      <c r="L1063" s="1"/>
      <c r="M1063" s="1"/>
    </row>
    <row r="1064" spans="12:14" x14ac:dyDescent="0.2">
      <c r="L1064" s="1"/>
      <c r="M1064" s="1"/>
    </row>
    <row r="1065" spans="12:14" x14ac:dyDescent="0.2">
      <c r="L1065" s="1"/>
      <c r="M1065" s="1"/>
    </row>
    <row r="1066" spans="12:14" x14ac:dyDescent="0.2">
      <c r="L1066" s="1"/>
      <c r="M1066" s="1"/>
    </row>
    <row r="1067" spans="12:14" x14ac:dyDescent="0.2">
      <c r="L1067" s="1"/>
      <c r="M1067" s="1"/>
    </row>
    <row r="1068" spans="12:14" x14ac:dyDescent="0.2">
      <c r="L1068" s="1"/>
      <c r="M1068" s="1"/>
    </row>
    <row r="1069" spans="12:14" x14ac:dyDescent="0.2">
      <c r="L1069" s="1"/>
      <c r="M1069" s="1"/>
    </row>
    <row r="1070" spans="12:14" x14ac:dyDescent="0.2">
      <c r="L1070" s="1"/>
      <c r="M1070" s="1"/>
    </row>
    <row r="1071" spans="12:14" x14ac:dyDescent="0.2">
      <c r="L1071" s="1"/>
      <c r="M1071" s="1"/>
    </row>
    <row r="1072" spans="12:14" x14ac:dyDescent="0.2">
      <c r="L1072" s="1"/>
      <c r="M1072" s="1"/>
    </row>
    <row r="1073" spans="12:13" x14ac:dyDescent="0.2">
      <c r="L1073" s="1"/>
      <c r="M1073" s="1"/>
    </row>
    <row r="1074" spans="12:13" x14ac:dyDescent="0.2">
      <c r="L1074" s="1"/>
      <c r="M1074" s="1"/>
    </row>
    <row r="1075" spans="12:13" x14ac:dyDescent="0.2">
      <c r="L1075" s="1"/>
      <c r="M1075" s="1"/>
    </row>
    <row r="1076" spans="12:13" x14ac:dyDescent="0.2">
      <c r="L1076" s="1"/>
      <c r="M1076" s="1"/>
    </row>
    <row r="1077" spans="12:13" x14ac:dyDescent="0.2">
      <c r="L1077" s="1"/>
      <c r="M1077" s="1"/>
    </row>
    <row r="1078" spans="12:13" x14ac:dyDescent="0.2">
      <c r="L1078" s="1"/>
      <c r="M1078" s="1"/>
    </row>
    <row r="1079" spans="12:13" x14ac:dyDescent="0.2">
      <c r="L1079" s="1"/>
      <c r="M1079" s="1"/>
    </row>
    <row r="1080" spans="12:13" x14ac:dyDescent="0.2">
      <c r="L1080" s="1"/>
      <c r="M1080" s="1"/>
    </row>
    <row r="1081" spans="12:13" x14ac:dyDescent="0.2">
      <c r="L1081" s="1"/>
      <c r="M1081" s="1"/>
    </row>
    <row r="1082" spans="12:13" x14ac:dyDescent="0.2">
      <c r="L1082" s="1"/>
      <c r="M1082" s="1"/>
    </row>
    <row r="1083" spans="12:13" x14ac:dyDescent="0.2">
      <c r="L1083" s="1"/>
      <c r="M1083" s="1"/>
    </row>
    <row r="1084" spans="12:13" x14ac:dyDescent="0.2">
      <c r="L1084" s="1"/>
      <c r="M1084" s="1"/>
    </row>
    <row r="1085" spans="12:13" x14ac:dyDescent="0.2">
      <c r="L1085" s="1"/>
      <c r="M1085" s="1"/>
    </row>
    <row r="1086" spans="12:13" x14ac:dyDescent="0.2">
      <c r="L1086" s="1"/>
      <c r="M1086" s="1"/>
    </row>
    <row r="1087" spans="12:13" x14ac:dyDescent="0.2">
      <c r="L1087" s="1"/>
      <c r="M1087" s="1"/>
    </row>
    <row r="1088" spans="12:13" x14ac:dyDescent="0.2">
      <c r="L1088" s="1"/>
      <c r="M1088" s="1"/>
    </row>
    <row r="1089" spans="12:13" x14ac:dyDescent="0.2">
      <c r="L1089" s="1"/>
      <c r="M1089" s="1"/>
    </row>
    <row r="1090" spans="12:13" x14ac:dyDescent="0.2">
      <c r="L1090" s="1"/>
      <c r="M1090" s="1"/>
    </row>
    <row r="1091" spans="12:13" x14ac:dyDescent="0.2">
      <c r="L1091" s="1"/>
      <c r="M1091" s="1"/>
    </row>
    <row r="1092" spans="12:13" x14ac:dyDescent="0.2">
      <c r="L1092" s="1"/>
      <c r="M1092" s="1"/>
    </row>
    <row r="1093" spans="12:13" x14ac:dyDescent="0.2">
      <c r="L1093" s="1"/>
      <c r="M1093" s="1"/>
    </row>
    <row r="1094" spans="12:13" x14ac:dyDescent="0.2">
      <c r="L1094" s="1"/>
      <c r="M1094" s="1"/>
    </row>
    <row r="1095" spans="12:13" x14ac:dyDescent="0.2">
      <c r="L1095" s="1"/>
      <c r="M1095" s="1"/>
    </row>
    <row r="1096" spans="12:13" x14ac:dyDescent="0.2">
      <c r="L1096" s="1"/>
      <c r="M1096" s="1"/>
    </row>
    <row r="1097" spans="12:13" x14ac:dyDescent="0.2">
      <c r="L1097" s="1"/>
      <c r="M1097" s="1"/>
    </row>
    <row r="1098" spans="12:13" x14ac:dyDescent="0.2">
      <c r="L1098" s="1"/>
      <c r="M1098" s="1"/>
    </row>
    <row r="1099" spans="12:13" x14ac:dyDescent="0.2">
      <c r="L1099" s="1"/>
      <c r="M1099" s="1"/>
    </row>
    <row r="1100" spans="12:13" x14ac:dyDescent="0.2">
      <c r="L1100" s="1"/>
      <c r="M1100" s="1"/>
    </row>
    <row r="1101" spans="12:13" x14ac:dyDescent="0.2">
      <c r="L1101" s="1"/>
      <c r="M1101" s="1"/>
    </row>
    <row r="1102" spans="12:13" x14ac:dyDescent="0.2">
      <c r="L1102" s="1"/>
      <c r="M1102" s="1"/>
    </row>
    <row r="1103" spans="12:13" x14ac:dyDescent="0.2">
      <c r="L1103" s="1"/>
      <c r="M1103" s="1"/>
    </row>
    <row r="1104" spans="12:13" x14ac:dyDescent="0.2">
      <c r="L1104" s="1"/>
      <c r="M1104" s="1"/>
    </row>
    <row r="1105" spans="12:13" x14ac:dyDescent="0.2">
      <c r="L1105" s="1"/>
      <c r="M1105" s="1"/>
    </row>
    <row r="1106" spans="12:13" x14ac:dyDescent="0.2">
      <c r="L1106" s="1"/>
      <c r="M1106" s="1"/>
    </row>
    <row r="1107" spans="12:13" x14ac:dyDescent="0.2">
      <c r="L1107" s="1"/>
      <c r="M1107" s="1"/>
    </row>
    <row r="1108" spans="12:13" x14ac:dyDescent="0.2">
      <c r="L1108" s="1"/>
      <c r="M1108" s="1"/>
    </row>
    <row r="1109" spans="12:13" x14ac:dyDescent="0.2">
      <c r="L1109" s="1"/>
      <c r="M1109" s="1"/>
    </row>
    <row r="1110" spans="12:13" x14ac:dyDescent="0.2">
      <c r="L1110" s="1"/>
      <c r="M1110" s="1"/>
    </row>
    <row r="1111" spans="12:13" x14ac:dyDescent="0.2">
      <c r="L1111" s="1"/>
      <c r="M1111" s="1"/>
    </row>
    <row r="1112" spans="12:13" x14ac:dyDescent="0.2">
      <c r="L1112" s="1"/>
      <c r="M1112" s="1"/>
    </row>
    <row r="1113" spans="12:13" x14ac:dyDescent="0.2">
      <c r="L1113" s="1"/>
      <c r="M1113" s="1"/>
    </row>
    <row r="1114" spans="12:13" x14ac:dyDescent="0.2">
      <c r="L1114" s="1"/>
      <c r="M1114" s="1"/>
    </row>
    <row r="1115" spans="12:13" x14ac:dyDescent="0.2">
      <c r="L1115" s="1"/>
      <c r="M1115" s="1"/>
    </row>
    <row r="1116" spans="12:13" x14ac:dyDescent="0.2">
      <c r="L1116" s="1"/>
      <c r="M1116" s="1"/>
    </row>
    <row r="1117" spans="12:13" x14ac:dyDescent="0.2">
      <c r="L1117" s="1"/>
      <c r="M1117" s="1"/>
    </row>
    <row r="1118" spans="12:13" x14ac:dyDescent="0.2">
      <c r="L1118" s="1"/>
      <c r="M1118" s="1"/>
    </row>
    <row r="1119" spans="12:13" x14ac:dyDescent="0.2">
      <c r="L1119" s="1"/>
      <c r="M1119" s="1"/>
    </row>
    <row r="1120" spans="12:13" x14ac:dyDescent="0.2">
      <c r="L1120" s="1"/>
      <c r="M1120" s="1"/>
    </row>
    <row r="1121" spans="12:13" x14ac:dyDescent="0.2">
      <c r="L1121" s="1"/>
      <c r="M1121" s="1"/>
    </row>
    <row r="1122" spans="12:13" x14ac:dyDescent="0.2">
      <c r="L1122" s="1"/>
      <c r="M1122" s="1"/>
    </row>
    <row r="1123" spans="12:13" x14ac:dyDescent="0.2">
      <c r="L1123" s="1"/>
      <c r="M1123" s="1"/>
    </row>
    <row r="1124" spans="12:13" x14ac:dyDescent="0.2">
      <c r="L1124" s="1"/>
      <c r="M1124" s="1"/>
    </row>
    <row r="1125" spans="12:13" x14ac:dyDescent="0.2">
      <c r="L1125" s="1"/>
      <c r="M1125" s="1"/>
    </row>
    <row r="1126" spans="12:13" x14ac:dyDescent="0.2">
      <c r="L1126" s="1"/>
      <c r="M1126" s="1"/>
    </row>
    <row r="1127" spans="12:13" x14ac:dyDescent="0.2">
      <c r="L1127" s="1"/>
      <c r="M1127" s="1"/>
    </row>
    <row r="1128" spans="12:13" x14ac:dyDescent="0.2">
      <c r="L1128" s="1"/>
      <c r="M1128" s="1"/>
    </row>
    <row r="1129" spans="12:13" x14ac:dyDescent="0.2">
      <c r="L1129" s="1"/>
      <c r="M1129" s="1"/>
    </row>
    <row r="1130" spans="12:13" x14ac:dyDescent="0.2">
      <c r="L1130" s="1"/>
      <c r="M1130" s="1"/>
    </row>
    <row r="1131" spans="12:13" x14ac:dyDescent="0.2">
      <c r="L1131" s="1"/>
      <c r="M1131" s="1"/>
    </row>
    <row r="1132" spans="12:13" x14ac:dyDescent="0.2">
      <c r="L1132" s="1"/>
      <c r="M1132" s="1"/>
    </row>
    <row r="1133" spans="12:13" x14ac:dyDescent="0.2">
      <c r="L1133" s="1"/>
      <c r="M1133" s="1"/>
    </row>
    <row r="1134" spans="12:13" x14ac:dyDescent="0.2">
      <c r="L1134" s="1"/>
      <c r="M1134" s="1"/>
    </row>
    <row r="1135" spans="12:13" x14ac:dyDescent="0.2">
      <c r="L1135" s="1"/>
      <c r="M1135" s="1"/>
    </row>
    <row r="1136" spans="12:13" x14ac:dyDescent="0.2">
      <c r="L1136" s="1"/>
      <c r="M1136" s="1"/>
    </row>
    <row r="1137" spans="12:13" x14ac:dyDescent="0.2">
      <c r="L1137" s="1"/>
      <c r="M1137" s="1"/>
    </row>
    <row r="1138" spans="12:13" x14ac:dyDescent="0.2">
      <c r="L1138" s="1"/>
      <c r="M1138" s="1"/>
    </row>
    <row r="1139" spans="12:13" x14ac:dyDescent="0.2">
      <c r="L1139" s="1"/>
      <c r="M1139" s="1"/>
    </row>
    <row r="1140" spans="12:13" x14ac:dyDescent="0.2">
      <c r="L1140" s="1"/>
      <c r="M1140" s="1"/>
    </row>
    <row r="1141" spans="12:13" x14ac:dyDescent="0.2">
      <c r="L1141" s="1"/>
      <c r="M1141" s="1"/>
    </row>
    <row r="1142" spans="12:13" x14ac:dyDescent="0.2">
      <c r="L1142" s="1"/>
      <c r="M1142" s="1"/>
    </row>
    <row r="1143" spans="12:13" x14ac:dyDescent="0.2">
      <c r="L1143" s="1"/>
      <c r="M1143" s="1"/>
    </row>
    <row r="1144" spans="12:13" x14ac:dyDescent="0.2">
      <c r="L1144" s="1"/>
      <c r="M1144" s="1"/>
    </row>
    <row r="1145" spans="12:13" x14ac:dyDescent="0.2">
      <c r="L1145" s="1"/>
      <c r="M1145" s="1"/>
    </row>
    <row r="1146" spans="12:13" x14ac:dyDescent="0.2">
      <c r="L1146" s="1"/>
      <c r="M1146" s="1"/>
    </row>
    <row r="1147" spans="12:13" x14ac:dyDescent="0.2">
      <c r="L1147" s="1"/>
      <c r="M1147" s="1"/>
    </row>
    <row r="1148" spans="12:13" x14ac:dyDescent="0.2">
      <c r="L1148" s="1"/>
      <c r="M1148" s="1"/>
    </row>
    <row r="1149" spans="12:13" x14ac:dyDescent="0.2">
      <c r="L1149" s="1"/>
      <c r="M1149" s="1"/>
    </row>
    <row r="1150" spans="12:13" x14ac:dyDescent="0.2">
      <c r="L1150" s="1"/>
      <c r="M1150" s="1"/>
    </row>
    <row r="1151" spans="12:13" x14ac:dyDescent="0.2">
      <c r="L1151" s="1"/>
      <c r="M1151" s="1"/>
    </row>
    <row r="1152" spans="12:13" x14ac:dyDescent="0.2">
      <c r="L1152" s="1"/>
      <c r="M1152" s="1"/>
    </row>
    <row r="1153" spans="12:13" x14ac:dyDescent="0.2">
      <c r="L1153" s="1"/>
      <c r="M1153" s="1"/>
    </row>
    <row r="1154" spans="12:13" x14ac:dyDescent="0.2">
      <c r="L1154" s="1"/>
      <c r="M1154" s="1"/>
    </row>
    <row r="1155" spans="12:13" x14ac:dyDescent="0.2">
      <c r="L1155" s="1"/>
      <c r="M1155" s="1"/>
    </row>
    <row r="1156" spans="12:13" x14ac:dyDescent="0.2">
      <c r="L1156" s="1"/>
      <c r="M1156" s="1"/>
    </row>
    <row r="1157" spans="12:13" x14ac:dyDescent="0.2">
      <c r="L1157" s="1"/>
      <c r="M1157" s="1"/>
    </row>
    <row r="1158" spans="12:13" x14ac:dyDescent="0.2">
      <c r="L1158" s="1"/>
      <c r="M1158" s="1"/>
    </row>
    <row r="1159" spans="12:13" x14ac:dyDescent="0.2">
      <c r="L1159" s="1"/>
      <c r="M1159" s="1"/>
    </row>
    <row r="1160" spans="12:13" x14ac:dyDescent="0.2">
      <c r="L1160" s="1"/>
      <c r="M1160" s="1"/>
    </row>
    <row r="1161" spans="12:13" x14ac:dyDescent="0.2">
      <c r="L1161" s="1"/>
      <c r="M1161" s="1"/>
    </row>
    <row r="1162" spans="12:13" x14ac:dyDescent="0.2">
      <c r="L1162" s="1"/>
      <c r="M1162" s="1"/>
    </row>
    <row r="1163" spans="12:13" x14ac:dyDescent="0.2">
      <c r="L1163" s="1"/>
      <c r="M1163" s="1"/>
    </row>
    <row r="1164" spans="12:13" x14ac:dyDescent="0.2">
      <c r="L1164" s="1"/>
      <c r="M1164" s="1"/>
    </row>
    <row r="1165" spans="12:13" x14ac:dyDescent="0.2">
      <c r="L1165" s="1"/>
      <c r="M1165" s="1"/>
    </row>
    <row r="1166" spans="12:13" x14ac:dyDescent="0.2">
      <c r="L1166" s="1"/>
      <c r="M1166" s="1"/>
    </row>
    <row r="1167" spans="12:13" x14ac:dyDescent="0.2">
      <c r="L1167" s="1"/>
      <c r="M1167" s="1"/>
    </row>
    <row r="1168" spans="12:13" x14ac:dyDescent="0.2">
      <c r="L1168" s="1"/>
      <c r="M1168" s="1"/>
    </row>
    <row r="1169" spans="12:13" x14ac:dyDescent="0.2">
      <c r="L1169" s="1"/>
      <c r="M1169" s="1"/>
    </row>
    <row r="1170" spans="12:13" x14ac:dyDescent="0.2">
      <c r="L1170" s="1"/>
      <c r="M1170" s="1"/>
    </row>
    <row r="1171" spans="12:13" x14ac:dyDescent="0.2">
      <c r="L1171" s="1"/>
      <c r="M1171" s="1"/>
    </row>
    <row r="1172" spans="12:13" x14ac:dyDescent="0.2">
      <c r="L1172" s="1"/>
      <c r="M1172" s="1"/>
    </row>
    <row r="1173" spans="12:13" x14ac:dyDescent="0.2">
      <c r="L1173" s="1"/>
      <c r="M1173" s="1"/>
    </row>
    <row r="1174" spans="12:13" x14ac:dyDescent="0.2">
      <c r="L1174" s="1"/>
      <c r="M1174" s="1"/>
    </row>
    <row r="1175" spans="12:13" x14ac:dyDescent="0.2">
      <c r="L1175" s="1"/>
      <c r="M1175" s="1"/>
    </row>
    <row r="1176" spans="12:13" x14ac:dyDescent="0.2">
      <c r="L1176" s="1"/>
      <c r="M1176" s="1"/>
    </row>
    <row r="1177" spans="12:13" x14ac:dyDescent="0.2">
      <c r="L1177" s="1"/>
      <c r="M1177" s="1"/>
    </row>
    <row r="1178" spans="12:13" x14ac:dyDescent="0.2">
      <c r="L1178" s="1"/>
      <c r="M1178" s="1"/>
    </row>
    <row r="1179" spans="12:13" x14ac:dyDescent="0.2">
      <c r="L1179" s="1"/>
      <c r="M1179" s="1"/>
    </row>
    <row r="1180" spans="12:13" x14ac:dyDescent="0.2">
      <c r="L1180" s="1"/>
      <c r="M1180" s="1"/>
    </row>
    <row r="1181" spans="12:13" x14ac:dyDescent="0.2">
      <c r="L1181" s="1"/>
      <c r="M1181" s="1"/>
    </row>
    <row r="1182" spans="12:13" x14ac:dyDescent="0.2">
      <c r="L1182" s="1"/>
      <c r="M1182" s="1"/>
    </row>
    <row r="1183" spans="12:13" x14ac:dyDescent="0.2">
      <c r="L1183" s="1"/>
      <c r="M1183" s="1"/>
    </row>
    <row r="1184" spans="12:13" x14ac:dyDescent="0.2">
      <c r="L1184" s="1"/>
      <c r="M1184" s="1"/>
    </row>
    <row r="1185" spans="12:13" x14ac:dyDescent="0.2">
      <c r="L1185" s="1"/>
      <c r="M1185" s="1"/>
    </row>
    <row r="1186" spans="12:13" x14ac:dyDescent="0.2">
      <c r="L1186" s="1"/>
      <c r="M1186" s="1"/>
    </row>
    <row r="1187" spans="12:13" x14ac:dyDescent="0.2">
      <c r="L1187" s="1"/>
      <c r="M1187" s="1"/>
    </row>
    <row r="1188" spans="12:13" x14ac:dyDescent="0.2">
      <c r="L1188" s="1"/>
      <c r="M1188" s="1"/>
    </row>
    <row r="1189" spans="12:13" x14ac:dyDescent="0.2">
      <c r="L1189" s="1"/>
      <c r="M1189" s="1"/>
    </row>
    <row r="1190" spans="12:13" x14ac:dyDescent="0.2">
      <c r="L1190" s="1"/>
      <c r="M1190" s="1"/>
    </row>
    <row r="1191" spans="12:13" x14ac:dyDescent="0.2">
      <c r="L1191" s="1"/>
      <c r="M1191" s="1"/>
    </row>
    <row r="1192" spans="12:13" x14ac:dyDescent="0.2">
      <c r="L1192" s="1"/>
      <c r="M1192" s="1"/>
    </row>
    <row r="1193" spans="12:13" x14ac:dyDescent="0.2">
      <c r="L1193" s="1"/>
      <c r="M1193" s="1"/>
    </row>
    <row r="1194" spans="12:13" x14ac:dyDescent="0.2">
      <c r="L1194" s="1"/>
      <c r="M1194" s="1"/>
    </row>
    <row r="1195" spans="12:13" x14ac:dyDescent="0.2">
      <c r="L1195" s="1"/>
      <c r="M1195" s="1"/>
    </row>
    <row r="1196" spans="12:13" x14ac:dyDescent="0.2">
      <c r="L1196" s="1"/>
      <c r="M1196" s="1"/>
    </row>
    <row r="1197" spans="12:13" x14ac:dyDescent="0.2">
      <c r="L1197" s="1"/>
      <c r="M1197" s="1"/>
    </row>
    <row r="1198" spans="12:13" x14ac:dyDescent="0.2">
      <c r="L1198" s="1"/>
      <c r="M1198" s="1"/>
    </row>
    <row r="1199" spans="12:13" x14ac:dyDescent="0.2">
      <c r="L1199" s="1"/>
      <c r="M1199" s="1"/>
    </row>
    <row r="1200" spans="12:13" x14ac:dyDescent="0.2">
      <c r="L1200" s="1"/>
      <c r="M1200" s="1"/>
    </row>
    <row r="1201" spans="12:13" x14ac:dyDescent="0.2">
      <c r="L1201" s="1"/>
      <c r="M1201" s="1"/>
    </row>
    <row r="1202" spans="12:13" x14ac:dyDescent="0.2">
      <c r="L1202" s="1"/>
      <c r="M1202" s="1"/>
    </row>
    <row r="1203" spans="12:13" x14ac:dyDescent="0.2">
      <c r="L1203" s="1"/>
      <c r="M1203" s="1"/>
    </row>
    <row r="1204" spans="12:13" x14ac:dyDescent="0.2">
      <c r="L1204" s="1"/>
      <c r="M1204" s="1"/>
    </row>
    <row r="1205" spans="12:13" x14ac:dyDescent="0.2">
      <c r="L1205" s="1"/>
      <c r="M1205" s="1"/>
    </row>
    <row r="1206" spans="12:13" x14ac:dyDescent="0.2">
      <c r="L1206" s="1"/>
      <c r="M1206" s="1"/>
    </row>
    <row r="1207" spans="12:13" x14ac:dyDescent="0.2">
      <c r="L1207" s="1"/>
      <c r="M1207" s="1"/>
    </row>
    <row r="1208" spans="12:13" x14ac:dyDescent="0.2">
      <c r="L1208" s="1"/>
      <c r="M1208" s="1"/>
    </row>
    <row r="1209" spans="12:13" x14ac:dyDescent="0.2">
      <c r="L1209" s="1"/>
      <c r="M1209" s="1"/>
    </row>
    <row r="1210" spans="12:13" x14ac:dyDescent="0.2">
      <c r="L1210" s="1"/>
      <c r="M1210" s="1"/>
    </row>
    <row r="1211" spans="12:13" x14ac:dyDescent="0.2">
      <c r="L1211" s="1"/>
      <c r="M1211" s="1"/>
    </row>
    <row r="1212" spans="12:13" x14ac:dyDescent="0.2">
      <c r="L1212" s="1"/>
      <c r="M1212" s="1"/>
    </row>
    <row r="1213" spans="12:13" x14ac:dyDescent="0.2">
      <c r="L1213" s="1"/>
      <c r="M1213" s="1"/>
    </row>
    <row r="1214" spans="12:13" x14ac:dyDescent="0.2">
      <c r="L1214" s="1"/>
      <c r="M1214" s="1"/>
    </row>
    <row r="1215" spans="12:13" x14ac:dyDescent="0.2">
      <c r="L1215" s="1"/>
      <c r="M1215" s="1"/>
    </row>
    <row r="1216" spans="12:13" x14ac:dyDescent="0.2">
      <c r="L1216" s="1"/>
      <c r="M1216" s="1"/>
    </row>
    <row r="1217" spans="12:13" x14ac:dyDescent="0.2">
      <c r="L1217" s="1"/>
      <c r="M1217" s="1"/>
    </row>
    <row r="1218" spans="12:13" x14ac:dyDescent="0.2">
      <c r="L1218" s="1"/>
      <c r="M1218" s="1"/>
    </row>
    <row r="1219" spans="12:13" x14ac:dyDescent="0.2">
      <c r="L1219" s="1"/>
      <c r="M1219" s="1"/>
    </row>
    <row r="1220" spans="12:13" x14ac:dyDescent="0.2">
      <c r="L1220" s="1"/>
      <c r="M1220" s="1"/>
    </row>
    <row r="1221" spans="12:13" x14ac:dyDescent="0.2">
      <c r="L1221" s="1"/>
      <c r="M1221" s="1"/>
    </row>
    <row r="1222" spans="12:13" x14ac:dyDescent="0.2">
      <c r="L1222" s="1"/>
      <c r="M1222" s="1"/>
    </row>
    <row r="1223" spans="12:13" x14ac:dyDescent="0.2">
      <c r="L1223" s="1"/>
      <c r="M1223" s="1"/>
    </row>
    <row r="1224" spans="12:13" x14ac:dyDescent="0.2">
      <c r="L1224" s="1"/>
      <c r="M1224" s="1"/>
    </row>
    <row r="1225" spans="12:13" x14ac:dyDescent="0.2">
      <c r="L1225" s="1"/>
      <c r="M1225" s="1"/>
    </row>
    <row r="1226" spans="12:13" x14ac:dyDescent="0.2">
      <c r="L1226" s="1"/>
      <c r="M1226" s="1"/>
    </row>
    <row r="1227" spans="12:13" x14ac:dyDescent="0.2">
      <c r="L1227" s="1"/>
      <c r="M1227" s="1"/>
    </row>
    <row r="1228" spans="12:13" x14ac:dyDescent="0.2">
      <c r="L1228" s="1"/>
      <c r="M1228" s="1"/>
    </row>
    <row r="1229" spans="12:13" x14ac:dyDescent="0.2">
      <c r="L1229" s="1"/>
      <c r="M1229" s="1"/>
    </row>
    <row r="1230" spans="12:13" x14ac:dyDescent="0.2">
      <c r="L1230" s="1"/>
      <c r="M1230" s="1"/>
    </row>
    <row r="1231" spans="12:13" x14ac:dyDescent="0.2">
      <c r="L1231" s="1"/>
      <c r="M1231" s="1"/>
    </row>
    <row r="1232" spans="12:13" x14ac:dyDescent="0.2">
      <c r="L1232" s="1"/>
      <c r="M1232" s="1"/>
    </row>
    <row r="1233" spans="12:13" x14ac:dyDescent="0.2">
      <c r="L1233" s="1"/>
      <c r="M1233" s="1"/>
    </row>
    <row r="1234" spans="12:13" x14ac:dyDescent="0.2">
      <c r="L1234" s="1"/>
      <c r="M1234" s="1"/>
    </row>
    <row r="1235" spans="12:13" x14ac:dyDescent="0.2">
      <c r="L1235" s="1"/>
      <c r="M1235" s="1"/>
    </row>
    <row r="1236" spans="12:13" x14ac:dyDescent="0.2">
      <c r="L1236" s="1"/>
      <c r="M1236" s="1"/>
    </row>
    <row r="1237" spans="12:13" x14ac:dyDescent="0.2">
      <c r="L1237" s="1"/>
      <c r="M1237" s="1"/>
    </row>
    <row r="1238" spans="12:13" x14ac:dyDescent="0.2">
      <c r="L1238" s="1"/>
      <c r="M1238" s="1"/>
    </row>
    <row r="1239" spans="12:13" x14ac:dyDescent="0.2">
      <c r="L1239" s="1"/>
      <c r="M1239" s="1"/>
    </row>
    <row r="1240" spans="12:13" x14ac:dyDescent="0.2">
      <c r="L1240" s="1"/>
      <c r="M1240" s="1"/>
    </row>
    <row r="1241" spans="12:13" x14ac:dyDescent="0.2">
      <c r="L1241" s="1"/>
      <c r="M1241" s="1"/>
    </row>
    <row r="1242" spans="12:13" x14ac:dyDescent="0.2">
      <c r="L1242" s="1"/>
      <c r="M1242" s="1"/>
    </row>
    <row r="1243" spans="12:13" x14ac:dyDescent="0.2">
      <c r="L1243" s="1"/>
      <c r="M1243" s="1"/>
    </row>
    <row r="1244" spans="12:13" x14ac:dyDescent="0.2">
      <c r="L1244" s="1"/>
      <c r="M1244" s="1"/>
    </row>
    <row r="1245" spans="12:13" x14ac:dyDescent="0.2">
      <c r="L1245" s="1"/>
      <c r="M1245" s="1"/>
    </row>
    <row r="1246" spans="12:13" x14ac:dyDescent="0.2">
      <c r="L1246" s="1"/>
      <c r="M1246" s="1"/>
    </row>
    <row r="1247" spans="12:13" x14ac:dyDescent="0.2">
      <c r="L1247" s="1"/>
      <c r="M1247" s="1"/>
    </row>
    <row r="1248" spans="12:13" x14ac:dyDescent="0.2">
      <c r="L1248" s="1"/>
      <c r="M1248" s="1"/>
    </row>
    <row r="1249" spans="12:13" x14ac:dyDescent="0.2">
      <c r="L1249" s="1"/>
      <c r="M1249" s="1"/>
    </row>
    <row r="1250" spans="12:13" x14ac:dyDescent="0.2">
      <c r="L1250" s="1"/>
      <c r="M1250" s="1"/>
    </row>
    <row r="1251" spans="12:13" x14ac:dyDescent="0.2">
      <c r="L1251" s="1"/>
      <c r="M1251" s="1"/>
    </row>
    <row r="1252" spans="12:13" x14ac:dyDescent="0.2">
      <c r="L1252" s="1"/>
      <c r="M1252" s="1"/>
    </row>
    <row r="1253" spans="12:13" x14ac:dyDescent="0.2">
      <c r="L1253" s="1"/>
      <c r="M1253" s="1"/>
    </row>
    <row r="1254" spans="12:13" x14ac:dyDescent="0.2">
      <c r="L1254" s="1"/>
      <c r="M1254" s="1"/>
    </row>
    <row r="1255" spans="12:13" x14ac:dyDescent="0.2">
      <c r="L1255" s="1"/>
      <c r="M1255" s="1"/>
    </row>
    <row r="1256" spans="12:13" x14ac:dyDescent="0.2">
      <c r="L1256" s="1"/>
      <c r="M1256" s="1"/>
    </row>
    <row r="1257" spans="12:13" x14ac:dyDescent="0.2">
      <c r="L1257" s="1"/>
      <c r="M1257" s="1"/>
    </row>
    <row r="1258" spans="12:13" x14ac:dyDescent="0.2">
      <c r="L1258" s="1"/>
      <c r="M1258" s="1"/>
    </row>
    <row r="1259" spans="12:13" x14ac:dyDescent="0.2">
      <c r="L1259" s="1"/>
      <c r="M1259" s="1"/>
    </row>
    <row r="1260" spans="12:13" x14ac:dyDescent="0.2">
      <c r="L1260" s="1"/>
      <c r="M1260" s="1"/>
    </row>
    <row r="1261" spans="12:13" x14ac:dyDescent="0.2">
      <c r="L1261" s="1"/>
      <c r="M1261" s="1"/>
    </row>
    <row r="1262" spans="12:13" x14ac:dyDescent="0.2">
      <c r="L1262" s="1"/>
      <c r="M1262" s="1"/>
    </row>
    <row r="1263" spans="12:13" x14ac:dyDescent="0.2">
      <c r="L1263" s="1"/>
      <c r="M1263" s="1"/>
    </row>
    <row r="1264" spans="12:13" x14ac:dyDescent="0.2">
      <c r="L1264" s="1"/>
      <c r="M1264" s="1"/>
    </row>
    <row r="1265" spans="12:13" x14ac:dyDescent="0.2">
      <c r="L1265" s="1"/>
      <c r="M1265" s="1"/>
    </row>
    <row r="1266" spans="12:13" x14ac:dyDescent="0.2">
      <c r="L1266" s="1"/>
      <c r="M1266" s="1"/>
    </row>
    <row r="1267" spans="12:13" x14ac:dyDescent="0.2">
      <c r="L1267" s="1"/>
      <c r="M1267" s="1"/>
    </row>
    <row r="1268" spans="12:13" x14ac:dyDescent="0.2">
      <c r="L1268" s="1"/>
      <c r="M1268" s="1"/>
    </row>
    <row r="1269" spans="12:13" x14ac:dyDescent="0.2">
      <c r="L1269" s="1"/>
      <c r="M1269" s="1"/>
    </row>
    <row r="1270" spans="12:13" x14ac:dyDescent="0.2">
      <c r="L1270" s="1"/>
      <c r="M1270" s="1"/>
    </row>
    <row r="1271" spans="12:13" x14ac:dyDescent="0.2">
      <c r="L1271" s="1"/>
      <c r="M1271" s="1"/>
    </row>
    <row r="1272" spans="12:13" x14ac:dyDescent="0.2">
      <c r="L1272" s="1"/>
      <c r="M1272" s="1"/>
    </row>
    <row r="1273" spans="12:13" x14ac:dyDescent="0.2">
      <c r="L1273" s="1"/>
      <c r="M1273" s="1"/>
    </row>
    <row r="1274" spans="12:13" x14ac:dyDescent="0.2">
      <c r="L1274" s="1"/>
      <c r="M1274" s="1"/>
    </row>
    <row r="1275" spans="12:13" x14ac:dyDescent="0.2">
      <c r="L1275" s="1"/>
      <c r="M1275" s="1"/>
    </row>
    <row r="1276" spans="12:13" x14ac:dyDescent="0.2">
      <c r="L1276" s="1"/>
      <c r="M1276" s="1"/>
    </row>
    <row r="1277" spans="12:13" x14ac:dyDescent="0.2">
      <c r="L1277" s="1"/>
      <c r="M1277" s="1"/>
    </row>
    <row r="1278" spans="12:13" x14ac:dyDescent="0.2">
      <c r="L1278" s="1"/>
      <c r="M1278" s="1"/>
    </row>
    <row r="1279" spans="12:13" x14ac:dyDescent="0.2">
      <c r="L1279" s="1"/>
      <c r="M1279" s="1"/>
    </row>
    <row r="1280" spans="12:13" x14ac:dyDescent="0.2">
      <c r="L1280" s="1"/>
      <c r="M1280" s="1"/>
    </row>
    <row r="1281" spans="12:13" x14ac:dyDescent="0.2">
      <c r="L1281" s="1"/>
      <c r="M1281" s="1"/>
    </row>
    <row r="1282" spans="12:13" x14ac:dyDescent="0.2">
      <c r="L1282" s="1"/>
      <c r="M1282" s="1"/>
    </row>
    <row r="1283" spans="12:13" x14ac:dyDescent="0.2">
      <c r="L1283" s="1"/>
      <c r="M1283" s="1"/>
    </row>
    <row r="1284" spans="12:13" x14ac:dyDescent="0.2">
      <c r="L1284" s="1"/>
      <c r="M1284" s="1"/>
    </row>
    <row r="1285" spans="12:13" x14ac:dyDescent="0.2">
      <c r="L1285" s="1"/>
      <c r="M1285" s="1"/>
    </row>
    <row r="1286" spans="12:13" x14ac:dyDescent="0.2">
      <c r="L1286" s="1"/>
      <c r="M1286" s="1"/>
    </row>
    <row r="1287" spans="12:13" x14ac:dyDescent="0.2">
      <c r="L1287" s="1"/>
      <c r="M1287" s="1"/>
    </row>
    <row r="1288" spans="12:13" x14ac:dyDescent="0.2">
      <c r="L1288" s="1"/>
      <c r="M1288" s="1"/>
    </row>
    <row r="1289" spans="12:13" x14ac:dyDescent="0.2">
      <c r="L1289" s="1"/>
      <c r="M1289" s="1"/>
    </row>
    <row r="1290" spans="12:13" x14ac:dyDescent="0.2">
      <c r="L1290" s="1"/>
      <c r="M1290" s="1"/>
    </row>
    <row r="1291" spans="12:13" x14ac:dyDescent="0.2">
      <c r="L1291" s="1"/>
      <c r="M1291" s="1"/>
    </row>
    <row r="1292" spans="12:13" x14ac:dyDescent="0.2">
      <c r="L1292" s="1"/>
      <c r="M1292" s="1"/>
    </row>
    <row r="1293" spans="12:13" x14ac:dyDescent="0.2">
      <c r="L1293" s="1"/>
      <c r="M1293" s="1"/>
    </row>
    <row r="1294" spans="12:13" x14ac:dyDescent="0.2">
      <c r="L1294" s="1"/>
      <c r="M1294" s="1"/>
    </row>
    <row r="1295" spans="12:13" x14ac:dyDescent="0.2">
      <c r="L1295" s="1"/>
      <c r="M1295" s="1"/>
    </row>
    <row r="1296" spans="12:13" x14ac:dyDescent="0.2">
      <c r="L1296" s="1"/>
      <c r="M1296" s="1"/>
    </row>
    <row r="1297" spans="12:13" x14ac:dyDescent="0.2">
      <c r="L1297" s="1"/>
      <c r="M1297" s="1"/>
    </row>
    <row r="1298" spans="12:13" x14ac:dyDescent="0.2">
      <c r="L1298" s="1"/>
      <c r="M1298" s="1"/>
    </row>
    <row r="1299" spans="12:13" x14ac:dyDescent="0.2">
      <c r="L1299" s="1"/>
      <c r="M1299" s="1"/>
    </row>
    <row r="1300" spans="12:13" x14ac:dyDescent="0.2">
      <c r="L1300" s="1"/>
      <c r="M1300" s="1"/>
    </row>
    <row r="1301" spans="12:13" x14ac:dyDescent="0.2">
      <c r="L1301" s="1"/>
      <c r="M1301" s="1"/>
    </row>
    <row r="1302" spans="12:13" x14ac:dyDescent="0.2">
      <c r="L1302" s="1"/>
      <c r="M1302" s="1"/>
    </row>
    <row r="1303" spans="12:13" x14ac:dyDescent="0.2">
      <c r="L1303" s="1"/>
      <c r="M1303" s="1"/>
    </row>
    <row r="1304" spans="12:13" x14ac:dyDescent="0.2">
      <c r="L1304" s="1"/>
      <c r="M1304" s="1"/>
    </row>
    <row r="1305" spans="12:13" x14ac:dyDescent="0.2">
      <c r="L1305" s="1"/>
      <c r="M1305" s="1"/>
    </row>
    <row r="1306" spans="12:13" x14ac:dyDescent="0.2">
      <c r="L1306" s="1"/>
      <c r="M1306" s="1"/>
    </row>
    <row r="1307" spans="12:13" x14ac:dyDescent="0.2">
      <c r="L1307" s="1"/>
      <c r="M1307" s="1"/>
    </row>
    <row r="1308" spans="12:13" x14ac:dyDescent="0.2">
      <c r="L1308" s="1"/>
      <c r="M1308" s="1"/>
    </row>
    <row r="1309" spans="12:13" x14ac:dyDescent="0.2">
      <c r="L1309" s="1"/>
      <c r="M1309" s="1"/>
    </row>
    <row r="1310" spans="12:13" x14ac:dyDescent="0.2">
      <c r="L1310" s="1"/>
      <c r="M1310" s="1"/>
    </row>
    <row r="1311" spans="12:13" x14ac:dyDescent="0.2">
      <c r="L1311" s="1"/>
      <c r="M1311" s="1"/>
    </row>
    <row r="1312" spans="12:13" x14ac:dyDescent="0.2">
      <c r="L1312" s="1"/>
      <c r="M1312" s="1"/>
    </row>
    <row r="1313" spans="12:13" x14ac:dyDescent="0.2">
      <c r="L1313" s="1"/>
      <c r="M1313" s="1"/>
    </row>
    <row r="1314" spans="12:13" x14ac:dyDescent="0.2">
      <c r="L1314" s="1"/>
      <c r="M1314" s="1"/>
    </row>
    <row r="1315" spans="12:13" x14ac:dyDescent="0.2">
      <c r="L1315" s="1"/>
      <c r="M1315" s="1"/>
    </row>
    <row r="1316" spans="12:13" x14ac:dyDescent="0.2">
      <c r="L1316" s="1"/>
      <c r="M1316" s="1"/>
    </row>
    <row r="1317" spans="12:13" x14ac:dyDescent="0.2">
      <c r="L1317" s="1"/>
      <c r="M1317" s="1"/>
    </row>
    <row r="1318" spans="12:13" x14ac:dyDescent="0.2">
      <c r="L1318" s="1"/>
      <c r="M1318" s="1"/>
    </row>
    <row r="1319" spans="12:13" x14ac:dyDescent="0.2">
      <c r="L1319" s="1"/>
      <c r="M1319" s="1"/>
    </row>
    <row r="1320" spans="12:13" x14ac:dyDescent="0.2">
      <c r="L1320" s="1"/>
      <c r="M1320" s="1"/>
    </row>
    <row r="1321" spans="12:13" x14ac:dyDescent="0.2">
      <c r="L1321" s="1"/>
      <c r="M1321" s="1"/>
    </row>
    <row r="1322" spans="12:13" x14ac:dyDescent="0.2">
      <c r="L1322" s="1"/>
      <c r="M1322" s="1"/>
    </row>
    <row r="1323" spans="12:13" x14ac:dyDescent="0.2">
      <c r="L1323" s="1"/>
      <c r="M1323" s="1"/>
    </row>
    <row r="1324" spans="12:13" x14ac:dyDescent="0.2">
      <c r="L1324" s="1"/>
      <c r="M1324" s="1"/>
    </row>
    <row r="1325" spans="12:13" x14ac:dyDescent="0.2">
      <c r="L1325" s="1"/>
      <c r="M1325" s="1"/>
    </row>
    <row r="1326" spans="12:13" x14ac:dyDescent="0.2">
      <c r="L1326" s="1"/>
      <c r="M1326" s="1"/>
    </row>
    <row r="1327" spans="12:13" x14ac:dyDescent="0.2">
      <c r="L1327" s="1"/>
      <c r="M1327" s="1"/>
    </row>
    <row r="1328" spans="12:13" x14ac:dyDescent="0.2">
      <c r="L1328" s="1"/>
      <c r="M1328" s="1"/>
    </row>
    <row r="1329" spans="12:13" x14ac:dyDescent="0.2">
      <c r="L1329" s="1"/>
      <c r="M1329" s="1"/>
    </row>
    <row r="1330" spans="12:13" x14ac:dyDescent="0.2">
      <c r="L1330" s="1"/>
      <c r="M1330" s="1"/>
    </row>
    <row r="1331" spans="12:13" x14ac:dyDescent="0.2">
      <c r="L1331" s="1"/>
      <c r="M1331" s="1"/>
    </row>
    <row r="1332" spans="12:13" x14ac:dyDescent="0.2">
      <c r="L1332" s="1"/>
      <c r="M1332" s="1"/>
    </row>
    <row r="1333" spans="12:13" x14ac:dyDescent="0.2">
      <c r="L1333" s="1"/>
      <c r="M1333" s="1"/>
    </row>
    <row r="1334" spans="12:13" x14ac:dyDescent="0.2">
      <c r="L1334" s="1"/>
      <c r="M1334" s="1"/>
    </row>
    <row r="1335" spans="12:13" x14ac:dyDescent="0.2">
      <c r="L1335" s="1"/>
      <c r="M1335" s="1"/>
    </row>
    <row r="1336" spans="12:13" x14ac:dyDescent="0.2">
      <c r="L1336" s="1"/>
      <c r="M1336" s="1"/>
    </row>
    <row r="1337" spans="12:13" x14ac:dyDescent="0.2">
      <c r="L1337" s="1"/>
      <c r="M1337" s="1"/>
    </row>
    <row r="1338" spans="12:13" x14ac:dyDescent="0.2">
      <c r="L1338" s="1"/>
      <c r="M1338" s="1"/>
    </row>
    <row r="1339" spans="12:13" x14ac:dyDescent="0.2">
      <c r="L1339" s="1"/>
      <c r="M1339" s="1"/>
    </row>
    <row r="1340" spans="12:13" x14ac:dyDescent="0.2">
      <c r="L1340" s="1"/>
      <c r="M1340" s="1"/>
    </row>
    <row r="1341" spans="12:13" x14ac:dyDescent="0.2">
      <c r="L1341" s="1"/>
      <c r="M1341" s="1"/>
    </row>
    <row r="1342" spans="12:13" x14ac:dyDescent="0.2">
      <c r="L1342" s="1"/>
      <c r="M1342" s="1"/>
    </row>
    <row r="1343" spans="12:13" x14ac:dyDescent="0.2">
      <c r="L1343" s="1"/>
      <c r="M1343" s="1"/>
    </row>
    <row r="1344" spans="12:13" x14ac:dyDescent="0.2">
      <c r="L1344" s="1"/>
      <c r="M1344" s="1"/>
    </row>
    <row r="1345" spans="12:13" x14ac:dyDescent="0.2">
      <c r="L1345" s="1"/>
      <c r="M1345" s="1"/>
    </row>
    <row r="1346" spans="12:13" x14ac:dyDescent="0.2">
      <c r="L1346" s="1"/>
      <c r="M1346" s="1"/>
    </row>
    <row r="1347" spans="12:13" x14ac:dyDescent="0.2">
      <c r="L1347" s="1"/>
      <c r="M1347" s="1"/>
    </row>
    <row r="1348" spans="12:13" x14ac:dyDescent="0.2">
      <c r="L1348" s="1"/>
      <c r="M1348" s="1"/>
    </row>
    <row r="1349" spans="12:13" x14ac:dyDescent="0.2">
      <c r="L1349" s="1"/>
      <c r="M1349" s="1"/>
    </row>
    <row r="1350" spans="12:13" x14ac:dyDescent="0.2">
      <c r="L1350" s="1"/>
      <c r="M1350" s="1"/>
    </row>
    <row r="1351" spans="12:13" x14ac:dyDescent="0.2">
      <c r="L1351" s="1"/>
      <c r="M1351" s="1"/>
    </row>
    <row r="1352" spans="12:13" x14ac:dyDescent="0.2">
      <c r="L1352" s="1"/>
      <c r="M1352" s="1"/>
    </row>
    <row r="1353" spans="12:13" x14ac:dyDescent="0.2">
      <c r="L1353" s="1"/>
      <c r="M1353" s="1"/>
    </row>
    <row r="1354" spans="12:13" x14ac:dyDescent="0.2">
      <c r="L1354" s="1"/>
      <c r="M1354" s="1"/>
    </row>
    <row r="1355" spans="12:13" x14ac:dyDescent="0.2">
      <c r="L1355" s="1"/>
      <c r="M1355" s="1"/>
    </row>
    <row r="1356" spans="12:13" x14ac:dyDescent="0.2">
      <c r="L1356" s="1"/>
      <c r="M1356" s="1"/>
    </row>
    <row r="1357" spans="12:13" x14ac:dyDescent="0.2">
      <c r="L1357" s="1"/>
      <c r="M1357" s="1"/>
    </row>
    <row r="1358" spans="12:13" x14ac:dyDescent="0.2">
      <c r="L1358" s="1"/>
      <c r="M1358" s="1"/>
    </row>
    <row r="1359" spans="12:13" x14ac:dyDescent="0.2">
      <c r="L1359" s="1"/>
      <c r="M1359" s="1"/>
    </row>
    <row r="1360" spans="12:13" x14ac:dyDescent="0.2">
      <c r="L1360" s="1"/>
      <c r="M1360" s="1"/>
    </row>
    <row r="1361" spans="12:13" x14ac:dyDescent="0.2">
      <c r="L1361" s="1"/>
      <c r="M1361" s="1"/>
    </row>
    <row r="1362" spans="12:13" x14ac:dyDescent="0.2">
      <c r="L1362" s="1"/>
      <c r="M1362" s="1"/>
    </row>
    <row r="1363" spans="12:13" x14ac:dyDescent="0.2">
      <c r="L1363" s="1"/>
      <c r="M1363" s="1"/>
    </row>
    <row r="1364" spans="12:13" x14ac:dyDescent="0.2">
      <c r="L1364" s="1"/>
      <c r="M1364" s="1"/>
    </row>
    <row r="1365" spans="12:13" x14ac:dyDescent="0.2">
      <c r="L1365" s="1"/>
      <c r="M1365" s="1"/>
    </row>
    <row r="1366" spans="12:13" x14ac:dyDescent="0.2">
      <c r="L1366" s="1"/>
      <c r="M1366" s="1"/>
    </row>
    <row r="1367" spans="12:13" x14ac:dyDescent="0.2">
      <c r="L1367" s="1"/>
      <c r="M1367" s="1"/>
    </row>
    <row r="1368" spans="12:13" x14ac:dyDescent="0.2">
      <c r="L1368" s="1"/>
      <c r="M1368" s="1"/>
    </row>
    <row r="1369" spans="12:13" x14ac:dyDescent="0.2">
      <c r="L1369" s="1"/>
      <c r="M1369" s="1"/>
    </row>
    <row r="1370" spans="12:13" x14ac:dyDescent="0.2">
      <c r="L1370" s="1"/>
      <c r="M1370" s="1"/>
    </row>
    <row r="1371" spans="12:13" x14ac:dyDescent="0.2">
      <c r="L1371" s="1"/>
      <c r="M1371" s="1"/>
    </row>
    <row r="1372" spans="12:13" x14ac:dyDescent="0.2">
      <c r="L1372" s="1"/>
      <c r="M1372" s="1"/>
    </row>
    <row r="1373" spans="12:13" x14ac:dyDescent="0.2">
      <c r="L1373" s="1"/>
      <c r="M1373" s="1"/>
    </row>
    <row r="1374" spans="12:13" x14ac:dyDescent="0.2">
      <c r="L1374" s="1"/>
      <c r="M1374" s="1"/>
    </row>
    <row r="1375" spans="12:13" x14ac:dyDescent="0.2">
      <c r="L1375" s="1"/>
      <c r="M1375" s="1"/>
    </row>
    <row r="1376" spans="12:13" x14ac:dyDescent="0.2">
      <c r="L1376" s="1"/>
      <c r="M1376" s="1"/>
    </row>
    <row r="1377" spans="12:13" x14ac:dyDescent="0.2">
      <c r="L1377" s="1"/>
      <c r="M1377" s="1"/>
    </row>
    <row r="1378" spans="12:13" x14ac:dyDescent="0.2">
      <c r="L1378" s="1"/>
      <c r="M1378" s="1"/>
    </row>
    <row r="1379" spans="12:13" x14ac:dyDescent="0.2">
      <c r="L1379" s="1"/>
      <c r="M1379" s="1"/>
    </row>
    <row r="1380" spans="12:13" x14ac:dyDescent="0.2">
      <c r="L1380" s="1"/>
      <c r="M1380" s="1"/>
    </row>
    <row r="1381" spans="12:13" x14ac:dyDescent="0.2">
      <c r="L1381" s="1"/>
      <c r="M1381" s="1"/>
    </row>
    <row r="1382" spans="12:13" x14ac:dyDescent="0.2">
      <c r="L1382" s="1"/>
      <c r="M1382" s="1"/>
    </row>
    <row r="1383" spans="12:13" x14ac:dyDescent="0.2">
      <c r="L1383" s="1"/>
      <c r="M1383" s="1"/>
    </row>
    <row r="1384" spans="12:13" x14ac:dyDescent="0.2">
      <c r="L1384" s="1"/>
      <c r="M1384" s="1"/>
    </row>
    <row r="1385" spans="12:13" x14ac:dyDescent="0.2">
      <c r="L1385" s="1"/>
      <c r="M1385" s="1"/>
    </row>
    <row r="1386" spans="12:13" x14ac:dyDescent="0.2">
      <c r="L1386" s="1"/>
      <c r="M1386" s="1"/>
    </row>
    <row r="1387" spans="12:13" x14ac:dyDescent="0.2">
      <c r="L1387" s="1"/>
      <c r="M1387" s="1"/>
    </row>
    <row r="1388" spans="12:13" x14ac:dyDescent="0.2">
      <c r="L1388" s="1"/>
      <c r="M1388" s="1"/>
    </row>
    <row r="1389" spans="12:13" x14ac:dyDescent="0.2">
      <c r="L1389" s="1"/>
      <c r="M1389" s="1"/>
    </row>
    <row r="1390" spans="12:13" x14ac:dyDescent="0.2">
      <c r="L1390" s="1"/>
      <c r="M1390" s="1"/>
    </row>
    <row r="1391" spans="12:13" x14ac:dyDescent="0.2">
      <c r="L1391" s="1"/>
      <c r="M1391" s="1"/>
    </row>
    <row r="1392" spans="12:13" x14ac:dyDescent="0.2">
      <c r="L1392" s="1"/>
      <c r="M1392" s="1"/>
    </row>
    <row r="1393" spans="12:13" x14ac:dyDescent="0.2">
      <c r="L1393" s="1"/>
      <c r="M1393" s="1"/>
    </row>
    <row r="1394" spans="12:13" x14ac:dyDescent="0.2">
      <c r="L1394" s="1"/>
      <c r="M1394" s="1"/>
    </row>
    <row r="1395" spans="12:13" x14ac:dyDescent="0.2">
      <c r="L1395" s="1"/>
      <c r="M1395" s="1"/>
    </row>
    <row r="1396" spans="12:13" x14ac:dyDescent="0.2">
      <c r="L1396" s="1"/>
      <c r="M1396" s="1"/>
    </row>
    <row r="1397" spans="12:13" x14ac:dyDescent="0.2">
      <c r="L1397" s="1"/>
      <c r="M1397" s="1"/>
    </row>
    <row r="1398" spans="12:13" x14ac:dyDescent="0.2">
      <c r="L1398" s="1"/>
      <c r="M1398" s="1"/>
    </row>
    <row r="1399" spans="12:13" x14ac:dyDescent="0.2">
      <c r="L1399" s="1"/>
      <c r="M1399" s="1"/>
    </row>
    <row r="1400" spans="12:13" x14ac:dyDescent="0.2">
      <c r="L1400" s="1"/>
      <c r="M1400" s="1"/>
    </row>
    <row r="1401" spans="12:13" x14ac:dyDescent="0.2">
      <c r="L1401" s="1"/>
      <c r="M1401" s="1"/>
    </row>
    <row r="1402" spans="12:13" x14ac:dyDescent="0.2">
      <c r="L1402" s="1"/>
      <c r="M1402" s="1"/>
    </row>
    <row r="1403" spans="12:13" x14ac:dyDescent="0.2">
      <c r="L1403" s="1"/>
      <c r="M1403" s="1"/>
    </row>
    <row r="1404" spans="12:13" x14ac:dyDescent="0.2">
      <c r="L1404" s="1"/>
      <c r="M1404" s="1"/>
    </row>
    <row r="1405" spans="12:13" x14ac:dyDescent="0.2">
      <c r="L1405" s="1"/>
      <c r="M1405" s="1"/>
    </row>
    <row r="1406" spans="12:13" x14ac:dyDescent="0.2">
      <c r="L1406" s="1"/>
      <c r="M1406" s="1"/>
    </row>
    <row r="1407" spans="12:13" x14ac:dyDescent="0.2">
      <c r="L1407" s="1"/>
      <c r="M1407" s="1"/>
    </row>
    <row r="1408" spans="12:13" x14ac:dyDescent="0.2">
      <c r="L1408" s="1"/>
      <c r="M1408" s="1"/>
    </row>
    <row r="1409" spans="12:13" x14ac:dyDescent="0.2">
      <c r="L1409" s="1"/>
      <c r="M1409" s="1"/>
    </row>
    <row r="1410" spans="12:13" x14ac:dyDescent="0.2">
      <c r="L1410" s="1"/>
      <c r="M1410" s="1"/>
    </row>
    <row r="1411" spans="12:13" x14ac:dyDescent="0.2">
      <c r="L1411" s="1"/>
      <c r="M1411" s="1"/>
    </row>
    <row r="1412" spans="12:13" x14ac:dyDescent="0.2">
      <c r="L1412" s="1"/>
      <c r="M1412" s="1"/>
    </row>
    <row r="1413" spans="12:13" x14ac:dyDescent="0.2">
      <c r="L1413" s="1"/>
      <c r="M1413" s="1"/>
    </row>
    <row r="1414" spans="12:13" x14ac:dyDescent="0.2">
      <c r="L1414" s="1"/>
      <c r="M1414" s="1"/>
    </row>
    <row r="1415" spans="12:13" x14ac:dyDescent="0.2">
      <c r="L1415" s="1"/>
      <c r="M1415" s="1"/>
    </row>
    <row r="1416" spans="12:13" x14ac:dyDescent="0.2">
      <c r="L1416" s="1"/>
      <c r="M1416" s="1"/>
    </row>
    <row r="1417" spans="12:13" x14ac:dyDescent="0.2">
      <c r="L1417" s="1"/>
      <c r="M1417" s="1"/>
    </row>
    <row r="1418" spans="12:13" x14ac:dyDescent="0.2">
      <c r="L1418" s="1"/>
      <c r="M1418" s="1"/>
    </row>
    <row r="1419" spans="12:13" x14ac:dyDescent="0.2">
      <c r="L1419" s="1"/>
      <c r="M1419" s="1"/>
    </row>
    <row r="1420" spans="12:13" x14ac:dyDescent="0.2">
      <c r="L1420" s="1"/>
      <c r="M1420" s="1"/>
    </row>
    <row r="1421" spans="12:13" x14ac:dyDescent="0.2">
      <c r="L1421" s="1"/>
      <c r="M1421" s="1"/>
    </row>
    <row r="1422" spans="12:13" x14ac:dyDescent="0.2">
      <c r="L1422" s="1"/>
      <c r="M1422" s="1"/>
    </row>
    <row r="1423" spans="12:13" x14ac:dyDescent="0.2">
      <c r="L1423" s="1"/>
      <c r="M1423" s="1"/>
    </row>
    <row r="1424" spans="12:13" x14ac:dyDescent="0.2">
      <c r="L1424" s="1"/>
      <c r="M1424" s="1"/>
    </row>
    <row r="1425" spans="12:13" x14ac:dyDescent="0.2">
      <c r="L1425" s="1"/>
      <c r="M1425" s="1"/>
    </row>
    <row r="1426" spans="12:13" x14ac:dyDescent="0.2">
      <c r="L1426" s="1"/>
      <c r="M1426" s="1"/>
    </row>
    <row r="1427" spans="12:13" x14ac:dyDescent="0.2">
      <c r="L1427" s="1"/>
      <c r="M1427" s="1"/>
    </row>
    <row r="1428" spans="12:13" x14ac:dyDescent="0.2">
      <c r="L1428" s="1"/>
      <c r="M1428" s="1"/>
    </row>
    <row r="1429" spans="12:13" x14ac:dyDescent="0.2">
      <c r="L1429" s="1"/>
      <c r="M1429" s="1"/>
    </row>
    <row r="1430" spans="12:13" x14ac:dyDescent="0.2">
      <c r="L1430" s="1"/>
      <c r="M1430" s="1"/>
    </row>
    <row r="1431" spans="12:13" x14ac:dyDescent="0.2">
      <c r="L1431" s="1"/>
      <c r="M1431" s="1"/>
    </row>
    <row r="1432" spans="12:13" x14ac:dyDescent="0.2">
      <c r="L1432" s="1"/>
      <c r="M1432" s="1"/>
    </row>
    <row r="1433" spans="12:13" x14ac:dyDescent="0.2">
      <c r="L1433" s="1"/>
      <c r="M1433" s="1"/>
    </row>
    <row r="1434" spans="12:13" x14ac:dyDescent="0.2">
      <c r="L1434" s="1"/>
      <c r="M1434" s="1"/>
    </row>
    <row r="1435" spans="12:13" x14ac:dyDescent="0.2">
      <c r="L1435" s="1"/>
      <c r="M1435" s="1"/>
    </row>
    <row r="1436" spans="12:13" x14ac:dyDescent="0.2">
      <c r="L1436" s="1"/>
      <c r="M1436" s="1"/>
    </row>
    <row r="1437" spans="12:13" x14ac:dyDescent="0.2">
      <c r="L1437" s="1"/>
      <c r="M1437" s="1"/>
    </row>
    <row r="1438" spans="12:13" x14ac:dyDescent="0.2">
      <c r="L1438" s="1"/>
      <c r="M1438" s="1"/>
    </row>
    <row r="1439" spans="12:13" x14ac:dyDescent="0.2">
      <c r="L1439" s="1"/>
      <c r="M1439" s="1"/>
    </row>
    <row r="1440" spans="12:13" x14ac:dyDescent="0.2">
      <c r="L1440" s="1"/>
      <c r="M1440" s="1"/>
    </row>
    <row r="1441" spans="12:13" x14ac:dyDescent="0.2">
      <c r="L1441" s="1"/>
      <c r="M1441" s="1"/>
    </row>
    <row r="1442" spans="12:13" x14ac:dyDescent="0.2">
      <c r="L1442" s="1"/>
      <c r="M1442" s="1"/>
    </row>
    <row r="1443" spans="12:13" x14ac:dyDescent="0.2">
      <c r="L1443" s="1"/>
      <c r="M1443" s="1"/>
    </row>
    <row r="1444" spans="12:13" x14ac:dyDescent="0.2">
      <c r="L1444" s="1"/>
      <c r="M1444" s="1"/>
    </row>
    <row r="1445" spans="12:13" x14ac:dyDescent="0.2">
      <c r="L1445" s="1"/>
      <c r="M1445" s="1"/>
    </row>
    <row r="1446" spans="12:13" x14ac:dyDescent="0.2">
      <c r="L1446" s="1"/>
      <c r="M1446" s="1"/>
    </row>
    <row r="1447" spans="12:13" x14ac:dyDescent="0.2">
      <c r="L1447" s="1"/>
      <c r="M1447" s="1"/>
    </row>
    <row r="1448" spans="12:13" x14ac:dyDescent="0.2">
      <c r="L1448" s="1"/>
      <c r="M1448" s="1"/>
    </row>
    <row r="1449" spans="12:13" x14ac:dyDescent="0.2">
      <c r="L1449" s="1"/>
      <c r="M1449" s="1"/>
    </row>
    <row r="1450" spans="12:13" x14ac:dyDescent="0.2">
      <c r="L1450" s="1"/>
      <c r="M1450" s="1"/>
    </row>
    <row r="1451" spans="12:13" x14ac:dyDescent="0.2">
      <c r="L1451" s="1"/>
      <c r="M1451" s="1"/>
    </row>
    <row r="1452" spans="12:13" x14ac:dyDescent="0.2">
      <c r="L1452" s="1"/>
      <c r="M1452" s="1"/>
    </row>
    <row r="1453" spans="12:13" x14ac:dyDescent="0.2">
      <c r="L1453" s="1"/>
      <c r="M1453" s="1"/>
    </row>
    <row r="1454" spans="12:13" x14ac:dyDescent="0.2">
      <c r="L1454" s="1"/>
      <c r="M1454" s="1"/>
    </row>
    <row r="1455" spans="12:13" x14ac:dyDescent="0.2">
      <c r="L1455" s="1"/>
      <c r="M1455" s="1"/>
    </row>
    <row r="1456" spans="12:13" x14ac:dyDescent="0.2">
      <c r="L1456" s="1"/>
      <c r="M1456" s="1"/>
    </row>
    <row r="1457" spans="12:13" x14ac:dyDescent="0.2">
      <c r="L1457" s="1"/>
      <c r="M1457" s="1"/>
    </row>
    <row r="1458" spans="12:13" x14ac:dyDescent="0.2">
      <c r="L1458" s="1"/>
      <c r="M1458" s="1"/>
    </row>
    <row r="1459" spans="12:13" x14ac:dyDescent="0.2">
      <c r="L1459" s="1"/>
      <c r="M1459" s="1"/>
    </row>
    <row r="1460" spans="12:13" x14ac:dyDescent="0.2">
      <c r="L1460" s="1"/>
      <c r="M1460" s="1"/>
    </row>
    <row r="1461" spans="12:13" x14ac:dyDescent="0.2">
      <c r="L1461" s="1"/>
      <c r="M1461" s="1"/>
    </row>
    <row r="1462" spans="12:13" x14ac:dyDescent="0.2">
      <c r="L1462" s="1"/>
      <c r="M1462" s="1"/>
    </row>
    <row r="1463" spans="12:13" x14ac:dyDescent="0.2">
      <c r="L1463" s="1"/>
      <c r="M1463" s="1"/>
    </row>
    <row r="1464" spans="12:13" x14ac:dyDescent="0.2">
      <c r="L1464" s="1"/>
      <c r="M1464" s="1"/>
    </row>
    <row r="1465" spans="12:13" x14ac:dyDescent="0.2">
      <c r="L1465" s="1"/>
      <c r="M1465" s="1"/>
    </row>
    <row r="1466" spans="12:13" x14ac:dyDescent="0.2">
      <c r="L1466" s="1"/>
      <c r="M1466" s="1"/>
    </row>
    <row r="1467" spans="12:13" x14ac:dyDescent="0.2">
      <c r="L1467" s="1"/>
      <c r="M1467" s="1"/>
    </row>
    <row r="1468" spans="12:13" x14ac:dyDescent="0.2">
      <c r="L1468" s="1"/>
      <c r="M1468" s="1"/>
    </row>
    <row r="1469" spans="12:13" x14ac:dyDescent="0.2">
      <c r="L1469" s="1"/>
      <c r="M1469" s="1"/>
    </row>
    <row r="1470" spans="12:13" x14ac:dyDescent="0.2">
      <c r="L1470" s="1"/>
      <c r="M1470" s="1"/>
    </row>
    <row r="1471" spans="12:13" x14ac:dyDescent="0.2">
      <c r="L1471" s="1"/>
      <c r="M1471" s="1"/>
    </row>
    <row r="1472" spans="12:13" x14ac:dyDescent="0.2">
      <c r="L1472" s="1"/>
      <c r="M1472" s="1"/>
    </row>
    <row r="1473" spans="12:13" x14ac:dyDescent="0.2">
      <c r="L1473" s="1"/>
      <c r="M1473" s="1"/>
    </row>
    <row r="1474" spans="12:13" x14ac:dyDescent="0.2">
      <c r="L1474" s="1"/>
      <c r="M1474" s="1"/>
    </row>
    <row r="1475" spans="12:13" x14ac:dyDescent="0.2">
      <c r="L1475" s="1"/>
      <c r="M1475" s="1"/>
    </row>
    <row r="1476" spans="12:13" x14ac:dyDescent="0.2">
      <c r="L1476" s="1"/>
      <c r="M1476" s="1"/>
    </row>
    <row r="1477" spans="12:13" x14ac:dyDescent="0.2">
      <c r="L1477" s="1"/>
      <c r="M1477" s="1"/>
    </row>
    <row r="1478" spans="12:13" x14ac:dyDescent="0.2">
      <c r="L1478" s="1"/>
      <c r="M1478" s="1"/>
    </row>
    <row r="1479" spans="12:13" x14ac:dyDescent="0.2">
      <c r="L1479" s="1"/>
      <c r="M1479" s="1"/>
    </row>
    <row r="1480" spans="12:13" x14ac:dyDescent="0.2">
      <c r="L1480" s="1"/>
      <c r="M1480" s="1"/>
    </row>
    <row r="1481" spans="12:13" x14ac:dyDescent="0.2">
      <c r="L1481" s="1"/>
      <c r="M1481" s="1"/>
    </row>
    <row r="1482" spans="12:13" x14ac:dyDescent="0.2">
      <c r="L1482" s="1"/>
      <c r="M1482" s="1"/>
    </row>
    <row r="1483" spans="12:13" x14ac:dyDescent="0.2">
      <c r="L1483" s="1"/>
      <c r="M1483" s="1"/>
    </row>
    <row r="1484" spans="12:13" x14ac:dyDescent="0.2">
      <c r="L1484" s="1"/>
      <c r="M1484" s="1"/>
    </row>
    <row r="1485" spans="12:13" x14ac:dyDescent="0.2">
      <c r="L1485" s="1"/>
      <c r="M1485" s="1"/>
    </row>
    <row r="1486" spans="12:13" x14ac:dyDescent="0.2">
      <c r="L1486" s="1"/>
      <c r="M1486" s="1"/>
    </row>
    <row r="1487" spans="12:13" x14ac:dyDescent="0.2">
      <c r="L1487" s="1"/>
      <c r="M1487" s="1"/>
    </row>
    <row r="1488" spans="12:13" x14ac:dyDescent="0.2">
      <c r="L1488" s="1"/>
      <c r="M1488" s="1"/>
    </row>
    <row r="1489" spans="12:13" x14ac:dyDescent="0.2">
      <c r="L1489" s="1"/>
      <c r="M1489" s="1"/>
    </row>
    <row r="1490" spans="12:13" x14ac:dyDescent="0.2">
      <c r="L1490" s="1"/>
      <c r="M1490" s="1"/>
    </row>
    <row r="1491" spans="12:13" x14ac:dyDescent="0.2">
      <c r="L1491" s="1"/>
      <c r="M1491" s="1"/>
    </row>
    <row r="1492" spans="12:13" x14ac:dyDescent="0.2">
      <c r="L1492" s="1"/>
      <c r="M1492" s="1"/>
    </row>
    <row r="1493" spans="12:13" x14ac:dyDescent="0.2">
      <c r="L1493" s="1"/>
      <c r="M1493" s="1"/>
    </row>
    <row r="1494" spans="12:13" x14ac:dyDescent="0.2">
      <c r="L1494" s="1"/>
      <c r="M1494" s="1"/>
    </row>
    <row r="1495" spans="12:13" x14ac:dyDescent="0.2">
      <c r="L1495" s="1"/>
      <c r="M1495" s="1"/>
    </row>
    <row r="1496" spans="12:13" x14ac:dyDescent="0.2">
      <c r="L1496" s="1"/>
      <c r="M1496" s="1"/>
    </row>
    <row r="1497" spans="12:13" x14ac:dyDescent="0.2">
      <c r="L1497" s="1"/>
      <c r="M1497" s="1"/>
    </row>
    <row r="1498" spans="12:13" x14ac:dyDescent="0.2">
      <c r="L1498" s="1"/>
      <c r="M1498" s="1"/>
    </row>
    <row r="1499" spans="12:13" x14ac:dyDescent="0.2">
      <c r="L1499" s="1"/>
      <c r="M1499" s="1"/>
    </row>
    <row r="1500" spans="12:13" x14ac:dyDescent="0.2">
      <c r="L1500" s="1"/>
      <c r="M1500" s="1"/>
    </row>
    <row r="1501" spans="12:13" x14ac:dyDescent="0.2">
      <c r="L1501" s="1"/>
      <c r="M1501" s="1"/>
    </row>
    <row r="1502" spans="12:13" x14ac:dyDescent="0.2">
      <c r="L1502" s="1"/>
      <c r="M1502" s="1"/>
    </row>
    <row r="1503" spans="12:13" x14ac:dyDescent="0.2">
      <c r="L1503" s="1"/>
      <c r="M1503" s="1"/>
    </row>
    <row r="1504" spans="12:13" x14ac:dyDescent="0.2">
      <c r="L1504" s="1"/>
      <c r="M1504" s="1"/>
    </row>
    <row r="1505" spans="12:13" x14ac:dyDescent="0.2">
      <c r="L1505" s="1"/>
      <c r="M1505" s="1"/>
    </row>
    <row r="1506" spans="12:13" x14ac:dyDescent="0.2">
      <c r="L1506" s="1"/>
      <c r="M1506" s="1"/>
    </row>
    <row r="1507" spans="12:13" x14ac:dyDescent="0.2">
      <c r="L1507" s="1"/>
      <c r="M1507" s="1"/>
    </row>
    <row r="1508" spans="12:13" x14ac:dyDescent="0.2">
      <c r="L1508" s="1"/>
      <c r="M1508" s="1"/>
    </row>
    <row r="1509" spans="12:13" x14ac:dyDescent="0.2">
      <c r="L1509" s="1"/>
      <c r="M1509" s="1"/>
    </row>
    <row r="1510" spans="12:13" x14ac:dyDescent="0.2">
      <c r="L1510" s="1"/>
      <c r="M1510" s="1"/>
    </row>
    <row r="1511" spans="12:13" x14ac:dyDescent="0.2">
      <c r="L1511" s="1"/>
      <c r="M1511" s="1"/>
    </row>
    <row r="1512" spans="12:13" x14ac:dyDescent="0.2">
      <c r="L1512" s="1"/>
      <c r="M1512" s="1"/>
    </row>
    <row r="1513" spans="12:13" x14ac:dyDescent="0.2">
      <c r="L1513" s="1"/>
      <c r="M1513" s="1"/>
    </row>
    <row r="1514" spans="12:13" x14ac:dyDescent="0.2">
      <c r="L1514" s="1"/>
      <c r="M1514" s="1"/>
    </row>
    <row r="1515" spans="12:13" x14ac:dyDescent="0.2">
      <c r="L1515" s="1"/>
      <c r="M1515" s="1"/>
    </row>
    <row r="1516" spans="12:13" x14ac:dyDescent="0.2">
      <c r="L1516" s="1"/>
      <c r="M1516" s="1"/>
    </row>
    <row r="1517" spans="12:13" x14ac:dyDescent="0.2">
      <c r="L1517" s="1"/>
      <c r="M1517" s="1"/>
    </row>
    <row r="1518" spans="12:13" x14ac:dyDescent="0.2">
      <c r="L1518" s="1"/>
      <c r="M1518" s="1"/>
    </row>
    <row r="1519" spans="12:13" x14ac:dyDescent="0.2">
      <c r="L1519" s="1"/>
      <c r="M1519" s="1"/>
    </row>
    <row r="1520" spans="12:13" x14ac:dyDescent="0.2">
      <c r="L1520" s="1"/>
      <c r="M1520" s="1"/>
    </row>
    <row r="1521" spans="12:13" x14ac:dyDescent="0.2">
      <c r="L1521" s="1"/>
      <c r="M1521" s="1"/>
    </row>
    <row r="1522" spans="12:13" x14ac:dyDescent="0.2">
      <c r="L1522" s="1"/>
      <c r="M1522" s="1"/>
    </row>
    <row r="1523" spans="12:13" x14ac:dyDescent="0.2">
      <c r="L1523" s="1"/>
      <c r="M1523" s="1"/>
    </row>
    <row r="1524" spans="12:13" x14ac:dyDescent="0.2">
      <c r="L1524" s="1"/>
      <c r="M1524" s="1"/>
    </row>
    <row r="1525" spans="12:13" x14ac:dyDescent="0.2">
      <c r="L1525" s="1"/>
      <c r="M1525" s="1"/>
    </row>
    <row r="1526" spans="12:13" x14ac:dyDescent="0.2">
      <c r="L1526" s="1"/>
      <c r="M1526" s="1"/>
    </row>
    <row r="1527" spans="12:13" x14ac:dyDescent="0.2">
      <c r="L1527" s="1"/>
      <c r="M1527" s="1"/>
    </row>
    <row r="1528" spans="12:13" x14ac:dyDescent="0.2">
      <c r="L1528" s="1"/>
      <c r="M1528" s="1"/>
    </row>
    <row r="1529" spans="12:13" x14ac:dyDescent="0.2">
      <c r="L1529" s="1"/>
      <c r="M1529" s="1"/>
    </row>
    <row r="1530" spans="12:13" x14ac:dyDescent="0.2">
      <c r="L1530" s="1"/>
      <c r="M1530" s="1"/>
    </row>
    <row r="1531" spans="12:13" x14ac:dyDescent="0.2">
      <c r="L1531" s="1"/>
      <c r="M1531" s="1"/>
    </row>
    <row r="1532" spans="12:13" x14ac:dyDescent="0.2">
      <c r="L1532" s="1"/>
      <c r="M1532" s="1"/>
    </row>
    <row r="1533" spans="12:13" x14ac:dyDescent="0.2">
      <c r="L1533" s="1"/>
      <c r="M1533" s="1"/>
    </row>
    <row r="1534" spans="12:13" x14ac:dyDescent="0.2">
      <c r="L1534" s="1"/>
      <c r="M1534" s="1"/>
    </row>
    <row r="1535" spans="12:13" x14ac:dyDescent="0.2">
      <c r="L1535" s="1"/>
      <c r="M1535" s="1"/>
    </row>
    <row r="1536" spans="12:13" x14ac:dyDescent="0.2">
      <c r="L1536" s="1"/>
      <c r="M1536" s="1"/>
    </row>
    <row r="1537" spans="12:13" x14ac:dyDescent="0.2">
      <c r="L1537" s="1"/>
      <c r="M1537" s="1"/>
    </row>
    <row r="1538" spans="12:13" x14ac:dyDescent="0.2">
      <c r="L1538" s="1"/>
      <c r="M1538" s="1"/>
    </row>
    <row r="1539" spans="12:13" x14ac:dyDescent="0.2">
      <c r="L1539" s="1"/>
      <c r="M1539" s="1"/>
    </row>
    <row r="1540" spans="12:13" x14ac:dyDescent="0.2">
      <c r="L1540" s="1"/>
      <c r="M1540" s="1"/>
    </row>
    <row r="1541" spans="12:13" x14ac:dyDescent="0.2">
      <c r="L1541" s="1"/>
      <c r="M1541" s="1"/>
    </row>
    <row r="1542" spans="12:13" x14ac:dyDescent="0.2">
      <c r="L1542" s="1"/>
      <c r="M1542" s="1"/>
    </row>
    <row r="1543" spans="12:13" x14ac:dyDescent="0.2">
      <c r="L1543" s="1"/>
      <c r="M1543" s="1"/>
    </row>
    <row r="1544" spans="12:13" x14ac:dyDescent="0.2">
      <c r="L1544" s="1"/>
      <c r="M1544" s="1"/>
    </row>
    <row r="1545" spans="12:13" x14ac:dyDescent="0.2">
      <c r="L1545" s="1"/>
      <c r="M1545" s="1"/>
    </row>
    <row r="1546" spans="12:13" x14ac:dyDescent="0.2">
      <c r="L1546" s="1"/>
      <c r="M1546" s="1"/>
    </row>
    <row r="1547" spans="12:13" x14ac:dyDescent="0.2">
      <c r="L1547" s="1"/>
      <c r="M1547" s="1"/>
    </row>
    <row r="1548" spans="12:13" x14ac:dyDescent="0.2">
      <c r="L1548" s="1"/>
      <c r="M1548" s="1"/>
    </row>
    <row r="1549" spans="12:13" x14ac:dyDescent="0.2">
      <c r="L1549" s="1"/>
      <c r="M1549" s="1"/>
    </row>
    <row r="1550" spans="12:13" x14ac:dyDescent="0.2">
      <c r="L1550" s="1"/>
      <c r="M1550" s="1"/>
    </row>
    <row r="1551" spans="12:13" x14ac:dyDescent="0.2">
      <c r="L1551" s="1"/>
      <c r="M1551" s="1"/>
    </row>
    <row r="1552" spans="12:13" x14ac:dyDescent="0.2">
      <c r="L1552" s="1"/>
      <c r="M1552" s="1"/>
    </row>
    <row r="1553" spans="12:13" x14ac:dyDescent="0.2">
      <c r="L1553" s="1"/>
      <c r="M1553" s="1"/>
    </row>
    <row r="1554" spans="12:13" x14ac:dyDescent="0.2">
      <c r="L1554" s="1"/>
      <c r="M1554" s="1"/>
    </row>
    <row r="1555" spans="12:13" x14ac:dyDescent="0.2">
      <c r="L1555" s="1"/>
      <c r="M1555" s="1"/>
    </row>
    <row r="1556" spans="12:13" x14ac:dyDescent="0.2">
      <c r="L1556" s="1"/>
      <c r="M1556" s="1"/>
    </row>
    <row r="1557" spans="12:13" x14ac:dyDescent="0.2">
      <c r="L1557" s="1"/>
      <c r="M1557" s="1"/>
    </row>
    <row r="1558" spans="12:13" x14ac:dyDescent="0.2">
      <c r="L1558" s="1"/>
      <c r="M1558" s="1"/>
    </row>
    <row r="1559" spans="12:13" x14ac:dyDescent="0.2">
      <c r="L1559" s="1"/>
      <c r="M1559" s="1"/>
    </row>
    <row r="1560" spans="12:13" x14ac:dyDescent="0.2">
      <c r="L1560" s="1"/>
      <c r="M1560" s="1"/>
    </row>
    <row r="1561" spans="12:13" x14ac:dyDescent="0.2">
      <c r="L1561" s="1"/>
      <c r="M1561" s="1"/>
    </row>
    <row r="1562" spans="12:13" x14ac:dyDescent="0.2">
      <c r="L1562" s="1"/>
      <c r="M1562" s="1"/>
    </row>
    <row r="1563" spans="12:13" x14ac:dyDescent="0.2">
      <c r="L1563" s="1"/>
      <c r="M1563" s="1"/>
    </row>
    <row r="1564" spans="12:13" x14ac:dyDescent="0.2">
      <c r="L1564" s="1"/>
      <c r="M1564" s="1"/>
    </row>
    <row r="1565" spans="12:13" x14ac:dyDescent="0.2">
      <c r="L1565" s="1"/>
      <c r="M1565" s="1"/>
    </row>
    <row r="1566" spans="12:13" x14ac:dyDescent="0.2">
      <c r="L1566" s="1"/>
      <c r="M1566" s="1"/>
    </row>
    <row r="1567" spans="12:13" x14ac:dyDescent="0.2">
      <c r="L1567" s="1"/>
      <c r="M1567" s="1"/>
    </row>
    <row r="1568" spans="12:13" x14ac:dyDescent="0.2">
      <c r="L1568" s="1"/>
      <c r="M1568" s="1"/>
    </row>
    <row r="1569" spans="12:13" x14ac:dyDescent="0.2">
      <c r="L1569" s="1"/>
      <c r="M1569" s="1"/>
    </row>
    <row r="1570" spans="12:13" x14ac:dyDescent="0.2">
      <c r="L1570" s="1"/>
      <c r="M1570" s="1"/>
    </row>
    <row r="1571" spans="12:13" x14ac:dyDescent="0.2">
      <c r="L1571" s="1"/>
      <c r="M1571" s="1"/>
    </row>
    <row r="1572" spans="12:13" x14ac:dyDescent="0.2">
      <c r="L1572" s="1"/>
      <c r="M1572" s="1"/>
    </row>
    <row r="1573" spans="12:13" x14ac:dyDescent="0.2">
      <c r="L1573" s="1"/>
      <c r="M1573" s="1"/>
    </row>
    <row r="1574" spans="12:13" x14ac:dyDescent="0.2">
      <c r="L1574" s="1"/>
      <c r="M1574" s="1"/>
    </row>
    <row r="1575" spans="12:13" x14ac:dyDescent="0.2">
      <c r="L1575" s="1"/>
      <c r="M1575" s="1"/>
    </row>
    <row r="1576" spans="12:13" x14ac:dyDescent="0.2">
      <c r="L1576" s="1"/>
      <c r="M1576" s="1"/>
    </row>
    <row r="1577" spans="12:13" x14ac:dyDescent="0.2">
      <c r="L1577" s="1"/>
      <c r="M1577" s="1"/>
    </row>
    <row r="1578" spans="12:13" x14ac:dyDescent="0.2">
      <c r="L1578" s="1"/>
      <c r="M1578" s="1"/>
    </row>
    <row r="1579" spans="12:13" x14ac:dyDescent="0.2">
      <c r="L1579" s="1"/>
      <c r="M1579" s="1"/>
    </row>
    <row r="1580" spans="12:13" x14ac:dyDescent="0.2">
      <c r="L1580" s="1"/>
      <c r="M1580" s="1"/>
    </row>
    <row r="1581" spans="12:13" x14ac:dyDescent="0.2">
      <c r="L1581" s="1"/>
      <c r="M1581" s="1"/>
    </row>
    <row r="1582" spans="12:13" x14ac:dyDescent="0.2">
      <c r="L1582" s="1"/>
      <c r="M1582" s="1"/>
    </row>
    <row r="1583" spans="12:13" x14ac:dyDescent="0.2">
      <c r="L1583" s="1"/>
      <c r="M1583" s="1"/>
    </row>
    <row r="1584" spans="12:13" x14ac:dyDescent="0.2">
      <c r="L1584" s="1"/>
      <c r="M1584" s="1"/>
    </row>
    <row r="1585" spans="12:13" x14ac:dyDescent="0.2">
      <c r="L1585" s="1"/>
      <c r="M1585" s="1"/>
    </row>
    <row r="1586" spans="12:13" x14ac:dyDescent="0.2">
      <c r="L1586" s="1"/>
      <c r="M1586" s="1"/>
    </row>
    <row r="1587" spans="12:13" x14ac:dyDescent="0.2">
      <c r="L1587" s="1"/>
      <c r="M1587" s="1"/>
    </row>
    <row r="1588" spans="12:13" x14ac:dyDescent="0.2">
      <c r="L1588" s="1"/>
      <c r="M1588" s="1"/>
    </row>
    <row r="1589" spans="12:13" x14ac:dyDescent="0.2">
      <c r="L1589" s="1"/>
      <c r="M1589" s="1"/>
    </row>
    <row r="1590" spans="12:13" x14ac:dyDescent="0.2">
      <c r="L1590" s="1"/>
      <c r="M1590" s="1"/>
    </row>
    <row r="1591" spans="12:13" x14ac:dyDescent="0.2">
      <c r="L1591" s="1"/>
      <c r="M1591" s="1"/>
    </row>
    <row r="1592" spans="12:13" x14ac:dyDescent="0.2">
      <c r="L1592" s="1"/>
      <c r="M1592" s="1"/>
    </row>
    <row r="1593" spans="12:13" x14ac:dyDescent="0.2">
      <c r="L1593" s="1"/>
      <c r="M1593" s="1"/>
    </row>
    <row r="1594" spans="12:13" x14ac:dyDescent="0.2">
      <c r="L1594" s="1"/>
      <c r="M1594" s="1"/>
    </row>
    <row r="1595" spans="12:13" x14ac:dyDescent="0.2">
      <c r="L1595" s="1"/>
      <c r="M1595" s="1"/>
    </row>
    <row r="1596" spans="12:13" x14ac:dyDescent="0.2">
      <c r="L1596" s="1"/>
      <c r="M1596" s="1"/>
    </row>
    <row r="1597" spans="12:13" x14ac:dyDescent="0.2">
      <c r="L1597" s="1"/>
      <c r="M1597" s="1"/>
    </row>
    <row r="1598" spans="12:13" x14ac:dyDescent="0.2">
      <c r="L1598" s="1"/>
      <c r="M1598" s="1"/>
    </row>
    <row r="1599" spans="12:13" x14ac:dyDescent="0.2">
      <c r="L1599" s="1"/>
      <c r="M1599" s="1"/>
    </row>
    <row r="1600" spans="12:13" x14ac:dyDescent="0.2">
      <c r="L1600" s="1"/>
      <c r="M1600" s="1"/>
    </row>
    <row r="1601" spans="12:13" x14ac:dyDescent="0.2">
      <c r="L1601" s="1"/>
      <c r="M1601" s="1"/>
    </row>
    <row r="1602" spans="12:13" x14ac:dyDescent="0.2">
      <c r="L1602" s="1"/>
      <c r="M1602" s="1"/>
    </row>
    <row r="1603" spans="12:13" x14ac:dyDescent="0.2">
      <c r="L1603" s="1"/>
      <c r="M1603" s="1"/>
    </row>
    <row r="1604" spans="12:13" x14ac:dyDescent="0.2">
      <c r="L1604" s="1"/>
      <c r="M1604" s="1"/>
    </row>
    <row r="1605" spans="12:13" x14ac:dyDescent="0.2">
      <c r="L1605" s="1"/>
      <c r="M1605" s="1"/>
    </row>
    <row r="1606" spans="12:13" x14ac:dyDescent="0.2">
      <c r="L1606" s="1"/>
      <c r="M1606" s="1"/>
    </row>
    <row r="1607" spans="12:13" x14ac:dyDescent="0.2">
      <c r="L1607" s="1"/>
      <c r="M1607" s="1"/>
    </row>
    <row r="1608" spans="12:13" x14ac:dyDescent="0.2">
      <c r="L1608" s="1"/>
      <c r="M1608" s="1"/>
    </row>
    <row r="1609" spans="12:13" x14ac:dyDescent="0.2">
      <c r="L1609" s="1"/>
      <c r="M1609" s="1"/>
    </row>
    <row r="1610" spans="12:13" x14ac:dyDescent="0.2">
      <c r="L1610" s="1"/>
      <c r="M1610" s="1"/>
    </row>
    <row r="1611" spans="12:13" x14ac:dyDescent="0.2">
      <c r="L1611" s="1"/>
      <c r="M1611" s="1"/>
    </row>
    <row r="1612" spans="12:13" x14ac:dyDescent="0.2">
      <c r="L1612" s="1"/>
      <c r="M1612" s="1"/>
    </row>
    <row r="1613" spans="12:13" x14ac:dyDescent="0.2">
      <c r="L1613" s="1"/>
      <c r="M1613" s="1"/>
    </row>
    <row r="1614" spans="12:13" x14ac:dyDescent="0.2">
      <c r="L1614" s="1"/>
      <c r="M1614" s="1"/>
    </row>
    <row r="1615" spans="12:13" x14ac:dyDescent="0.2">
      <c r="L1615" s="1"/>
      <c r="M1615" s="1"/>
    </row>
    <row r="1616" spans="12:13" x14ac:dyDescent="0.2">
      <c r="L1616" s="1"/>
      <c r="M1616" s="1"/>
    </row>
    <row r="1617" spans="12:13" x14ac:dyDescent="0.2">
      <c r="L1617" s="1"/>
      <c r="M1617" s="1"/>
    </row>
    <row r="1618" spans="12:13" x14ac:dyDescent="0.2">
      <c r="L1618" s="1"/>
      <c r="M1618" s="1"/>
    </row>
    <row r="1619" spans="12:13" x14ac:dyDescent="0.2">
      <c r="L1619" s="1"/>
      <c r="M1619" s="1"/>
    </row>
    <row r="1620" spans="12:13" x14ac:dyDescent="0.2">
      <c r="L1620" s="1"/>
      <c r="M1620" s="1"/>
    </row>
    <row r="1621" spans="12:13" x14ac:dyDescent="0.2">
      <c r="L1621" s="1"/>
      <c r="M1621" s="1"/>
    </row>
    <row r="1622" spans="12:13" x14ac:dyDescent="0.2">
      <c r="L1622" s="1"/>
      <c r="M1622" s="1"/>
    </row>
    <row r="1623" spans="12:13" x14ac:dyDescent="0.2">
      <c r="L1623" s="1"/>
      <c r="M1623" s="1"/>
    </row>
    <row r="1624" spans="12:13" x14ac:dyDescent="0.2">
      <c r="L1624" s="1"/>
      <c r="M1624" s="1"/>
    </row>
    <row r="1625" spans="12:13" x14ac:dyDescent="0.2">
      <c r="L1625" s="1"/>
      <c r="M1625" s="1"/>
    </row>
    <row r="1626" spans="12:13" x14ac:dyDescent="0.2">
      <c r="L1626" s="1"/>
      <c r="M1626" s="1"/>
    </row>
    <row r="1627" spans="12:13" x14ac:dyDescent="0.2">
      <c r="L1627" s="1"/>
      <c r="M1627" s="1"/>
    </row>
    <row r="1628" spans="12:13" x14ac:dyDescent="0.2">
      <c r="L1628" s="1"/>
      <c r="M1628" s="1"/>
    </row>
    <row r="1629" spans="12:13" x14ac:dyDescent="0.2">
      <c r="L1629" s="1"/>
      <c r="M1629" s="1"/>
    </row>
    <row r="1630" spans="12:13" x14ac:dyDescent="0.2">
      <c r="L1630" s="1"/>
      <c r="M1630" s="1"/>
    </row>
    <row r="1631" spans="12:13" x14ac:dyDescent="0.2">
      <c r="L1631" s="1"/>
      <c r="M1631" s="1"/>
    </row>
    <row r="1632" spans="12:13" x14ac:dyDescent="0.2">
      <c r="L1632" s="1"/>
      <c r="M1632" s="1"/>
    </row>
    <row r="1633" spans="12:13" x14ac:dyDescent="0.2">
      <c r="L1633" s="1"/>
      <c r="M1633" s="1"/>
    </row>
    <row r="1634" spans="12:13" x14ac:dyDescent="0.2">
      <c r="L1634" s="1"/>
      <c r="M1634" s="1"/>
    </row>
    <row r="1635" spans="12:13" x14ac:dyDescent="0.2">
      <c r="L1635" s="1"/>
      <c r="M1635" s="1"/>
    </row>
    <row r="1636" spans="12:13" x14ac:dyDescent="0.2">
      <c r="L1636" s="1"/>
      <c r="M1636" s="1"/>
    </row>
    <row r="1637" spans="12:13" x14ac:dyDescent="0.2">
      <c r="L1637" s="1"/>
      <c r="M1637" s="1"/>
    </row>
    <row r="1638" spans="12:13" x14ac:dyDescent="0.2">
      <c r="L1638" s="1"/>
      <c r="M1638" s="1"/>
    </row>
    <row r="1639" spans="12:13" x14ac:dyDescent="0.2">
      <c r="L1639" s="1"/>
      <c r="M1639" s="1"/>
    </row>
    <row r="1640" spans="12:13" x14ac:dyDescent="0.2">
      <c r="L1640" s="1"/>
      <c r="M1640" s="1"/>
    </row>
    <row r="1641" spans="12:13" x14ac:dyDescent="0.2">
      <c r="L1641" s="1"/>
      <c r="M1641" s="1"/>
    </row>
    <row r="1642" spans="12:13" x14ac:dyDescent="0.2">
      <c r="L1642" s="1"/>
      <c r="M1642" s="1"/>
    </row>
    <row r="1643" spans="12:13" x14ac:dyDescent="0.2">
      <c r="L1643" s="1"/>
      <c r="M1643" s="1"/>
    </row>
    <row r="1644" spans="12:13" x14ac:dyDescent="0.2">
      <c r="L1644" s="1"/>
      <c r="M1644" s="1"/>
    </row>
    <row r="1645" spans="12:13" x14ac:dyDescent="0.2">
      <c r="L1645" s="1"/>
      <c r="M1645" s="1"/>
    </row>
    <row r="1646" spans="12:13" x14ac:dyDescent="0.2">
      <c r="L1646" s="1"/>
      <c r="M1646" s="1"/>
    </row>
    <row r="1647" spans="12:13" x14ac:dyDescent="0.2">
      <c r="L1647" s="1"/>
      <c r="M1647" s="1"/>
    </row>
    <row r="1648" spans="12:13" x14ac:dyDescent="0.2">
      <c r="L1648" s="1"/>
      <c r="M1648" s="1"/>
    </row>
    <row r="1649" spans="12:13" x14ac:dyDescent="0.2">
      <c r="L1649" s="1"/>
      <c r="M1649" s="1"/>
    </row>
    <row r="1650" spans="12:13" x14ac:dyDescent="0.2">
      <c r="L1650" s="1"/>
      <c r="M1650" s="1"/>
    </row>
    <row r="1651" spans="12:13" x14ac:dyDescent="0.2">
      <c r="L1651" s="1"/>
      <c r="M1651" s="1"/>
    </row>
    <row r="1652" spans="12:13" x14ac:dyDescent="0.2">
      <c r="L1652" s="1"/>
      <c r="M1652" s="1"/>
    </row>
    <row r="1653" spans="12:13" x14ac:dyDescent="0.2">
      <c r="L1653" s="1"/>
      <c r="M1653" s="1"/>
    </row>
    <row r="1654" spans="12:13" x14ac:dyDescent="0.2">
      <c r="L1654" s="1"/>
      <c r="M1654" s="1"/>
    </row>
    <row r="1655" spans="12:13" x14ac:dyDescent="0.2">
      <c r="L1655" s="1"/>
      <c r="M1655" s="1"/>
    </row>
    <row r="1656" spans="12:13" x14ac:dyDescent="0.2">
      <c r="L1656" s="1"/>
      <c r="M1656" s="1"/>
    </row>
    <row r="1657" spans="12:13" x14ac:dyDescent="0.2">
      <c r="L1657" s="1"/>
      <c r="M1657" s="1"/>
    </row>
    <row r="1658" spans="12:13" x14ac:dyDescent="0.2">
      <c r="L1658" s="1"/>
      <c r="M1658" s="1"/>
    </row>
    <row r="1659" spans="12:13" x14ac:dyDescent="0.2">
      <c r="L1659" s="1"/>
      <c r="M1659" s="1"/>
    </row>
    <row r="1660" spans="12:13" x14ac:dyDescent="0.2">
      <c r="L1660" s="1"/>
      <c r="M1660" s="1"/>
    </row>
    <row r="1661" spans="12:13" x14ac:dyDescent="0.2">
      <c r="L1661" s="1"/>
      <c r="M1661" s="1"/>
    </row>
    <row r="1662" spans="12:13" x14ac:dyDescent="0.2">
      <c r="L1662" s="1"/>
      <c r="M1662" s="1"/>
    </row>
    <row r="1663" spans="12:13" x14ac:dyDescent="0.2">
      <c r="L1663" s="1"/>
      <c r="M1663" s="1"/>
    </row>
    <row r="1664" spans="12:13" x14ac:dyDescent="0.2">
      <c r="L1664" s="1"/>
      <c r="M1664" s="1"/>
    </row>
    <row r="1665" spans="12:13" x14ac:dyDescent="0.2">
      <c r="L1665" s="1"/>
      <c r="M1665" s="1"/>
    </row>
    <row r="1666" spans="12:13" x14ac:dyDescent="0.2">
      <c r="L1666" s="1"/>
      <c r="M1666" s="1"/>
    </row>
    <row r="1667" spans="12:13" x14ac:dyDescent="0.2">
      <c r="L1667" s="1"/>
      <c r="M1667" s="1"/>
    </row>
    <row r="1668" spans="12:13" x14ac:dyDescent="0.2">
      <c r="L1668" s="1"/>
      <c r="M1668" s="1"/>
    </row>
    <row r="1669" spans="12:13" x14ac:dyDescent="0.2">
      <c r="L1669" s="1"/>
      <c r="M1669" s="1"/>
    </row>
    <row r="1670" spans="12:13" x14ac:dyDescent="0.2">
      <c r="L1670" s="1"/>
      <c r="M1670" s="1"/>
    </row>
    <row r="1671" spans="12:13" x14ac:dyDescent="0.2">
      <c r="L1671" s="1"/>
      <c r="M1671" s="1"/>
    </row>
    <row r="1672" spans="12:13" x14ac:dyDescent="0.2">
      <c r="L1672" s="1"/>
      <c r="M1672" s="1"/>
    </row>
    <row r="1673" spans="12:13" x14ac:dyDescent="0.2">
      <c r="L1673" s="1"/>
      <c r="M1673" s="1"/>
    </row>
    <row r="1674" spans="12:13" x14ac:dyDescent="0.2">
      <c r="L1674" s="1"/>
      <c r="M1674" s="1"/>
    </row>
    <row r="1675" spans="12:13" x14ac:dyDescent="0.2">
      <c r="L1675" s="1"/>
      <c r="M1675" s="1"/>
    </row>
    <row r="1676" spans="12:13" x14ac:dyDescent="0.2">
      <c r="L1676" s="1"/>
      <c r="M1676" s="1"/>
    </row>
    <row r="1677" spans="12:13" x14ac:dyDescent="0.2">
      <c r="L1677" s="1"/>
      <c r="M1677" s="1"/>
    </row>
    <row r="1678" spans="12:13" x14ac:dyDescent="0.2">
      <c r="L1678" s="1"/>
      <c r="M1678" s="1"/>
    </row>
    <row r="1679" spans="12:13" x14ac:dyDescent="0.2">
      <c r="L1679" s="1"/>
      <c r="M1679" s="1"/>
    </row>
    <row r="1680" spans="12:13" x14ac:dyDescent="0.2">
      <c r="L1680" s="1"/>
      <c r="M1680" s="1"/>
    </row>
    <row r="1681" spans="12:13" x14ac:dyDescent="0.2">
      <c r="L1681" s="1"/>
      <c r="M1681" s="1"/>
    </row>
    <row r="1682" spans="12:13" x14ac:dyDescent="0.2">
      <c r="L1682" s="1"/>
      <c r="M1682" s="1"/>
    </row>
    <row r="1683" spans="12:13" x14ac:dyDescent="0.2">
      <c r="L1683" s="1"/>
      <c r="M1683" s="1"/>
    </row>
    <row r="1684" spans="12:13" x14ac:dyDescent="0.2">
      <c r="L1684" s="1"/>
      <c r="M1684" s="1"/>
    </row>
    <row r="1685" spans="12:13" x14ac:dyDescent="0.2">
      <c r="L1685" s="1"/>
      <c r="M1685" s="1"/>
    </row>
    <row r="1686" spans="12:13" x14ac:dyDescent="0.2">
      <c r="L1686" s="1"/>
      <c r="M1686" s="1"/>
    </row>
    <row r="1687" spans="12:13" x14ac:dyDescent="0.2">
      <c r="L1687" s="1"/>
      <c r="M1687" s="1"/>
    </row>
    <row r="1688" spans="12:13" x14ac:dyDescent="0.2">
      <c r="L1688" s="1"/>
      <c r="M1688" s="1"/>
    </row>
    <row r="1689" spans="12:13" x14ac:dyDescent="0.2">
      <c r="L1689" s="1"/>
      <c r="M1689" s="1"/>
    </row>
    <row r="1690" spans="12:13" x14ac:dyDescent="0.2">
      <c r="L1690" s="1"/>
      <c r="M1690" s="1"/>
    </row>
    <row r="1691" spans="12:13" x14ac:dyDescent="0.2">
      <c r="L1691" s="1"/>
      <c r="M1691" s="1"/>
    </row>
    <row r="1692" spans="12:13" x14ac:dyDescent="0.2">
      <c r="L1692" s="1"/>
      <c r="M1692" s="1"/>
    </row>
    <row r="1693" spans="12:13" x14ac:dyDescent="0.2">
      <c r="L1693" s="1"/>
      <c r="M1693" s="1"/>
    </row>
    <row r="1694" spans="12:13" x14ac:dyDescent="0.2">
      <c r="L1694" s="1"/>
      <c r="M1694" s="1"/>
    </row>
    <row r="1695" spans="12:13" x14ac:dyDescent="0.2">
      <c r="L1695" s="1"/>
      <c r="M1695" s="1"/>
    </row>
    <row r="1696" spans="12:13" x14ac:dyDescent="0.2">
      <c r="L1696" s="1"/>
      <c r="M1696" s="1"/>
    </row>
    <row r="1697" spans="12:13" x14ac:dyDescent="0.2">
      <c r="L1697" s="1"/>
      <c r="M1697" s="1"/>
    </row>
    <row r="1698" spans="12:13" x14ac:dyDescent="0.2">
      <c r="L1698" s="1"/>
      <c r="M1698" s="1"/>
    </row>
    <row r="1699" spans="12:13" x14ac:dyDescent="0.2">
      <c r="L1699" s="1"/>
      <c r="M1699" s="1"/>
    </row>
    <row r="1700" spans="12:13" x14ac:dyDescent="0.2">
      <c r="L1700" s="1"/>
      <c r="M1700" s="1"/>
    </row>
    <row r="1701" spans="12:13" x14ac:dyDescent="0.2">
      <c r="L1701" s="1"/>
      <c r="M1701" s="1"/>
    </row>
    <row r="1702" spans="12:13" x14ac:dyDescent="0.2">
      <c r="L1702" s="1"/>
      <c r="M1702" s="1"/>
    </row>
    <row r="1703" spans="12:13" x14ac:dyDescent="0.2">
      <c r="L1703" s="1"/>
      <c r="M1703" s="1"/>
    </row>
    <row r="1704" spans="12:13" x14ac:dyDescent="0.2">
      <c r="L1704" s="1"/>
      <c r="M1704" s="1"/>
    </row>
    <row r="1705" spans="12:13" x14ac:dyDescent="0.2">
      <c r="L1705" s="1"/>
      <c r="M1705" s="1"/>
    </row>
    <row r="1706" spans="12:13" x14ac:dyDescent="0.2">
      <c r="L1706" s="1"/>
      <c r="M1706" s="1"/>
    </row>
    <row r="1707" spans="12:13" x14ac:dyDescent="0.2">
      <c r="L1707" s="1"/>
      <c r="M1707" s="1"/>
    </row>
    <row r="1708" spans="12:13" x14ac:dyDescent="0.2">
      <c r="L1708" s="1"/>
      <c r="M1708" s="1"/>
    </row>
    <row r="1709" spans="12:13" x14ac:dyDescent="0.2">
      <c r="L1709" s="1"/>
      <c r="M1709" s="1"/>
    </row>
    <row r="1710" spans="12:13" x14ac:dyDescent="0.2">
      <c r="L1710" s="1"/>
      <c r="M1710" s="1"/>
    </row>
    <row r="1711" spans="12:13" x14ac:dyDescent="0.2">
      <c r="L1711" s="1"/>
      <c r="M1711" s="1"/>
    </row>
    <row r="1712" spans="12:13" x14ac:dyDescent="0.2">
      <c r="L1712" s="1"/>
      <c r="M1712" s="1"/>
    </row>
    <row r="1713" spans="12:13" x14ac:dyDescent="0.2">
      <c r="L1713" s="1"/>
      <c r="M1713" s="1"/>
    </row>
    <row r="1714" spans="12:13" x14ac:dyDescent="0.2">
      <c r="L1714" s="1"/>
      <c r="M1714" s="1"/>
    </row>
    <row r="1715" spans="12:13" x14ac:dyDescent="0.2">
      <c r="L1715" s="1"/>
      <c r="M1715" s="1"/>
    </row>
    <row r="1716" spans="12:13" x14ac:dyDescent="0.2">
      <c r="L1716" s="1"/>
      <c r="M1716" s="1"/>
    </row>
    <row r="1717" spans="12:13" x14ac:dyDescent="0.2">
      <c r="L1717" s="1"/>
      <c r="M1717" s="1"/>
    </row>
    <row r="1718" spans="12:13" x14ac:dyDescent="0.2">
      <c r="L1718" s="1"/>
      <c r="M1718" s="1"/>
    </row>
    <row r="1719" spans="12:13" x14ac:dyDescent="0.2">
      <c r="L1719" s="1"/>
      <c r="M1719" s="1"/>
    </row>
    <row r="1720" spans="12:13" x14ac:dyDescent="0.2">
      <c r="L1720" s="1"/>
      <c r="M1720" s="1"/>
    </row>
    <row r="1721" spans="12:13" x14ac:dyDescent="0.2">
      <c r="L1721" s="1"/>
      <c r="M1721" s="1"/>
    </row>
    <row r="1722" spans="12:13" x14ac:dyDescent="0.2">
      <c r="L1722" s="1"/>
      <c r="M1722" s="1"/>
    </row>
    <row r="1723" spans="12:13" x14ac:dyDescent="0.2">
      <c r="L1723" s="1"/>
      <c r="M1723" s="1"/>
    </row>
    <row r="1724" spans="12:13" x14ac:dyDescent="0.2">
      <c r="L1724" s="1"/>
      <c r="M1724" s="1"/>
    </row>
    <row r="1725" spans="12:13" x14ac:dyDescent="0.2">
      <c r="L1725" s="1"/>
      <c r="M1725" s="1"/>
    </row>
    <row r="1726" spans="12:13" x14ac:dyDescent="0.2">
      <c r="L1726" s="1"/>
      <c r="M1726" s="1"/>
    </row>
    <row r="1727" spans="12:13" x14ac:dyDescent="0.2">
      <c r="L1727" s="1"/>
      <c r="M1727" s="1"/>
    </row>
    <row r="1728" spans="12:13" x14ac:dyDescent="0.2">
      <c r="L1728" s="1"/>
      <c r="M1728" s="1"/>
    </row>
    <row r="1729" spans="12:14" x14ac:dyDescent="0.2">
      <c r="L1729" s="1"/>
      <c r="M1729" s="1"/>
    </row>
    <row r="1730" spans="12:14" x14ac:dyDescent="0.2">
      <c r="L1730" s="1"/>
      <c r="M1730" s="1"/>
    </row>
    <row r="1731" spans="12:14" x14ac:dyDescent="0.2">
      <c r="L1731" s="1"/>
      <c r="M1731" s="1"/>
    </row>
    <row r="1732" spans="12:14" x14ac:dyDescent="0.2">
      <c r="L1732" s="1"/>
      <c r="M1732" s="1"/>
    </row>
    <row r="1733" spans="12:14" x14ac:dyDescent="0.2">
      <c r="L1733" s="1"/>
      <c r="M1733" s="1"/>
    </row>
    <row r="1734" spans="12:14" x14ac:dyDescent="0.2">
      <c r="L1734" s="1"/>
      <c r="M1734" s="1"/>
    </row>
    <row r="1735" spans="12:14" x14ac:dyDescent="0.2">
      <c r="L1735" s="1"/>
      <c r="M1735" s="1"/>
    </row>
    <row r="1736" spans="12:14" x14ac:dyDescent="0.2">
      <c r="L1736" s="1"/>
      <c r="M1736" s="1"/>
    </row>
    <row r="1737" spans="12:14" x14ac:dyDescent="0.2">
      <c r="L1737" s="1"/>
      <c r="M1737" s="1"/>
    </row>
    <row r="1738" spans="12:14" x14ac:dyDescent="0.2">
      <c r="L1738" s="1"/>
      <c r="M1738" s="1"/>
    </row>
    <row r="1739" spans="12:14" x14ac:dyDescent="0.2">
      <c r="L1739" s="1"/>
      <c r="M1739" s="1"/>
    </row>
    <row r="1740" spans="12:14" x14ac:dyDescent="0.2">
      <c r="L1740" s="1"/>
      <c r="M1740" s="1"/>
    </row>
    <row r="1741" spans="12:14" x14ac:dyDescent="0.2">
      <c r="L1741" s="1"/>
      <c r="M1741" s="1"/>
    </row>
    <row r="1742" spans="12:14" x14ac:dyDescent="0.2">
      <c r="L1742" s="1"/>
      <c r="M1742" s="1"/>
      <c r="N1742" s="1"/>
    </row>
    <row r="1743" spans="12:14" x14ac:dyDescent="0.2">
      <c r="L1743" s="1"/>
      <c r="M1743" s="1"/>
      <c r="N1743" s="1"/>
    </row>
    <row r="1744" spans="12:14" x14ac:dyDescent="0.2">
      <c r="L1744" s="1"/>
      <c r="M1744" s="1"/>
      <c r="N1744" s="1"/>
    </row>
    <row r="1745" spans="12:14" x14ac:dyDescent="0.2">
      <c r="L1745" s="1"/>
      <c r="M1745" s="1"/>
    </row>
    <row r="1746" spans="12:14" x14ac:dyDescent="0.2">
      <c r="L1746" s="1"/>
      <c r="M1746" s="1"/>
      <c r="N1746" s="1"/>
    </row>
    <row r="1747" spans="12:14" x14ac:dyDescent="0.2">
      <c r="L1747" s="1"/>
      <c r="M1747" s="1"/>
    </row>
    <row r="1748" spans="12:14" x14ac:dyDescent="0.2">
      <c r="L1748" s="1"/>
      <c r="M1748" s="1"/>
    </row>
    <row r="1749" spans="12:14" x14ac:dyDescent="0.2">
      <c r="L1749" s="1"/>
      <c r="M1749" s="1"/>
    </row>
    <row r="1750" spans="12:14" x14ac:dyDescent="0.2">
      <c r="L1750" s="1"/>
      <c r="M1750" s="1"/>
    </row>
    <row r="1751" spans="12:14" x14ac:dyDescent="0.2">
      <c r="L1751" s="1"/>
      <c r="M1751" s="1"/>
    </row>
    <row r="1752" spans="12:14" x14ac:dyDescent="0.2">
      <c r="L1752" s="1"/>
      <c r="M1752" s="1"/>
    </row>
    <row r="1753" spans="12:14" x14ac:dyDescent="0.2">
      <c r="L1753" s="1"/>
      <c r="M1753" s="1"/>
    </row>
    <row r="1754" spans="12:14" x14ac:dyDescent="0.2">
      <c r="L1754" s="1"/>
      <c r="M1754" s="1"/>
    </row>
    <row r="1755" spans="12:14" x14ac:dyDescent="0.2">
      <c r="L1755" s="1"/>
      <c r="M1755" s="1"/>
      <c r="N1755" s="1"/>
    </row>
    <row r="1756" spans="12:14" x14ac:dyDescent="0.2">
      <c r="L1756" s="1"/>
      <c r="M1756" s="1"/>
    </row>
    <row r="1757" spans="12:14" x14ac:dyDescent="0.2">
      <c r="L1757" s="1"/>
      <c r="M1757" s="1"/>
    </row>
    <row r="1758" spans="12:14" x14ac:dyDescent="0.2">
      <c r="L1758" s="1"/>
      <c r="M1758" s="1"/>
    </row>
    <row r="1759" spans="12:14" x14ac:dyDescent="0.2">
      <c r="L1759" s="1"/>
      <c r="M1759" s="1"/>
      <c r="N1759" s="1"/>
    </row>
    <row r="1760" spans="12:14" x14ac:dyDescent="0.2">
      <c r="L1760" s="1"/>
      <c r="M1760" s="1"/>
    </row>
    <row r="1761" spans="12:14" x14ac:dyDescent="0.2">
      <c r="L1761" s="1"/>
      <c r="M1761" s="1"/>
    </row>
    <row r="1762" spans="12:14" x14ac:dyDescent="0.2">
      <c r="L1762" s="1"/>
      <c r="M1762" s="1"/>
    </row>
    <row r="1763" spans="12:14" x14ac:dyDescent="0.2">
      <c r="L1763" s="1"/>
      <c r="M1763" s="1"/>
    </row>
    <row r="1764" spans="12:14" x14ac:dyDescent="0.2">
      <c r="L1764" s="1"/>
      <c r="M1764" s="1"/>
    </row>
    <row r="1765" spans="12:14" x14ac:dyDescent="0.2">
      <c r="L1765" s="1"/>
      <c r="M1765" s="1"/>
    </row>
    <row r="1766" spans="12:14" x14ac:dyDescent="0.2">
      <c r="L1766" s="1"/>
      <c r="M1766" s="1"/>
      <c r="N1766" s="1"/>
    </row>
    <row r="1767" spans="12:14" x14ac:dyDescent="0.2">
      <c r="L1767" s="1"/>
      <c r="M1767" s="1"/>
      <c r="N1767" s="1"/>
    </row>
    <row r="1768" spans="12:14" x14ac:dyDescent="0.2">
      <c r="L1768" s="1"/>
      <c r="M1768" s="1"/>
      <c r="N1768" s="1"/>
    </row>
    <row r="1769" spans="12:14" x14ac:dyDescent="0.2">
      <c r="L1769" s="1"/>
      <c r="M1769" s="1"/>
    </row>
    <row r="1770" spans="12:14" x14ac:dyDescent="0.2">
      <c r="L1770" s="1"/>
      <c r="M1770" s="1"/>
    </row>
    <row r="1771" spans="12:14" x14ac:dyDescent="0.2">
      <c r="L1771" s="1"/>
      <c r="M1771" s="1"/>
    </row>
    <row r="1772" spans="12:14" x14ac:dyDescent="0.2">
      <c r="L1772" s="1"/>
      <c r="M1772" s="1"/>
    </row>
    <row r="1773" spans="12:14" x14ac:dyDescent="0.2">
      <c r="L1773" s="1"/>
      <c r="M1773" s="1"/>
    </row>
    <row r="1774" spans="12:14" x14ac:dyDescent="0.2">
      <c r="L1774" s="1"/>
      <c r="M1774" s="1"/>
    </row>
    <row r="1775" spans="12:14" x14ac:dyDescent="0.2">
      <c r="L1775" s="1"/>
      <c r="M1775" s="1"/>
      <c r="N1775" s="1"/>
    </row>
    <row r="1776" spans="12:14" x14ac:dyDescent="0.2">
      <c r="L1776" s="1"/>
      <c r="M1776" s="1"/>
    </row>
    <row r="1777" spans="12:14" x14ac:dyDescent="0.2">
      <c r="L1777" s="1"/>
      <c r="M1777" s="1"/>
    </row>
    <row r="1778" spans="12:14" x14ac:dyDescent="0.2">
      <c r="L1778" s="1"/>
      <c r="M1778" s="1"/>
    </row>
    <row r="1779" spans="12:14" x14ac:dyDescent="0.2">
      <c r="L1779" s="1"/>
      <c r="M1779" s="1"/>
    </row>
    <row r="1780" spans="12:14" x14ac:dyDescent="0.2">
      <c r="L1780" s="1"/>
      <c r="M1780" s="1"/>
    </row>
    <row r="1781" spans="12:14" x14ac:dyDescent="0.2">
      <c r="L1781" s="1"/>
      <c r="M1781" s="1"/>
    </row>
    <row r="1782" spans="12:14" x14ac:dyDescent="0.2">
      <c r="L1782" s="1"/>
      <c r="M1782" s="1"/>
    </row>
    <row r="1783" spans="12:14" x14ac:dyDescent="0.2">
      <c r="L1783" s="1"/>
      <c r="M1783" s="1"/>
    </row>
    <row r="1784" spans="12:14" x14ac:dyDescent="0.2">
      <c r="L1784" s="1"/>
      <c r="M1784" s="1"/>
    </row>
    <row r="1785" spans="12:14" x14ac:dyDescent="0.2">
      <c r="L1785" s="1"/>
      <c r="M1785" s="1"/>
    </row>
    <row r="1786" spans="12:14" x14ac:dyDescent="0.2">
      <c r="L1786" s="1"/>
      <c r="M1786" s="1"/>
    </row>
    <row r="1787" spans="12:14" x14ac:dyDescent="0.2">
      <c r="L1787" s="1"/>
      <c r="M1787" s="1"/>
      <c r="N1787" s="1"/>
    </row>
    <row r="1788" spans="12:14" x14ac:dyDescent="0.2">
      <c r="L1788" s="1"/>
      <c r="M1788" s="1"/>
    </row>
    <row r="1789" spans="12:14" x14ac:dyDescent="0.2">
      <c r="L1789" s="1"/>
      <c r="M1789" s="1"/>
      <c r="N1789" s="1"/>
    </row>
    <row r="1790" spans="12:14" x14ac:dyDescent="0.2">
      <c r="L1790" s="1"/>
      <c r="M1790" s="1"/>
      <c r="N1790" s="1"/>
    </row>
    <row r="1791" spans="12:14" x14ac:dyDescent="0.2">
      <c r="L1791" s="1"/>
      <c r="M1791" s="1"/>
      <c r="N1791" s="1"/>
    </row>
    <row r="1792" spans="12:14" x14ac:dyDescent="0.2">
      <c r="L1792" s="1"/>
      <c r="M1792" s="1"/>
      <c r="N1792" s="1"/>
    </row>
    <row r="1793" spans="12:14" x14ac:dyDescent="0.2">
      <c r="L1793" s="1"/>
      <c r="M1793" s="1"/>
      <c r="N1793" s="1"/>
    </row>
    <row r="1794" spans="12:14" x14ac:dyDescent="0.2">
      <c r="L1794" s="1"/>
      <c r="M1794" s="1"/>
      <c r="N1794" s="1"/>
    </row>
    <row r="1795" spans="12:14" x14ac:dyDescent="0.2">
      <c r="L1795" s="1"/>
      <c r="M1795" s="1"/>
    </row>
    <row r="1796" spans="12:14" x14ac:dyDescent="0.2">
      <c r="L1796" s="1"/>
      <c r="M1796" s="1"/>
    </row>
    <row r="1797" spans="12:14" x14ac:dyDescent="0.2">
      <c r="L1797" s="1"/>
      <c r="M1797" s="1"/>
    </row>
    <row r="1798" spans="12:14" x14ac:dyDescent="0.2">
      <c r="L1798" s="1"/>
      <c r="M1798" s="1"/>
    </row>
    <row r="1799" spans="12:14" x14ac:dyDescent="0.2">
      <c r="L1799" s="1"/>
      <c r="M1799" s="1"/>
      <c r="N1799" s="1"/>
    </row>
    <row r="1800" spans="12:14" x14ac:dyDescent="0.2">
      <c r="L1800" s="1"/>
      <c r="M1800" s="1"/>
    </row>
    <row r="1801" spans="12:14" x14ac:dyDescent="0.2">
      <c r="L1801" s="1"/>
      <c r="M1801" s="1"/>
    </row>
    <row r="1802" spans="12:14" x14ac:dyDescent="0.2">
      <c r="L1802" s="1"/>
      <c r="M1802" s="1"/>
      <c r="N1802" s="1"/>
    </row>
    <row r="1803" spans="12:14" x14ac:dyDescent="0.2">
      <c r="L1803" s="1"/>
      <c r="M1803" s="1"/>
      <c r="N1803" s="1"/>
    </row>
    <row r="1804" spans="12:14" x14ac:dyDescent="0.2">
      <c r="L1804" s="1"/>
      <c r="M1804" s="1"/>
      <c r="N1804" s="1"/>
    </row>
    <row r="1805" spans="12:14" x14ac:dyDescent="0.2">
      <c r="L1805" s="1"/>
      <c r="M1805" s="1"/>
      <c r="N1805" s="1"/>
    </row>
    <row r="1806" spans="12:14" x14ac:dyDescent="0.2">
      <c r="L1806" s="1"/>
      <c r="M1806" s="1"/>
    </row>
    <row r="1807" spans="12:14" x14ac:dyDescent="0.2">
      <c r="L1807" s="1"/>
      <c r="M1807" s="1"/>
      <c r="N1807" s="1"/>
    </row>
    <row r="1808" spans="12:14" x14ac:dyDescent="0.2">
      <c r="L1808" s="1"/>
      <c r="M1808" s="1"/>
      <c r="N1808" s="1"/>
    </row>
    <row r="1809" spans="12:14" x14ac:dyDescent="0.2">
      <c r="L1809" s="1"/>
      <c r="M1809" s="1"/>
      <c r="N1809" s="1"/>
    </row>
    <row r="1810" spans="12:14" x14ac:dyDescent="0.2">
      <c r="L1810" s="1"/>
      <c r="M1810" s="1"/>
      <c r="N1810" s="1"/>
    </row>
    <row r="1811" spans="12:14" x14ac:dyDescent="0.2">
      <c r="L1811" s="1"/>
      <c r="M1811" s="1"/>
      <c r="N1811" s="1"/>
    </row>
    <row r="1812" spans="12:14" x14ac:dyDescent="0.2">
      <c r="L1812" s="1"/>
      <c r="M1812" s="1"/>
      <c r="N1812" s="1"/>
    </row>
    <row r="1813" spans="12:14" x14ac:dyDescent="0.2">
      <c r="L1813" s="1"/>
      <c r="M1813" s="1"/>
      <c r="N1813" s="1"/>
    </row>
    <row r="1814" spans="12:14" x14ac:dyDescent="0.2">
      <c r="L1814" s="1"/>
      <c r="M1814" s="1"/>
      <c r="N1814" s="1"/>
    </row>
    <row r="1815" spans="12:14" x14ac:dyDescent="0.2">
      <c r="L1815" s="1"/>
      <c r="M1815" s="1"/>
      <c r="N1815" s="1"/>
    </row>
    <row r="1816" spans="12:14" x14ac:dyDescent="0.2">
      <c r="L1816" s="1"/>
      <c r="M1816" s="1"/>
      <c r="N1816" s="1"/>
    </row>
    <row r="1817" spans="12:14" x14ac:dyDescent="0.2">
      <c r="L1817" s="1"/>
      <c r="M1817" s="1"/>
      <c r="N1817" s="1"/>
    </row>
    <row r="1818" spans="12:14" x14ac:dyDescent="0.2">
      <c r="L1818" s="1"/>
      <c r="M1818" s="1"/>
      <c r="N1818" s="1"/>
    </row>
    <row r="1819" spans="12:14" x14ac:dyDescent="0.2">
      <c r="L1819" s="1"/>
      <c r="M1819" s="1"/>
      <c r="N1819" s="1"/>
    </row>
    <row r="1820" spans="12:14" x14ac:dyDescent="0.2">
      <c r="L1820" s="1"/>
      <c r="M1820" s="1"/>
      <c r="N1820" s="1"/>
    </row>
    <row r="1821" spans="12:14" x14ac:dyDescent="0.2">
      <c r="L1821" s="1"/>
      <c r="M1821" s="1"/>
      <c r="N1821" s="1"/>
    </row>
    <row r="1822" spans="12:14" x14ac:dyDescent="0.2">
      <c r="L1822" s="1"/>
      <c r="M1822" s="1"/>
      <c r="N1822" s="1"/>
    </row>
    <row r="1823" spans="12:14" x14ac:dyDescent="0.2">
      <c r="L1823" s="1"/>
      <c r="M1823" s="1"/>
      <c r="N1823" s="1"/>
    </row>
    <row r="1824" spans="12:14" x14ac:dyDescent="0.2">
      <c r="L1824" s="1"/>
      <c r="M1824" s="1"/>
    </row>
    <row r="1825" spans="12:14" x14ac:dyDescent="0.2">
      <c r="L1825" s="1"/>
      <c r="M1825" s="1"/>
      <c r="N1825" s="1"/>
    </row>
    <row r="1826" spans="12:14" x14ac:dyDescent="0.2">
      <c r="L1826" s="1"/>
      <c r="M1826" s="1"/>
    </row>
    <row r="1827" spans="12:14" x14ac:dyDescent="0.2">
      <c r="L1827" s="1"/>
      <c r="M1827" s="1"/>
      <c r="N1827" s="1"/>
    </row>
    <row r="1828" spans="12:14" x14ac:dyDescent="0.2">
      <c r="L1828" s="1"/>
      <c r="M1828" s="1"/>
      <c r="N1828" s="1"/>
    </row>
    <row r="1829" spans="12:14" x14ac:dyDescent="0.2">
      <c r="L1829" s="1"/>
      <c r="M1829" s="1"/>
      <c r="N1829" s="1"/>
    </row>
    <row r="1830" spans="12:14" x14ac:dyDescent="0.2">
      <c r="L1830" s="1"/>
      <c r="M1830" s="1"/>
      <c r="N1830" s="1"/>
    </row>
    <row r="1831" spans="12:14" x14ac:dyDescent="0.2">
      <c r="L1831" s="1"/>
      <c r="M1831" s="1"/>
      <c r="N1831" s="1"/>
    </row>
    <row r="1832" spans="12:14" x14ac:dyDescent="0.2">
      <c r="L1832" s="1"/>
      <c r="M1832" s="1"/>
      <c r="N1832" s="1"/>
    </row>
    <row r="1833" spans="12:14" x14ac:dyDescent="0.2">
      <c r="L1833" s="1"/>
      <c r="M1833" s="1"/>
      <c r="N1833" s="1"/>
    </row>
    <row r="1834" spans="12:14" x14ac:dyDescent="0.2">
      <c r="L1834" s="1"/>
      <c r="M1834" s="1"/>
      <c r="N1834" s="1"/>
    </row>
    <row r="1835" spans="12:14" x14ac:dyDescent="0.2">
      <c r="L1835" s="1"/>
      <c r="M1835" s="1"/>
      <c r="N1835" s="1"/>
    </row>
    <row r="1836" spans="12:14" x14ac:dyDescent="0.2">
      <c r="L1836" s="1"/>
      <c r="M1836" s="1"/>
      <c r="N1836" s="1"/>
    </row>
    <row r="1837" spans="12:14" x14ac:dyDescent="0.2">
      <c r="L1837" s="1"/>
      <c r="M1837" s="1"/>
      <c r="N1837" s="1"/>
    </row>
    <row r="1838" spans="12:14" x14ac:dyDescent="0.2">
      <c r="L1838" s="1"/>
      <c r="M1838" s="1"/>
      <c r="N1838" s="1"/>
    </row>
    <row r="1839" spans="12:14" x14ac:dyDescent="0.2">
      <c r="L1839" s="1"/>
      <c r="M1839" s="1"/>
      <c r="N1839" s="1"/>
    </row>
    <row r="1840" spans="12:14" x14ac:dyDescent="0.2">
      <c r="L1840" s="1"/>
      <c r="M1840" s="1"/>
      <c r="N1840" s="1"/>
    </row>
    <row r="1841" spans="12:14" x14ac:dyDescent="0.2">
      <c r="L1841" s="1"/>
      <c r="M1841" s="1"/>
      <c r="N1841" s="1"/>
    </row>
    <row r="1842" spans="12:14" x14ac:dyDescent="0.2">
      <c r="L1842" s="1"/>
      <c r="M1842" s="1"/>
      <c r="N1842" s="1"/>
    </row>
    <row r="1843" spans="12:14" x14ac:dyDescent="0.2">
      <c r="L1843" s="1"/>
      <c r="M1843" s="1"/>
      <c r="N1843" s="1"/>
    </row>
    <row r="1844" spans="12:14" x14ac:dyDescent="0.2">
      <c r="L1844" s="1"/>
      <c r="M1844" s="1"/>
    </row>
    <row r="1845" spans="12:14" x14ac:dyDescent="0.2">
      <c r="L1845" s="1"/>
      <c r="M1845" s="1"/>
      <c r="N1845" s="1"/>
    </row>
    <row r="1846" spans="12:14" x14ac:dyDescent="0.2">
      <c r="L1846" s="1"/>
      <c r="M1846" s="1"/>
      <c r="N1846" s="1"/>
    </row>
    <row r="1847" spans="12:14" x14ac:dyDescent="0.2">
      <c r="L1847" s="1"/>
      <c r="M1847" s="1"/>
      <c r="N1847" s="1"/>
    </row>
    <row r="1848" spans="12:14" x14ac:dyDescent="0.2">
      <c r="L1848" s="1"/>
      <c r="M1848" s="1"/>
      <c r="N1848" s="1"/>
    </row>
    <row r="1849" spans="12:14" x14ac:dyDescent="0.2">
      <c r="L1849" s="1"/>
      <c r="M1849" s="1"/>
      <c r="N1849" s="1"/>
    </row>
    <row r="1850" spans="12:14" x14ac:dyDescent="0.2">
      <c r="L1850" s="1"/>
      <c r="M1850" s="1"/>
      <c r="N1850" s="1"/>
    </row>
    <row r="1851" spans="12:14" x14ac:dyDescent="0.2">
      <c r="L1851" s="1"/>
      <c r="M1851" s="1"/>
    </row>
    <row r="1852" spans="12:14" x14ac:dyDescent="0.2">
      <c r="L1852" s="1"/>
      <c r="M1852" s="1"/>
    </row>
    <row r="1853" spans="12:14" x14ac:dyDescent="0.2">
      <c r="L1853" s="1"/>
      <c r="M1853" s="1"/>
      <c r="N1853" s="1"/>
    </row>
    <row r="1854" spans="12:14" x14ac:dyDescent="0.2">
      <c r="L1854" s="1"/>
      <c r="M1854" s="1"/>
      <c r="N1854" s="1"/>
    </row>
    <row r="1855" spans="12:14" x14ac:dyDescent="0.2">
      <c r="L1855" s="1"/>
      <c r="M1855" s="1"/>
      <c r="N1855" s="1"/>
    </row>
    <row r="1856" spans="12:14" x14ac:dyDescent="0.2">
      <c r="L1856" s="1"/>
      <c r="M1856" s="1"/>
    </row>
    <row r="1857" spans="12:14" x14ac:dyDescent="0.2">
      <c r="L1857" s="1"/>
      <c r="M1857" s="1"/>
      <c r="N1857" s="1"/>
    </row>
    <row r="1858" spans="12:14" x14ac:dyDescent="0.2">
      <c r="L1858" s="1"/>
      <c r="M1858" s="1"/>
      <c r="N1858" s="1"/>
    </row>
    <row r="1859" spans="12:14" x14ac:dyDescent="0.2">
      <c r="L1859" s="1"/>
      <c r="M1859" s="1"/>
      <c r="N1859" s="1"/>
    </row>
    <row r="1860" spans="12:14" x14ac:dyDescent="0.2">
      <c r="L1860" s="1"/>
      <c r="M1860" s="1"/>
      <c r="N1860" s="1"/>
    </row>
    <row r="1861" spans="12:14" x14ac:dyDescent="0.2">
      <c r="L1861" s="1"/>
      <c r="M1861" s="1"/>
      <c r="N1861" s="1"/>
    </row>
    <row r="1862" spans="12:14" x14ac:dyDescent="0.2">
      <c r="L1862" s="1"/>
      <c r="M1862" s="1"/>
      <c r="N1862" s="1"/>
    </row>
    <row r="1863" spans="12:14" x14ac:dyDescent="0.2">
      <c r="L1863" s="1"/>
      <c r="M1863" s="1"/>
      <c r="N1863" s="1"/>
    </row>
    <row r="1864" spans="12:14" x14ac:dyDescent="0.2">
      <c r="L1864" s="1"/>
      <c r="M1864" s="1"/>
      <c r="N1864" s="1"/>
    </row>
    <row r="1865" spans="12:14" x14ac:dyDescent="0.2">
      <c r="L1865" s="1"/>
      <c r="M1865" s="1"/>
      <c r="N1865" s="1"/>
    </row>
    <row r="1866" spans="12:14" x14ac:dyDescent="0.2">
      <c r="L1866" s="1"/>
      <c r="M1866" s="1"/>
      <c r="N1866" s="1"/>
    </row>
    <row r="1867" spans="12:14" x14ac:dyDescent="0.2">
      <c r="L1867" s="1"/>
      <c r="M1867" s="1"/>
      <c r="N1867" s="1"/>
    </row>
    <row r="1868" spans="12:14" x14ac:dyDescent="0.2">
      <c r="L1868" s="1"/>
      <c r="M1868" s="1"/>
      <c r="N1868" s="1"/>
    </row>
    <row r="1869" spans="12:14" x14ac:dyDescent="0.2">
      <c r="L1869" s="1"/>
      <c r="M1869" s="1"/>
      <c r="N1869" s="1"/>
    </row>
    <row r="1870" spans="12:14" x14ac:dyDescent="0.2">
      <c r="L1870" s="1"/>
      <c r="M1870" s="1"/>
      <c r="N1870" s="1"/>
    </row>
    <row r="1871" spans="12:14" x14ac:dyDescent="0.2">
      <c r="L1871" s="1"/>
      <c r="M1871" s="1"/>
      <c r="N1871" s="1"/>
    </row>
    <row r="1872" spans="12:14" x14ac:dyDescent="0.2">
      <c r="L1872" s="1"/>
      <c r="M1872" s="1"/>
      <c r="N1872" s="1"/>
    </row>
    <row r="1873" spans="12:14" x14ac:dyDescent="0.2">
      <c r="L1873" s="1"/>
      <c r="M1873" s="1"/>
      <c r="N1873" s="1"/>
    </row>
    <row r="1874" spans="12:14" x14ac:dyDescent="0.2">
      <c r="L1874" s="1"/>
      <c r="M1874" s="1"/>
      <c r="N1874" s="1"/>
    </row>
    <row r="1875" spans="12:14" x14ac:dyDescent="0.2">
      <c r="L1875" s="1"/>
      <c r="M1875" s="1"/>
    </row>
    <row r="1876" spans="12:14" x14ac:dyDescent="0.2">
      <c r="L1876" s="1"/>
      <c r="M1876" s="1"/>
      <c r="N1876" s="1"/>
    </row>
    <row r="1877" spans="12:14" x14ac:dyDescent="0.2">
      <c r="L1877" s="1"/>
      <c r="M1877" s="1"/>
      <c r="N1877" s="1"/>
    </row>
    <row r="1878" spans="12:14" x14ac:dyDescent="0.2">
      <c r="L1878" s="1"/>
      <c r="M1878" s="1"/>
      <c r="N1878" s="1"/>
    </row>
    <row r="1879" spans="12:14" x14ac:dyDescent="0.2">
      <c r="L1879" s="1"/>
      <c r="M1879" s="1"/>
      <c r="N1879" s="1"/>
    </row>
    <row r="1880" spans="12:14" x14ac:dyDescent="0.2">
      <c r="L1880" s="1"/>
      <c r="M1880" s="1"/>
      <c r="N1880" s="1"/>
    </row>
    <row r="1881" spans="12:14" x14ac:dyDescent="0.2">
      <c r="L1881" s="1"/>
      <c r="M1881" s="1"/>
      <c r="N1881" s="1"/>
    </row>
    <row r="1882" spans="12:14" x14ac:dyDescent="0.2">
      <c r="L1882" s="1"/>
      <c r="M1882" s="1"/>
      <c r="N1882" s="1"/>
    </row>
    <row r="1883" spans="12:14" x14ac:dyDescent="0.2">
      <c r="L1883" s="1"/>
      <c r="M1883" s="1"/>
      <c r="N1883" s="1"/>
    </row>
    <row r="1884" spans="12:14" x14ac:dyDescent="0.2">
      <c r="L1884" s="1"/>
      <c r="M1884" s="1"/>
      <c r="N1884" s="1"/>
    </row>
    <row r="1885" spans="12:14" x14ac:dyDescent="0.2">
      <c r="L1885" s="1"/>
      <c r="M1885" s="1"/>
      <c r="N1885" s="1"/>
    </row>
    <row r="1886" spans="12:14" x14ac:dyDescent="0.2">
      <c r="L1886" s="1"/>
      <c r="M1886" s="1"/>
      <c r="N1886" s="1"/>
    </row>
    <row r="1887" spans="12:14" x14ac:dyDescent="0.2">
      <c r="L1887" s="1"/>
      <c r="M1887" s="1"/>
      <c r="N1887" s="1"/>
    </row>
    <row r="1888" spans="12:14" x14ac:dyDescent="0.2">
      <c r="L1888" s="1"/>
      <c r="M1888" s="1"/>
      <c r="N1888" s="1"/>
    </row>
    <row r="1889" spans="12:14" x14ac:dyDescent="0.2">
      <c r="L1889" s="1"/>
      <c r="M1889" s="1"/>
      <c r="N1889" s="1"/>
    </row>
    <row r="1890" spans="12:14" x14ac:dyDescent="0.2">
      <c r="L1890" s="1"/>
      <c r="M1890" s="1"/>
      <c r="N1890" s="1"/>
    </row>
    <row r="1891" spans="12:14" x14ac:dyDescent="0.2">
      <c r="L1891" s="1"/>
      <c r="M1891" s="1"/>
      <c r="N1891" s="1"/>
    </row>
    <row r="1892" spans="12:14" x14ac:dyDescent="0.2">
      <c r="L1892" s="1"/>
      <c r="M1892" s="1"/>
      <c r="N1892" s="1"/>
    </row>
    <row r="1893" spans="12:14" x14ac:dyDescent="0.2">
      <c r="L1893" s="1"/>
      <c r="M1893" s="1"/>
      <c r="N1893" s="1"/>
    </row>
    <row r="1894" spans="12:14" x14ac:dyDescent="0.2">
      <c r="L1894" s="1"/>
      <c r="M1894" s="1"/>
      <c r="N1894" s="1"/>
    </row>
    <row r="1895" spans="12:14" x14ac:dyDescent="0.2">
      <c r="L1895" s="1"/>
      <c r="M1895" s="1"/>
      <c r="N1895" s="1"/>
    </row>
    <row r="1896" spans="12:14" x14ac:dyDescent="0.2">
      <c r="L1896" s="1"/>
      <c r="M1896" s="1"/>
      <c r="N1896" s="1"/>
    </row>
    <row r="1897" spans="12:14" x14ac:dyDescent="0.2">
      <c r="L1897" s="1"/>
      <c r="M1897" s="1"/>
      <c r="N1897" s="1"/>
    </row>
    <row r="1898" spans="12:14" x14ac:dyDescent="0.2">
      <c r="L1898" s="1"/>
      <c r="M1898" s="1"/>
      <c r="N1898" s="1"/>
    </row>
    <row r="1899" spans="12:14" x14ac:dyDescent="0.2">
      <c r="L1899" s="1"/>
      <c r="M1899" s="1"/>
      <c r="N1899" s="1"/>
    </row>
    <row r="1900" spans="12:14" x14ac:dyDescent="0.2">
      <c r="L1900" s="1"/>
      <c r="M1900" s="1"/>
      <c r="N1900" s="1"/>
    </row>
    <row r="1901" spans="12:14" x14ac:dyDescent="0.2">
      <c r="L1901" s="1"/>
      <c r="M1901" s="1"/>
      <c r="N1901" s="1"/>
    </row>
    <row r="1902" spans="12:14" x14ac:dyDescent="0.2">
      <c r="L1902" s="1"/>
      <c r="M1902" s="1"/>
      <c r="N1902" s="1"/>
    </row>
    <row r="1903" spans="12:14" x14ac:dyDescent="0.2">
      <c r="L1903" s="1"/>
      <c r="M1903" s="1"/>
      <c r="N1903" s="1"/>
    </row>
    <row r="1904" spans="12:14" x14ac:dyDescent="0.2">
      <c r="L1904" s="1"/>
      <c r="M1904" s="1"/>
      <c r="N1904" s="1"/>
    </row>
    <row r="1905" spans="12:14" x14ac:dyDescent="0.2">
      <c r="L1905" s="1"/>
      <c r="M1905" s="1"/>
      <c r="N1905" s="1"/>
    </row>
    <row r="1906" spans="12:14" x14ac:dyDescent="0.2">
      <c r="L1906" s="1"/>
      <c r="M1906" s="1"/>
      <c r="N1906" s="1"/>
    </row>
    <row r="1907" spans="12:14" x14ac:dyDescent="0.2">
      <c r="L1907" s="1"/>
      <c r="M1907" s="1"/>
      <c r="N1907" s="1"/>
    </row>
    <row r="1908" spans="12:14" x14ac:dyDescent="0.2">
      <c r="L1908" s="1"/>
      <c r="M1908" s="1"/>
      <c r="N1908" s="1"/>
    </row>
    <row r="1909" spans="12:14" x14ac:dyDescent="0.2">
      <c r="L1909" s="1"/>
      <c r="M1909" s="1"/>
      <c r="N1909" s="1"/>
    </row>
    <row r="1910" spans="12:14" x14ac:dyDescent="0.2">
      <c r="L1910" s="1"/>
      <c r="M1910" s="1"/>
      <c r="N1910" s="1"/>
    </row>
    <row r="1911" spans="12:14" x14ac:dyDescent="0.2">
      <c r="L1911" s="1"/>
      <c r="M1911" s="1"/>
      <c r="N1911" s="1"/>
    </row>
    <row r="1912" spans="12:14" x14ac:dyDescent="0.2">
      <c r="L1912" s="1"/>
      <c r="M1912" s="1"/>
      <c r="N1912" s="1"/>
    </row>
    <row r="1913" spans="12:14" x14ac:dyDescent="0.2">
      <c r="L1913" s="1"/>
      <c r="M1913" s="1"/>
      <c r="N1913" s="1"/>
    </row>
    <row r="1914" spans="12:14" x14ac:dyDescent="0.2">
      <c r="L1914" s="1"/>
      <c r="M1914" s="1"/>
      <c r="N1914" s="1"/>
    </row>
    <row r="1915" spans="12:14" x14ac:dyDescent="0.2">
      <c r="L1915" s="1"/>
      <c r="M1915" s="1"/>
      <c r="N1915" s="1"/>
    </row>
    <row r="1916" spans="12:14" x14ac:dyDescent="0.2">
      <c r="L1916" s="1"/>
      <c r="M1916" s="1"/>
      <c r="N1916" s="1"/>
    </row>
    <row r="1917" spans="12:14" x14ac:dyDescent="0.2">
      <c r="L1917" s="1"/>
      <c r="M1917" s="1"/>
      <c r="N1917" s="1"/>
    </row>
    <row r="1918" spans="12:14" x14ac:dyDescent="0.2">
      <c r="L1918" s="1"/>
      <c r="M1918" s="1"/>
      <c r="N1918" s="1"/>
    </row>
    <row r="1919" spans="12:14" x14ac:dyDescent="0.2">
      <c r="L1919" s="1"/>
      <c r="M1919" s="1"/>
      <c r="N1919" s="1"/>
    </row>
    <row r="1920" spans="12:14" x14ac:dyDescent="0.2">
      <c r="L1920" s="1"/>
      <c r="M1920" s="1"/>
      <c r="N1920" s="1"/>
    </row>
    <row r="1921" spans="12:14" x14ac:dyDescent="0.2">
      <c r="L1921" s="1"/>
      <c r="M1921" s="1"/>
      <c r="N1921" s="1"/>
    </row>
    <row r="1922" spans="12:14" x14ac:dyDescent="0.2">
      <c r="L1922" s="1"/>
      <c r="M1922" s="1"/>
      <c r="N1922" s="1"/>
    </row>
    <row r="1923" spans="12:14" x14ac:dyDescent="0.2">
      <c r="L1923" s="1"/>
      <c r="M1923" s="1"/>
      <c r="N1923" s="1"/>
    </row>
    <row r="1924" spans="12:14" x14ac:dyDescent="0.2">
      <c r="L1924" s="1"/>
      <c r="M1924" s="1"/>
      <c r="N1924" s="1"/>
    </row>
    <row r="1925" spans="12:14" x14ac:dyDescent="0.2">
      <c r="L1925" s="1"/>
      <c r="M1925" s="1"/>
      <c r="N1925" s="1"/>
    </row>
    <row r="1926" spans="12:14" x14ac:dyDescent="0.2">
      <c r="L1926" s="1"/>
      <c r="M1926" s="1"/>
      <c r="N1926" s="1"/>
    </row>
    <row r="1927" spans="12:14" x14ac:dyDescent="0.2">
      <c r="L1927" s="1"/>
      <c r="M1927" s="1"/>
      <c r="N1927" s="1"/>
    </row>
    <row r="1928" spans="12:14" x14ac:dyDescent="0.2">
      <c r="L1928" s="1"/>
      <c r="M1928" s="1"/>
      <c r="N1928" s="1"/>
    </row>
    <row r="1929" spans="12:14" x14ac:dyDescent="0.2">
      <c r="L1929" s="1"/>
      <c r="M1929" s="1"/>
      <c r="N1929" s="1"/>
    </row>
    <row r="1930" spans="12:14" x14ac:dyDescent="0.2">
      <c r="L1930" s="1"/>
      <c r="M1930" s="1"/>
      <c r="N1930" s="1"/>
    </row>
    <row r="1931" spans="12:14" x14ac:dyDescent="0.2">
      <c r="L1931" s="1"/>
      <c r="M1931" s="1"/>
      <c r="N1931" s="1"/>
    </row>
    <row r="1932" spans="12:14" x14ac:dyDescent="0.2">
      <c r="L1932" s="1"/>
      <c r="M1932" s="1"/>
      <c r="N1932" s="1"/>
    </row>
    <row r="1933" spans="12:14" x14ac:dyDescent="0.2">
      <c r="L1933" s="1"/>
      <c r="M1933" s="1"/>
      <c r="N1933" s="1"/>
    </row>
    <row r="1934" spans="12:14" x14ac:dyDescent="0.2">
      <c r="L1934" s="1"/>
      <c r="M1934" s="1"/>
      <c r="N1934" s="1"/>
    </row>
    <row r="1935" spans="12:14" x14ac:dyDescent="0.2">
      <c r="L1935" s="1"/>
      <c r="M1935" s="1"/>
      <c r="N1935" s="1"/>
    </row>
    <row r="1936" spans="12:14" x14ac:dyDescent="0.2">
      <c r="L1936" s="1"/>
      <c r="M1936" s="1"/>
      <c r="N1936" s="1"/>
    </row>
    <row r="1937" spans="12:14" x14ac:dyDescent="0.2">
      <c r="L1937" s="1"/>
      <c r="M1937" s="1"/>
      <c r="N1937" s="1"/>
    </row>
    <row r="1938" spans="12:14" x14ac:dyDescent="0.2">
      <c r="L1938" s="1"/>
      <c r="M1938" s="1"/>
      <c r="N1938" s="1"/>
    </row>
    <row r="1939" spans="12:14" x14ac:dyDescent="0.2">
      <c r="L1939" s="1"/>
      <c r="M1939" s="1"/>
      <c r="N1939" s="1"/>
    </row>
    <row r="1940" spans="12:14" x14ac:dyDescent="0.2">
      <c r="L1940" s="1"/>
      <c r="M1940" s="1"/>
      <c r="N1940" s="1"/>
    </row>
    <row r="1941" spans="12:14" x14ac:dyDescent="0.2">
      <c r="L1941" s="1"/>
      <c r="M1941" s="1"/>
      <c r="N1941" s="1"/>
    </row>
    <row r="1942" spans="12:14" x14ac:dyDescent="0.2">
      <c r="L1942" s="1"/>
      <c r="M1942" s="1"/>
      <c r="N1942" s="1"/>
    </row>
    <row r="1943" spans="12:14" x14ac:dyDescent="0.2">
      <c r="L1943" s="1"/>
      <c r="M1943" s="1"/>
      <c r="N1943" s="1"/>
    </row>
    <row r="1944" spans="12:14" x14ac:dyDescent="0.2">
      <c r="L1944" s="1"/>
      <c r="M1944" s="1"/>
      <c r="N1944" s="1"/>
    </row>
    <row r="1945" spans="12:14" x14ac:dyDescent="0.2">
      <c r="L1945" s="1"/>
      <c r="M1945" s="1"/>
      <c r="N1945" s="1"/>
    </row>
    <row r="1946" spans="12:14" x14ac:dyDescent="0.2">
      <c r="L1946" s="1"/>
      <c r="M1946" s="1"/>
      <c r="N1946" s="1"/>
    </row>
    <row r="1947" spans="12:14" x14ac:dyDescent="0.2">
      <c r="L1947" s="1"/>
      <c r="M1947" s="1"/>
      <c r="N1947" s="1"/>
    </row>
    <row r="1948" spans="12:14" x14ac:dyDescent="0.2">
      <c r="L1948" s="1"/>
      <c r="M1948" s="1"/>
      <c r="N1948" s="1"/>
    </row>
    <row r="1949" spans="12:14" x14ac:dyDescent="0.2">
      <c r="L1949" s="1"/>
      <c r="M1949" s="1"/>
      <c r="N1949" s="1"/>
    </row>
    <row r="1950" spans="12:14" x14ac:dyDescent="0.2">
      <c r="L1950" s="1"/>
      <c r="M1950" s="1"/>
      <c r="N1950" s="1"/>
    </row>
    <row r="1951" spans="12:14" x14ac:dyDescent="0.2">
      <c r="L1951" s="1"/>
      <c r="M1951" s="1"/>
      <c r="N1951" s="1"/>
    </row>
    <row r="1952" spans="12:14" x14ac:dyDescent="0.2">
      <c r="L1952" s="1"/>
      <c r="M1952" s="1"/>
      <c r="N1952" s="1"/>
    </row>
    <row r="1953" spans="12:14" x14ac:dyDescent="0.2">
      <c r="L1953" s="1"/>
      <c r="M1953" s="1"/>
      <c r="N1953" s="1"/>
    </row>
    <row r="1954" spans="12:14" x14ac:dyDescent="0.2">
      <c r="L1954" s="1"/>
      <c r="M1954" s="1"/>
      <c r="N1954" s="1"/>
    </row>
    <row r="1955" spans="12:14" x14ac:dyDescent="0.2">
      <c r="L1955" s="1"/>
      <c r="M1955" s="1"/>
      <c r="N1955" s="1"/>
    </row>
    <row r="1956" spans="12:14" x14ac:dyDescent="0.2">
      <c r="L1956" s="1"/>
      <c r="M1956" s="1"/>
      <c r="N1956" s="1"/>
    </row>
    <row r="1957" spans="12:14" x14ac:dyDescent="0.2">
      <c r="L1957" s="1"/>
      <c r="M1957" s="1"/>
      <c r="N1957" s="1"/>
    </row>
    <row r="1958" spans="12:14" x14ac:dyDescent="0.2">
      <c r="L1958" s="1"/>
      <c r="M1958" s="1"/>
      <c r="N1958" s="1"/>
    </row>
    <row r="1959" spans="12:14" x14ac:dyDescent="0.2">
      <c r="L1959" s="1"/>
      <c r="M1959" s="1"/>
      <c r="N1959" s="1"/>
    </row>
    <row r="1960" spans="12:14" x14ac:dyDescent="0.2">
      <c r="L1960" s="1"/>
      <c r="M1960" s="1"/>
      <c r="N1960" s="1"/>
    </row>
    <row r="1961" spans="12:14" x14ac:dyDescent="0.2">
      <c r="L1961" s="1"/>
      <c r="M1961" s="1"/>
      <c r="N1961" s="1"/>
    </row>
    <row r="1962" spans="12:14" x14ac:dyDescent="0.2">
      <c r="L1962" s="1"/>
      <c r="M1962" s="1"/>
      <c r="N1962" s="1"/>
    </row>
    <row r="1963" spans="12:14" x14ac:dyDescent="0.2">
      <c r="L1963" s="1"/>
      <c r="M1963" s="1"/>
      <c r="N1963" s="1"/>
    </row>
    <row r="1964" spans="12:14" x14ac:dyDescent="0.2">
      <c r="L1964" s="1"/>
      <c r="M1964" s="1"/>
      <c r="N1964" s="1"/>
    </row>
    <row r="1965" spans="12:14" x14ac:dyDescent="0.2">
      <c r="L1965" s="1"/>
      <c r="M1965" s="1"/>
      <c r="N1965" s="1"/>
    </row>
    <row r="1966" spans="12:14" x14ac:dyDescent="0.2">
      <c r="L1966" s="1"/>
      <c r="M1966" s="1"/>
      <c r="N1966" s="1"/>
    </row>
    <row r="1967" spans="12:14" x14ac:dyDescent="0.2">
      <c r="L1967" s="1"/>
      <c r="M1967" s="1"/>
      <c r="N1967" s="1"/>
    </row>
    <row r="1968" spans="12:14" x14ac:dyDescent="0.2">
      <c r="L1968" s="1"/>
      <c r="M1968" s="1"/>
      <c r="N1968" s="1"/>
    </row>
    <row r="1969" spans="12:14" x14ac:dyDescent="0.2">
      <c r="L1969" s="1"/>
      <c r="M1969" s="1"/>
      <c r="N1969" s="1"/>
    </row>
    <row r="1970" spans="12:14" x14ac:dyDescent="0.2">
      <c r="L1970" s="1"/>
      <c r="M1970" s="1"/>
      <c r="N1970" s="1"/>
    </row>
    <row r="1971" spans="12:14" x14ac:dyDescent="0.2">
      <c r="L1971" s="1"/>
      <c r="M1971" s="1"/>
      <c r="N1971" s="1"/>
    </row>
    <row r="1972" spans="12:14" x14ac:dyDescent="0.2">
      <c r="L1972" s="1"/>
      <c r="M1972" s="1"/>
      <c r="N1972" s="1"/>
    </row>
    <row r="1973" spans="12:14" x14ac:dyDescent="0.2">
      <c r="L1973" s="1"/>
      <c r="M1973" s="1"/>
      <c r="N1973" s="1"/>
    </row>
    <row r="1974" spans="12:14" x14ac:dyDescent="0.2">
      <c r="L1974" s="1"/>
      <c r="M1974" s="1"/>
      <c r="N1974" s="1"/>
    </row>
    <row r="1975" spans="12:14" x14ac:dyDescent="0.2">
      <c r="L1975" s="1"/>
      <c r="M1975" s="1"/>
      <c r="N1975" s="1"/>
    </row>
    <row r="1976" spans="12:14" x14ac:dyDescent="0.2">
      <c r="L1976" s="1"/>
      <c r="M1976" s="1"/>
      <c r="N1976" s="1"/>
    </row>
    <row r="1977" spans="12:14" x14ac:dyDescent="0.2">
      <c r="L1977" s="1"/>
      <c r="M1977" s="1"/>
      <c r="N1977" s="1"/>
    </row>
    <row r="1978" spans="12:14" x14ac:dyDescent="0.2">
      <c r="L1978" s="1"/>
      <c r="M1978" s="1"/>
      <c r="N1978" s="1"/>
    </row>
    <row r="1979" spans="12:14" x14ac:dyDescent="0.2">
      <c r="L1979" s="1"/>
      <c r="M1979" s="1"/>
      <c r="N1979" s="1"/>
    </row>
    <row r="1980" spans="12:14" x14ac:dyDescent="0.2">
      <c r="L1980" s="1"/>
      <c r="M1980" s="1"/>
      <c r="N1980" s="1"/>
    </row>
    <row r="1981" spans="12:14" x14ac:dyDescent="0.2">
      <c r="L1981" s="1"/>
      <c r="M1981" s="1"/>
      <c r="N1981" s="1"/>
    </row>
    <row r="1982" spans="12:14" x14ac:dyDescent="0.2">
      <c r="L1982" s="1"/>
      <c r="M1982" s="1"/>
      <c r="N1982" s="1"/>
    </row>
    <row r="1983" spans="12:14" x14ac:dyDescent="0.2">
      <c r="L1983" s="1"/>
      <c r="M1983" s="1"/>
      <c r="N1983" s="1"/>
    </row>
    <row r="1984" spans="12:14" x14ac:dyDescent="0.2">
      <c r="L1984" s="1"/>
      <c r="M1984" s="1"/>
      <c r="N1984" s="1"/>
    </row>
    <row r="1985" spans="12:14" x14ac:dyDescent="0.2">
      <c r="L1985" s="1"/>
      <c r="M1985" s="1"/>
      <c r="N1985" s="1"/>
    </row>
    <row r="1986" spans="12:14" x14ac:dyDescent="0.2">
      <c r="L1986" s="1"/>
      <c r="M1986" s="1"/>
      <c r="N1986" s="1"/>
    </row>
    <row r="1987" spans="12:14" x14ac:dyDescent="0.2">
      <c r="L1987" s="1"/>
      <c r="M1987" s="1"/>
      <c r="N1987" s="1"/>
    </row>
    <row r="1988" spans="12:14" x14ac:dyDescent="0.2">
      <c r="L1988" s="1"/>
      <c r="M1988" s="1"/>
      <c r="N1988" s="1"/>
    </row>
    <row r="1989" spans="12:14" x14ac:dyDescent="0.2">
      <c r="L1989" s="1"/>
      <c r="M1989" s="1"/>
      <c r="N1989" s="1"/>
    </row>
    <row r="1990" spans="12:14" x14ac:dyDescent="0.2">
      <c r="L1990" s="1"/>
      <c r="M1990" s="1"/>
      <c r="N1990" s="1"/>
    </row>
    <row r="1991" spans="12:14" x14ac:dyDescent="0.2">
      <c r="L1991" s="1"/>
      <c r="M1991" s="1"/>
      <c r="N1991" s="1"/>
    </row>
    <row r="1992" spans="12:14" x14ac:dyDescent="0.2">
      <c r="L1992" s="1"/>
      <c r="M1992" s="1"/>
      <c r="N1992" s="1"/>
    </row>
    <row r="1993" spans="12:14" x14ac:dyDescent="0.2">
      <c r="L1993" s="1"/>
      <c r="M1993" s="1"/>
      <c r="N1993" s="1"/>
    </row>
    <row r="1994" spans="12:14" x14ac:dyDescent="0.2">
      <c r="L1994" s="1"/>
      <c r="M1994" s="1"/>
      <c r="N1994" s="1"/>
    </row>
    <row r="1995" spans="12:14" x14ac:dyDescent="0.2">
      <c r="L1995" s="1"/>
      <c r="M1995" s="1"/>
      <c r="N1995" s="1"/>
    </row>
    <row r="1996" spans="12:14" x14ac:dyDescent="0.2">
      <c r="L1996" s="1"/>
      <c r="M1996" s="1"/>
      <c r="N1996" s="1"/>
    </row>
    <row r="1997" spans="12:14" x14ac:dyDescent="0.2">
      <c r="L1997" s="1"/>
      <c r="M1997" s="1"/>
      <c r="N1997" s="1"/>
    </row>
    <row r="1998" spans="12:14" x14ac:dyDescent="0.2">
      <c r="L1998" s="1"/>
      <c r="M1998" s="1"/>
      <c r="N1998" s="1"/>
    </row>
    <row r="1999" spans="12:14" x14ac:dyDescent="0.2">
      <c r="L1999" s="1"/>
      <c r="M1999" s="1"/>
      <c r="N1999" s="1"/>
    </row>
    <row r="2000" spans="12:14" x14ac:dyDescent="0.2">
      <c r="L2000" s="1"/>
      <c r="M2000" s="1"/>
      <c r="N2000" s="1"/>
    </row>
    <row r="2001" spans="12:14" x14ac:dyDescent="0.2">
      <c r="L2001" s="1"/>
      <c r="M2001" s="1"/>
      <c r="N2001" s="1"/>
    </row>
    <row r="2002" spans="12:14" x14ac:dyDescent="0.2">
      <c r="L2002" s="1"/>
      <c r="M2002" s="1"/>
      <c r="N2002" s="1"/>
    </row>
    <row r="2003" spans="12:14" x14ac:dyDescent="0.2">
      <c r="L2003" s="1"/>
      <c r="M2003" s="1"/>
      <c r="N2003" s="1"/>
    </row>
    <row r="2004" spans="12:14" x14ac:dyDescent="0.2">
      <c r="L2004" s="1"/>
      <c r="M2004" s="1"/>
      <c r="N2004" s="1"/>
    </row>
    <row r="2005" spans="12:14" x14ac:dyDescent="0.2">
      <c r="L2005" s="1"/>
      <c r="M2005" s="1"/>
      <c r="N2005" s="1"/>
    </row>
    <row r="2006" spans="12:14" x14ac:dyDescent="0.2">
      <c r="L2006" s="1"/>
      <c r="M2006" s="1"/>
      <c r="N2006" s="1"/>
    </row>
    <row r="2007" spans="12:14" x14ac:dyDescent="0.2">
      <c r="L2007" s="1"/>
      <c r="M2007" s="1"/>
      <c r="N2007" s="1"/>
    </row>
    <row r="2008" spans="12:14" x14ac:dyDescent="0.2">
      <c r="L2008" s="1"/>
      <c r="M2008" s="1"/>
      <c r="N2008" s="1"/>
    </row>
    <row r="2009" spans="12:14" x14ac:dyDescent="0.2">
      <c r="L2009" s="1"/>
      <c r="M2009" s="1"/>
      <c r="N2009" s="1"/>
    </row>
    <row r="2010" spans="12:14" x14ac:dyDescent="0.2">
      <c r="L2010" s="1"/>
      <c r="M2010" s="1"/>
      <c r="N2010" s="1"/>
    </row>
    <row r="2011" spans="12:14" x14ac:dyDescent="0.2">
      <c r="L2011" s="1"/>
      <c r="M2011" s="1"/>
      <c r="N2011" s="1"/>
    </row>
    <row r="2012" spans="12:14" x14ac:dyDescent="0.2">
      <c r="L2012" s="1"/>
      <c r="M2012" s="1"/>
      <c r="N2012" s="1"/>
    </row>
    <row r="2013" spans="12:14" x14ac:dyDescent="0.2">
      <c r="L2013" s="1"/>
      <c r="M2013" s="1"/>
      <c r="N2013" s="1"/>
    </row>
    <row r="2014" spans="12:14" x14ac:dyDescent="0.2">
      <c r="L2014" s="1"/>
      <c r="M2014" s="1"/>
      <c r="N2014" s="1"/>
    </row>
    <row r="2015" spans="12:14" x14ac:dyDescent="0.2">
      <c r="L2015" s="1"/>
      <c r="M2015" s="1"/>
      <c r="N2015" s="1"/>
    </row>
    <row r="2016" spans="12:14" x14ac:dyDescent="0.2">
      <c r="L2016" s="1"/>
      <c r="M2016" s="1"/>
      <c r="N2016" s="1"/>
    </row>
    <row r="2017" spans="12:14" x14ac:dyDescent="0.2">
      <c r="L2017" s="1"/>
      <c r="M2017" s="1"/>
      <c r="N2017" s="1"/>
    </row>
    <row r="2018" spans="12:14" x14ac:dyDescent="0.2">
      <c r="L2018" s="1"/>
      <c r="M2018" s="1"/>
      <c r="N2018" s="1"/>
    </row>
    <row r="2019" spans="12:14" x14ac:dyDescent="0.2">
      <c r="L2019" s="1"/>
      <c r="M2019" s="1"/>
      <c r="N2019" s="1"/>
    </row>
    <row r="2020" spans="12:14" x14ac:dyDescent="0.2">
      <c r="L2020" s="1"/>
      <c r="M2020" s="1"/>
      <c r="N2020" s="1"/>
    </row>
    <row r="2021" spans="12:14" x14ac:dyDescent="0.2">
      <c r="L2021" s="1"/>
      <c r="M2021" s="1"/>
      <c r="N2021" s="1"/>
    </row>
    <row r="2022" spans="12:14" x14ac:dyDescent="0.2">
      <c r="L2022" s="1"/>
      <c r="M2022" s="1"/>
      <c r="N2022" s="1"/>
    </row>
    <row r="2023" spans="12:14" x14ac:dyDescent="0.2">
      <c r="L2023" s="1"/>
      <c r="M2023" s="1"/>
      <c r="N2023" s="1"/>
    </row>
    <row r="2024" spans="12:14" x14ac:dyDescent="0.2">
      <c r="L2024" s="1"/>
      <c r="M2024" s="1"/>
      <c r="N2024" s="1"/>
    </row>
    <row r="2025" spans="12:14" x14ac:dyDescent="0.2">
      <c r="L2025" s="1"/>
      <c r="M2025" s="1"/>
      <c r="N2025" s="1"/>
    </row>
    <row r="2026" spans="12:14" x14ac:dyDescent="0.2">
      <c r="L2026" s="1"/>
      <c r="M2026" s="1"/>
      <c r="N2026" s="1"/>
    </row>
    <row r="2027" spans="12:14" x14ac:dyDescent="0.2">
      <c r="L2027" s="1"/>
      <c r="M2027" s="1"/>
      <c r="N2027" s="1"/>
    </row>
    <row r="2028" spans="12:14" x14ac:dyDescent="0.2">
      <c r="L2028" s="1"/>
      <c r="M2028" s="1"/>
      <c r="N2028" s="1"/>
    </row>
    <row r="2029" spans="12:14" x14ac:dyDescent="0.2">
      <c r="L2029" s="1"/>
      <c r="M2029" s="1"/>
      <c r="N2029" s="1"/>
    </row>
    <row r="2030" spans="12:14" x14ac:dyDescent="0.2">
      <c r="L2030" s="1"/>
      <c r="M2030" s="1"/>
      <c r="N2030" s="1"/>
    </row>
    <row r="2031" spans="12:14" x14ac:dyDescent="0.2">
      <c r="L2031" s="1"/>
      <c r="M2031" s="1"/>
      <c r="N2031" s="1"/>
    </row>
    <row r="2032" spans="12:14" x14ac:dyDescent="0.2">
      <c r="L2032" s="1"/>
      <c r="M2032" s="1"/>
      <c r="N2032" s="1"/>
    </row>
    <row r="2033" spans="12:14" x14ac:dyDescent="0.2">
      <c r="L2033" s="1"/>
      <c r="M2033" s="1"/>
      <c r="N2033" s="1"/>
    </row>
    <row r="2034" spans="12:14" x14ac:dyDescent="0.2">
      <c r="L2034" s="1"/>
      <c r="M2034" s="1"/>
      <c r="N2034" s="1"/>
    </row>
    <row r="2035" spans="12:14" x14ac:dyDescent="0.2">
      <c r="L2035" s="1"/>
      <c r="M2035" s="1"/>
      <c r="N2035" s="1"/>
    </row>
    <row r="2036" spans="12:14" x14ac:dyDescent="0.2">
      <c r="L2036" s="1"/>
      <c r="M2036" s="1"/>
      <c r="N2036" s="1"/>
    </row>
    <row r="2037" spans="12:14" x14ac:dyDescent="0.2">
      <c r="L2037" s="1"/>
      <c r="M2037" s="1"/>
      <c r="N2037" s="1"/>
    </row>
    <row r="2038" spans="12:14" x14ac:dyDescent="0.2">
      <c r="L2038" s="1"/>
      <c r="M2038" s="1"/>
      <c r="N2038" s="1"/>
    </row>
    <row r="2039" spans="12:14" x14ac:dyDescent="0.2">
      <c r="L2039" s="1"/>
      <c r="M2039" s="1"/>
      <c r="N2039" s="1"/>
    </row>
    <row r="2040" spans="12:14" x14ac:dyDescent="0.2">
      <c r="L2040" s="1"/>
      <c r="M2040" s="1"/>
      <c r="N2040" s="1"/>
    </row>
    <row r="2041" spans="12:14" x14ac:dyDescent="0.2">
      <c r="L2041" s="1"/>
      <c r="M2041" s="1"/>
      <c r="N2041" s="1"/>
    </row>
    <row r="2042" spans="12:14" x14ac:dyDescent="0.2">
      <c r="L2042" s="1"/>
      <c r="M2042" s="1"/>
      <c r="N2042" s="1"/>
    </row>
    <row r="2043" spans="12:14" x14ac:dyDescent="0.2">
      <c r="L2043" s="1"/>
      <c r="M2043" s="1"/>
      <c r="N2043" s="1"/>
    </row>
    <row r="2044" spans="12:14" x14ac:dyDescent="0.2">
      <c r="L2044" s="1"/>
      <c r="M2044" s="1"/>
      <c r="N2044" s="1"/>
    </row>
    <row r="2045" spans="12:14" x14ac:dyDescent="0.2">
      <c r="L2045" s="1"/>
      <c r="M2045" s="1"/>
      <c r="N2045" s="1"/>
    </row>
    <row r="2046" spans="12:14" x14ac:dyDescent="0.2">
      <c r="L2046" s="1"/>
      <c r="M2046" s="1"/>
      <c r="N2046" s="1"/>
    </row>
    <row r="2047" spans="12:14" x14ac:dyDescent="0.2">
      <c r="L2047" s="1"/>
      <c r="M2047" s="1"/>
      <c r="N2047" s="1"/>
    </row>
    <row r="2048" spans="12:14" x14ac:dyDescent="0.2">
      <c r="L2048" s="1"/>
      <c r="M2048" s="1"/>
      <c r="N2048" s="1"/>
    </row>
    <row r="2049" spans="12:14" x14ac:dyDescent="0.2">
      <c r="L2049" s="1"/>
      <c r="M2049" s="1"/>
      <c r="N2049" s="1"/>
    </row>
    <row r="2050" spans="12:14" x14ac:dyDescent="0.2">
      <c r="L2050" s="1"/>
      <c r="M2050" s="1"/>
      <c r="N2050" s="1"/>
    </row>
    <row r="2051" spans="12:14" x14ac:dyDescent="0.2">
      <c r="L2051" s="1"/>
      <c r="M2051" s="1"/>
      <c r="N2051" s="1"/>
    </row>
    <row r="2052" spans="12:14" x14ac:dyDescent="0.2">
      <c r="L2052" s="1"/>
      <c r="M2052" s="1"/>
      <c r="N2052" s="1"/>
    </row>
    <row r="2053" spans="12:14" x14ac:dyDescent="0.2">
      <c r="L2053" s="1"/>
      <c r="M2053" s="1"/>
      <c r="N2053" s="1"/>
    </row>
    <row r="2054" spans="12:14" x14ac:dyDescent="0.2">
      <c r="L2054" s="1"/>
      <c r="M2054" s="1"/>
      <c r="N2054" s="1"/>
    </row>
    <row r="2055" spans="12:14" x14ac:dyDescent="0.2">
      <c r="L2055" s="1"/>
      <c r="M2055" s="1"/>
      <c r="N2055" s="1"/>
    </row>
    <row r="2056" spans="12:14" x14ac:dyDescent="0.2">
      <c r="L2056" s="1"/>
      <c r="M2056" s="1"/>
      <c r="N2056" s="1"/>
    </row>
    <row r="2057" spans="12:14" x14ac:dyDescent="0.2">
      <c r="L2057" s="1"/>
      <c r="M2057" s="1"/>
      <c r="N2057" s="1"/>
    </row>
    <row r="2058" spans="12:14" x14ac:dyDescent="0.2">
      <c r="L2058" s="1"/>
      <c r="M2058" s="1"/>
      <c r="N2058" s="1"/>
    </row>
    <row r="2059" spans="12:14" x14ac:dyDescent="0.2">
      <c r="L2059" s="1"/>
      <c r="M2059" s="1"/>
      <c r="N2059" s="1"/>
    </row>
    <row r="2060" spans="12:14" x14ac:dyDescent="0.2">
      <c r="L2060" s="1"/>
      <c r="M2060" s="1"/>
      <c r="N2060" s="1"/>
    </row>
    <row r="2061" spans="12:14" x14ac:dyDescent="0.2">
      <c r="L2061" s="1"/>
      <c r="M2061" s="1"/>
      <c r="N2061" s="1"/>
    </row>
    <row r="2062" spans="12:14" x14ac:dyDescent="0.2">
      <c r="L2062" s="1"/>
      <c r="M2062" s="1"/>
      <c r="N2062" s="1"/>
    </row>
    <row r="2063" spans="12:14" x14ac:dyDescent="0.2">
      <c r="L2063" s="1"/>
      <c r="M2063" s="1"/>
      <c r="N2063" s="1"/>
    </row>
    <row r="2064" spans="12:14" x14ac:dyDescent="0.2">
      <c r="L2064" s="1"/>
      <c r="M2064" s="1"/>
      <c r="N2064" s="1"/>
    </row>
    <row r="2065" spans="12:14" x14ac:dyDescent="0.2">
      <c r="L2065" s="1"/>
      <c r="M2065" s="1"/>
      <c r="N2065" s="1"/>
    </row>
    <row r="2066" spans="12:14" x14ac:dyDescent="0.2">
      <c r="L2066" s="1"/>
      <c r="M2066" s="1"/>
      <c r="N2066" s="1"/>
    </row>
    <row r="2067" spans="12:14" x14ac:dyDescent="0.2">
      <c r="L2067" s="1"/>
      <c r="M2067" s="1"/>
      <c r="N2067" s="1"/>
    </row>
    <row r="2068" spans="12:14" x14ac:dyDescent="0.2">
      <c r="L2068" s="1"/>
      <c r="M2068" s="1"/>
      <c r="N2068" s="1"/>
    </row>
    <row r="2069" spans="12:14" x14ac:dyDescent="0.2">
      <c r="L2069" s="1"/>
      <c r="M2069" s="1"/>
      <c r="N2069" s="1"/>
    </row>
    <row r="2070" spans="12:14" x14ac:dyDescent="0.2">
      <c r="L2070" s="1"/>
      <c r="M2070" s="1"/>
      <c r="N2070" s="1"/>
    </row>
    <row r="2071" spans="12:14" x14ac:dyDescent="0.2">
      <c r="L2071" s="1"/>
      <c r="M2071" s="1"/>
      <c r="N2071" s="1"/>
    </row>
    <row r="2072" spans="12:14" x14ac:dyDescent="0.2">
      <c r="L2072" s="1"/>
      <c r="M2072" s="1"/>
      <c r="N2072" s="1"/>
    </row>
    <row r="2073" spans="12:14" x14ac:dyDescent="0.2">
      <c r="L2073" s="1"/>
      <c r="M2073" s="1"/>
      <c r="N2073" s="1"/>
    </row>
    <row r="2074" spans="12:14" x14ac:dyDescent="0.2">
      <c r="L2074" s="1"/>
      <c r="M2074" s="1"/>
      <c r="N2074" s="1"/>
    </row>
    <row r="2075" spans="12:14" x14ac:dyDescent="0.2">
      <c r="L2075" s="1"/>
      <c r="M2075" s="1"/>
      <c r="N2075" s="1"/>
    </row>
    <row r="2076" spans="12:14" x14ac:dyDescent="0.2">
      <c r="L2076" s="1"/>
      <c r="M2076" s="1"/>
      <c r="N2076" s="1"/>
    </row>
    <row r="2077" spans="12:14" x14ac:dyDescent="0.2">
      <c r="L2077" s="1"/>
      <c r="M2077" s="1"/>
      <c r="N2077" s="1"/>
    </row>
    <row r="2078" spans="12:14" x14ac:dyDescent="0.2">
      <c r="L2078" s="1"/>
      <c r="M2078" s="1"/>
      <c r="N2078" s="1"/>
    </row>
    <row r="2079" spans="12:14" x14ac:dyDescent="0.2">
      <c r="L2079" s="1"/>
      <c r="M2079" s="1"/>
      <c r="N2079" s="1"/>
    </row>
    <row r="2080" spans="12:14" x14ac:dyDescent="0.2">
      <c r="L2080" s="1"/>
      <c r="M2080" s="1"/>
      <c r="N2080" s="1"/>
    </row>
    <row r="2081" spans="12:14" x14ac:dyDescent="0.2">
      <c r="L2081" s="1"/>
      <c r="M2081" s="1"/>
      <c r="N2081" s="1"/>
    </row>
    <row r="2082" spans="12:14" x14ac:dyDescent="0.2">
      <c r="L2082" s="1"/>
      <c r="M2082" s="1"/>
      <c r="N2082" s="1"/>
    </row>
    <row r="2083" spans="12:14" x14ac:dyDescent="0.2">
      <c r="L2083" s="1"/>
      <c r="M2083" s="1"/>
      <c r="N2083" s="1"/>
    </row>
    <row r="2084" spans="12:14" x14ac:dyDescent="0.2">
      <c r="L2084" s="1"/>
      <c r="M2084" s="1"/>
      <c r="N2084" s="1"/>
    </row>
    <row r="2085" spans="12:14" x14ac:dyDescent="0.2">
      <c r="L2085" s="1"/>
      <c r="M2085" s="1"/>
      <c r="N2085" s="1"/>
    </row>
    <row r="2086" spans="12:14" x14ac:dyDescent="0.2">
      <c r="L2086" s="1"/>
      <c r="M2086" s="1"/>
      <c r="N2086" s="1"/>
    </row>
    <row r="2087" spans="12:14" x14ac:dyDescent="0.2">
      <c r="L2087" s="1"/>
      <c r="M2087" s="1"/>
      <c r="N2087" s="1"/>
    </row>
    <row r="2088" spans="12:14" x14ac:dyDescent="0.2">
      <c r="L2088" s="1"/>
      <c r="M2088" s="1"/>
      <c r="N2088" s="1"/>
    </row>
    <row r="2089" spans="12:14" x14ac:dyDescent="0.2">
      <c r="L2089" s="1"/>
      <c r="M2089" s="1"/>
      <c r="N2089" s="1"/>
    </row>
    <row r="2090" spans="12:14" x14ac:dyDescent="0.2">
      <c r="L2090" s="1"/>
      <c r="M2090" s="1"/>
      <c r="N2090" s="1"/>
    </row>
    <row r="2091" spans="12:14" x14ac:dyDescent="0.2">
      <c r="L2091" s="1"/>
      <c r="M2091" s="1"/>
      <c r="N2091" s="1"/>
    </row>
    <row r="2092" spans="12:14" x14ac:dyDescent="0.2">
      <c r="L2092" s="1"/>
      <c r="M2092" s="1"/>
      <c r="N2092" s="1"/>
    </row>
    <row r="2093" spans="12:14" x14ac:dyDescent="0.2">
      <c r="L2093" s="1"/>
      <c r="M2093" s="1"/>
      <c r="N2093" s="1"/>
    </row>
    <row r="2094" spans="12:14" x14ac:dyDescent="0.2">
      <c r="L2094" s="1"/>
      <c r="M2094" s="1"/>
      <c r="N2094" s="1"/>
    </row>
    <row r="2095" spans="12:14" x14ac:dyDescent="0.2">
      <c r="L2095" s="1"/>
      <c r="M2095" s="1"/>
      <c r="N2095" s="1"/>
    </row>
    <row r="2096" spans="12:14" x14ac:dyDescent="0.2">
      <c r="L2096" s="1"/>
      <c r="M2096" s="1"/>
      <c r="N2096" s="1"/>
    </row>
    <row r="2097" spans="12:14" x14ac:dyDescent="0.2">
      <c r="L2097" s="1"/>
      <c r="M2097" s="1"/>
      <c r="N2097" s="1"/>
    </row>
    <row r="2098" spans="12:14" x14ac:dyDescent="0.2">
      <c r="L2098" s="1"/>
      <c r="M2098" s="1"/>
      <c r="N2098" s="1"/>
    </row>
    <row r="2099" spans="12:14" x14ac:dyDescent="0.2">
      <c r="L2099" s="1"/>
      <c r="M2099" s="1"/>
      <c r="N2099" s="1"/>
    </row>
    <row r="2100" spans="12:14" x14ac:dyDescent="0.2">
      <c r="L2100" s="1"/>
      <c r="M2100" s="1"/>
      <c r="N2100" s="1"/>
    </row>
    <row r="2101" spans="12:14" x14ac:dyDescent="0.2">
      <c r="L2101" s="1"/>
      <c r="M2101" s="1"/>
      <c r="N2101" s="1"/>
    </row>
    <row r="2102" spans="12:14" x14ac:dyDescent="0.2">
      <c r="L2102" s="1"/>
      <c r="M2102" s="1"/>
      <c r="N2102" s="1"/>
    </row>
    <row r="2103" spans="12:14" x14ac:dyDescent="0.2">
      <c r="L2103" s="1"/>
      <c r="M2103" s="1"/>
      <c r="N2103" s="1"/>
    </row>
    <row r="2104" spans="12:14" x14ac:dyDescent="0.2">
      <c r="L2104" s="1"/>
      <c r="M2104" s="1"/>
      <c r="N2104" s="1"/>
    </row>
    <row r="2105" spans="12:14" x14ac:dyDescent="0.2">
      <c r="L2105" s="1"/>
      <c r="M2105" s="1"/>
      <c r="N2105" s="1"/>
    </row>
    <row r="2106" spans="12:14" x14ac:dyDescent="0.2">
      <c r="L2106" s="1"/>
      <c r="M2106" s="1"/>
      <c r="N2106" s="1"/>
    </row>
    <row r="2107" spans="12:14" x14ac:dyDescent="0.2">
      <c r="L2107" s="1"/>
      <c r="M2107" s="1"/>
      <c r="N2107" s="1"/>
    </row>
    <row r="2108" spans="12:14" x14ac:dyDescent="0.2">
      <c r="L2108" s="1"/>
      <c r="M2108" s="1"/>
      <c r="N2108" s="1"/>
    </row>
    <row r="2109" spans="12:14" x14ac:dyDescent="0.2">
      <c r="L2109" s="1"/>
      <c r="M2109" s="1"/>
      <c r="N2109" s="1"/>
    </row>
    <row r="2110" spans="12:14" x14ac:dyDescent="0.2">
      <c r="L2110" s="1"/>
      <c r="M2110" s="1"/>
      <c r="N2110" s="1"/>
    </row>
    <row r="2111" spans="12:14" x14ac:dyDescent="0.2">
      <c r="L2111" s="1"/>
      <c r="M2111" s="1"/>
      <c r="N2111" s="1"/>
    </row>
    <row r="2112" spans="12:14" x14ac:dyDescent="0.2">
      <c r="L2112" s="1"/>
      <c r="M2112" s="1"/>
      <c r="N2112" s="1"/>
    </row>
    <row r="2113" spans="12:14" x14ac:dyDescent="0.2">
      <c r="L2113" s="1"/>
      <c r="M2113" s="1"/>
      <c r="N2113" s="1"/>
    </row>
    <row r="2114" spans="12:14" x14ac:dyDescent="0.2">
      <c r="L2114" s="1"/>
      <c r="M2114" s="1"/>
      <c r="N2114" s="1"/>
    </row>
    <row r="2115" spans="12:14" x14ac:dyDescent="0.2">
      <c r="L2115" s="1"/>
      <c r="M2115" s="1"/>
      <c r="N2115" s="1"/>
    </row>
    <row r="2116" spans="12:14" x14ac:dyDescent="0.2">
      <c r="L2116" s="1"/>
      <c r="M2116" s="1"/>
      <c r="N2116" s="1"/>
    </row>
    <row r="2117" spans="12:14" x14ac:dyDescent="0.2">
      <c r="L2117" s="1"/>
      <c r="M2117" s="1"/>
      <c r="N2117" s="1"/>
    </row>
    <row r="2118" spans="12:14" x14ac:dyDescent="0.2">
      <c r="L2118" s="1"/>
      <c r="M2118" s="1"/>
    </row>
    <row r="2119" spans="12:14" x14ac:dyDescent="0.2">
      <c r="L2119" s="1"/>
      <c r="M2119" s="1"/>
      <c r="N2119" s="1"/>
    </row>
    <row r="2120" spans="12:14" x14ac:dyDescent="0.2">
      <c r="L2120" s="1"/>
      <c r="M2120" s="1"/>
      <c r="N2120" s="1"/>
    </row>
    <row r="2121" spans="12:14" x14ac:dyDescent="0.2">
      <c r="L2121" s="1"/>
      <c r="M2121" s="1"/>
      <c r="N2121" s="1"/>
    </row>
    <row r="2122" spans="12:14" x14ac:dyDescent="0.2">
      <c r="L2122" s="1"/>
      <c r="M2122" s="1"/>
    </row>
    <row r="2123" spans="12:14" x14ac:dyDescent="0.2">
      <c r="L2123" s="1"/>
      <c r="M2123" s="1"/>
    </row>
    <row r="2124" spans="12:14" x14ac:dyDescent="0.2">
      <c r="L2124" s="1"/>
      <c r="M2124" s="1"/>
      <c r="N2124" s="1"/>
    </row>
    <row r="2125" spans="12:14" x14ac:dyDescent="0.2">
      <c r="L2125" s="1"/>
      <c r="M2125" s="1"/>
      <c r="N2125" s="1"/>
    </row>
    <row r="2126" spans="12:14" x14ac:dyDescent="0.2">
      <c r="L2126" s="1"/>
      <c r="M2126" s="1"/>
      <c r="N2126" s="1"/>
    </row>
    <row r="2127" spans="12:14" x14ac:dyDescent="0.2">
      <c r="L2127" s="1"/>
      <c r="M2127" s="1"/>
    </row>
    <row r="2128" spans="12:14" x14ac:dyDescent="0.2">
      <c r="L2128" s="1"/>
      <c r="M2128" s="1"/>
      <c r="N2128" s="1"/>
    </row>
    <row r="2129" spans="12:14" x14ac:dyDescent="0.2">
      <c r="L2129" s="1"/>
      <c r="M2129" s="1"/>
    </row>
    <row r="2130" spans="12:14" x14ac:dyDescent="0.2">
      <c r="L2130" s="1"/>
      <c r="M2130" s="1"/>
    </row>
    <row r="2131" spans="12:14" x14ac:dyDescent="0.2">
      <c r="L2131" s="1"/>
      <c r="M2131" s="1"/>
    </row>
    <row r="2132" spans="12:14" x14ac:dyDescent="0.2">
      <c r="L2132" s="1"/>
      <c r="M2132" s="1"/>
    </row>
    <row r="2133" spans="12:14" x14ac:dyDescent="0.2">
      <c r="L2133" s="1"/>
      <c r="M2133" s="1"/>
    </row>
    <row r="2134" spans="12:14" x14ac:dyDescent="0.2">
      <c r="L2134" s="1"/>
      <c r="M2134" s="1"/>
    </row>
    <row r="2135" spans="12:14" x14ac:dyDescent="0.2">
      <c r="L2135" s="1"/>
      <c r="M2135" s="1"/>
    </row>
    <row r="2136" spans="12:14" x14ac:dyDescent="0.2">
      <c r="L2136" s="1"/>
      <c r="M2136" s="1"/>
      <c r="N2136" s="1"/>
    </row>
    <row r="2137" spans="12:14" x14ac:dyDescent="0.2">
      <c r="L2137" s="1"/>
      <c r="M2137" s="1"/>
      <c r="N2137" s="1"/>
    </row>
    <row r="2138" spans="12:14" x14ac:dyDescent="0.2">
      <c r="L2138" s="1"/>
      <c r="M2138" s="1"/>
    </row>
    <row r="2139" spans="12:14" x14ac:dyDescent="0.2">
      <c r="L2139" s="1"/>
      <c r="M2139" s="1"/>
      <c r="N2139" s="1"/>
    </row>
    <row r="2140" spans="12:14" x14ac:dyDescent="0.2">
      <c r="L2140" s="1"/>
      <c r="M2140" s="1"/>
      <c r="N2140" s="1"/>
    </row>
    <row r="2141" spans="12:14" x14ac:dyDescent="0.2">
      <c r="L2141" s="1"/>
      <c r="M2141" s="1"/>
      <c r="N2141" s="1"/>
    </row>
    <row r="2142" spans="12:14" x14ac:dyDescent="0.2">
      <c r="L2142" s="1"/>
      <c r="M2142" s="1"/>
      <c r="N2142" s="1"/>
    </row>
    <row r="2143" spans="12:14" x14ac:dyDescent="0.2">
      <c r="L2143" s="1"/>
      <c r="M2143" s="1"/>
    </row>
    <row r="2144" spans="12:14" x14ac:dyDescent="0.2">
      <c r="L2144" s="1"/>
      <c r="M2144" s="1"/>
      <c r="N2144" s="1"/>
    </row>
    <row r="2145" spans="12:14" x14ac:dyDescent="0.2">
      <c r="L2145" s="1"/>
      <c r="M2145" s="1"/>
      <c r="N2145" s="1"/>
    </row>
    <row r="2146" spans="12:14" x14ac:dyDescent="0.2">
      <c r="L2146" s="1"/>
      <c r="M2146" s="1"/>
    </row>
    <row r="2147" spans="12:14" x14ac:dyDescent="0.2">
      <c r="L2147" s="1"/>
      <c r="M2147" s="1"/>
    </row>
    <row r="2148" spans="12:14" x14ac:dyDescent="0.2">
      <c r="L2148" s="1"/>
      <c r="M2148" s="1"/>
      <c r="N2148" s="1"/>
    </row>
    <row r="2149" spans="12:14" x14ac:dyDescent="0.2">
      <c r="L2149" s="1"/>
      <c r="M2149" s="1"/>
      <c r="N2149" s="1"/>
    </row>
    <row r="2150" spans="12:14" x14ac:dyDescent="0.2">
      <c r="L2150" s="1"/>
      <c r="M2150" s="1"/>
      <c r="N2150" s="1"/>
    </row>
    <row r="2151" spans="12:14" x14ac:dyDescent="0.2">
      <c r="L2151" s="1"/>
      <c r="M2151" s="1"/>
      <c r="N2151" s="1"/>
    </row>
    <row r="2152" spans="12:14" x14ac:dyDescent="0.2">
      <c r="L2152" s="1"/>
      <c r="M2152" s="1"/>
      <c r="N2152" s="1"/>
    </row>
    <row r="2153" spans="12:14" x14ac:dyDescent="0.2">
      <c r="L2153" s="1"/>
      <c r="M2153" s="1"/>
    </row>
    <row r="2154" spans="12:14" x14ac:dyDescent="0.2">
      <c r="L2154" s="1"/>
      <c r="M2154" s="1"/>
    </row>
    <row r="2155" spans="12:14" x14ac:dyDescent="0.2">
      <c r="L2155" s="1"/>
      <c r="M2155" s="1"/>
      <c r="N2155" s="1"/>
    </row>
    <row r="2156" spans="12:14" x14ac:dyDescent="0.2">
      <c r="L2156" s="1"/>
      <c r="M2156" s="1"/>
    </row>
    <row r="2157" spans="12:14" x14ac:dyDescent="0.2">
      <c r="L2157" s="1"/>
      <c r="M2157" s="1"/>
      <c r="N2157" s="1"/>
    </row>
    <row r="2158" spans="12:14" x14ac:dyDescent="0.2">
      <c r="L2158" s="1"/>
      <c r="M2158" s="1"/>
      <c r="N2158" s="1"/>
    </row>
    <row r="2159" spans="12:14" x14ac:dyDescent="0.2">
      <c r="L2159" s="1"/>
      <c r="M2159" s="1"/>
      <c r="N2159" s="1"/>
    </row>
    <row r="2160" spans="12:14" x14ac:dyDescent="0.2">
      <c r="L2160" s="1"/>
      <c r="M2160" s="1"/>
      <c r="N2160" s="1"/>
    </row>
    <row r="2161" spans="12:14" x14ac:dyDescent="0.2">
      <c r="L2161" s="1"/>
      <c r="M2161" s="1"/>
    </row>
    <row r="2162" spans="12:14" x14ac:dyDescent="0.2">
      <c r="L2162" s="1"/>
      <c r="M2162" s="1"/>
      <c r="N2162" s="1"/>
    </row>
    <row r="2163" spans="12:14" x14ac:dyDescent="0.2">
      <c r="L2163" s="1"/>
      <c r="M2163" s="1"/>
      <c r="N2163" s="1"/>
    </row>
    <row r="2164" spans="12:14" x14ac:dyDescent="0.2">
      <c r="L2164" s="1"/>
      <c r="M2164" s="1"/>
      <c r="N2164" s="1"/>
    </row>
    <row r="2165" spans="12:14" x14ac:dyDescent="0.2">
      <c r="L2165" s="1"/>
      <c r="M2165" s="1"/>
      <c r="N2165" s="1"/>
    </row>
    <row r="2166" spans="12:14" x14ac:dyDescent="0.2">
      <c r="L2166" s="1"/>
      <c r="M2166" s="1"/>
      <c r="N2166" s="1"/>
    </row>
    <row r="2167" spans="12:14" x14ac:dyDescent="0.2">
      <c r="L2167" s="1"/>
      <c r="M2167" s="1"/>
      <c r="N2167" s="1"/>
    </row>
    <row r="2168" spans="12:14" x14ac:dyDescent="0.2">
      <c r="L2168" s="1"/>
      <c r="M2168" s="1"/>
      <c r="N2168" s="1"/>
    </row>
    <row r="2169" spans="12:14" x14ac:dyDescent="0.2">
      <c r="L2169" s="1"/>
      <c r="M2169" s="1"/>
      <c r="N2169" s="1"/>
    </row>
    <row r="2170" spans="12:14" x14ac:dyDescent="0.2">
      <c r="L2170" s="1"/>
      <c r="M2170" s="1"/>
      <c r="N2170" s="1"/>
    </row>
    <row r="2171" spans="12:14" x14ac:dyDescent="0.2">
      <c r="L2171" s="1"/>
      <c r="M2171" s="1"/>
      <c r="N2171" s="1"/>
    </row>
    <row r="2172" spans="12:14" x14ac:dyDescent="0.2">
      <c r="L2172" s="1"/>
      <c r="M2172" s="1"/>
      <c r="N2172" s="1"/>
    </row>
    <row r="2173" spans="12:14" x14ac:dyDescent="0.2">
      <c r="L2173" s="1"/>
      <c r="M2173" s="1"/>
      <c r="N2173" s="1"/>
    </row>
    <row r="2174" spans="12:14" x14ac:dyDescent="0.2">
      <c r="L2174" s="1"/>
      <c r="M2174" s="1"/>
      <c r="N2174" s="1"/>
    </row>
    <row r="2175" spans="12:14" x14ac:dyDescent="0.2">
      <c r="L2175" s="1"/>
      <c r="M2175" s="1"/>
      <c r="N2175" s="1"/>
    </row>
    <row r="2176" spans="12:14" x14ac:dyDescent="0.2">
      <c r="L2176" s="1"/>
      <c r="M2176" s="1"/>
      <c r="N2176" s="1"/>
    </row>
    <row r="2177" spans="12:14" x14ac:dyDescent="0.2">
      <c r="L2177" s="1"/>
      <c r="M2177" s="1"/>
      <c r="N2177" s="1"/>
    </row>
    <row r="2178" spans="12:14" x14ac:dyDescent="0.2">
      <c r="L2178" s="1"/>
      <c r="M2178" s="1"/>
      <c r="N2178" s="1"/>
    </row>
    <row r="2179" spans="12:14" x14ac:dyDescent="0.2">
      <c r="L2179" s="1"/>
      <c r="M2179" s="1"/>
      <c r="N2179" s="1"/>
    </row>
    <row r="2180" spans="12:14" x14ac:dyDescent="0.2">
      <c r="L2180" s="1"/>
      <c r="M2180" s="1"/>
      <c r="N2180" s="1"/>
    </row>
    <row r="2181" spans="12:14" x14ac:dyDescent="0.2">
      <c r="L2181" s="1"/>
      <c r="M2181" s="1"/>
      <c r="N2181" s="1"/>
    </row>
    <row r="2182" spans="12:14" x14ac:dyDescent="0.2">
      <c r="L2182" s="1"/>
      <c r="M2182" s="1"/>
      <c r="N2182" s="1"/>
    </row>
    <row r="2183" spans="12:14" x14ac:dyDescent="0.2">
      <c r="L2183" s="1"/>
      <c r="M2183" s="1"/>
      <c r="N2183" s="1"/>
    </row>
    <row r="2184" spans="12:14" x14ac:dyDescent="0.2">
      <c r="L2184" s="1"/>
      <c r="M2184" s="1"/>
      <c r="N2184" s="1"/>
    </row>
    <row r="2185" spans="12:14" x14ac:dyDescent="0.2">
      <c r="L2185" s="1"/>
      <c r="M2185" s="1"/>
      <c r="N2185" s="1"/>
    </row>
    <row r="2186" spans="12:14" x14ac:dyDescent="0.2">
      <c r="L2186" s="1"/>
      <c r="M2186" s="1"/>
    </row>
    <row r="2187" spans="12:14" x14ac:dyDescent="0.2">
      <c r="L2187" s="1"/>
      <c r="M2187" s="1"/>
    </row>
    <row r="2188" spans="12:14" x14ac:dyDescent="0.2">
      <c r="L2188" s="1"/>
      <c r="M2188" s="1"/>
      <c r="N2188" s="1"/>
    </row>
    <row r="2189" spans="12:14" x14ac:dyDescent="0.2">
      <c r="L2189" s="1"/>
      <c r="M2189" s="1"/>
      <c r="N2189" s="1"/>
    </row>
    <row r="2190" spans="12:14" x14ac:dyDescent="0.2">
      <c r="L2190" s="1"/>
      <c r="M2190" s="1"/>
      <c r="N2190" s="1"/>
    </row>
    <row r="2191" spans="12:14" x14ac:dyDescent="0.2">
      <c r="L2191" s="1"/>
      <c r="M2191" s="1"/>
      <c r="N2191" s="1"/>
    </row>
    <row r="2192" spans="12:14" x14ac:dyDescent="0.2">
      <c r="L2192" s="1"/>
      <c r="M2192" s="1"/>
    </row>
    <row r="2193" spans="12:13" x14ac:dyDescent="0.2">
      <c r="L2193" s="1"/>
      <c r="M2193" s="1"/>
    </row>
    <row r="2194" spans="12:13" x14ac:dyDescent="0.2">
      <c r="L2194" s="1"/>
      <c r="M219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  <pageSetUpPr fitToPage="1"/>
  </sheetPr>
  <dimension ref="B1:AH63"/>
  <sheetViews>
    <sheetView showGridLines="0" showZeros="0" zoomScale="40" zoomScaleNormal="40" workbookViewId="0">
      <selection activeCell="B2" sqref="B2:AB2"/>
    </sheetView>
  </sheetViews>
  <sheetFormatPr baseColWidth="10" defaultColWidth="13.75" defaultRowHeight="16.5" x14ac:dyDescent="0.3"/>
  <cols>
    <col min="1" max="1" width="11" style="22" customWidth="1"/>
    <col min="2" max="2" width="10.625" style="22" customWidth="1"/>
    <col min="3" max="3" width="13.75" style="42"/>
    <col min="4" max="4" width="10.625" style="42" customWidth="1"/>
    <col min="5" max="8" width="13.75" style="22"/>
    <col min="9" max="9" width="14.375" style="22" customWidth="1"/>
    <col min="10" max="10" width="14.75" style="22" customWidth="1"/>
    <col min="11" max="25" width="13.75" style="22"/>
    <col min="26" max="26" width="13.75" style="22" customWidth="1"/>
    <col min="27" max="27" width="14.625" style="22" customWidth="1"/>
    <col min="28" max="28" width="13.25" style="22" customWidth="1"/>
    <col min="29" max="30" width="0" style="22" hidden="1" customWidth="1"/>
    <col min="31" max="16384" width="13.75" style="22"/>
  </cols>
  <sheetData>
    <row r="1" spans="2:32" x14ac:dyDescent="0.3">
      <c r="C1" s="22"/>
      <c r="D1" s="22"/>
    </row>
    <row r="2" spans="2:32" ht="45" customHeight="1" x14ac:dyDescent="0.3">
      <c r="B2" s="171" t="s">
        <v>264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</row>
    <row r="3" spans="2:32" ht="25.5" x14ac:dyDescent="0.3">
      <c r="B3" s="172" t="str">
        <f>TEXT(Historical!H2," mmmm dd, aaaa")</f>
        <v xml:space="preserve"> November 13, Monday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</row>
    <row r="8" spans="2:32" ht="30" customHeight="1" x14ac:dyDescent="0.3">
      <c r="B8" s="164" t="s">
        <v>136</v>
      </c>
      <c r="C8" s="165"/>
      <c r="D8" s="166"/>
      <c r="E8" s="162" t="s">
        <v>29</v>
      </c>
      <c r="F8" s="162"/>
      <c r="G8" s="162" t="s">
        <v>87</v>
      </c>
      <c r="H8" s="162"/>
      <c r="I8" s="162" t="s">
        <v>151</v>
      </c>
      <c r="J8" s="162"/>
      <c r="K8" s="162" t="s">
        <v>61</v>
      </c>
      <c r="L8" s="162"/>
      <c r="M8" s="170" t="s">
        <v>53</v>
      </c>
      <c r="N8" s="162"/>
      <c r="O8" s="162" t="s">
        <v>59</v>
      </c>
      <c r="P8" s="162"/>
      <c r="Q8" s="162" t="s">
        <v>60</v>
      </c>
      <c r="R8" s="162"/>
      <c r="S8" s="162" t="s">
        <v>116</v>
      </c>
      <c r="T8" s="162"/>
      <c r="U8" s="162" t="s">
        <v>103</v>
      </c>
      <c r="V8" s="162"/>
      <c r="W8" s="162" t="s">
        <v>104</v>
      </c>
      <c r="X8" s="162"/>
      <c r="Y8" s="162" t="s">
        <v>62</v>
      </c>
      <c r="Z8" s="162"/>
      <c r="AA8" s="162" t="s">
        <v>63</v>
      </c>
      <c r="AB8" s="162"/>
    </row>
    <row r="9" spans="2:32" ht="30" customHeight="1" x14ac:dyDescent="0.3">
      <c r="B9" s="167"/>
      <c r="C9" s="168"/>
      <c r="D9" s="169"/>
      <c r="E9" s="23" t="s">
        <v>265</v>
      </c>
      <c r="F9" s="23" t="s">
        <v>21</v>
      </c>
      <c r="G9" s="23" t="s">
        <v>70</v>
      </c>
      <c r="H9" s="23" t="s">
        <v>21</v>
      </c>
      <c r="I9" s="23" t="s">
        <v>265</v>
      </c>
      <c r="J9" s="23" t="s">
        <v>21</v>
      </c>
      <c r="K9" s="23" t="s">
        <v>70</v>
      </c>
      <c r="L9" s="23" t="s">
        <v>21</v>
      </c>
      <c r="M9" s="23" t="s">
        <v>265</v>
      </c>
      <c r="N9" s="23" t="s">
        <v>21</v>
      </c>
      <c r="O9" s="23" t="s">
        <v>70</v>
      </c>
      <c r="P9" s="23" t="s">
        <v>21</v>
      </c>
      <c r="Q9" s="23" t="s">
        <v>70</v>
      </c>
      <c r="R9" s="23" t="s">
        <v>21</v>
      </c>
      <c r="S9" s="23" t="s">
        <v>70</v>
      </c>
      <c r="T9" s="23" t="s">
        <v>21</v>
      </c>
      <c r="U9" s="23" t="s">
        <v>265</v>
      </c>
      <c r="V9" s="23" t="s">
        <v>21</v>
      </c>
      <c r="W9" s="23" t="s">
        <v>70</v>
      </c>
      <c r="X9" s="23" t="s">
        <v>21</v>
      </c>
      <c r="Y9" s="23" t="s">
        <v>70</v>
      </c>
      <c r="Z9" s="23" t="s">
        <v>21</v>
      </c>
      <c r="AA9" s="23" t="s">
        <v>70</v>
      </c>
      <c r="AB9" s="23" t="s">
        <v>21</v>
      </c>
    </row>
    <row r="10" spans="2:32" ht="30" customHeight="1" x14ac:dyDescent="0.3">
      <c r="B10" s="159" t="s">
        <v>122</v>
      </c>
      <c r="C10" s="160" t="s">
        <v>123</v>
      </c>
      <c r="D10" s="160"/>
      <c r="E10" s="24">
        <f>SUMIFS(Dataset!$AJ:$AJ,Dataset!$F:$F,Resumen!E$8,Dataset!$J:$J,"&gt;="&amp;$AC10,Dataset!$J:$J,"&lt;"&amp;$AD10,Dataset!$AH:$AH,"bono de gobierno",Dataset!$T:$T,"$")</f>
        <v>0</v>
      </c>
      <c r="F10" s="25">
        <f>SUMIFS(Dataset!$AA:$AA,Dataset!$F:$F,Resumen!E$8,Dataset!$J:$J,"&gt;="&amp;$AC10,Dataset!$J:$J,"&lt;"&amp;$AD10,Dataset!$AH:$AH,"bono de gobierno",Dataset!$T:$T,"$")</f>
        <v>0</v>
      </c>
      <c r="G10" s="24">
        <f>SUMIFS(Dataset!$AJ:$AJ,Dataset!$F:$F,Resumen!G$8,Dataset!$J:$J,"&gt;="&amp;$AC10,Dataset!$J:$J,"&lt;"&amp;$AD10,Dataset!$AH:$AH,"bono de gobierno",Dataset!$T:$T,"$")</f>
        <v>0</v>
      </c>
      <c r="H10" s="25">
        <f>SUMIFS(Dataset!$AA:$AA,Dataset!$F:$F,Resumen!G$8,Dataset!$J:$J,"&gt;="&amp;$AC10,Dataset!$J:$J,"&lt;"&amp;$AD10,Dataset!$AH:$AH,"bono de gobierno",Dataset!$T:$T,"$")</f>
        <v>0</v>
      </c>
      <c r="I10" s="24">
        <f>SUMIFS(Dataset!$AJ:$AJ,Dataset!$F:$F,Resumen!I$8,Dataset!$J:$J,"&gt;="&amp;$AC10,Dataset!$J:$J,"&lt;"&amp;$AD10,Dataset!$AH:$AH,"bono de gobierno",Dataset!$T:$T,"$")</f>
        <v>0</v>
      </c>
      <c r="J10" s="25">
        <f>SUMIFS(Dataset!$AA:$AA,Dataset!$F:$F,Resumen!I$8,Dataset!$J:$J,"&gt;="&amp;$AC10,Dataset!$J:$J,"&lt;"&amp;$AD10,Dataset!$AH:$AH,"bono de gobierno",Dataset!$T:$T,"$")</f>
        <v>0</v>
      </c>
      <c r="K10" s="24">
        <f>SUMIFS(Dataset!$AJ:$AJ,Dataset!$F:$F,Resumen!K$8,Dataset!$J:$J,"&gt;="&amp;$AC10,Dataset!$J:$J,"&lt;"&amp;$AD10,Dataset!$AH:$AH,"bono de gobierno",Dataset!$T:$T,"$")</f>
        <v>0</v>
      </c>
      <c r="L10" s="25">
        <f>SUMIFS(Dataset!$AA:$AA,Dataset!$F:$F,Resumen!K$8,Dataset!$J:$J,"&gt;="&amp;$AC10,Dataset!$J:$J,"&lt;"&amp;$AD10,Dataset!$AH:$AH,"bono de gobierno",Dataset!$T:$T,"$")</f>
        <v>0</v>
      </c>
      <c r="M10" s="24">
        <f>SUMIFS(Dataset!$AJ:$AJ,Dataset!$F:$F,Resumen!M$8,Dataset!$J:$J,"&gt;="&amp;$AC10,Dataset!$J:$J,"&lt;"&amp;$AD10,Dataset!$AH:$AH,"bono de gobierno",Dataset!$T:$T,"$")</f>
        <v>0</v>
      </c>
      <c r="N10" s="25">
        <f>SUMIFS(Dataset!$AA:$AA,Dataset!$F:$F,Resumen!M$8,Dataset!$J:$J,"&gt;="&amp;$AC10,Dataset!$J:$J,"&lt;"&amp;$AD10,Dataset!$AH:$AH,"bono de gobierno",Dataset!$T:$T,"$")</f>
        <v>0</v>
      </c>
      <c r="O10" s="24">
        <f>SUMIFS(Dataset!$AJ:$AJ,Dataset!$F:$F,Resumen!O$8,Dataset!$J:$J,"&gt;="&amp;$AC10,Dataset!$J:$J,"&lt;"&amp;$AD10,Dataset!$AH:$AH,"bono de gobierno",Dataset!$T:$T,"$")</f>
        <v>0</v>
      </c>
      <c r="P10" s="25">
        <f>SUMIFS(Dataset!$AA:$AA,Dataset!$F:$F,Resumen!O$8,Dataset!$J:$J,"&gt;="&amp;$AC10,Dataset!$J:$J,"&lt;"&amp;$AD10,Dataset!$AH:$AH,"bono de gobierno",Dataset!$T:$T,"$")</f>
        <v>0</v>
      </c>
      <c r="Q10" s="24">
        <f>SUMIFS(Dataset!$AJ:$AJ,Dataset!$F:$F,Resumen!Q$8,Dataset!$J:$J,"&gt;="&amp;$AC10,Dataset!$J:$J,"&lt;"&amp;$AD10,Dataset!$AH:$AH,"bono de gobierno",Dataset!$T:$T,"$")</f>
        <v>0</v>
      </c>
      <c r="R10" s="25">
        <f>SUMIFS(Dataset!$AA:$AA,Dataset!$F:$F,Resumen!Q$8,Dataset!$J:$J,"&gt;="&amp;$AC10,Dataset!$J:$J,"&lt;"&amp;$AD10,Dataset!$AH:$AH,"bono de gobierno",Dataset!$T:$T,"$")</f>
        <v>0</v>
      </c>
      <c r="S10" s="24">
        <f>SUMIFS(Dataset!$AJ:$AJ,Dataset!$F:$F,Resumen!S$8,Dataset!$J:$J,"&gt;="&amp;$AC10,Dataset!$J:$J,"&lt;"&amp;$AD10,Dataset!$AH:$AH,"bono de gobierno",Dataset!$T:$T,"$")</f>
        <v>0</v>
      </c>
      <c r="T10" s="25">
        <f>SUMIFS(Dataset!$AA:$AA,Dataset!$F:$F,Resumen!S$8,Dataset!$J:$J,"&gt;="&amp;$AC10,Dataset!$J:$J,"&lt;"&amp;$AD10,Dataset!$AH:$AH,"bono de gobierno",Dataset!$T:$T,"$")</f>
        <v>0</v>
      </c>
      <c r="U10" s="24">
        <f>SUMIFS(Dataset!$AJ:$AJ,Dataset!$F:$F,Resumen!U$8,Dataset!$J:$J,"&gt;="&amp;$AC10,Dataset!$J:$J,"&lt;"&amp;$AD10,Dataset!$AH:$AH,"bono de gobierno",Dataset!$T:$T,"$")</f>
        <v>0</v>
      </c>
      <c r="V10" s="25">
        <f>SUMIFS(Dataset!$AA:$AA,Dataset!$F:$F,Resumen!U$8,Dataset!$J:$J,"&gt;="&amp;$AC10,Dataset!$J:$J,"&lt;"&amp;$AD10,Dataset!$AH:$AH,"bono de gobierno",Dataset!$T:$T,"$")</f>
        <v>0</v>
      </c>
      <c r="W10" s="24">
        <f>SUMIFS(Dataset!$AJ:$AJ,Dataset!$F:$F,Resumen!W$8,Dataset!$J:$J,"&gt;="&amp;$AC10,Dataset!$J:$J,"&lt;"&amp;$AD10,Dataset!$AH:$AH,"bono de gobierno",Dataset!$T:$T,"$")</f>
        <v>0</v>
      </c>
      <c r="X10" s="25">
        <f>SUMIFS(Dataset!$AA:$AA,Dataset!$F:$F,Resumen!W$8,Dataset!$J:$J,"&gt;="&amp;$AC10,Dataset!$J:$J,"&lt;"&amp;$AD10,Dataset!$AH:$AH,"bono de gobierno",Dataset!$T:$T,"$")</f>
        <v>0</v>
      </c>
      <c r="Y10" s="24">
        <f>SUMIFS(Dataset!$AJ:$AJ,Dataset!$F:$F,Resumen!Y$8,Dataset!$J:$J,"&gt;="&amp;$AC10,Dataset!$J:$J,"&lt;"&amp;$AD10,Dataset!$AH:$AH,"bono de gobierno",Dataset!$T:$T,"$")</f>
        <v>0</v>
      </c>
      <c r="Z10" s="25">
        <f>SUMIFS(Dataset!$AA:$AA,Dataset!$F:$F,Resumen!Y$8,Dataset!$J:$J,"&gt;="&amp;$AC10,Dataset!$J:$J,"&lt;"&amp;$AD10,Dataset!$AH:$AH,"bono de gobierno",Dataset!$T:$T,"$")</f>
        <v>0</v>
      </c>
      <c r="AA10" s="24">
        <f>SUMIFS(Dataset!$AJ:$AJ,Dataset!$F:$F,Resumen!AA$8,Dataset!$J:$J,"&gt;="&amp;$AC10,Dataset!$J:$J,"&lt;"&amp;$AD10,Dataset!$AH:$AH,"bono de gobierno",Dataset!$T:$T,"$")</f>
        <v>0</v>
      </c>
      <c r="AB10" s="25">
        <f>SUMIFS(Dataset!$AA:$AA,Dataset!$F:$F,Resumen!AA$8,Dataset!$J:$J,"&gt;="&amp;$AC10,Dataset!$J:$J,"&lt;"&amp;$AD10,Dataset!$AH:$AH,"bono de gobierno",Dataset!$T:$T,"$")</f>
        <v>0</v>
      </c>
      <c r="AC10" s="22">
        <v>0</v>
      </c>
      <c r="AD10" s="22">
        <v>3</v>
      </c>
      <c r="AF10" s="26"/>
    </row>
    <row r="11" spans="2:32" ht="30" customHeight="1" x14ac:dyDescent="0.3">
      <c r="B11" s="159"/>
      <c r="C11" s="160" t="s">
        <v>124</v>
      </c>
      <c r="D11" s="160"/>
      <c r="E11" s="27">
        <f>SUMIFS(Dataset!$AJ:$AJ,Dataset!$F:$F,Resumen!E$8,Dataset!$J:$J,"&gt;="&amp;$AC11,Dataset!$J:$J,"&lt;"&amp;$AD11,Dataset!$AH:$AH,"bono de gobierno",Dataset!$T:$T,"$")</f>
        <v>0</v>
      </c>
      <c r="F11" s="28">
        <f>SUMIFS(Dataset!$AA:$AA,Dataset!$F:$F,Resumen!E$8,Dataset!$J:$J,"&gt;="&amp;$AC11,Dataset!$J:$J,"&lt;"&amp;$AD11,Dataset!$AH:$AH,"bono de gobierno",Dataset!$T:$T,"$")</f>
        <v>0</v>
      </c>
      <c r="G11" s="27">
        <f>SUMIFS(Dataset!$AJ:$AJ,Dataset!$F:$F,Resumen!G$8,Dataset!$J:$J,"&gt;="&amp;$AC11,Dataset!$J:$J,"&lt;"&amp;$AD11,Dataset!$AH:$AH,"bono de gobierno",Dataset!$T:$T,"$")</f>
        <v>0</v>
      </c>
      <c r="H11" s="28">
        <f>SUMIFS(Dataset!$AA:$AA,Dataset!$F:$F,Resumen!G$8,Dataset!$J:$J,"&gt;="&amp;$AC11,Dataset!$J:$J,"&lt;"&amp;$AD11,Dataset!$AH:$AH,"bono de gobierno",Dataset!$T:$T,"$")</f>
        <v>0</v>
      </c>
      <c r="I11" s="27">
        <f>SUMIFS(Dataset!$AJ:$AJ,Dataset!$F:$F,Resumen!I$8,Dataset!$J:$J,"&gt;="&amp;$AC11,Dataset!$J:$J,"&lt;"&amp;$AD11,Dataset!$AH:$AH,"bono de gobierno",Dataset!$T:$T,"$")</f>
        <v>0</v>
      </c>
      <c r="J11" s="28">
        <f>SUMIFS(Dataset!$AA:$AA,Dataset!$F:$F,Resumen!I$8,Dataset!$J:$J,"&gt;="&amp;$AC11,Dataset!$J:$J,"&lt;"&amp;$AD11,Dataset!$AH:$AH,"bono de gobierno",Dataset!$T:$T,"$")</f>
        <v>0</v>
      </c>
      <c r="K11" s="27">
        <f>SUMIFS(Dataset!$AJ:$AJ,Dataset!$F:$F,Resumen!K$8,Dataset!$J:$J,"&gt;="&amp;$AC11,Dataset!$J:$J,"&lt;"&amp;$AD11,Dataset!$AH:$AH,"bono de gobierno",Dataset!$T:$T,"$")</f>
        <v>0</v>
      </c>
      <c r="L11" s="28">
        <f>SUMIFS(Dataset!$AA:$AA,Dataset!$F:$F,Resumen!K$8,Dataset!$J:$J,"&gt;="&amp;$AC11,Dataset!$J:$J,"&lt;"&amp;$AD11,Dataset!$AH:$AH,"bono de gobierno",Dataset!$T:$T,"$")</f>
        <v>0</v>
      </c>
      <c r="M11" s="27">
        <f>SUMIFS(Dataset!$AJ:$AJ,Dataset!$F:$F,Resumen!M$8,Dataset!$J:$J,"&gt;="&amp;$AC11,Dataset!$J:$J,"&lt;"&amp;$AD11,Dataset!$AH:$AH,"bono de gobierno",Dataset!$T:$T,"$")</f>
        <v>0</v>
      </c>
      <c r="N11" s="28">
        <f>SUMIFS(Dataset!$AA:$AA,Dataset!$F:$F,Resumen!M$8,Dataset!$J:$J,"&gt;="&amp;$AC11,Dataset!$J:$J,"&lt;"&amp;$AD11,Dataset!$AH:$AH,"bono de gobierno",Dataset!$T:$T,"$")</f>
        <v>0</v>
      </c>
      <c r="O11" s="27">
        <f>SUMIFS(Dataset!$AJ:$AJ,Dataset!$F:$F,Resumen!O$8,Dataset!$J:$J,"&gt;="&amp;$AC11,Dataset!$J:$J,"&lt;"&amp;$AD11,Dataset!$AH:$AH,"bono de gobierno",Dataset!$T:$T,"$")</f>
        <v>0</v>
      </c>
      <c r="P11" s="28">
        <f>SUMIFS(Dataset!$AA:$AA,Dataset!$F:$F,Resumen!O$8,Dataset!$J:$J,"&gt;="&amp;$AC11,Dataset!$J:$J,"&lt;"&amp;$AD11,Dataset!$AH:$AH,"bono de gobierno",Dataset!$T:$T,"$")</f>
        <v>0</v>
      </c>
      <c r="Q11" s="27">
        <f>SUMIFS(Dataset!$AJ:$AJ,Dataset!$F:$F,Resumen!Q$8,Dataset!$J:$J,"&gt;="&amp;$AC11,Dataset!$J:$J,"&lt;"&amp;$AD11,Dataset!$AH:$AH,"bono de gobierno",Dataset!$T:$T,"$")</f>
        <v>0</v>
      </c>
      <c r="R11" s="28">
        <f>SUMIFS(Dataset!$AA:$AA,Dataset!$F:$F,Resumen!Q$8,Dataset!$J:$J,"&gt;="&amp;$AC11,Dataset!$J:$J,"&lt;"&amp;$AD11,Dataset!$AH:$AH,"bono de gobierno",Dataset!$T:$T,"$")</f>
        <v>0</v>
      </c>
      <c r="S11" s="27">
        <f>SUMIFS(Dataset!$AJ:$AJ,Dataset!$F:$F,Resumen!S$8,Dataset!$J:$J,"&gt;="&amp;$AC11,Dataset!$J:$J,"&lt;"&amp;$AD11,Dataset!$AH:$AH,"bono de gobierno",Dataset!$T:$T,"$")</f>
        <v>0</v>
      </c>
      <c r="T11" s="28">
        <f>SUMIFS(Dataset!$AA:$AA,Dataset!$F:$F,Resumen!S$8,Dataset!$J:$J,"&gt;="&amp;$AC11,Dataset!$J:$J,"&lt;"&amp;$AD11,Dataset!$AH:$AH,"bono de gobierno",Dataset!$T:$T,"$")</f>
        <v>0</v>
      </c>
      <c r="U11" s="27">
        <f>SUMIFS(Dataset!$AJ:$AJ,Dataset!$F:$F,Resumen!U$8,Dataset!$J:$J,"&gt;="&amp;$AC11,Dataset!$J:$J,"&lt;"&amp;$AD11,Dataset!$AH:$AH,"bono de gobierno",Dataset!$T:$T,"$")</f>
        <v>0</v>
      </c>
      <c r="V11" s="28">
        <f>SUMIFS(Dataset!$AA:$AA,Dataset!$F:$F,Resumen!U$8,Dataset!$J:$J,"&gt;="&amp;$AC11,Dataset!$J:$J,"&lt;"&amp;$AD11,Dataset!$AH:$AH,"bono de gobierno",Dataset!$T:$T,"$")</f>
        <v>0</v>
      </c>
      <c r="W11" s="27">
        <f>SUMIFS(Dataset!$AJ:$AJ,Dataset!$F:$F,Resumen!W$8,Dataset!$J:$J,"&gt;="&amp;$AC11,Dataset!$J:$J,"&lt;"&amp;$AD11,Dataset!$AH:$AH,"bono de gobierno",Dataset!$T:$T,"$")</f>
        <v>0</v>
      </c>
      <c r="X11" s="28">
        <f>SUMIFS(Dataset!$AA:$AA,Dataset!$F:$F,Resumen!W$8,Dataset!$J:$J,"&gt;="&amp;$AC11,Dataset!$J:$J,"&lt;"&amp;$AD11,Dataset!$AH:$AH,"bono de gobierno",Dataset!$T:$T,"$")</f>
        <v>0</v>
      </c>
      <c r="Y11" s="27">
        <f>SUMIFS(Dataset!$AJ:$AJ,Dataset!$F:$F,Resumen!Y$8,Dataset!$J:$J,"&gt;="&amp;$AC11,Dataset!$J:$J,"&lt;"&amp;$AD11,Dataset!$AH:$AH,"bono de gobierno",Dataset!$T:$T,"$")</f>
        <v>0.49115438044771598</v>
      </c>
      <c r="Z11" s="28">
        <f>SUMIFS(Dataset!$AA:$AA,Dataset!$F:$F,Resumen!Y$8,Dataset!$J:$J,"&gt;="&amp;$AC11,Dataset!$J:$J,"&lt;"&amp;$AD11,Dataset!$AH:$AH,"bono de gobierno",Dataset!$T:$T,"$")</f>
        <v>0.42304680497915698</v>
      </c>
      <c r="AA11" s="27">
        <f>SUMIFS(Dataset!$AJ:$AJ,Dataset!$F:$F,Resumen!AA$8,Dataset!$J:$J,"&gt;="&amp;$AC11,Dataset!$J:$J,"&lt;"&amp;$AD11,Dataset!$AH:$AH,"bono de gobierno",Dataset!$T:$T,"$")</f>
        <v>0</v>
      </c>
      <c r="AB11" s="28">
        <f>SUMIFS(Dataset!$AA:$AA,Dataset!$F:$F,Resumen!AA$8,Dataset!$J:$J,"&gt;="&amp;$AC11,Dataset!$J:$J,"&lt;"&amp;$AD11,Dataset!$AH:$AH,"bono de gobierno",Dataset!$T:$T,"$")</f>
        <v>0</v>
      </c>
      <c r="AC11" s="22">
        <v>3</v>
      </c>
      <c r="AD11" s="22">
        <v>5</v>
      </c>
    </row>
    <row r="12" spans="2:32" ht="30" customHeight="1" x14ac:dyDescent="0.3">
      <c r="B12" s="159"/>
      <c r="C12" s="160" t="s">
        <v>125</v>
      </c>
      <c r="D12" s="160"/>
      <c r="E12" s="27">
        <f>SUMIFS(Dataset!$AJ:$AJ,Dataset!$F:$F,Resumen!E$8,Dataset!$J:$J,"&gt;="&amp;$AC12,Dataset!$J:$J,"&lt;"&amp;$AD12,Dataset!$AH:$AH,"bono de gobierno",Dataset!$T:$T,"$")</f>
        <v>0</v>
      </c>
      <c r="F12" s="28">
        <f>SUMIFS(Dataset!$AA:$AA,Dataset!$F:$F,Resumen!E$8,Dataset!$J:$J,"&gt;="&amp;$AC12,Dataset!$J:$J,"&lt;"&amp;$AD12,Dataset!$AH:$AH,"bono de gobierno",Dataset!$T:$T,"$")</f>
        <v>0</v>
      </c>
      <c r="G12" s="27">
        <f>SUMIFS(Dataset!$AJ:$AJ,Dataset!$F:$F,Resumen!G$8,Dataset!$J:$J,"&gt;="&amp;$AC12,Dataset!$J:$J,"&lt;"&amp;$AD12,Dataset!$AH:$AH,"bono de gobierno",Dataset!$T:$T,"$")</f>
        <v>0</v>
      </c>
      <c r="H12" s="28">
        <f>SUMIFS(Dataset!$AA:$AA,Dataset!$F:$F,Resumen!G$8,Dataset!$J:$J,"&gt;="&amp;$AC12,Dataset!$J:$J,"&lt;"&amp;$AD12,Dataset!$AH:$AH,"bono de gobierno",Dataset!$T:$T,"$")</f>
        <v>0</v>
      </c>
      <c r="I12" s="27">
        <f>SUMIFS(Dataset!$AJ:$AJ,Dataset!$F:$F,Resumen!I$8,Dataset!$J:$J,"&gt;="&amp;$AC12,Dataset!$J:$J,"&lt;"&amp;$AD12,Dataset!$AH:$AH,"bono de gobierno",Dataset!$T:$T,"$")</f>
        <v>0</v>
      </c>
      <c r="J12" s="28">
        <f>SUMIFS(Dataset!$AA:$AA,Dataset!$F:$F,Resumen!I$8,Dataset!$J:$J,"&gt;="&amp;$AC12,Dataset!$J:$J,"&lt;"&amp;$AD12,Dataset!$AH:$AH,"bono de gobierno",Dataset!$T:$T,"$")</f>
        <v>0</v>
      </c>
      <c r="K12" s="27">
        <f>SUMIFS(Dataset!$AJ:$AJ,Dataset!$F:$F,Resumen!K$8,Dataset!$J:$J,"&gt;="&amp;$AC12,Dataset!$J:$J,"&lt;"&amp;$AD12,Dataset!$AH:$AH,"bono de gobierno",Dataset!$T:$T,"$")</f>
        <v>0</v>
      </c>
      <c r="L12" s="28">
        <f>SUMIFS(Dataset!$AA:$AA,Dataset!$F:$F,Resumen!K$8,Dataset!$J:$J,"&gt;="&amp;$AC12,Dataset!$J:$J,"&lt;"&amp;$AD12,Dataset!$AH:$AH,"bono de gobierno",Dataset!$T:$T,"$")</f>
        <v>0</v>
      </c>
      <c r="M12" s="27">
        <f>SUMIFS(Dataset!$AJ:$AJ,Dataset!$F:$F,Resumen!M$8,Dataset!$J:$J,"&gt;="&amp;$AC12,Dataset!$J:$J,"&lt;"&amp;$AD12,Dataset!$AH:$AH,"bono de gobierno",Dataset!$T:$T,"$")</f>
        <v>0</v>
      </c>
      <c r="N12" s="28">
        <f>SUMIFS(Dataset!$AA:$AA,Dataset!$F:$F,Resumen!M$8,Dataset!$J:$J,"&gt;="&amp;$AC12,Dataset!$J:$J,"&lt;"&amp;$AD12,Dataset!$AH:$AH,"bono de gobierno",Dataset!$T:$T,"$")</f>
        <v>0</v>
      </c>
      <c r="O12" s="27">
        <f>SUMIFS(Dataset!$AJ:$AJ,Dataset!$F:$F,Resumen!O$8,Dataset!$J:$J,"&gt;="&amp;$AC12,Dataset!$J:$J,"&lt;"&amp;$AD12,Dataset!$AH:$AH,"bono de gobierno",Dataset!$T:$T,"$")</f>
        <v>0</v>
      </c>
      <c r="P12" s="28">
        <f>SUMIFS(Dataset!$AA:$AA,Dataset!$F:$F,Resumen!O$8,Dataset!$J:$J,"&gt;="&amp;$AC12,Dataset!$J:$J,"&lt;"&amp;$AD12,Dataset!$AH:$AH,"bono de gobierno",Dataset!$T:$T,"$")</f>
        <v>0</v>
      </c>
      <c r="Q12" s="27">
        <f>SUMIFS(Dataset!$AJ:$AJ,Dataset!$F:$F,Resumen!Q$8,Dataset!$J:$J,"&gt;="&amp;$AC12,Dataset!$J:$J,"&lt;"&amp;$AD12,Dataset!$AH:$AH,"bono de gobierno",Dataset!$T:$T,"$")</f>
        <v>0</v>
      </c>
      <c r="R12" s="28">
        <f>SUMIFS(Dataset!$AA:$AA,Dataset!$F:$F,Resumen!Q$8,Dataset!$J:$J,"&gt;="&amp;$AC12,Dataset!$J:$J,"&lt;"&amp;$AD12,Dataset!$AH:$AH,"bono de gobierno",Dataset!$T:$T,"$")</f>
        <v>0</v>
      </c>
      <c r="S12" s="27">
        <f>SUMIFS(Dataset!$AJ:$AJ,Dataset!$F:$F,Resumen!S$8,Dataset!$J:$J,"&gt;="&amp;$AC12,Dataset!$J:$J,"&lt;"&amp;$AD12,Dataset!$AH:$AH,"bono de gobierno",Dataset!$T:$T,"$")</f>
        <v>0</v>
      </c>
      <c r="T12" s="28">
        <f>SUMIFS(Dataset!$AA:$AA,Dataset!$F:$F,Resumen!S$8,Dataset!$J:$J,"&gt;="&amp;$AC12,Dataset!$J:$J,"&lt;"&amp;$AD12,Dataset!$AH:$AH,"bono de gobierno",Dataset!$T:$T,"$")</f>
        <v>0</v>
      </c>
      <c r="U12" s="27">
        <f>SUMIFS(Dataset!$AJ:$AJ,Dataset!$F:$F,Resumen!U$8,Dataset!$J:$J,"&gt;="&amp;$AC12,Dataset!$J:$J,"&lt;"&amp;$AD12,Dataset!$AH:$AH,"bono de gobierno",Dataset!$T:$T,"$")</f>
        <v>0</v>
      </c>
      <c r="V12" s="28">
        <f>SUMIFS(Dataset!$AA:$AA,Dataset!$F:$F,Resumen!U$8,Dataset!$J:$J,"&gt;="&amp;$AC12,Dataset!$J:$J,"&lt;"&amp;$AD12,Dataset!$AH:$AH,"bono de gobierno",Dataset!$T:$T,"$")</f>
        <v>0</v>
      </c>
      <c r="W12" s="27">
        <f>SUMIFS(Dataset!$AJ:$AJ,Dataset!$F:$F,Resumen!W$8,Dataset!$J:$J,"&gt;="&amp;$AC12,Dataset!$J:$J,"&lt;"&amp;$AD12,Dataset!$AH:$AH,"bono de gobierno",Dataset!$T:$T,"$")</f>
        <v>0</v>
      </c>
      <c r="X12" s="28">
        <f>SUMIFS(Dataset!$AA:$AA,Dataset!$F:$F,Resumen!W$8,Dataset!$J:$J,"&gt;="&amp;$AC12,Dataset!$J:$J,"&lt;"&amp;$AD12,Dataset!$AH:$AH,"bono de gobierno",Dataset!$T:$T,"$")</f>
        <v>0</v>
      </c>
      <c r="Y12" s="27">
        <f>SUMIFS(Dataset!$AJ:$AJ,Dataset!$F:$F,Resumen!Y$8,Dataset!$J:$J,"&gt;="&amp;$AC12,Dataset!$J:$J,"&lt;"&amp;$AD12,Dataset!$AH:$AH,"bono de gobierno",Dataset!$T:$T,"$")</f>
        <v>0</v>
      </c>
      <c r="Z12" s="28">
        <f>SUMIFS(Dataset!$AA:$AA,Dataset!$F:$F,Resumen!Y$8,Dataset!$J:$J,"&gt;="&amp;$AC12,Dataset!$J:$J,"&lt;"&amp;$AD12,Dataset!$AH:$AH,"bono de gobierno",Dataset!$T:$T,"$")</f>
        <v>0</v>
      </c>
      <c r="AA12" s="27">
        <f>SUMIFS(Dataset!$AJ:$AJ,Dataset!$F:$F,Resumen!AA$8,Dataset!$J:$J,"&gt;="&amp;$AC12,Dataset!$J:$J,"&lt;"&amp;$AD12,Dataset!$AH:$AH,"bono de gobierno",Dataset!$T:$T,"$")</f>
        <v>0</v>
      </c>
      <c r="AB12" s="28">
        <f>SUMIFS(Dataset!$AA:$AA,Dataset!$F:$F,Resumen!AA$8,Dataset!$J:$J,"&gt;="&amp;$AC12,Dataset!$J:$J,"&lt;"&amp;$AD12,Dataset!$AH:$AH,"bono de gobierno",Dataset!$T:$T,"$")</f>
        <v>0</v>
      </c>
      <c r="AC12" s="22">
        <v>5</v>
      </c>
      <c r="AD12" s="22">
        <v>10</v>
      </c>
    </row>
    <row r="13" spans="2:32" ht="30" customHeight="1" x14ac:dyDescent="0.3">
      <c r="B13" s="159"/>
      <c r="C13" s="160" t="s">
        <v>126</v>
      </c>
      <c r="D13" s="160"/>
      <c r="E13" s="29">
        <f>SUMIFS(Dataset!$AJ:$AJ,Dataset!$F:$F,Resumen!E$8,Dataset!$J:$J,"&gt;="&amp;$AC13,Dataset!$J:$J,"&lt;"&amp;$AD13,Dataset!$AH:$AH,"bono de gobierno",Dataset!$T:$T,"$")</f>
        <v>0</v>
      </c>
      <c r="F13" s="30">
        <f>SUMIFS(Dataset!$AA:$AA,Dataset!$F:$F,Resumen!E$8,Dataset!$J:$J,"&gt;="&amp;$AC13,Dataset!$J:$J,"&lt;"&amp;$AD13,Dataset!$AH:$AH,"bono de gobierno",Dataset!$T:$T,"$")</f>
        <v>0</v>
      </c>
      <c r="G13" s="29">
        <f>SUMIFS(Dataset!$AJ:$AJ,Dataset!$F:$F,Resumen!G$8,Dataset!$J:$J,"&gt;="&amp;$AC13,Dataset!$J:$J,"&lt;"&amp;$AD13,Dataset!$AH:$AH,"bono de gobierno",Dataset!$T:$T,"$")</f>
        <v>0</v>
      </c>
      <c r="H13" s="30">
        <f>SUMIFS(Dataset!$AA:$AA,Dataset!$F:$F,Resumen!G$8,Dataset!$J:$J,"&gt;="&amp;$AC13,Dataset!$J:$J,"&lt;"&amp;$AD13,Dataset!$AH:$AH,"bono de gobierno",Dataset!$T:$T,"$")</f>
        <v>0</v>
      </c>
      <c r="I13" s="29">
        <f>SUMIFS(Dataset!$AJ:$AJ,Dataset!$F:$F,Resumen!I$8,Dataset!$J:$J,"&gt;="&amp;$AC13,Dataset!$J:$J,"&lt;"&amp;$AD13,Dataset!$AH:$AH,"bono de gobierno",Dataset!$T:$T,"$")</f>
        <v>0</v>
      </c>
      <c r="J13" s="30">
        <f>SUMIFS(Dataset!$AA:$AA,Dataset!$F:$F,Resumen!I$8,Dataset!$J:$J,"&gt;="&amp;$AC13,Dataset!$J:$J,"&lt;"&amp;$AD13,Dataset!$AH:$AH,"bono de gobierno",Dataset!$T:$T,"$")</f>
        <v>0</v>
      </c>
      <c r="K13" s="29">
        <f>SUMIFS(Dataset!$AJ:$AJ,Dataset!$F:$F,Resumen!K$8,Dataset!$J:$J,"&gt;="&amp;$AC13,Dataset!$J:$J,"&lt;"&amp;$AD13,Dataset!$AH:$AH,"bono de gobierno",Dataset!$T:$T,"$")</f>
        <v>0</v>
      </c>
      <c r="L13" s="30">
        <f>SUMIFS(Dataset!$AA:$AA,Dataset!$F:$F,Resumen!K$8,Dataset!$J:$J,"&gt;="&amp;$AC13,Dataset!$J:$J,"&lt;"&amp;$AD13,Dataset!$AH:$AH,"bono de gobierno",Dataset!$T:$T,"$")</f>
        <v>0</v>
      </c>
      <c r="M13" s="29">
        <f>SUMIFS(Dataset!$AJ:$AJ,Dataset!$F:$F,Resumen!M$8,Dataset!$J:$J,"&gt;="&amp;$AC13,Dataset!$J:$J,"&lt;"&amp;$AD13,Dataset!$AH:$AH,"bono de gobierno",Dataset!$T:$T,"$")</f>
        <v>0</v>
      </c>
      <c r="N13" s="30">
        <f>SUMIFS(Dataset!$AA:$AA,Dataset!$F:$F,Resumen!M$8,Dataset!$J:$J,"&gt;="&amp;$AC13,Dataset!$J:$J,"&lt;"&amp;$AD13,Dataset!$AH:$AH,"bono de gobierno",Dataset!$T:$T,"$")</f>
        <v>0</v>
      </c>
      <c r="O13" s="29">
        <f>SUMIFS(Dataset!$AJ:$AJ,Dataset!$F:$F,Resumen!O$8,Dataset!$J:$J,"&gt;="&amp;$AC13,Dataset!$J:$J,"&lt;"&amp;$AD13,Dataset!$AH:$AH,"bono de gobierno",Dataset!$T:$T,"$")</f>
        <v>0</v>
      </c>
      <c r="P13" s="30">
        <f>SUMIFS(Dataset!$AA:$AA,Dataset!$F:$F,Resumen!O$8,Dataset!$J:$J,"&gt;="&amp;$AC13,Dataset!$J:$J,"&lt;"&amp;$AD13,Dataset!$AH:$AH,"bono de gobierno",Dataset!$T:$T,"$")</f>
        <v>0</v>
      </c>
      <c r="Q13" s="29">
        <f>SUMIFS(Dataset!$AJ:$AJ,Dataset!$F:$F,Resumen!Q$8,Dataset!$J:$J,"&gt;="&amp;$AC13,Dataset!$J:$J,"&lt;"&amp;$AD13,Dataset!$AH:$AH,"bono de gobierno",Dataset!$T:$T,"$")</f>
        <v>0</v>
      </c>
      <c r="R13" s="30">
        <f>SUMIFS(Dataset!$AA:$AA,Dataset!$F:$F,Resumen!Q$8,Dataset!$J:$J,"&gt;="&amp;$AC13,Dataset!$J:$J,"&lt;"&amp;$AD13,Dataset!$AH:$AH,"bono de gobierno",Dataset!$T:$T,"$")</f>
        <v>0</v>
      </c>
      <c r="S13" s="29">
        <f>SUMIFS(Dataset!$AJ:$AJ,Dataset!$F:$F,Resumen!S$8,Dataset!$J:$J,"&gt;="&amp;$AC13,Dataset!$J:$J,"&lt;"&amp;$AD13,Dataset!$AH:$AH,"bono de gobierno",Dataset!$T:$T,"$")</f>
        <v>0</v>
      </c>
      <c r="T13" s="30">
        <f>SUMIFS(Dataset!$AA:$AA,Dataset!$F:$F,Resumen!S$8,Dataset!$J:$J,"&gt;="&amp;$AC13,Dataset!$J:$J,"&lt;"&amp;$AD13,Dataset!$AH:$AH,"bono de gobierno",Dataset!$T:$T,"$")</f>
        <v>0</v>
      </c>
      <c r="U13" s="29">
        <f>SUMIFS(Dataset!$AJ:$AJ,Dataset!$F:$F,Resumen!U$8,Dataset!$J:$J,"&gt;="&amp;$AC13,Dataset!$J:$J,"&lt;"&amp;$AD13,Dataset!$AH:$AH,"bono de gobierno",Dataset!$T:$T,"$")</f>
        <v>0</v>
      </c>
      <c r="V13" s="30">
        <f>SUMIFS(Dataset!$AA:$AA,Dataset!$F:$F,Resumen!U$8,Dataset!$J:$J,"&gt;="&amp;$AC13,Dataset!$J:$J,"&lt;"&amp;$AD13,Dataset!$AH:$AH,"bono de gobierno",Dataset!$T:$T,"$")</f>
        <v>0</v>
      </c>
      <c r="W13" s="29">
        <f>SUMIFS(Dataset!$AJ:$AJ,Dataset!$F:$F,Resumen!W$8,Dataset!$J:$J,"&gt;="&amp;$AC13,Dataset!$J:$J,"&lt;"&amp;$AD13,Dataset!$AH:$AH,"bono de gobierno",Dataset!$T:$T,"$")</f>
        <v>0</v>
      </c>
      <c r="X13" s="30">
        <f>SUMIFS(Dataset!$AA:$AA,Dataset!$F:$F,Resumen!W$8,Dataset!$J:$J,"&gt;="&amp;$AC13,Dataset!$J:$J,"&lt;"&amp;$AD13,Dataset!$AH:$AH,"bono de gobierno",Dataset!$T:$T,"$")</f>
        <v>0</v>
      </c>
      <c r="Y13" s="29">
        <f>SUMIFS(Dataset!$AJ:$AJ,Dataset!$F:$F,Resumen!Y$8,Dataset!$J:$J,"&gt;="&amp;$AC13,Dataset!$J:$J,"&lt;"&amp;$AD13,Dataset!$AH:$AH,"bono de gobierno",Dataset!$T:$T,"$")</f>
        <v>3.683292733448891E-2</v>
      </c>
      <c r="Z13" s="30">
        <f>SUMIFS(Dataset!$AA:$AA,Dataset!$F:$F,Resumen!Y$8,Dataset!$J:$J,"&gt;="&amp;$AC13,Dataset!$J:$J,"&lt;"&amp;$AD13,Dataset!$AH:$AH,"bono de gobierno",Dataset!$T:$T,"$")</f>
        <v>0.11814551142634716</v>
      </c>
      <c r="AA13" s="29">
        <f>SUMIFS(Dataset!$AJ:$AJ,Dataset!$F:$F,Resumen!AA$8,Dataset!$J:$J,"&gt;="&amp;$AC13,Dataset!$J:$J,"&lt;"&amp;$AD13,Dataset!$AH:$AH,"bono de gobierno",Dataset!$T:$T,"$")</f>
        <v>0</v>
      </c>
      <c r="AB13" s="30">
        <f>SUMIFS(Dataset!$AA:$AA,Dataset!$F:$F,Resumen!AA$8,Dataset!$J:$J,"&gt;="&amp;$AC13,Dataset!$J:$J,"&lt;"&amp;$AD13,Dataset!$AH:$AH,"bono de gobierno",Dataset!$T:$T,"$")</f>
        <v>0</v>
      </c>
      <c r="AC13" s="22">
        <v>10</v>
      </c>
      <c r="AD13" s="22">
        <v>100</v>
      </c>
    </row>
    <row r="14" spans="2:32" ht="30" customHeight="1" x14ac:dyDescent="0.3">
      <c r="B14" s="159" t="s">
        <v>127</v>
      </c>
      <c r="C14" s="160" t="s">
        <v>123</v>
      </c>
      <c r="D14" s="160"/>
      <c r="E14" s="24">
        <f>SUMIFS(Dataset!$AJ:$AJ,Dataset!$F:$F,Resumen!E$8,Dataset!$J:$J,"&gt;="&amp;$AC14,Dataset!$J:$J,"&lt;"&amp;$AD14,Dataset!$AH:$AH,"bono de gobierno",Dataset!$T:$T,"UF")</f>
        <v>0</v>
      </c>
      <c r="F14" s="25">
        <f>SUMIFS(Dataset!$AA:$AA,Dataset!$F:$F,Resumen!E$8,Dataset!$J:$J,"&gt;="&amp;$AC14,Dataset!$J:$J,"&lt;"&amp;$AD14,Dataset!$AH:$AH,"bono de gobierno",Dataset!$T:$T,"UF")</f>
        <v>0</v>
      </c>
      <c r="G14" s="24">
        <f>SUMIFS(Dataset!$AJ:$AJ,Dataset!$F:$F,Resumen!G$8,Dataset!$J:$J,"&gt;="&amp;$AC14,Dataset!$J:$J,"&lt;"&amp;$AD14,Dataset!$AH:$AH,"bono de gobierno",Dataset!$T:$T,"UF")</f>
        <v>0</v>
      </c>
      <c r="H14" s="25">
        <f>SUMIFS(Dataset!$AA:$AA,Dataset!$F:$F,Resumen!G$8,Dataset!$J:$J,"&gt;="&amp;$AC14,Dataset!$J:$J,"&lt;"&amp;$AD14,Dataset!$AH:$AH,"bono de gobierno",Dataset!$T:$T,"UF")</f>
        <v>0</v>
      </c>
      <c r="I14" s="24">
        <f>SUMIFS(Dataset!$AJ:$AJ,Dataset!$F:$F,Resumen!I$8,Dataset!$J:$J,"&gt;="&amp;$AC14,Dataset!$J:$J,"&lt;"&amp;$AD14,Dataset!$AH:$AH,"bono de gobierno",Dataset!$T:$T,"UF")</f>
        <v>0</v>
      </c>
      <c r="J14" s="25">
        <f>SUMIFS(Dataset!$AA:$AA,Dataset!$F:$F,Resumen!I$8,Dataset!$J:$J,"&gt;="&amp;$AC14,Dataset!$J:$J,"&lt;"&amp;$AD14,Dataset!$AH:$AH,"bono de gobierno",Dataset!$T:$T,"UF")</f>
        <v>0</v>
      </c>
      <c r="K14" s="24">
        <f>SUMIFS(Dataset!$AJ:$AJ,Dataset!$F:$F,Resumen!K$8,Dataset!$J:$J,"&gt;="&amp;$AC14,Dataset!$J:$J,"&lt;"&amp;$AD14,Dataset!$AH:$AH,"bono de gobierno",Dataset!$T:$T,"UF")</f>
        <v>0</v>
      </c>
      <c r="L14" s="25">
        <f>SUMIFS(Dataset!$AA:$AA,Dataset!$F:$F,Resumen!K$8,Dataset!$J:$J,"&gt;="&amp;$AC14,Dataset!$J:$J,"&lt;"&amp;$AD14,Dataset!$AH:$AH,"bono de gobierno",Dataset!$T:$T,"UF")</f>
        <v>0</v>
      </c>
      <c r="M14" s="24">
        <f>SUMIFS(Dataset!$AJ:$AJ,Dataset!$F:$F,Resumen!M$8,Dataset!$J:$J,"&gt;="&amp;$AC14,Dataset!$J:$J,"&lt;"&amp;$AD14,Dataset!$AH:$AH,"bono de gobierno",Dataset!$T:$T,"UF")</f>
        <v>0</v>
      </c>
      <c r="N14" s="25">
        <f>SUMIFS(Dataset!$AA:$AA,Dataset!$F:$F,Resumen!M$8,Dataset!$J:$J,"&gt;="&amp;$AC14,Dataset!$J:$J,"&lt;"&amp;$AD14,Dataset!$AH:$AH,"bono de gobierno",Dataset!$T:$T,"UF")</f>
        <v>0</v>
      </c>
      <c r="O14" s="24">
        <f>SUMIFS(Dataset!$AJ:$AJ,Dataset!$F:$F,Resumen!O$8,Dataset!$J:$J,"&gt;="&amp;$AC14,Dataset!$J:$J,"&lt;"&amp;$AD14,Dataset!$AH:$AH,"bono de gobierno",Dataset!$T:$T,"UF")</f>
        <v>0</v>
      </c>
      <c r="P14" s="25">
        <f>SUMIFS(Dataset!$AA:$AA,Dataset!$F:$F,Resumen!O$8,Dataset!$J:$J,"&gt;="&amp;$AC14,Dataset!$J:$J,"&lt;"&amp;$AD14,Dataset!$AH:$AH,"bono de gobierno",Dataset!$T:$T,"UF")</f>
        <v>0</v>
      </c>
      <c r="Q14" s="24">
        <f>SUMIFS(Dataset!$AJ:$AJ,Dataset!$F:$F,Resumen!Q$8,Dataset!$J:$J,"&gt;="&amp;$AC14,Dataset!$J:$J,"&lt;"&amp;$AD14,Dataset!$AH:$AH,"bono de gobierno",Dataset!$T:$T,"UF")</f>
        <v>0</v>
      </c>
      <c r="R14" s="25">
        <f>SUMIFS(Dataset!$AA:$AA,Dataset!$F:$F,Resumen!Q$8,Dataset!$J:$J,"&gt;="&amp;$AC14,Dataset!$J:$J,"&lt;"&amp;$AD14,Dataset!$AH:$AH,"bono de gobierno",Dataset!$T:$T,"UF")</f>
        <v>0</v>
      </c>
      <c r="S14" s="24">
        <f>SUMIFS(Dataset!$AJ:$AJ,Dataset!$F:$F,Resumen!S$8,Dataset!$J:$J,"&gt;="&amp;$AC14,Dataset!$J:$J,"&lt;"&amp;$AD14,Dataset!$AH:$AH,"bono de gobierno",Dataset!$T:$T,"UF")</f>
        <v>0</v>
      </c>
      <c r="T14" s="25">
        <f>SUMIFS(Dataset!$AA:$AA,Dataset!$F:$F,Resumen!S$8,Dataset!$J:$J,"&gt;="&amp;$AC14,Dataset!$J:$J,"&lt;"&amp;$AD14,Dataset!$AH:$AH,"bono de gobierno",Dataset!$T:$T,"UF")</f>
        <v>0</v>
      </c>
      <c r="U14" s="24">
        <f>SUMIFS(Dataset!$AJ:$AJ,Dataset!$F:$F,Resumen!U$8,Dataset!$J:$J,"&gt;="&amp;$AC14,Dataset!$J:$J,"&lt;"&amp;$AD14,Dataset!$AH:$AH,"bono de gobierno",Dataset!$T:$T,"UF")</f>
        <v>0</v>
      </c>
      <c r="V14" s="25">
        <f>SUMIFS(Dataset!$AA:$AA,Dataset!$F:$F,Resumen!U$8,Dataset!$J:$J,"&gt;="&amp;$AC14,Dataset!$J:$J,"&lt;"&amp;$AD14,Dataset!$AH:$AH,"bono de gobierno",Dataset!$T:$T,"UF")</f>
        <v>0</v>
      </c>
      <c r="W14" s="24">
        <f>SUMIFS(Dataset!$AJ:$AJ,Dataset!$F:$F,Resumen!W$8,Dataset!$J:$J,"&gt;="&amp;$AC14,Dataset!$J:$J,"&lt;"&amp;$AD14,Dataset!$AH:$AH,"bono de gobierno",Dataset!$T:$T,"UF")</f>
        <v>0</v>
      </c>
      <c r="X14" s="25">
        <f>SUMIFS(Dataset!$AA:$AA,Dataset!$F:$F,Resumen!W$8,Dataset!$J:$J,"&gt;="&amp;$AC14,Dataset!$J:$J,"&lt;"&amp;$AD14,Dataset!$AH:$AH,"bono de gobierno",Dataset!$T:$T,"UF")</f>
        <v>0</v>
      </c>
      <c r="Y14" s="24">
        <f>SUMIFS(Dataset!$AJ:$AJ,Dataset!$F:$F,Resumen!Y$8,Dataset!$J:$J,"&gt;="&amp;$AC14,Dataset!$J:$J,"&lt;"&amp;$AD14,Dataset!$AH:$AH,"bono de gobierno",Dataset!$T:$T,"UF")</f>
        <v>2.0883851202040872E-2</v>
      </c>
      <c r="Z14" s="25">
        <f>SUMIFS(Dataset!$AA:$AA,Dataset!$F:$F,Resumen!Y$8,Dataset!$J:$J,"&gt;="&amp;$AC14,Dataset!$J:$J,"&lt;"&amp;$AD14,Dataset!$AH:$AH,"bono de gobierno",Dataset!$T:$T,"UF")</f>
        <v>1.8613077057260424E-2</v>
      </c>
      <c r="AA14" s="24">
        <f>SUMIFS(Dataset!$AJ:$AJ,Dataset!$F:$F,Resumen!AA$8,Dataset!$J:$J,"&gt;="&amp;$AC14,Dataset!$J:$J,"&lt;"&amp;$AD14,Dataset!$AH:$AH,"bono de gobierno",Dataset!$T:$T,"UF")</f>
        <v>0</v>
      </c>
      <c r="AB14" s="25">
        <f>SUMIFS(Dataset!$AA:$AA,Dataset!$F:$F,Resumen!AA$8,Dataset!$J:$J,"&gt;="&amp;$AC14,Dataset!$J:$J,"&lt;"&amp;$AD14,Dataset!$AH:$AH,"bono de gobierno",Dataset!$T:$T,"UF")</f>
        <v>0</v>
      </c>
      <c r="AC14" s="22">
        <v>0</v>
      </c>
      <c r="AD14" s="22">
        <v>3</v>
      </c>
    </row>
    <row r="15" spans="2:32" ht="30" customHeight="1" x14ac:dyDescent="0.3">
      <c r="B15" s="159"/>
      <c r="C15" s="160" t="s">
        <v>124</v>
      </c>
      <c r="D15" s="160"/>
      <c r="E15" s="27">
        <f>SUMIFS(Dataset!$AJ:$AJ,Dataset!$F:$F,Resumen!E$8,Dataset!$J:$J,"&gt;="&amp;$AC15,Dataset!$J:$J,"&lt;"&amp;$AD15,Dataset!$AH:$AH,"bono de gobierno",Dataset!$T:$T,"UF")</f>
        <v>0</v>
      </c>
      <c r="F15" s="28">
        <f>SUMIFS(Dataset!$AA:$AA,Dataset!$F:$F,Resumen!E$8,Dataset!$J:$J,"&gt;="&amp;$AC15,Dataset!$J:$J,"&lt;"&amp;$AD15,Dataset!$AH:$AH,"bono de gobierno",Dataset!$T:$T,"UF")</f>
        <v>0</v>
      </c>
      <c r="G15" s="27">
        <f>SUMIFS(Dataset!$AJ:$AJ,Dataset!$F:$F,Resumen!G$8,Dataset!$J:$J,"&gt;="&amp;$AC15,Dataset!$J:$J,"&lt;"&amp;$AD15,Dataset!$AH:$AH,"bono de gobierno",Dataset!$T:$T,"UF")</f>
        <v>0</v>
      </c>
      <c r="H15" s="28">
        <f>SUMIFS(Dataset!$AA:$AA,Dataset!$F:$F,Resumen!G$8,Dataset!$J:$J,"&gt;="&amp;$AC15,Dataset!$J:$J,"&lt;"&amp;$AD15,Dataset!$AH:$AH,"bono de gobierno",Dataset!$T:$T,"UF")</f>
        <v>0</v>
      </c>
      <c r="I15" s="27">
        <f>SUMIFS(Dataset!$AJ:$AJ,Dataset!$F:$F,Resumen!I$8,Dataset!$J:$J,"&gt;="&amp;$AC15,Dataset!$J:$J,"&lt;"&amp;$AD15,Dataset!$AH:$AH,"bono de gobierno",Dataset!$T:$T,"UF")</f>
        <v>0</v>
      </c>
      <c r="J15" s="28">
        <f>SUMIFS(Dataset!$AA:$AA,Dataset!$F:$F,Resumen!I$8,Dataset!$J:$J,"&gt;="&amp;$AC15,Dataset!$J:$J,"&lt;"&amp;$AD15,Dataset!$AH:$AH,"bono de gobierno",Dataset!$T:$T,"UF")</f>
        <v>0</v>
      </c>
      <c r="K15" s="27">
        <f>SUMIFS(Dataset!$AJ:$AJ,Dataset!$F:$F,Resumen!K$8,Dataset!$J:$J,"&gt;="&amp;$AC15,Dataset!$J:$J,"&lt;"&amp;$AD15,Dataset!$AH:$AH,"bono de gobierno",Dataset!$T:$T,"UF")</f>
        <v>0</v>
      </c>
      <c r="L15" s="28">
        <f>SUMIFS(Dataset!$AA:$AA,Dataset!$F:$F,Resumen!K$8,Dataset!$J:$J,"&gt;="&amp;$AC15,Dataset!$J:$J,"&lt;"&amp;$AD15,Dataset!$AH:$AH,"bono de gobierno",Dataset!$T:$T,"UF")</f>
        <v>0</v>
      </c>
      <c r="M15" s="27">
        <f>SUMIFS(Dataset!$AJ:$AJ,Dataset!$F:$F,Resumen!M$8,Dataset!$J:$J,"&gt;="&amp;$AC15,Dataset!$J:$J,"&lt;"&amp;$AD15,Dataset!$AH:$AH,"bono de gobierno",Dataset!$T:$T,"UF")</f>
        <v>0</v>
      </c>
      <c r="N15" s="28">
        <f>SUMIFS(Dataset!$AA:$AA,Dataset!$F:$F,Resumen!M$8,Dataset!$J:$J,"&gt;="&amp;$AC15,Dataset!$J:$J,"&lt;"&amp;$AD15,Dataset!$AH:$AH,"bono de gobierno",Dataset!$T:$T,"UF")</f>
        <v>0</v>
      </c>
      <c r="O15" s="27">
        <f>SUMIFS(Dataset!$AJ:$AJ,Dataset!$F:$F,Resumen!O$8,Dataset!$J:$J,"&gt;="&amp;$AC15,Dataset!$J:$J,"&lt;"&amp;$AD15,Dataset!$AH:$AH,"bono de gobierno",Dataset!$T:$T,"UF")</f>
        <v>0</v>
      </c>
      <c r="P15" s="28">
        <f>SUMIFS(Dataset!$AA:$AA,Dataset!$F:$F,Resumen!O$8,Dataset!$J:$J,"&gt;="&amp;$AC15,Dataset!$J:$J,"&lt;"&amp;$AD15,Dataset!$AH:$AH,"bono de gobierno",Dataset!$T:$T,"UF")</f>
        <v>0</v>
      </c>
      <c r="Q15" s="27">
        <f>SUMIFS(Dataset!$AJ:$AJ,Dataset!$F:$F,Resumen!Q$8,Dataset!$J:$J,"&gt;="&amp;$AC15,Dataset!$J:$J,"&lt;"&amp;$AD15,Dataset!$AH:$AH,"bono de gobierno",Dataset!$T:$T,"UF")</f>
        <v>0</v>
      </c>
      <c r="R15" s="28">
        <f>SUMIFS(Dataset!$AA:$AA,Dataset!$F:$F,Resumen!Q$8,Dataset!$J:$J,"&gt;="&amp;$AC15,Dataset!$J:$J,"&lt;"&amp;$AD15,Dataset!$AH:$AH,"bono de gobierno",Dataset!$T:$T,"UF")</f>
        <v>0</v>
      </c>
      <c r="S15" s="27">
        <f>SUMIFS(Dataset!$AJ:$AJ,Dataset!$F:$F,Resumen!S$8,Dataset!$J:$J,"&gt;="&amp;$AC15,Dataset!$J:$J,"&lt;"&amp;$AD15,Dataset!$AH:$AH,"bono de gobierno",Dataset!$T:$T,"UF")</f>
        <v>0</v>
      </c>
      <c r="T15" s="28">
        <f>SUMIFS(Dataset!$AA:$AA,Dataset!$F:$F,Resumen!S$8,Dataset!$J:$J,"&gt;="&amp;$AC15,Dataset!$J:$J,"&lt;"&amp;$AD15,Dataset!$AH:$AH,"bono de gobierno",Dataset!$T:$T,"UF")</f>
        <v>0</v>
      </c>
      <c r="U15" s="27">
        <f>SUMIFS(Dataset!$AJ:$AJ,Dataset!$F:$F,Resumen!U$8,Dataset!$J:$J,"&gt;="&amp;$AC15,Dataset!$J:$J,"&lt;"&amp;$AD15,Dataset!$AH:$AH,"bono de gobierno",Dataset!$T:$T,"UF")</f>
        <v>0</v>
      </c>
      <c r="V15" s="28">
        <f>SUMIFS(Dataset!$AA:$AA,Dataset!$F:$F,Resumen!U$8,Dataset!$J:$J,"&gt;="&amp;$AC15,Dataset!$J:$J,"&lt;"&amp;$AD15,Dataset!$AH:$AH,"bono de gobierno",Dataset!$T:$T,"UF")</f>
        <v>0</v>
      </c>
      <c r="W15" s="27">
        <f>SUMIFS(Dataset!$AJ:$AJ,Dataset!$F:$F,Resumen!W$8,Dataset!$J:$J,"&gt;="&amp;$AC15,Dataset!$J:$J,"&lt;"&amp;$AD15,Dataset!$AH:$AH,"bono de gobierno",Dataset!$T:$T,"UF")</f>
        <v>0</v>
      </c>
      <c r="X15" s="28">
        <f>SUMIFS(Dataset!$AA:$AA,Dataset!$F:$F,Resumen!W$8,Dataset!$J:$J,"&gt;="&amp;$AC15,Dataset!$J:$J,"&lt;"&amp;$AD15,Dataset!$AH:$AH,"bono de gobierno",Dataset!$T:$T,"UF")</f>
        <v>0</v>
      </c>
      <c r="Y15" s="27">
        <f>SUMIFS(Dataset!$AJ:$AJ,Dataset!$F:$F,Resumen!Y$8,Dataset!$J:$J,"&gt;="&amp;$AC15,Dataset!$J:$J,"&lt;"&amp;$AD15,Dataset!$AH:$AH,"bono de gobierno",Dataset!$T:$T,"UF")</f>
        <v>0.10033832578420028</v>
      </c>
      <c r="Z15" s="28">
        <f>SUMIFS(Dataset!$AA:$AA,Dataset!$F:$F,Resumen!Y$8,Dataset!$J:$J,"&gt;="&amp;$AC15,Dataset!$J:$J,"&lt;"&amp;$AD15,Dataset!$AH:$AH,"bono de gobierno",Dataset!$T:$T,"UF")</f>
        <v>0.17843838333562259</v>
      </c>
      <c r="AA15" s="27">
        <f>SUMIFS(Dataset!$AJ:$AJ,Dataset!$F:$F,Resumen!AA$8,Dataset!$J:$J,"&gt;="&amp;$AC15,Dataset!$J:$J,"&lt;"&amp;$AD15,Dataset!$AH:$AH,"bono de gobierno",Dataset!$T:$T,"UF")</f>
        <v>0</v>
      </c>
      <c r="AB15" s="28">
        <f>SUMIFS(Dataset!$AA:$AA,Dataset!$F:$F,Resumen!AA$8,Dataset!$J:$J,"&gt;="&amp;$AC15,Dataset!$J:$J,"&lt;"&amp;$AD15,Dataset!$AH:$AH,"bono de gobierno",Dataset!$T:$T,"UF")</f>
        <v>0</v>
      </c>
      <c r="AC15" s="22">
        <v>3</v>
      </c>
      <c r="AD15" s="22">
        <v>5</v>
      </c>
    </row>
    <row r="16" spans="2:32" ht="30" customHeight="1" x14ac:dyDescent="0.3">
      <c r="B16" s="159"/>
      <c r="C16" s="160" t="s">
        <v>125</v>
      </c>
      <c r="D16" s="160"/>
      <c r="E16" s="27">
        <f>SUMIFS(Dataset!$AJ:$AJ,Dataset!$F:$F,Resumen!E$8,Dataset!$J:$J,"&gt;="&amp;$AC16,Dataset!$J:$J,"&lt;"&amp;$AD16,Dataset!$AH:$AH,"bono de gobierno",Dataset!$T:$T,"UF")</f>
        <v>0</v>
      </c>
      <c r="F16" s="28">
        <f>SUMIFS(Dataset!$AA:$AA,Dataset!$F:$F,Resumen!E$8,Dataset!$J:$J,"&gt;="&amp;$AC16,Dataset!$J:$J,"&lt;"&amp;$AD16,Dataset!$AH:$AH,"bono de gobierno",Dataset!$T:$T,"UF")</f>
        <v>0</v>
      </c>
      <c r="G16" s="27">
        <f>SUMIFS(Dataset!$AJ:$AJ,Dataset!$F:$F,Resumen!G$8,Dataset!$J:$J,"&gt;="&amp;$AC16,Dataset!$J:$J,"&lt;"&amp;$AD16,Dataset!$AH:$AH,"bono de gobierno",Dataset!$T:$T,"UF")</f>
        <v>0</v>
      </c>
      <c r="H16" s="28">
        <f>SUMIFS(Dataset!$AA:$AA,Dataset!$F:$F,Resumen!G$8,Dataset!$J:$J,"&gt;="&amp;$AC16,Dataset!$J:$J,"&lt;"&amp;$AD16,Dataset!$AH:$AH,"bono de gobierno",Dataset!$T:$T,"UF")</f>
        <v>0</v>
      </c>
      <c r="I16" s="27">
        <f>SUMIFS(Dataset!$AJ:$AJ,Dataset!$F:$F,Resumen!I$8,Dataset!$J:$J,"&gt;="&amp;$AC16,Dataset!$J:$J,"&lt;"&amp;$AD16,Dataset!$AH:$AH,"bono de gobierno",Dataset!$T:$T,"UF")</f>
        <v>0</v>
      </c>
      <c r="J16" s="28">
        <f>SUMIFS(Dataset!$AA:$AA,Dataset!$F:$F,Resumen!I$8,Dataset!$J:$J,"&gt;="&amp;$AC16,Dataset!$J:$J,"&lt;"&amp;$AD16,Dataset!$AH:$AH,"bono de gobierno",Dataset!$T:$T,"UF")</f>
        <v>0</v>
      </c>
      <c r="K16" s="27">
        <f>SUMIFS(Dataset!$AJ:$AJ,Dataset!$F:$F,Resumen!K$8,Dataset!$J:$J,"&gt;="&amp;$AC16,Dataset!$J:$J,"&lt;"&amp;$AD16,Dataset!$AH:$AH,"bono de gobierno",Dataset!$T:$T,"UF")</f>
        <v>0</v>
      </c>
      <c r="L16" s="28">
        <f>SUMIFS(Dataset!$AA:$AA,Dataset!$F:$F,Resumen!K$8,Dataset!$J:$J,"&gt;="&amp;$AC16,Dataset!$J:$J,"&lt;"&amp;$AD16,Dataset!$AH:$AH,"bono de gobierno",Dataset!$T:$T,"UF")</f>
        <v>0</v>
      </c>
      <c r="M16" s="27">
        <f>SUMIFS(Dataset!$AJ:$AJ,Dataset!$F:$F,Resumen!M$8,Dataset!$J:$J,"&gt;="&amp;$AC16,Dataset!$J:$J,"&lt;"&amp;$AD16,Dataset!$AH:$AH,"bono de gobierno",Dataset!$T:$T,"UF")</f>
        <v>0</v>
      </c>
      <c r="N16" s="28">
        <f>SUMIFS(Dataset!$AA:$AA,Dataset!$F:$F,Resumen!M$8,Dataset!$J:$J,"&gt;="&amp;$AC16,Dataset!$J:$J,"&lt;"&amp;$AD16,Dataset!$AH:$AH,"bono de gobierno",Dataset!$T:$T,"UF")</f>
        <v>0</v>
      </c>
      <c r="O16" s="27">
        <f>SUMIFS(Dataset!$AJ:$AJ,Dataset!$F:$F,Resumen!O$8,Dataset!$J:$J,"&gt;="&amp;$AC16,Dataset!$J:$J,"&lt;"&amp;$AD16,Dataset!$AH:$AH,"bono de gobierno",Dataset!$T:$T,"UF")</f>
        <v>0</v>
      </c>
      <c r="P16" s="28">
        <f>SUMIFS(Dataset!$AA:$AA,Dataset!$F:$F,Resumen!O$8,Dataset!$J:$J,"&gt;="&amp;$AC16,Dataset!$J:$J,"&lt;"&amp;$AD16,Dataset!$AH:$AH,"bono de gobierno",Dataset!$T:$T,"UF")</f>
        <v>0</v>
      </c>
      <c r="Q16" s="27">
        <f>SUMIFS(Dataset!$AJ:$AJ,Dataset!$F:$F,Resumen!Q$8,Dataset!$J:$J,"&gt;="&amp;$AC16,Dataset!$J:$J,"&lt;"&amp;$AD16,Dataset!$AH:$AH,"bono de gobierno",Dataset!$T:$T,"UF")</f>
        <v>0</v>
      </c>
      <c r="R16" s="28">
        <f>SUMIFS(Dataset!$AA:$AA,Dataset!$F:$F,Resumen!Q$8,Dataset!$J:$J,"&gt;="&amp;$AC16,Dataset!$J:$J,"&lt;"&amp;$AD16,Dataset!$AH:$AH,"bono de gobierno",Dataset!$T:$T,"UF")</f>
        <v>0</v>
      </c>
      <c r="S16" s="27">
        <f>SUMIFS(Dataset!$AJ:$AJ,Dataset!$F:$F,Resumen!S$8,Dataset!$J:$J,"&gt;="&amp;$AC16,Dataset!$J:$J,"&lt;"&amp;$AD16,Dataset!$AH:$AH,"bono de gobierno",Dataset!$T:$T,"UF")</f>
        <v>0</v>
      </c>
      <c r="T16" s="28">
        <f>SUMIFS(Dataset!$AA:$AA,Dataset!$F:$F,Resumen!S$8,Dataset!$J:$J,"&gt;="&amp;$AC16,Dataset!$J:$J,"&lt;"&amp;$AD16,Dataset!$AH:$AH,"bono de gobierno",Dataset!$T:$T,"UF")</f>
        <v>0</v>
      </c>
      <c r="U16" s="27">
        <f>SUMIFS(Dataset!$AJ:$AJ,Dataset!$F:$F,Resumen!U$8,Dataset!$J:$J,"&gt;="&amp;$AC16,Dataset!$J:$J,"&lt;"&amp;$AD16,Dataset!$AH:$AH,"bono de gobierno",Dataset!$T:$T,"UF")</f>
        <v>0</v>
      </c>
      <c r="V16" s="28">
        <f>SUMIFS(Dataset!$AA:$AA,Dataset!$F:$F,Resumen!U$8,Dataset!$J:$J,"&gt;="&amp;$AC16,Dataset!$J:$J,"&lt;"&amp;$AD16,Dataset!$AH:$AH,"bono de gobierno",Dataset!$T:$T,"UF")</f>
        <v>0</v>
      </c>
      <c r="W16" s="27">
        <f>SUMIFS(Dataset!$AJ:$AJ,Dataset!$F:$F,Resumen!W$8,Dataset!$J:$J,"&gt;="&amp;$AC16,Dataset!$J:$J,"&lt;"&amp;$AD16,Dataset!$AH:$AH,"bono de gobierno",Dataset!$T:$T,"UF")</f>
        <v>0</v>
      </c>
      <c r="X16" s="28">
        <f>SUMIFS(Dataset!$AA:$AA,Dataset!$F:$F,Resumen!W$8,Dataset!$J:$J,"&gt;="&amp;$AC16,Dataset!$J:$J,"&lt;"&amp;$AD16,Dataset!$AH:$AH,"bono de gobierno",Dataset!$T:$T,"UF")</f>
        <v>0</v>
      </c>
      <c r="Y16" s="27">
        <f>SUMIFS(Dataset!$AJ:$AJ,Dataset!$F:$F,Resumen!Y$8,Dataset!$J:$J,"&gt;="&amp;$AC16,Dataset!$J:$J,"&lt;"&amp;$AD16,Dataset!$AH:$AH,"bono de gobierno",Dataset!$T:$T,"UF")</f>
        <v>6.7018375027363616E-2</v>
      </c>
      <c r="Z16" s="28">
        <f>SUMIFS(Dataset!$AA:$AA,Dataset!$F:$F,Resumen!Y$8,Dataset!$J:$J,"&gt;="&amp;$AC16,Dataset!$J:$J,"&lt;"&amp;$AD16,Dataset!$AH:$AH,"bono de gobierno",Dataset!$T:$T,"UF")</f>
        <v>0.11526376482291698</v>
      </c>
      <c r="AA16" s="27">
        <f>SUMIFS(Dataset!$AJ:$AJ,Dataset!$F:$F,Resumen!AA$8,Dataset!$J:$J,"&gt;="&amp;$AC16,Dataset!$J:$J,"&lt;"&amp;$AD16,Dataset!$AH:$AH,"bono de gobierno",Dataset!$T:$T,"UF")</f>
        <v>0</v>
      </c>
      <c r="AB16" s="28">
        <f>SUMIFS(Dataset!$AA:$AA,Dataset!$F:$F,Resumen!AA$8,Dataset!$J:$J,"&gt;="&amp;$AC16,Dataset!$J:$J,"&lt;"&amp;$AD16,Dataset!$AH:$AH,"bono de gobierno",Dataset!$T:$T,"UF")</f>
        <v>0</v>
      </c>
      <c r="AC16" s="22">
        <v>5</v>
      </c>
      <c r="AD16" s="22">
        <v>10</v>
      </c>
    </row>
    <row r="17" spans="2:34" ht="30" customHeight="1" x14ac:dyDescent="0.3">
      <c r="B17" s="159"/>
      <c r="C17" s="160" t="s">
        <v>126</v>
      </c>
      <c r="D17" s="160"/>
      <c r="E17" s="29">
        <f>SUMIFS(Dataset!$AJ:$AJ,Dataset!$F:$F,Resumen!E$8,Dataset!$J:$J,"&gt;="&amp;$AC17,Dataset!$J:$J,"&lt;"&amp;$AD17,Dataset!$AH:$AH,"bono de gobierno",Dataset!$T:$T,"UF")</f>
        <v>0</v>
      </c>
      <c r="F17" s="30">
        <f>SUMIFS(Dataset!$AA:$AA,Dataset!$F:$F,Resumen!E$8,Dataset!$J:$J,"&gt;="&amp;$AC17,Dataset!$J:$J,"&lt;"&amp;$AD17,Dataset!$AH:$AH,"bono de gobierno",Dataset!$T:$T,"UF")</f>
        <v>0</v>
      </c>
      <c r="G17" s="29">
        <f>SUMIFS(Dataset!$AJ:$AJ,Dataset!$F:$F,Resumen!G$8,Dataset!$J:$J,"&gt;="&amp;$AC17,Dataset!$J:$J,"&lt;"&amp;$AD17,Dataset!$AH:$AH,"bono de gobierno",Dataset!$T:$T,"UF")</f>
        <v>0</v>
      </c>
      <c r="H17" s="30">
        <f>SUMIFS(Dataset!$AA:$AA,Dataset!$F:$F,Resumen!G$8,Dataset!$J:$J,"&gt;="&amp;$AC17,Dataset!$J:$J,"&lt;"&amp;$AD17,Dataset!$AH:$AH,"bono de gobierno",Dataset!$T:$T,"UF")</f>
        <v>0</v>
      </c>
      <c r="I17" s="29">
        <f>SUMIFS(Dataset!$AJ:$AJ,Dataset!$F:$F,Resumen!I$8,Dataset!$J:$J,"&gt;="&amp;$AC17,Dataset!$J:$J,"&lt;"&amp;$AD17,Dataset!$AH:$AH,"bono de gobierno",Dataset!$T:$T,"UF")</f>
        <v>0</v>
      </c>
      <c r="J17" s="30">
        <f>SUMIFS(Dataset!$AA:$AA,Dataset!$F:$F,Resumen!I$8,Dataset!$J:$J,"&gt;="&amp;$AC17,Dataset!$J:$J,"&lt;"&amp;$AD17,Dataset!$AH:$AH,"bono de gobierno",Dataset!$T:$T,"UF")</f>
        <v>0</v>
      </c>
      <c r="K17" s="29">
        <f>SUMIFS(Dataset!$AJ:$AJ,Dataset!$F:$F,Resumen!K$8,Dataset!$J:$J,"&gt;="&amp;$AC17,Dataset!$J:$J,"&lt;"&amp;$AD17,Dataset!$AH:$AH,"bono de gobierno",Dataset!$T:$T,"UF")</f>
        <v>0</v>
      </c>
      <c r="L17" s="30">
        <f>SUMIFS(Dataset!$AA:$AA,Dataset!$F:$F,Resumen!K$8,Dataset!$J:$J,"&gt;="&amp;$AC17,Dataset!$J:$J,"&lt;"&amp;$AD17,Dataset!$AH:$AH,"bono de gobierno",Dataset!$T:$T,"UF")</f>
        <v>0</v>
      </c>
      <c r="M17" s="29">
        <f>SUMIFS(Dataset!$AJ:$AJ,Dataset!$F:$F,Resumen!M$8,Dataset!$J:$J,"&gt;="&amp;$AC17,Dataset!$J:$J,"&lt;"&amp;$AD17,Dataset!$AH:$AH,"bono de gobierno",Dataset!$T:$T,"UF")</f>
        <v>0</v>
      </c>
      <c r="N17" s="30">
        <f>SUMIFS(Dataset!$AA:$AA,Dataset!$F:$F,Resumen!M$8,Dataset!$J:$J,"&gt;="&amp;$AC17,Dataset!$J:$J,"&lt;"&amp;$AD17,Dataset!$AH:$AH,"bono de gobierno",Dataset!$T:$T,"UF")</f>
        <v>0</v>
      </c>
      <c r="O17" s="29">
        <f>SUMIFS(Dataset!$AJ:$AJ,Dataset!$F:$F,Resumen!O$8,Dataset!$J:$J,"&gt;="&amp;$AC17,Dataset!$J:$J,"&lt;"&amp;$AD17,Dataset!$AH:$AH,"bono de gobierno",Dataset!$T:$T,"UF")</f>
        <v>0</v>
      </c>
      <c r="P17" s="30">
        <f>SUMIFS(Dataset!$AA:$AA,Dataset!$F:$F,Resumen!O$8,Dataset!$J:$J,"&gt;="&amp;$AC17,Dataset!$J:$J,"&lt;"&amp;$AD17,Dataset!$AH:$AH,"bono de gobierno",Dataset!$T:$T,"UF")</f>
        <v>0</v>
      </c>
      <c r="Q17" s="29">
        <f>SUMIFS(Dataset!$AJ:$AJ,Dataset!$F:$F,Resumen!Q$8,Dataset!$J:$J,"&gt;="&amp;$AC17,Dataset!$J:$J,"&lt;"&amp;$AD17,Dataset!$AH:$AH,"bono de gobierno",Dataset!$T:$T,"UF")</f>
        <v>0</v>
      </c>
      <c r="R17" s="30">
        <f>SUMIFS(Dataset!$AA:$AA,Dataset!$F:$F,Resumen!Q$8,Dataset!$J:$J,"&gt;="&amp;$AC17,Dataset!$J:$J,"&lt;"&amp;$AD17,Dataset!$AH:$AH,"bono de gobierno",Dataset!$T:$T,"UF")</f>
        <v>0</v>
      </c>
      <c r="S17" s="29">
        <f>SUMIFS(Dataset!$AJ:$AJ,Dataset!$F:$F,Resumen!S$8,Dataset!$J:$J,"&gt;="&amp;$AC17,Dataset!$J:$J,"&lt;"&amp;$AD17,Dataset!$AH:$AH,"bono de gobierno",Dataset!$T:$T,"UF")</f>
        <v>0</v>
      </c>
      <c r="T17" s="30">
        <f>SUMIFS(Dataset!$AA:$AA,Dataset!$F:$F,Resumen!S$8,Dataset!$J:$J,"&gt;="&amp;$AC17,Dataset!$J:$J,"&lt;"&amp;$AD17,Dataset!$AH:$AH,"bono de gobierno",Dataset!$T:$T,"UF")</f>
        <v>0</v>
      </c>
      <c r="U17" s="29">
        <f>SUMIFS(Dataset!$AJ:$AJ,Dataset!$F:$F,Resumen!U$8,Dataset!$J:$J,"&gt;="&amp;$AC17,Dataset!$J:$J,"&lt;"&amp;$AD17,Dataset!$AH:$AH,"bono de gobierno",Dataset!$T:$T,"UF")</f>
        <v>0</v>
      </c>
      <c r="V17" s="30">
        <f>SUMIFS(Dataset!$AA:$AA,Dataset!$F:$F,Resumen!U$8,Dataset!$J:$J,"&gt;="&amp;$AC17,Dataset!$J:$J,"&lt;"&amp;$AD17,Dataset!$AH:$AH,"bono de gobierno",Dataset!$T:$T,"UF")</f>
        <v>0</v>
      </c>
      <c r="W17" s="29">
        <f>SUMIFS(Dataset!$AJ:$AJ,Dataset!$F:$F,Resumen!W$8,Dataset!$J:$J,"&gt;="&amp;$AC17,Dataset!$J:$J,"&lt;"&amp;$AD17,Dataset!$AH:$AH,"bono de gobierno",Dataset!$T:$T,"UF")</f>
        <v>0</v>
      </c>
      <c r="X17" s="30">
        <f>SUMIFS(Dataset!$AA:$AA,Dataset!$F:$F,Resumen!W$8,Dataset!$J:$J,"&gt;="&amp;$AC17,Dataset!$J:$J,"&lt;"&amp;$AD17,Dataset!$AH:$AH,"bono de gobierno",Dataset!$T:$T,"UF")</f>
        <v>0</v>
      </c>
      <c r="Y17" s="29">
        <f>SUMIFS(Dataset!$AJ:$AJ,Dataset!$F:$F,Resumen!Y$8,Dataset!$J:$J,"&gt;="&amp;$AC17,Dataset!$J:$J,"&lt;"&amp;$AD17,Dataset!$AH:$AH,"bono de gobierno",Dataset!$T:$T,"UF")</f>
        <v>1.8240565221309797E-2</v>
      </c>
      <c r="Z17" s="30">
        <f>SUMIFS(Dataset!$AA:$AA,Dataset!$F:$F,Resumen!Y$8,Dataset!$J:$J,"&gt;="&amp;$AC17,Dataset!$J:$J,"&lt;"&amp;$AD17,Dataset!$AH:$AH,"bono de gobierno",Dataset!$T:$T,"UF")</f>
        <v>0.1382773016617985</v>
      </c>
      <c r="AA17" s="29">
        <f>SUMIFS(Dataset!$AJ:$AJ,Dataset!$F:$F,Resumen!AA$8,Dataset!$J:$J,"&gt;="&amp;$AC17,Dataset!$J:$J,"&lt;"&amp;$AD17,Dataset!$AH:$AH,"bono de gobierno",Dataset!$T:$T,"UF")</f>
        <v>0</v>
      </c>
      <c r="AB17" s="30">
        <f>SUMIFS(Dataset!$AA:$AA,Dataset!$F:$F,Resumen!AA$8,Dataset!$J:$J,"&gt;="&amp;$AC17,Dataset!$J:$J,"&lt;"&amp;$AD17,Dataset!$AH:$AH,"bono de gobierno",Dataset!$T:$T,"UF")</f>
        <v>0</v>
      </c>
      <c r="AC17" s="22">
        <v>10</v>
      </c>
      <c r="AD17" s="22">
        <v>100</v>
      </c>
    </row>
    <row r="18" spans="2:34" ht="30" customHeight="1" x14ac:dyDescent="0.3">
      <c r="B18" s="159" t="s">
        <v>128</v>
      </c>
      <c r="C18" s="160" t="s">
        <v>123</v>
      </c>
      <c r="D18" s="160"/>
      <c r="E18" s="24">
        <f>SUMIFS(Dataset!$AJ:$AJ,Dataset!$F:$F,Resumen!E$8,Dataset!$J:$J,"&gt;="&amp;$AC18,Dataset!$J:$J,"&lt;"&amp;$AD18,Dataset!$AH:$AH,"bono de gobierno",Dataset!$T:$T,"&lt;&gt;$",Dataset!$T:$T,"&lt;&gt;UF")</f>
        <v>0</v>
      </c>
      <c r="F18" s="25">
        <f>SUMIFS(Dataset!$AA:$AA,Dataset!$F:$F,Resumen!E$8,Dataset!$J:$J,"&gt;="&amp;$AC18,Dataset!$J:$J,"&lt;"&amp;$AD18,Dataset!$AH:$AH,"bono de gobierno",Dataset!$T:$T,"&lt;&gt;$",Dataset!$T:$T,"&lt;&gt;UF")</f>
        <v>0</v>
      </c>
      <c r="G18" s="24">
        <f>SUMIFS(Dataset!$AJ:$AJ,Dataset!$F:$F,Resumen!G$8,Dataset!$J:$J,"&gt;="&amp;$AC18,Dataset!$J:$J,"&lt;"&amp;$AD18,Dataset!$AH:$AH,"bono de gobierno",Dataset!$T:$T,"&lt;&gt;$",Dataset!$T:$T,"&lt;&gt;UF")</f>
        <v>0</v>
      </c>
      <c r="H18" s="25">
        <f>SUMIFS(Dataset!$AA:$AA,Dataset!$F:$F,Resumen!G$8,Dataset!$J:$J,"&gt;="&amp;$AC18,Dataset!$J:$J,"&lt;"&amp;$AD18,Dataset!$AH:$AH,"bono de gobierno",Dataset!$T:$T,"&lt;&gt;$",Dataset!$T:$T,"&lt;&gt;UF")</f>
        <v>0</v>
      </c>
      <c r="I18" s="24">
        <f>SUMIFS(Dataset!$AJ:$AJ,Dataset!$F:$F,Resumen!I$8,Dataset!$J:$J,"&gt;="&amp;$AC18,Dataset!$J:$J,"&lt;"&amp;$AD18,Dataset!$AH:$AH,"bono de gobierno",Dataset!$T:$T,"&lt;&gt;$",Dataset!$T:$T,"&lt;&gt;UF")</f>
        <v>0</v>
      </c>
      <c r="J18" s="25">
        <f>SUMIFS(Dataset!$AA:$AA,Dataset!$F:$F,Resumen!I$8,Dataset!$J:$J,"&gt;="&amp;$AC18,Dataset!$J:$J,"&lt;"&amp;$AD18,Dataset!$AH:$AH,"bono de gobierno",Dataset!$T:$T,"&lt;&gt;$",Dataset!$T:$T,"&lt;&gt;UF")</f>
        <v>0</v>
      </c>
      <c r="K18" s="24">
        <f>SUMIFS(Dataset!$AJ:$AJ,Dataset!$F:$F,Resumen!K$8,Dataset!$J:$J,"&gt;="&amp;$AC18,Dataset!$J:$J,"&lt;"&amp;$AD18,Dataset!$AH:$AH,"bono de gobierno",Dataset!$T:$T,"&lt;&gt;$",Dataset!$T:$T,"&lt;&gt;UF")</f>
        <v>0</v>
      </c>
      <c r="L18" s="25">
        <f>SUMIFS(Dataset!$AA:$AA,Dataset!$F:$F,Resumen!K$8,Dataset!$J:$J,"&gt;="&amp;$AC18,Dataset!$J:$J,"&lt;"&amp;$AD18,Dataset!$AH:$AH,"bono de gobierno",Dataset!$T:$T,"&lt;&gt;$",Dataset!$T:$T,"&lt;&gt;UF")</f>
        <v>0</v>
      </c>
      <c r="M18" s="24">
        <f>SUMIFS(Dataset!$AJ:$AJ,Dataset!$F:$F,Resumen!M$8,Dataset!$J:$J,"&gt;="&amp;$AC18,Dataset!$J:$J,"&lt;"&amp;$AD18,Dataset!$AH:$AH,"bono de gobierno",Dataset!$T:$T,"&lt;&gt;$",Dataset!$T:$T,"&lt;&gt;UF")</f>
        <v>0</v>
      </c>
      <c r="N18" s="25">
        <f>SUMIFS(Dataset!$AA:$AA,Dataset!$F:$F,Resumen!M$8,Dataset!$J:$J,"&gt;="&amp;$AC18,Dataset!$J:$J,"&lt;"&amp;$AD18,Dataset!$AH:$AH,"bono de gobierno",Dataset!$T:$T,"&lt;&gt;$",Dataset!$T:$T,"&lt;&gt;UF")</f>
        <v>0</v>
      </c>
      <c r="O18" s="24">
        <f>SUMIFS(Dataset!$AJ:$AJ,Dataset!$F:$F,Resumen!O$8,Dataset!$J:$J,"&gt;="&amp;$AC18,Dataset!$J:$J,"&lt;"&amp;$AD18,Dataset!$AH:$AH,"bono de gobierno",Dataset!$T:$T,"&lt;&gt;$",Dataset!$T:$T,"&lt;&gt;UF")</f>
        <v>0</v>
      </c>
      <c r="P18" s="25">
        <f>SUMIFS(Dataset!$AA:$AA,Dataset!$F:$F,Resumen!O$8,Dataset!$J:$J,"&gt;="&amp;$AC18,Dataset!$J:$J,"&lt;"&amp;$AD18,Dataset!$AH:$AH,"bono de gobierno",Dataset!$T:$T,"&lt;&gt;$",Dataset!$T:$T,"&lt;&gt;UF")</f>
        <v>0</v>
      </c>
      <c r="Q18" s="24">
        <f>SUMIFS(Dataset!$AJ:$AJ,Dataset!$F:$F,Resumen!Q$8,Dataset!$J:$J,"&gt;="&amp;$AC18,Dataset!$J:$J,"&lt;"&amp;$AD18,Dataset!$AH:$AH,"bono de gobierno",Dataset!$T:$T,"&lt;&gt;$",Dataset!$T:$T,"&lt;&gt;UF")</f>
        <v>0</v>
      </c>
      <c r="R18" s="25">
        <f>SUMIFS(Dataset!$AA:$AA,Dataset!$F:$F,Resumen!Q$8,Dataset!$J:$J,"&gt;="&amp;$AC18,Dataset!$J:$J,"&lt;"&amp;$AD18,Dataset!$AH:$AH,"bono de gobierno",Dataset!$T:$T,"&lt;&gt;$",Dataset!$T:$T,"&lt;&gt;UF")</f>
        <v>0</v>
      </c>
      <c r="S18" s="24">
        <f>SUMIFS(Dataset!$AJ:$AJ,Dataset!$F:$F,Resumen!S$8,Dataset!$J:$J,"&gt;="&amp;$AC18,Dataset!$J:$J,"&lt;"&amp;$AD18,Dataset!$AH:$AH,"bono de gobierno",Dataset!$T:$T,"&lt;&gt;$",Dataset!$T:$T,"&lt;&gt;UF")</f>
        <v>0</v>
      </c>
      <c r="T18" s="25">
        <f>SUMIFS(Dataset!$AA:$AA,Dataset!$F:$F,Resumen!S$8,Dataset!$J:$J,"&gt;="&amp;$AC18,Dataset!$J:$J,"&lt;"&amp;$AD18,Dataset!$AH:$AH,"bono de gobierno",Dataset!$T:$T,"&lt;&gt;$",Dataset!$T:$T,"&lt;&gt;UF")</f>
        <v>0</v>
      </c>
      <c r="U18" s="24">
        <f>SUMIFS(Dataset!$AJ:$AJ,Dataset!$F:$F,Resumen!U$8,Dataset!$J:$J,"&gt;="&amp;$AC18,Dataset!$J:$J,"&lt;"&amp;$AD18,Dataset!$AH:$AH,"bono de gobierno",Dataset!$T:$T,"&lt;&gt;$",Dataset!$T:$T,"&lt;&gt;UF")</f>
        <v>0</v>
      </c>
      <c r="V18" s="25">
        <f>SUMIFS(Dataset!$AA:$AA,Dataset!$F:$F,Resumen!U$8,Dataset!$J:$J,"&gt;="&amp;$AC18,Dataset!$J:$J,"&lt;"&amp;$AD18,Dataset!$AH:$AH,"bono de gobierno",Dataset!$T:$T,"&lt;&gt;$",Dataset!$T:$T,"&lt;&gt;UF")</f>
        <v>0</v>
      </c>
      <c r="W18" s="24">
        <f>SUMIFS(Dataset!$AJ:$AJ,Dataset!$F:$F,Resumen!W$8,Dataset!$J:$J,"&gt;="&amp;$AC18,Dataset!$J:$J,"&lt;"&amp;$AD18,Dataset!$AH:$AH,"bono de gobierno",Dataset!$T:$T,"&lt;&gt;$",Dataset!$T:$T,"&lt;&gt;UF")</f>
        <v>0</v>
      </c>
      <c r="X18" s="25">
        <f>SUMIFS(Dataset!$AA:$AA,Dataset!$F:$F,Resumen!W$8,Dataset!$J:$J,"&gt;="&amp;$AC18,Dataset!$J:$J,"&lt;"&amp;$AD18,Dataset!$AH:$AH,"bono de gobierno",Dataset!$T:$T,"&lt;&gt;$",Dataset!$T:$T,"&lt;&gt;UF")</f>
        <v>0</v>
      </c>
      <c r="Y18" s="24">
        <f>SUMIFS(Dataset!$AJ:$AJ,Dataset!$F:$F,Resumen!Y$8,Dataset!$J:$J,"&gt;="&amp;$AC18,Dataset!$J:$J,"&lt;"&amp;$AD18,Dataset!$AH:$AH,"bono de gobierno",Dataset!$T:$T,"&lt;&gt;$",Dataset!$T:$T,"&lt;&gt;UF")</f>
        <v>0</v>
      </c>
      <c r="Z18" s="25">
        <f>SUMIFS(Dataset!$AA:$AA,Dataset!$F:$F,Resumen!Y$8,Dataset!$J:$J,"&gt;="&amp;$AC18,Dataset!$J:$J,"&lt;"&amp;$AD18,Dataset!$AH:$AH,"bono de gobierno",Dataset!$T:$T,"&lt;&gt;$",Dataset!$T:$T,"&lt;&gt;UF")</f>
        <v>0</v>
      </c>
      <c r="AA18" s="24">
        <f>SUMIFS(Dataset!$AJ:$AJ,Dataset!$F:$F,Resumen!AA$8,Dataset!$J:$J,"&gt;="&amp;$AC18,Dataset!$J:$J,"&lt;"&amp;$AD18,Dataset!$AH:$AH,"bono de gobierno",Dataset!$T:$T,"&lt;&gt;$",Dataset!$T:$T,"&lt;&gt;UF")</f>
        <v>0</v>
      </c>
      <c r="AB18" s="25">
        <f>SUMIFS(Dataset!$AA:$AA,Dataset!$F:$F,Resumen!AA$8,Dataset!$J:$J,"&gt;="&amp;$AC18,Dataset!$J:$J,"&lt;"&amp;$AD18,Dataset!$AH:$AH,"bono de gobierno",Dataset!$T:$T,"&lt;&gt;$",Dataset!$T:$T,"&lt;&gt;UF")</f>
        <v>0</v>
      </c>
      <c r="AC18" s="22">
        <v>0</v>
      </c>
      <c r="AD18" s="22">
        <v>3</v>
      </c>
    </row>
    <row r="19" spans="2:34" ht="30" customHeight="1" x14ac:dyDescent="0.3">
      <c r="B19" s="159"/>
      <c r="C19" s="160" t="s">
        <v>124</v>
      </c>
      <c r="D19" s="160"/>
      <c r="E19" s="27">
        <f>SUMIFS(Dataset!$AJ:$AJ,Dataset!$F:$F,Resumen!E$8,Dataset!$J:$J,"&gt;="&amp;$AC19,Dataset!$J:$J,"&lt;"&amp;$AD19,Dataset!$AH:$AH,"bono de gobierno",Dataset!$T:$T,"&lt;&gt;$",Dataset!$T:$T,"&lt;&gt;UF")</f>
        <v>0</v>
      </c>
      <c r="F19" s="28">
        <f>SUMIFS(Dataset!$AA:$AA,Dataset!$F:$F,Resumen!E$8,Dataset!$J:$J,"&gt;="&amp;$AC19,Dataset!$J:$J,"&lt;"&amp;$AD19,Dataset!$AH:$AH,"bono de gobierno",Dataset!$T:$T,"&lt;&gt;$",Dataset!$T:$T,"&lt;&gt;UF")</f>
        <v>0</v>
      </c>
      <c r="G19" s="27">
        <f>SUMIFS(Dataset!$AJ:$AJ,Dataset!$F:$F,Resumen!G$8,Dataset!$J:$J,"&gt;="&amp;$AC19,Dataset!$J:$J,"&lt;"&amp;$AD19,Dataset!$AH:$AH,"bono de gobierno",Dataset!$T:$T,"&lt;&gt;$",Dataset!$T:$T,"&lt;&gt;UF")</f>
        <v>0</v>
      </c>
      <c r="H19" s="28">
        <f>SUMIFS(Dataset!$AA:$AA,Dataset!$F:$F,Resumen!G$8,Dataset!$J:$J,"&gt;="&amp;$AC19,Dataset!$J:$J,"&lt;"&amp;$AD19,Dataset!$AH:$AH,"bono de gobierno",Dataset!$T:$T,"&lt;&gt;$",Dataset!$T:$T,"&lt;&gt;UF")</f>
        <v>0</v>
      </c>
      <c r="I19" s="27">
        <f>SUMIFS(Dataset!$AJ:$AJ,Dataset!$F:$F,Resumen!I$8,Dataset!$J:$J,"&gt;="&amp;$AC19,Dataset!$J:$J,"&lt;"&amp;$AD19,Dataset!$AH:$AH,"bono de gobierno",Dataset!$T:$T,"&lt;&gt;$",Dataset!$T:$T,"&lt;&gt;UF")</f>
        <v>0</v>
      </c>
      <c r="J19" s="28">
        <f>SUMIFS(Dataset!$AA:$AA,Dataset!$F:$F,Resumen!I$8,Dataset!$J:$J,"&gt;="&amp;$AC19,Dataset!$J:$J,"&lt;"&amp;$AD19,Dataset!$AH:$AH,"bono de gobierno",Dataset!$T:$T,"&lt;&gt;$",Dataset!$T:$T,"&lt;&gt;UF")</f>
        <v>0</v>
      </c>
      <c r="K19" s="27">
        <f>SUMIFS(Dataset!$AJ:$AJ,Dataset!$F:$F,Resumen!K$8,Dataset!$J:$J,"&gt;="&amp;$AC19,Dataset!$J:$J,"&lt;"&amp;$AD19,Dataset!$AH:$AH,"bono de gobierno",Dataset!$T:$T,"&lt;&gt;$",Dataset!$T:$T,"&lt;&gt;UF")</f>
        <v>0</v>
      </c>
      <c r="L19" s="28">
        <f>SUMIFS(Dataset!$AA:$AA,Dataset!$F:$F,Resumen!K$8,Dataset!$J:$J,"&gt;="&amp;$AC19,Dataset!$J:$J,"&lt;"&amp;$AD19,Dataset!$AH:$AH,"bono de gobierno",Dataset!$T:$T,"&lt;&gt;$",Dataset!$T:$T,"&lt;&gt;UF")</f>
        <v>0</v>
      </c>
      <c r="M19" s="27">
        <f>SUMIFS(Dataset!$AJ:$AJ,Dataset!$F:$F,Resumen!M$8,Dataset!$J:$J,"&gt;="&amp;$AC19,Dataset!$J:$J,"&lt;"&amp;$AD19,Dataset!$AH:$AH,"bono de gobierno",Dataset!$T:$T,"&lt;&gt;$",Dataset!$T:$T,"&lt;&gt;UF")</f>
        <v>0</v>
      </c>
      <c r="N19" s="28">
        <f>SUMIFS(Dataset!$AA:$AA,Dataset!$F:$F,Resumen!M$8,Dataset!$J:$J,"&gt;="&amp;$AC19,Dataset!$J:$J,"&lt;"&amp;$AD19,Dataset!$AH:$AH,"bono de gobierno",Dataset!$T:$T,"&lt;&gt;$",Dataset!$T:$T,"&lt;&gt;UF")</f>
        <v>0</v>
      </c>
      <c r="O19" s="27">
        <f>SUMIFS(Dataset!$AJ:$AJ,Dataset!$F:$F,Resumen!O$8,Dataset!$J:$J,"&gt;="&amp;$AC19,Dataset!$J:$J,"&lt;"&amp;$AD19,Dataset!$AH:$AH,"bono de gobierno",Dataset!$T:$T,"&lt;&gt;$",Dataset!$T:$T,"&lt;&gt;UF")</f>
        <v>0</v>
      </c>
      <c r="P19" s="28">
        <f>SUMIFS(Dataset!$AA:$AA,Dataset!$F:$F,Resumen!O$8,Dataset!$J:$J,"&gt;="&amp;$AC19,Dataset!$J:$J,"&lt;"&amp;$AD19,Dataset!$AH:$AH,"bono de gobierno",Dataset!$T:$T,"&lt;&gt;$",Dataset!$T:$T,"&lt;&gt;UF")</f>
        <v>0</v>
      </c>
      <c r="Q19" s="27">
        <f>SUMIFS(Dataset!$AJ:$AJ,Dataset!$F:$F,Resumen!Q$8,Dataset!$J:$J,"&gt;="&amp;$AC19,Dataset!$J:$J,"&lt;"&amp;$AD19,Dataset!$AH:$AH,"bono de gobierno",Dataset!$T:$T,"&lt;&gt;$",Dataset!$T:$T,"&lt;&gt;UF")</f>
        <v>0</v>
      </c>
      <c r="R19" s="28">
        <f>SUMIFS(Dataset!$AA:$AA,Dataset!$F:$F,Resumen!Q$8,Dataset!$J:$J,"&gt;="&amp;$AC19,Dataset!$J:$J,"&lt;"&amp;$AD19,Dataset!$AH:$AH,"bono de gobierno",Dataset!$T:$T,"&lt;&gt;$",Dataset!$T:$T,"&lt;&gt;UF")</f>
        <v>0</v>
      </c>
      <c r="S19" s="27">
        <f>SUMIFS(Dataset!$AJ:$AJ,Dataset!$F:$F,Resumen!S$8,Dataset!$J:$J,"&gt;="&amp;$AC19,Dataset!$J:$J,"&lt;"&amp;$AD19,Dataset!$AH:$AH,"bono de gobierno",Dataset!$T:$T,"&lt;&gt;$",Dataset!$T:$T,"&lt;&gt;UF")</f>
        <v>0</v>
      </c>
      <c r="T19" s="28">
        <f>SUMIFS(Dataset!$AA:$AA,Dataset!$F:$F,Resumen!S$8,Dataset!$J:$J,"&gt;="&amp;$AC19,Dataset!$J:$J,"&lt;"&amp;$AD19,Dataset!$AH:$AH,"bono de gobierno",Dataset!$T:$T,"&lt;&gt;$",Dataset!$T:$T,"&lt;&gt;UF")</f>
        <v>0</v>
      </c>
      <c r="U19" s="27">
        <f>SUMIFS(Dataset!$AJ:$AJ,Dataset!$F:$F,Resumen!U$8,Dataset!$J:$J,"&gt;="&amp;$AC19,Dataset!$J:$J,"&lt;"&amp;$AD19,Dataset!$AH:$AH,"bono de gobierno",Dataset!$T:$T,"&lt;&gt;$",Dataset!$T:$T,"&lt;&gt;UF")</f>
        <v>0</v>
      </c>
      <c r="V19" s="28">
        <f>SUMIFS(Dataset!$AA:$AA,Dataset!$F:$F,Resumen!U$8,Dataset!$J:$J,"&gt;="&amp;$AC19,Dataset!$J:$J,"&lt;"&amp;$AD19,Dataset!$AH:$AH,"bono de gobierno",Dataset!$T:$T,"&lt;&gt;$",Dataset!$T:$T,"&lt;&gt;UF")</f>
        <v>0</v>
      </c>
      <c r="W19" s="27">
        <f>SUMIFS(Dataset!$AJ:$AJ,Dataset!$F:$F,Resumen!W$8,Dataset!$J:$J,"&gt;="&amp;$AC19,Dataset!$J:$J,"&lt;"&amp;$AD19,Dataset!$AH:$AH,"bono de gobierno",Dataset!$T:$T,"&lt;&gt;$",Dataset!$T:$T,"&lt;&gt;UF")</f>
        <v>0</v>
      </c>
      <c r="X19" s="28">
        <f>SUMIFS(Dataset!$AA:$AA,Dataset!$F:$F,Resumen!W$8,Dataset!$J:$J,"&gt;="&amp;$AC19,Dataset!$J:$J,"&lt;"&amp;$AD19,Dataset!$AH:$AH,"bono de gobierno",Dataset!$T:$T,"&lt;&gt;$",Dataset!$T:$T,"&lt;&gt;UF")</f>
        <v>0</v>
      </c>
      <c r="Y19" s="27">
        <f>SUMIFS(Dataset!$AJ:$AJ,Dataset!$F:$F,Resumen!Y$8,Dataset!$J:$J,"&gt;="&amp;$AC19,Dataset!$J:$J,"&lt;"&amp;$AD19,Dataset!$AH:$AH,"bono de gobierno",Dataset!$T:$T,"&lt;&gt;$",Dataset!$T:$T,"&lt;&gt;UF")</f>
        <v>0</v>
      </c>
      <c r="Z19" s="28">
        <f>SUMIFS(Dataset!$AA:$AA,Dataset!$F:$F,Resumen!Y$8,Dataset!$J:$J,"&gt;="&amp;$AC19,Dataset!$J:$J,"&lt;"&amp;$AD19,Dataset!$AH:$AH,"bono de gobierno",Dataset!$T:$T,"&lt;&gt;$",Dataset!$T:$T,"&lt;&gt;UF")</f>
        <v>0</v>
      </c>
      <c r="AA19" s="27">
        <f>SUMIFS(Dataset!$AJ:$AJ,Dataset!$F:$F,Resumen!AA$8,Dataset!$J:$J,"&gt;="&amp;$AC19,Dataset!$J:$J,"&lt;"&amp;$AD19,Dataset!$AH:$AH,"bono de gobierno",Dataset!$T:$T,"&lt;&gt;$",Dataset!$T:$T,"&lt;&gt;UF")</f>
        <v>0</v>
      </c>
      <c r="AB19" s="28">
        <f>SUMIFS(Dataset!$AA:$AA,Dataset!$F:$F,Resumen!AA$8,Dataset!$J:$J,"&gt;="&amp;$AC19,Dataset!$J:$J,"&lt;"&amp;$AD19,Dataset!$AH:$AH,"bono de gobierno",Dataset!$T:$T,"&lt;&gt;$",Dataset!$T:$T,"&lt;&gt;UF")</f>
        <v>0</v>
      </c>
      <c r="AC19" s="22">
        <v>3</v>
      </c>
      <c r="AD19" s="22">
        <v>5</v>
      </c>
    </row>
    <row r="20" spans="2:34" ht="30" customHeight="1" x14ac:dyDescent="0.3">
      <c r="B20" s="159"/>
      <c r="C20" s="160" t="s">
        <v>125</v>
      </c>
      <c r="D20" s="160"/>
      <c r="E20" s="27">
        <f>SUMIFS(Dataset!$AJ:$AJ,Dataset!$F:$F,Resumen!E$8,Dataset!$J:$J,"&gt;="&amp;$AC20,Dataset!$J:$J,"&lt;"&amp;$AD20,Dataset!$AH:$AH,"bono de gobierno",Dataset!$T:$T,"&lt;&gt;$",Dataset!$T:$T,"&lt;&gt;UF")</f>
        <v>0</v>
      </c>
      <c r="F20" s="28">
        <f>SUMIFS(Dataset!$AA:$AA,Dataset!$F:$F,Resumen!E$8,Dataset!$J:$J,"&gt;="&amp;$AC20,Dataset!$J:$J,"&lt;"&amp;$AD20,Dataset!$AH:$AH,"bono de gobierno",Dataset!$T:$T,"&lt;&gt;$",Dataset!$T:$T,"&lt;&gt;UF")</f>
        <v>0</v>
      </c>
      <c r="G20" s="27">
        <f>SUMIFS(Dataset!$AJ:$AJ,Dataset!$F:$F,Resumen!G$8,Dataset!$J:$J,"&gt;="&amp;$AC20,Dataset!$J:$J,"&lt;"&amp;$AD20,Dataset!$AH:$AH,"bono de gobierno",Dataset!$T:$T,"&lt;&gt;$",Dataset!$T:$T,"&lt;&gt;UF")</f>
        <v>0</v>
      </c>
      <c r="H20" s="28">
        <f>SUMIFS(Dataset!$AA:$AA,Dataset!$F:$F,Resumen!G$8,Dataset!$J:$J,"&gt;="&amp;$AC20,Dataset!$J:$J,"&lt;"&amp;$AD20,Dataset!$AH:$AH,"bono de gobierno",Dataset!$T:$T,"&lt;&gt;$",Dataset!$T:$T,"&lt;&gt;UF")</f>
        <v>0</v>
      </c>
      <c r="I20" s="27">
        <f>SUMIFS(Dataset!$AJ:$AJ,Dataset!$F:$F,Resumen!I$8,Dataset!$J:$J,"&gt;="&amp;$AC20,Dataset!$J:$J,"&lt;"&amp;$AD20,Dataset!$AH:$AH,"bono de gobierno",Dataset!$T:$T,"&lt;&gt;$",Dataset!$T:$T,"&lt;&gt;UF")</f>
        <v>0</v>
      </c>
      <c r="J20" s="28">
        <f>SUMIFS(Dataset!$AA:$AA,Dataset!$F:$F,Resumen!I$8,Dataset!$J:$J,"&gt;="&amp;$AC20,Dataset!$J:$J,"&lt;"&amp;$AD20,Dataset!$AH:$AH,"bono de gobierno",Dataset!$T:$T,"&lt;&gt;$",Dataset!$T:$T,"&lt;&gt;UF")</f>
        <v>0</v>
      </c>
      <c r="K20" s="27">
        <f>SUMIFS(Dataset!$AJ:$AJ,Dataset!$F:$F,Resumen!K$8,Dataset!$J:$J,"&gt;="&amp;$AC20,Dataset!$J:$J,"&lt;"&amp;$AD20,Dataset!$AH:$AH,"bono de gobierno",Dataset!$T:$T,"&lt;&gt;$",Dataset!$T:$T,"&lt;&gt;UF")</f>
        <v>0</v>
      </c>
      <c r="L20" s="28">
        <f>SUMIFS(Dataset!$AA:$AA,Dataset!$F:$F,Resumen!K$8,Dataset!$J:$J,"&gt;="&amp;$AC20,Dataset!$J:$J,"&lt;"&amp;$AD20,Dataset!$AH:$AH,"bono de gobierno",Dataset!$T:$T,"&lt;&gt;$",Dataset!$T:$T,"&lt;&gt;UF")</f>
        <v>0</v>
      </c>
      <c r="M20" s="27">
        <f>SUMIFS(Dataset!$AJ:$AJ,Dataset!$F:$F,Resumen!M$8,Dataset!$J:$J,"&gt;="&amp;$AC20,Dataset!$J:$J,"&lt;"&amp;$AD20,Dataset!$AH:$AH,"bono de gobierno",Dataset!$T:$T,"&lt;&gt;$",Dataset!$T:$T,"&lt;&gt;UF")</f>
        <v>0</v>
      </c>
      <c r="N20" s="28">
        <f>SUMIFS(Dataset!$AA:$AA,Dataset!$F:$F,Resumen!M$8,Dataset!$J:$J,"&gt;="&amp;$AC20,Dataset!$J:$J,"&lt;"&amp;$AD20,Dataset!$AH:$AH,"bono de gobierno",Dataset!$T:$T,"&lt;&gt;$",Dataset!$T:$T,"&lt;&gt;UF")</f>
        <v>0</v>
      </c>
      <c r="O20" s="27">
        <f>SUMIFS(Dataset!$AJ:$AJ,Dataset!$F:$F,Resumen!O$8,Dataset!$J:$J,"&gt;="&amp;$AC20,Dataset!$J:$J,"&lt;"&amp;$AD20,Dataset!$AH:$AH,"bono de gobierno",Dataset!$T:$T,"&lt;&gt;$",Dataset!$T:$T,"&lt;&gt;UF")</f>
        <v>0</v>
      </c>
      <c r="P20" s="28">
        <f>SUMIFS(Dataset!$AA:$AA,Dataset!$F:$F,Resumen!O$8,Dataset!$J:$J,"&gt;="&amp;$AC20,Dataset!$J:$J,"&lt;"&amp;$AD20,Dataset!$AH:$AH,"bono de gobierno",Dataset!$T:$T,"&lt;&gt;$",Dataset!$T:$T,"&lt;&gt;UF")</f>
        <v>0</v>
      </c>
      <c r="Q20" s="27">
        <f>SUMIFS(Dataset!$AJ:$AJ,Dataset!$F:$F,Resumen!Q$8,Dataset!$J:$J,"&gt;="&amp;$AC20,Dataset!$J:$J,"&lt;"&amp;$AD20,Dataset!$AH:$AH,"bono de gobierno",Dataset!$T:$T,"&lt;&gt;$",Dataset!$T:$T,"&lt;&gt;UF")</f>
        <v>0</v>
      </c>
      <c r="R20" s="28">
        <f>SUMIFS(Dataset!$AA:$AA,Dataset!$F:$F,Resumen!Q$8,Dataset!$J:$J,"&gt;="&amp;$AC20,Dataset!$J:$J,"&lt;"&amp;$AD20,Dataset!$AH:$AH,"bono de gobierno",Dataset!$T:$T,"&lt;&gt;$",Dataset!$T:$T,"&lt;&gt;UF")</f>
        <v>0</v>
      </c>
      <c r="S20" s="27">
        <f>SUMIFS(Dataset!$AJ:$AJ,Dataset!$F:$F,Resumen!S$8,Dataset!$J:$J,"&gt;="&amp;$AC20,Dataset!$J:$J,"&lt;"&amp;$AD20,Dataset!$AH:$AH,"bono de gobierno",Dataset!$T:$T,"&lt;&gt;$",Dataset!$T:$T,"&lt;&gt;UF")</f>
        <v>0</v>
      </c>
      <c r="T20" s="28">
        <f>SUMIFS(Dataset!$AA:$AA,Dataset!$F:$F,Resumen!S$8,Dataset!$J:$J,"&gt;="&amp;$AC20,Dataset!$J:$J,"&lt;"&amp;$AD20,Dataset!$AH:$AH,"bono de gobierno",Dataset!$T:$T,"&lt;&gt;$",Dataset!$T:$T,"&lt;&gt;UF")</f>
        <v>0</v>
      </c>
      <c r="U20" s="27">
        <f>SUMIFS(Dataset!$AJ:$AJ,Dataset!$F:$F,Resumen!U$8,Dataset!$J:$J,"&gt;="&amp;$AC20,Dataset!$J:$J,"&lt;"&amp;$AD20,Dataset!$AH:$AH,"bono de gobierno",Dataset!$T:$T,"&lt;&gt;$",Dataset!$T:$T,"&lt;&gt;UF")</f>
        <v>0</v>
      </c>
      <c r="V20" s="28">
        <f>SUMIFS(Dataset!$AA:$AA,Dataset!$F:$F,Resumen!U$8,Dataset!$J:$J,"&gt;="&amp;$AC20,Dataset!$J:$J,"&lt;"&amp;$AD20,Dataset!$AH:$AH,"bono de gobierno",Dataset!$T:$T,"&lt;&gt;$",Dataset!$T:$T,"&lt;&gt;UF")</f>
        <v>0</v>
      </c>
      <c r="W20" s="27">
        <f>SUMIFS(Dataset!$AJ:$AJ,Dataset!$F:$F,Resumen!W$8,Dataset!$J:$J,"&gt;="&amp;$AC20,Dataset!$J:$J,"&lt;"&amp;$AD20,Dataset!$AH:$AH,"bono de gobierno",Dataset!$T:$T,"&lt;&gt;$",Dataset!$T:$T,"&lt;&gt;UF")</f>
        <v>0</v>
      </c>
      <c r="X20" s="28">
        <f>SUMIFS(Dataset!$AA:$AA,Dataset!$F:$F,Resumen!W$8,Dataset!$J:$J,"&gt;="&amp;$AC20,Dataset!$J:$J,"&lt;"&amp;$AD20,Dataset!$AH:$AH,"bono de gobierno",Dataset!$T:$T,"&lt;&gt;$",Dataset!$T:$T,"&lt;&gt;UF")</f>
        <v>0</v>
      </c>
      <c r="Y20" s="27">
        <f>SUMIFS(Dataset!$AJ:$AJ,Dataset!$F:$F,Resumen!Y$8,Dataset!$J:$J,"&gt;="&amp;$AC20,Dataset!$J:$J,"&lt;"&amp;$AD20,Dataset!$AH:$AH,"bono de gobierno",Dataset!$T:$T,"&lt;&gt;$",Dataset!$T:$T,"&lt;&gt;UF")</f>
        <v>0</v>
      </c>
      <c r="Z20" s="28">
        <f>SUMIFS(Dataset!$AA:$AA,Dataset!$F:$F,Resumen!Y$8,Dataset!$J:$J,"&gt;="&amp;$AC20,Dataset!$J:$J,"&lt;"&amp;$AD20,Dataset!$AH:$AH,"bono de gobierno",Dataset!$T:$T,"&lt;&gt;$",Dataset!$T:$T,"&lt;&gt;UF")</f>
        <v>0</v>
      </c>
      <c r="AA20" s="27">
        <f>SUMIFS(Dataset!$AJ:$AJ,Dataset!$F:$F,Resumen!AA$8,Dataset!$J:$J,"&gt;="&amp;$AC20,Dataset!$J:$J,"&lt;"&amp;$AD20,Dataset!$AH:$AH,"bono de gobierno",Dataset!$T:$T,"&lt;&gt;$",Dataset!$T:$T,"&lt;&gt;UF")</f>
        <v>0</v>
      </c>
      <c r="AB20" s="28">
        <f>SUMIFS(Dataset!$AA:$AA,Dataset!$F:$F,Resumen!AA$8,Dataset!$J:$J,"&gt;="&amp;$AC20,Dataset!$J:$J,"&lt;"&amp;$AD20,Dataset!$AH:$AH,"bono de gobierno",Dataset!$T:$T,"&lt;&gt;$",Dataset!$T:$T,"&lt;&gt;UF")</f>
        <v>0</v>
      </c>
      <c r="AC20" s="22">
        <v>5</v>
      </c>
      <c r="AD20" s="22">
        <v>10</v>
      </c>
    </row>
    <row r="21" spans="2:34" ht="30" customHeight="1" x14ac:dyDescent="0.3">
      <c r="B21" s="159"/>
      <c r="C21" s="160" t="s">
        <v>126</v>
      </c>
      <c r="D21" s="160"/>
      <c r="E21" s="29">
        <f>SUMIFS(Dataset!$AJ:$AJ,Dataset!$F:$F,Resumen!E$8,Dataset!$J:$J,"&gt;="&amp;$AC21,Dataset!$J:$J,"&lt;"&amp;$AD21,Dataset!$AH:$AH,"bono de gobierno",Dataset!$T:$T,"&lt;&gt;$",Dataset!$T:$T,"&lt;&gt;UF")</f>
        <v>0</v>
      </c>
      <c r="F21" s="30">
        <f>SUMIFS(Dataset!$AA:$AA,Dataset!$F:$F,Resumen!E$8,Dataset!$J:$J,"&gt;="&amp;$AC21,Dataset!$J:$J,"&lt;"&amp;$AD21,Dataset!$AH:$AH,"bono de gobierno",Dataset!$T:$T,"&lt;&gt;$",Dataset!$T:$T,"&lt;&gt;UF")</f>
        <v>0</v>
      </c>
      <c r="G21" s="29">
        <f>SUMIFS(Dataset!$AJ:$AJ,Dataset!$F:$F,Resumen!G$8,Dataset!$J:$J,"&gt;="&amp;$AC21,Dataset!$J:$J,"&lt;"&amp;$AD21,Dataset!$AH:$AH,"bono de gobierno",Dataset!$T:$T,"&lt;&gt;$",Dataset!$T:$T,"&lt;&gt;UF")</f>
        <v>0</v>
      </c>
      <c r="H21" s="30">
        <f>SUMIFS(Dataset!$AA:$AA,Dataset!$F:$F,Resumen!G$8,Dataset!$J:$J,"&gt;="&amp;$AC21,Dataset!$J:$J,"&lt;"&amp;$AD21,Dataset!$AH:$AH,"bono de gobierno",Dataset!$T:$T,"&lt;&gt;$",Dataset!$T:$T,"&lt;&gt;UF")</f>
        <v>0</v>
      </c>
      <c r="I21" s="29">
        <f>SUMIFS(Dataset!$AJ:$AJ,Dataset!$F:$F,Resumen!I$8,Dataset!$J:$J,"&gt;="&amp;$AC21,Dataset!$J:$J,"&lt;"&amp;$AD21,Dataset!$AH:$AH,"bono de gobierno",Dataset!$T:$T,"&lt;&gt;$",Dataset!$T:$T,"&lt;&gt;UF")</f>
        <v>0</v>
      </c>
      <c r="J21" s="30">
        <f>SUMIFS(Dataset!$AA:$AA,Dataset!$F:$F,Resumen!I$8,Dataset!$J:$J,"&gt;="&amp;$AC21,Dataset!$J:$J,"&lt;"&amp;$AD21,Dataset!$AH:$AH,"bono de gobierno",Dataset!$T:$T,"&lt;&gt;$",Dataset!$T:$T,"&lt;&gt;UF")</f>
        <v>0</v>
      </c>
      <c r="K21" s="29">
        <f>SUMIFS(Dataset!$AJ:$AJ,Dataset!$F:$F,Resumen!K$8,Dataset!$J:$J,"&gt;="&amp;$AC21,Dataset!$J:$J,"&lt;"&amp;$AD21,Dataset!$AH:$AH,"bono de gobierno",Dataset!$T:$T,"&lt;&gt;$",Dataset!$T:$T,"&lt;&gt;UF")</f>
        <v>0</v>
      </c>
      <c r="L21" s="30">
        <f>SUMIFS(Dataset!$AA:$AA,Dataset!$F:$F,Resumen!K$8,Dataset!$J:$J,"&gt;="&amp;$AC21,Dataset!$J:$J,"&lt;"&amp;$AD21,Dataset!$AH:$AH,"bono de gobierno",Dataset!$T:$T,"&lt;&gt;$",Dataset!$T:$T,"&lt;&gt;UF")</f>
        <v>0</v>
      </c>
      <c r="M21" s="29">
        <f>SUMIFS(Dataset!$AJ:$AJ,Dataset!$F:$F,Resumen!M$8,Dataset!$J:$J,"&gt;="&amp;$AC21,Dataset!$J:$J,"&lt;"&amp;$AD21,Dataset!$AH:$AH,"bono de gobierno",Dataset!$T:$T,"&lt;&gt;$",Dataset!$T:$T,"&lt;&gt;UF")</f>
        <v>0</v>
      </c>
      <c r="N21" s="30">
        <f>SUMIFS(Dataset!$AA:$AA,Dataset!$F:$F,Resumen!M$8,Dataset!$J:$J,"&gt;="&amp;$AC21,Dataset!$J:$J,"&lt;"&amp;$AD21,Dataset!$AH:$AH,"bono de gobierno",Dataset!$T:$T,"&lt;&gt;$",Dataset!$T:$T,"&lt;&gt;UF")</f>
        <v>0</v>
      </c>
      <c r="O21" s="29">
        <f>SUMIFS(Dataset!$AJ:$AJ,Dataset!$F:$F,Resumen!O$8,Dataset!$J:$J,"&gt;="&amp;$AC21,Dataset!$J:$J,"&lt;"&amp;$AD21,Dataset!$AH:$AH,"bono de gobierno",Dataset!$T:$T,"&lt;&gt;$",Dataset!$T:$T,"&lt;&gt;UF")</f>
        <v>0</v>
      </c>
      <c r="P21" s="30">
        <f>SUMIFS(Dataset!$AA:$AA,Dataset!$F:$F,Resumen!O$8,Dataset!$J:$J,"&gt;="&amp;$AC21,Dataset!$J:$J,"&lt;"&amp;$AD21,Dataset!$AH:$AH,"bono de gobierno",Dataset!$T:$T,"&lt;&gt;$",Dataset!$T:$T,"&lt;&gt;UF")</f>
        <v>0</v>
      </c>
      <c r="Q21" s="29">
        <f>SUMIFS(Dataset!$AJ:$AJ,Dataset!$F:$F,Resumen!Q$8,Dataset!$J:$J,"&gt;="&amp;$AC21,Dataset!$J:$J,"&lt;"&amp;$AD21,Dataset!$AH:$AH,"bono de gobierno",Dataset!$T:$T,"&lt;&gt;$",Dataset!$T:$T,"&lt;&gt;UF")</f>
        <v>0</v>
      </c>
      <c r="R21" s="30">
        <f>SUMIFS(Dataset!$AA:$AA,Dataset!$F:$F,Resumen!Q$8,Dataset!$J:$J,"&gt;="&amp;$AC21,Dataset!$J:$J,"&lt;"&amp;$AD21,Dataset!$AH:$AH,"bono de gobierno",Dataset!$T:$T,"&lt;&gt;$",Dataset!$T:$T,"&lt;&gt;UF")</f>
        <v>0</v>
      </c>
      <c r="S21" s="29">
        <f>SUMIFS(Dataset!$AJ:$AJ,Dataset!$F:$F,Resumen!S$8,Dataset!$J:$J,"&gt;="&amp;$AC21,Dataset!$J:$J,"&lt;"&amp;$AD21,Dataset!$AH:$AH,"bono de gobierno",Dataset!$T:$T,"&lt;&gt;$",Dataset!$T:$T,"&lt;&gt;UF")</f>
        <v>0</v>
      </c>
      <c r="T21" s="30">
        <f>SUMIFS(Dataset!$AA:$AA,Dataset!$F:$F,Resumen!S$8,Dataset!$J:$J,"&gt;="&amp;$AC21,Dataset!$J:$J,"&lt;"&amp;$AD21,Dataset!$AH:$AH,"bono de gobierno",Dataset!$T:$T,"&lt;&gt;$",Dataset!$T:$T,"&lt;&gt;UF")</f>
        <v>0</v>
      </c>
      <c r="U21" s="29">
        <f>SUMIFS(Dataset!$AJ:$AJ,Dataset!$F:$F,Resumen!U$8,Dataset!$J:$J,"&gt;="&amp;$AC21,Dataset!$J:$J,"&lt;"&amp;$AD21,Dataset!$AH:$AH,"bono de gobierno",Dataset!$T:$T,"&lt;&gt;$",Dataset!$T:$T,"&lt;&gt;UF")</f>
        <v>0</v>
      </c>
      <c r="V21" s="30">
        <f>SUMIFS(Dataset!$AA:$AA,Dataset!$F:$F,Resumen!U$8,Dataset!$J:$J,"&gt;="&amp;$AC21,Dataset!$J:$J,"&lt;"&amp;$AD21,Dataset!$AH:$AH,"bono de gobierno",Dataset!$T:$T,"&lt;&gt;$",Dataset!$T:$T,"&lt;&gt;UF")</f>
        <v>0</v>
      </c>
      <c r="W21" s="29">
        <f>SUMIFS(Dataset!$AJ:$AJ,Dataset!$F:$F,Resumen!W$8,Dataset!$J:$J,"&gt;="&amp;$AC21,Dataset!$J:$J,"&lt;"&amp;$AD21,Dataset!$AH:$AH,"bono de gobierno",Dataset!$T:$T,"&lt;&gt;$",Dataset!$T:$T,"&lt;&gt;UF")</f>
        <v>0</v>
      </c>
      <c r="X21" s="30">
        <f>SUMIFS(Dataset!$AA:$AA,Dataset!$F:$F,Resumen!W$8,Dataset!$J:$J,"&gt;="&amp;$AC21,Dataset!$J:$J,"&lt;"&amp;$AD21,Dataset!$AH:$AH,"bono de gobierno",Dataset!$T:$T,"&lt;&gt;$",Dataset!$T:$T,"&lt;&gt;UF")</f>
        <v>0</v>
      </c>
      <c r="Y21" s="29">
        <f>SUMIFS(Dataset!$AJ:$AJ,Dataset!$F:$F,Resumen!Y$8,Dataset!$J:$J,"&gt;="&amp;$AC21,Dataset!$J:$J,"&lt;"&amp;$AD21,Dataset!$AH:$AH,"bono de gobierno",Dataset!$T:$T,"&lt;&gt;$",Dataset!$T:$T,"&lt;&gt;UF")</f>
        <v>0</v>
      </c>
      <c r="Z21" s="30">
        <f>SUMIFS(Dataset!$AA:$AA,Dataset!$F:$F,Resumen!Y$8,Dataset!$J:$J,"&gt;="&amp;$AC21,Dataset!$J:$J,"&lt;"&amp;$AD21,Dataset!$AH:$AH,"bono de gobierno",Dataset!$T:$T,"&lt;&gt;$",Dataset!$T:$T,"&lt;&gt;UF")</f>
        <v>0</v>
      </c>
      <c r="AA21" s="29">
        <f>SUMIFS(Dataset!$AJ:$AJ,Dataset!$F:$F,Resumen!AA$8,Dataset!$J:$J,"&gt;="&amp;$AC21,Dataset!$J:$J,"&lt;"&amp;$AD21,Dataset!$AH:$AH,"bono de gobierno",Dataset!$T:$T,"&lt;&gt;$",Dataset!$T:$T,"&lt;&gt;UF")</f>
        <v>0</v>
      </c>
      <c r="AB21" s="30">
        <f>SUMIFS(Dataset!$AA:$AA,Dataset!$F:$F,Resumen!AA$8,Dataset!$J:$J,"&gt;="&amp;$AC21,Dataset!$J:$J,"&lt;"&amp;$AD21,Dataset!$AH:$AH,"bono de gobierno",Dataset!$T:$T,"&lt;&gt;$",Dataset!$T:$T,"&lt;&gt;UF")</f>
        <v>0</v>
      </c>
      <c r="AC21" s="22">
        <v>10</v>
      </c>
      <c r="AD21" s="22">
        <v>100</v>
      </c>
    </row>
    <row r="22" spans="2:34" ht="30" customHeight="1" x14ac:dyDescent="0.3">
      <c r="B22" s="159" t="s">
        <v>98</v>
      </c>
      <c r="C22" s="158" t="s">
        <v>129</v>
      </c>
      <c r="D22" s="31" t="s">
        <v>123</v>
      </c>
      <c r="E22" s="24">
        <f>SUMIFS(Dataset!$AJ:$AJ,Dataset!$F:$F,Resumen!E$8,Dataset!$J:$J,"&gt;="&amp;$AC22,Dataset!$J:$J,"&lt;"&amp;$AD22,Dataset!$AH:$AH,"bono corporativo",Dataset!$T:$T,"$",Dataset!$AC:$AC,"*AA*")</f>
        <v>0</v>
      </c>
      <c r="F22" s="25">
        <f>SUMIFS(Dataset!$AA:$AA,Dataset!$F:$F,Resumen!E$8,Dataset!$J:$J,"&gt;="&amp;$AC22,Dataset!$J:$J,"&lt;"&amp;$AD22,Dataset!$AH:$AH,"bono corporativo",Dataset!$T:$T,"$",Dataset!$AC:$AC,"*AA*")</f>
        <v>0</v>
      </c>
      <c r="G22" s="24">
        <f>SUMIFS(Dataset!$AJ:$AJ,Dataset!$F:$F,Resumen!G$8,Dataset!$J:$J,"&gt;="&amp;$AC22,Dataset!$J:$J,"&lt;"&amp;$AD22,Dataset!$AH:$AH,"bono corporativo",Dataset!$T:$T,"$",Dataset!$AC:$AC,"*AA*")</f>
        <v>0</v>
      </c>
      <c r="H22" s="25">
        <f>SUMIFS(Dataset!$AA:$AA,Dataset!$F:$F,Resumen!G$8,Dataset!$J:$J,"&gt;="&amp;$AC22,Dataset!$J:$J,"&lt;"&amp;$AD22,Dataset!$AH:$AH,"bono corporativo",Dataset!$T:$T,"$",Dataset!$AC:$AC,"*AA*")</f>
        <v>0</v>
      </c>
      <c r="I22" s="24">
        <f>SUMIFS(Dataset!$AJ:$AJ,Dataset!$F:$F,Resumen!I$8,Dataset!$J:$J,"&gt;="&amp;$AC22,Dataset!$J:$J,"&lt;"&amp;$AD22,Dataset!$AH:$AH,"bono corporativo",Dataset!$T:$T,"$",Dataset!$AC:$AC,"*AA*")</f>
        <v>0</v>
      </c>
      <c r="J22" s="25">
        <f>SUMIFS(Dataset!$AA:$AA,Dataset!$F:$F,Resumen!I$8,Dataset!$J:$J,"&gt;="&amp;$AC22,Dataset!$J:$J,"&lt;"&amp;$AD22,Dataset!$AH:$AH,"bono corporativo",Dataset!$T:$T,"$",Dataset!$AC:$AC,"*AA*")</f>
        <v>0</v>
      </c>
      <c r="K22" s="24">
        <f>SUMIFS(Dataset!$AJ:$AJ,Dataset!$F:$F,Resumen!K$8,Dataset!$J:$J,"&gt;="&amp;$AC22,Dataset!$J:$J,"&lt;"&amp;$AD22,Dataset!$AH:$AH,"bono corporativo",Dataset!$T:$T,"$",Dataset!$AC:$AC,"*AA*")</f>
        <v>0</v>
      </c>
      <c r="L22" s="25">
        <f>SUMIFS(Dataset!$AA:$AA,Dataset!$F:$F,Resumen!K$8,Dataset!$J:$J,"&gt;="&amp;$AC22,Dataset!$J:$J,"&lt;"&amp;$AD22,Dataset!$AH:$AH,"bono corporativo",Dataset!$T:$T,"$",Dataset!$AC:$AC,"*AA*")</f>
        <v>0</v>
      </c>
      <c r="M22" s="24">
        <f>SUMIFS(Dataset!$AJ:$AJ,Dataset!$F:$F,Resumen!M$8,Dataset!$J:$J,"&gt;="&amp;$AC22,Dataset!$J:$J,"&lt;"&amp;$AD22,Dataset!$AH:$AH,"bono corporativo",Dataset!$T:$T,"$",Dataset!$AC:$AC,"*AA*")</f>
        <v>0</v>
      </c>
      <c r="N22" s="25">
        <f>SUMIFS(Dataset!$AA:$AA,Dataset!$F:$F,Resumen!M$8,Dataset!$J:$J,"&gt;="&amp;$AC22,Dataset!$J:$J,"&lt;"&amp;$AD22,Dataset!$AH:$AH,"bono corporativo",Dataset!$T:$T,"$",Dataset!$AC:$AC,"*AA*")</f>
        <v>0</v>
      </c>
      <c r="O22" s="24">
        <f>SUMIFS(Dataset!$AJ:$AJ,Dataset!$F:$F,Resumen!O$8,Dataset!$J:$J,"&gt;="&amp;$AC22,Dataset!$J:$J,"&lt;"&amp;$AD22,Dataset!$AH:$AH,"bono corporativo",Dataset!$T:$T,"$",Dataset!$AC:$AC,"*AA*")</f>
        <v>0</v>
      </c>
      <c r="P22" s="25">
        <f>SUMIFS(Dataset!$AA:$AA,Dataset!$F:$F,Resumen!O$8,Dataset!$J:$J,"&gt;="&amp;$AC22,Dataset!$J:$J,"&lt;"&amp;$AD22,Dataset!$AH:$AH,"bono corporativo",Dataset!$T:$T,"$",Dataset!$AC:$AC,"*AA*")</f>
        <v>0</v>
      </c>
      <c r="Q22" s="24">
        <f>SUMIFS(Dataset!$AJ:$AJ,Dataset!$F:$F,Resumen!Q$8,Dataset!$J:$J,"&gt;="&amp;$AC22,Dataset!$J:$J,"&lt;"&amp;$AD22,Dataset!$AH:$AH,"bono corporativo",Dataset!$T:$T,"$",Dataset!$AC:$AC,"*AA*")</f>
        <v>0</v>
      </c>
      <c r="R22" s="25">
        <f>SUMIFS(Dataset!$AA:$AA,Dataset!$F:$F,Resumen!Q$8,Dataset!$J:$J,"&gt;="&amp;$AC22,Dataset!$J:$J,"&lt;"&amp;$AD22,Dataset!$AH:$AH,"bono corporativo",Dataset!$T:$T,"$",Dataset!$AC:$AC,"*AA*")</f>
        <v>0</v>
      </c>
      <c r="S22" s="24">
        <f>SUMIFS(Dataset!$AJ:$AJ,Dataset!$F:$F,Resumen!S$8,Dataset!$J:$J,"&gt;="&amp;$AC22,Dataset!$J:$J,"&lt;"&amp;$AD22,Dataset!$AH:$AH,"bono corporativo",Dataset!$T:$T,"$",Dataset!$AC:$AC,"*AA*")</f>
        <v>0</v>
      </c>
      <c r="T22" s="25">
        <f>SUMIFS(Dataset!$AA:$AA,Dataset!$F:$F,Resumen!S$8,Dataset!$J:$J,"&gt;="&amp;$AC22,Dataset!$J:$J,"&lt;"&amp;$AD22,Dataset!$AH:$AH,"bono corporativo",Dataset!$T:$T,"$",Dataset!$AC:$AC,"*AA*")</f>
        <v>0</v>
      </c>
      <c r="U22" s="24">
        <f>SUMIFS(Dataset!$AJ:$AJ,Dataset!$F:$F,Resumen!U$8,Dataset!$J:$J,"&gt;="&amp;$AC22,Dataset!$J:$J,"&lt;"&amp;$AD22,Dataset!$AH:$AH,"bono corporativo",Dataset!$T:$T,"$",Dataset!$AC:$AC,"*AA*")</f>
        <v>0</v>
      </c>
      <c r="V22" s="25">
        <f>SUMIFS(Dataset!$AA:$AA,Dataset!$F:$F,Resumen!U$8,Dataset!$J:$J,"&gt;="&amp;$AC22,Dataset!$J:$J,"&lt;"&amp;$AD22,Dataset!$AH:$AH,"bono corporativo",Dataset!$T:$T,"$",Dataset!$AC:$AC,"*AA*")</f>
        <v>0</v>
      </c>
      <c r="W22" s="24">
        <f>SUMIFS(Dataset!$AJ:$AJ,Dataset!$F:$F,Resumen!W$8,Dataset!$J:$J,"&gt;="&amp;$AC22,Dataset!$J:$J,"&lt;"&amp;$AD22,Dataset!$AH:$AH,"bono corporativo",Dataset!$T:$T,"$",Dataset!$AC:$AC,"*AA*")</f>
        <v>0</v>
      </c>
      <c r="X22" s="25">
        <f>SUMIFS(Dataset!$AA:$AA,Dataset!$F:$F,Resumen!W$8,Dataset!$J:$J,"&gt;="&amp;$AC22,Dataset!$J:$J,"&lt;"&amp;$AD22,Dataset!$AH:$AH,"bono corporativo",Dataset!$T:$T,"$",Dataset!$AC:$AC,"*AA*")</f>
        <v>0</v>
      </c>
      <c r="Y22" s="24">
        <f>SUMIFS(Dataset!$AJ:$AJ,Dataset!$F:$F,Resumen!Y$8,Dataset!$J:$J,"&gt;="&amp;$AC22,Dataset!$J:$J,"&lt;"&amp;$AD22,Dataset!$AH:$AH,"bono corporativo",Dataset!$T:$T,"$",Dataset!$AC:$AC,"*AA*")</f>
        <v>0</v>
      </c>
      <c r="Z22" s="25">
        <f>SUMIFS(Dataset!$AA:$AA,Dataset!$F:$F,Resumen!Y$8,Dataset!$J:$J,"&gt;="&amp;$AC22,Dataset!$J:$J,"&lt;"&amp;$AD22,Dataset!$AH:$AH,"bono corporativo",Dataset!$T:$T,"$",Dataset!$AC:$AC,"*AA*")</f>
        <v>0</v>
      </c>
      <c r="AA22" s="24">
        <f>SUMIFS(Dataset!$AJ:$AJ,Dataset!$F:$F,Resumen!AA$8,Dataset!$J:$J,"&gt;="&amp;$AC22,Dataset!$J:$J,"&lt;"&amp;$AD22,Dataset!$AH:$AH,"bono corporativo",Dataset!$T:$T,"$",Dataset!$AC:$AC,"*AA*")</f>
        <v>0</v>
      </c>
      <c r="AB22" s="25">
        <f>SUMIFS(Dataset!$AA:$AA,Dataset!$F:$F,Resumen!AA$8,Dataset!$J:$J,"&gt;="&amp;$AC22,Dataset!$J:$J,"&lt;"&amp;$AD22,Dataset!$AH:$AH,"bono corporativo",Dataset!$T:$T,"$",Dataset!$AC:$AC,"*AA*")</f>
        <v>0</v>
      </c>
      <c r="AC22" s="22">
        <v>0</v>
      </c>
      <c r="AD22" s="22">
        <v>3</v>
      </c>
    </row>
    <row r="23" spans="2:34" ht="30" customHeight="1" x14ac:dyDescent="0.3">
      <c r="B23" s="159"/>
      <c r="C23" s="158"/>
      <c r="D23" s="31" t="s">
        <v>124</v>
      </c>
      <c r="E23" s="27">
        <f>SUMIFS(Dataset!$AJ:$AJ,Dataset!$F:$F,Resumen!E$8,Dataset!$J:$J,"&gt;="&amp;$AC23,Dataset!$J:$J,"&lt;"&amp;$AD23,Dataset!$AH:$AH,"bono corporativo",Dataset!$T:$T,"$",Dataset!$AC:$AC,"*AA*")</f>
        <v>0</v>
      </c>
      <c r="F23" s="28">
        <f>SUMIFS(Dataset!$AA:$AA,Dataset!$F:$F,Resumen!E$8,Dataset!$J:$J,"&gt;="&amp;$AC23,Dataset!$J:$J,"&lt;"&amp;$AD23,Dataset!$AH:$AH,"bono corporativo",Dataset!$T:$T,"$",Dataset!$AC:$AC,"*AA*")</f>
        <v>0</v>
      </c>
      <c r="G23" s="27">
        <f>SUMIFS(Dataset!$AJ:$AJ,Dataset!$F:$F,Resumen!G$8,Dataset!$J:$J,"&gt;="&amp;$AC23,Dataset!$J:$J,"&lt;"&amp;$AD23,Dataset!$AH:$AH,"bono corporativo",Dataset!$T:$T,"$",Dataset!$AC:$AC,"*AA*")</f>
        <v>0</v>
      </c>
      <c r="H23" s="28">
        <f>SUMIFS(Dataset!$AA:$AA,Dataset!$F:$F,Resumen!G$8,Dataset!$J:$J,"&gt;="&amp;$AC23,Dataset!$J:$J,"&lt;"&amp;$AD23,Dataset!$AH:$AH,"bono corporativo",Dataset!$T:$T,"$",Dataset!$AC:$AC,"*AA*")</f>
        <v>0</v>
      </c>
      <c r="I23" s="27">
        <f>SUMIFS(Dataset!$AJ:$AJ,Dataset!$F:$F,Resumen!I$8,Dataset!$J:$J,"&gt;="&amp;$AC23,Dataset!$J:$J,"&lt;"&amp;$AD23,Dataset!$AH:$AH,"bono corporativo",Dataset!$T:$T,"$",Dataset!$AC:$AC,"*AA*")</f>
        <v>0</v>
      </c>
      <c r="J23" s="28">
        <f>SUMIFS(Dataset!$AA:$AA,Dataset!$F:$F,Resumen!I$8,Dataset!$J:$J,"&gt;="&amp;$AC23,Dataset!$J:$J,"&lt;"&amp;$AD23,Dataset!$AH:$AH,"bono corporativo",Dataset!$T:$T,"$",Dataset!$AC:$AC,"*AA*")</f>
        <v>0</v>
      </c>
      <c r="K23" s="27">
        <f>SUMIFS(Dataset!$AJ:$AJ,Dataset!$F:$F,Resumen!K$8,Dataset!$J:$J,"&gt;="&amp;$AC23,Dataset!$J:$J,"&lt;"&amp;$AD23,Dataset!$AH:$AH,"bono corporativo",Dataset!$T:$T,"$",Dataset!$AC:$AC,"*AA*")</f>
        <v>0</v>
      </c>
      <c r="L23" s="28">
        <f>SUMIFS(Dataset!$AA:$AA,Dataset!$F:$F,Resumen!K$8,Dataset!$J:$J,"&gt;="&amp;$AC23,Dataset!$J:$J,"&lt;"&amp;$AD23,Dataset!$AH:$AH,"bono corporativo",Dataset!$T:$T,"$",Dataset!$AC:$AC,"*AA*")</f>
        <v>0</v>
      </c>
      <c r="M23" s="27">
        <f>SUMIFS(Dataset!$AJ:$AJ,Dataset!$F:$F,Resumen!M$8,Dataset!$J:$J,"&gt;="&amp;$AC23,Dataset!$J:$J,"&lt;"&amp;$AD23,Dataset!$AH:$AH,"bono corporativo",Dataset!$T:$T,"$",Dataset!$AC:$AC,"*AA*")</f>
        <v>0</v>
      </c>
      <c r="N23" s="28">
        <f>SUMIFS(Dataset!$AA:$AA,Dataset!$F:$F,Resumen!M$8,Dataset!$J:$J,"&gt;="&amp;$AC23,Dataset!$J:$J,"&lt;"&amp;$AD23,Dataset!$AH:$AH,"bono corporativo",Dataset!$T:$T,"$",Dataset!$AC:$AC,"*AA*")</f>
        <v>0</v>
      </c>
      <c r="O23" s="27">
        <f>SUMIFS(Dataset!$AJ:$AJ,Dataset!$F:$F,Resumen!O$8,Dataset!$J:$J,"&gt;="&amp;$AC23,Dataset!$J:$J,"&lt;"&amp;$AD23,Dataset!$AH:$AH,"bono corporativo",Dataset!$T:$T,"$",Dataset!$AC:$AC,"*AA*")</f>
        <v>0</v>
      </c>
      <c r="P23" s="28">
        <f>SUMIFS(Dataset!$AA:$AA,Dataset!$F:$F,Resumen!O$8,Dataset!$J:$J,"&gt;="&amp;$AC23,Dataset!$J:$J,"&lt;"&amp;$AD23,Dataset!$AH:$AH,"bono corporativo",Dataset!$T:$T,"$",Dataset!$AC:$AC,"*AA*")</f>
        <v>0</v>
      </c>
      <c r="Q23" s="27">
        <f>SUMIFS(Dataset!$AJ:$AJ,Dataset!$F:$F,Resumen!Q$8,Dataset!$J:$J,"&gt;="&amp;$AC23,Dataset!$J:$J,"&lt;"&amp;$AD23,Dataset!$AH:$AH,"bono corporativo",Dataset!$T:$T,"$",Dataset!$AC:$AC,"*AA*")</f>
        <v>0</v>
      </c>
      <c r="R23" s="28">
        <f>SUMIFS(Dataset!$AA:$AA,Dataset!$F:$F,Resumen!Q$8,Dataset!$J:$J,"&gt;="&amp;$AC23,Dataset!$J:$J,"&lt;"&amp;$AD23,Dataset!$AH:$AH,"bono corporativo",Dataset!$T:$T,"$",Dataset!$AC:$AC,"*AA*")</f>
        <v>0</v>
      </c>
      <c r="S23" s="27">
        <f>SUMIFS(Dataset!$AJ:$AJ,Dataset!$F:$F,Resumen!S$8,Dataset!$J:$J,"&gt;="&amp;$AC23,Dataset!$J:$J,"&lt;"&amp;$AD23,Dataset!$AH:$AH,"bono corporativo",Dataset!$T:$T,"$",Dataset!$AC:$AC,"*AA*")</f>
        <v>0</v>
      </c>
      <c r="T23" s="28">
        <f>SUMIFS(Dataset!$AA:$AA,Dataset!$F:$F,Resumen!S$8,Dataset!$J:$J,"&gt;="&amp;$AC23,Dataset!$J:$J,"&lt;"&amp;$AD23,Dataset!$AH:$AH,"bono corporativo",Dataset!$T:$T,"$",Dataset!$AC:$AC,"*AA*")</f>
        <v>0</v>
      </c>
      <c r="U23" s="27">
        <f>SUMIFS(Dataset!$AJ:$AJ,Dataset!$F:$F,Resumen!U$8,Dataset!$J:$J,"&gt;="&amp;$AC23,Dataset!$J:$J,"&lt;"&amp;$AD23,Dataset!$AH:$AH,"bono corporativo",Dataset!$T:$T,"$",Dataset!$AC:$AC,"*AA*")</f>
        <v>0</v>
      </c>
      <c r="V23" s="28">
        <f>SUMIFS(Dataset!$AA:$AA,Dataset!$F:$F,Resumen!U$8,Dataset!$J:$J,"&gt;="&amp;$AC23,Dataset!$J:$J,"&lt;"&amp;$AD23,Dataset!$AH:$AH,"bono corporativo",Dataset!$T:$T,"$",Dataset!$AC:$AC,"*AA*")</f>
        <v>0</v>
      </c>
      <c r="W23" s="27">
        <f>SUMIFS(Dataset!$AJ:$AJ,Dataset!$F:$F,Resumen!W$8,Dataset!$J:$J,"&gt;="&amp;$AC23,Dataset!$J:$J,"&lt;"&amp;$AD23,Dataset!$AH:$AH,"bono corporativo",Dataset!$T:$T,"$",Dataset!$AC:$AC,"*AA*")</f>
        <v>0</v>
      </c>
      <c r="X23" s="28">
        <f>SUMIFS(Dataset!$AA:$AA,Dataset!$F:$F,Resumen!W$8,Dataset!$J:$J,"&gt;="&amp;$AC23,Dataset!$J:$J,"&lt;"&amp;$AD23,Dataset!$AH:$AH,"bono corporativo",Dataset!$T:$T,"$",Dataset!$AC:$AC,"*AA*")</f>
        <v>0</v>
      </c>
      <c r="Y23" s="27">
        <f>SUMIFS(Dataset!$AJ:$AJ,Dataset!$F:$F,Resumen!Y$8,Dataset!$J:$J,"&gt;="&amp;$AC23,Dataset!$J:$J,"&lt;"&amp;$AD23,Dataset!$AH:$AH,"bono corporativo",Dataset!$T:$T,"$",Dataset!$AC:$AC,"*AA*")</f>
        <v>0</v>
      </c>
      <c r="Z23" s="28">
        <f>SUMIFS(Dataset!$AA:$AA,Dataset!$F:$F,Resumen!Y$8,Dataset!$J:$J,"&gt;="&amp;$AC23,Dataset!$J:$J,"&lt;"&amp;$AD23,Dataset!$AH:$AH,"bono corporativo",Dataset!$T:$T,"$",Dataset!$AC:$AC,"*AA*")</f>
        <v>0</v>
      </c>
      <c r="AA23" s="27">
        <f>SUMIFS(Dataset!$AJ:$AJ,Dataset!$F:$F,Resumen!AA$8,Dataset!$J:$J,"&gt;="&amp;$AC23,Dataset!$J:$J,"&lt;"&amp;$AD23,Dataset!$AH:$AH,"bono corporativo",Dataset!$T:$T,"$",Dataset!$AC:$AC,"*AA*")</f>
        <v>0</v>
      </c>
      <c r="AB23" s="28">
        <f>SUMIFS(Dataset!$AA:$AA,Dataset!$F:$F,Resumen!AA$8,Dataset!$J:$J,"&gt;="&amp;$AC23,Dataset!$J:$J,"&lt;"&amp;$AD23,Dataset!$AH:$AH,"bono corporativo",Dataset!$T:$T,"$",Dataset!$AC:$AC,"*AA*")</f>
        <v>0</v>
      </c>
      <c r="AC23" s="22">
        <v>3</v>
      </c>
      <c r="AD23" s="22">
        <v>5</v>
      </c>
    </row>
    <row r="24" spans="2:34" ht="30" customHeight="1" x14ac:dyDescent="0.3">
      <c r="B24" s="159"/>
      <c r="C24" s="158"/>
      <c r="D24" s="31" t="s">
        <v>125</v>
      </c>
      <c r="E24" s="27">
        <f>SUMIFS(Dataset!$AJ:$AJ,Dataset!$F:$F,Resumen!E$8,Dataset!$J:$J,"&gt;="&amp;$AC24,Dataset!$J:$J,"&lt;"&amp;$AD24,Dataset!$AH:$AH,"bono corporativo",Dataset!$T:$T,"$",Dataset!$AC:$AC,"*AA*")</f>
        <v>0</v>
      </c>
      <c r="F24" s="28">
        <f>SUMIFS(Dataset!$AA:$AA,Dataset!$F:$F,Resumen!E$8,Dataset!$J:$J,"&gt;="&amp;$AC24,Dataset!$J:$J,"&lt;"&amp;$AD24,Dataset!$AH:$AH,"bono corporativo",Dataset!$T:$T,"$",Dataset!$AC:$AC,"*AA*")</f>
        <v>0</v>
      </c>
      <c r="G24" s="27">
        <f>SUMIFS(Dataset!$AJ:$AJ,Dataset!$F:$F,Resumen!G$8,Dataset!$J:$J,"&gt;="&amp;$AC24,Dataset!$J:$J,"&lt;"&amp;$AD24,Dataset!$AH:$AH,"bono corporativo",Dataset!$T:$T,"$",Dataset!$AC:$AC,"*AA*")</f>
        <v>0</v>
      </c>
      <c r="H24" s="28">
        <f>SUMIFS(Dataset!$AA:$AA,Dataset!$F:$F,Resumen!G$8,Dataset!$J:$J,"&gt;="&amp;$AC24,Dataset!$J:$J,"&lt;"&amp;$AD24,Dataset!$AH:$AH,"bono corporativo",Dataset!$T:$T,"$",Dataset!$AC:$AC,"*AA*")</f>
        <v>0</v>
      </c>
      <c r="I24" s="27">
        <f>SUMIFS(Dataset!$AJ:$AJ,Dataset!$F:$F,Resumen!I$8,Dataset!$J:$J,"&gt;="&amp;$AC24,Dataset!$J:$J,"&lt;"&amp;$AD24,Dataset!$AH:$AH,"bono corporativo",Dataset!$T:$T,"$",Dataset!$AC:$AC,"*AA*")</f>
        <v>0</v>
      </c>
      <c r="J24" s="28">
        <f>SUMIFS(Dataset!$AA:$AA,Dataset!$F:$F,Resumen!I$8,Dataset!$J:$J,"&gt;="&amp;$AC24,Dataset!$J:$J,"&lt;"&amp;$AD24,Dataset!$AH:$AH,"bono corporativo",Dataset!$T:$T,"$",Dataset!$AC:$AC,"*AA*")</f>
        <v>0</v>
      </c>
      <c r="K24" s="27">
        <f>SUMIFS(Dataset!$AJ:$AJ,Dataset!$F:$F,Resumen!K$8,Dataset!$J:$J,"&gt;="&amp;$AC24,Dataset!$J:$J,"&lt;"&amp;$AD24,Dataset!$AH:$AH,"bono corporativo",Dataset!$T:$T,"$",Dataset!$AC:$AC,"*AA*")</f>
        <v>0</v>
      </c>
      <c r="L24" s="28">
        <f>SUMIFS(Dataset!$AA:$AA,Dataset!$F:$F,Resumen!K$8,Dataset!$J:$J,"&gt;="&amp;$AC24,Dataset!$J:$J,"&lt;"&amp;$AD24,Dataset!$AH:$AH,"bono corporativo",Dataset!$T:$T,"$",Dataset!$AC:$AC,"*AA*")</f>
        <v>0</v>
      </c>
      <c r="M24" s="27">
        <f>SUMIFS(Dataset!$AJ:$AJ,Dataset!$F:$F,Resumen!M$8,Dataset!$J:$J,"&gt;="&amp;$AC24,Dataset!$J:$J,"&lt;"&amp;$AD24,Dataset!$AH:$AH,"bono corporativo",Dataset!$T:$T,"$",Dataset!$AC:$AC,"*AA*")</f>
        <v>0</v>
      </c>
      <c r="N24" s="28">
        <f>SUMIFS(Dataset!$AA:$AA,Dataset!$F:$F,Resumen!M$8,Dataset!$J:$J,"&gt;="&amp;$AC24,Dataset!$J:$J,"&lt;"&amp;$AD24,Dataset!$AH:$AH,"bono corporativo",Dataset!$T:$T,"$",Dataset!$AC:$AC,"*AA*")</f>
        <v>0</v>
      </c>
      <c r="O24" s="27">
        <f>SUMIFS(Dataset!$AJ:$AJ,Dataset!$F:$F,Resumen!O$8,Dataset!$J:$J,"&gt;="&amp;$AC24,Dataset!$J:$J,"&lt;"&amp;$AD24,Dataset!$AH:$AH,"bono corporativo",Dataset!$T:$T,"$",Dataset!$AC:$AC,"*AA*")</f>
        <v>0</v>
      </c>
      <c r="P24" s="28">
        <f>SUMIFS(Dataset!$AA:$AA,Dataset!$F:$F,Resumen!O$8,Dataset!$J:$J,"&gt;="&amp;$AC24,Dataset!$J:$J,"&lt;"&amp;$AD24,Dataset!$AH:$AH,"bono corporativo",Dataset!$T:$T,"$",Dataset!$AC:$AC,"*AA*")</f>
        <v>0</v>
      </c>
      <c r="Q24" s="27">
        <f>SUMIFS(Dataset!$AJ:$AJ,Dataset!$F:$F,Resumen!Q$8,Dataset!$J:$J,"&gt;="&amp;$AC24,Dataset!$J:$J,"&lt;"&amp;$AD24,Dataset!$AH:$AH,"bono corporativo",Dataset!$T:$T,"$",Dataset!$AC:$AC,"*AA*")</f>
        <v>0</v>
      </c>
      <c r="R24" s="28">
        <f>SUMIFS(Dataset!$AA:$AA,Dataset!$F:$F,Resumen!Q$8,Dataset!$J:$J,"&gt;="&amp;$AC24,Dataset!$J:$J,"&lt;"&amp;$AD24,Dataset!$AH:$AH,"bono corporativo",Dataset!$T:$T,"$",Dataset!$AC:$AC,"*AA*")</f>
        <v>0</v>
      </c>
      <c r="S24" s="27">
        <f>SUMIFS(Dataset!$AJ:$AJ,Dataset!$F:$F,Resumen!S$8,Dataset!$J:$J,"&gt;="&amp;$AC24,Dataset!$J:$J,"&lt;"&amp;$AD24,Dataset!$AH:$AH,"bono corporativo",Dataset!$T:$T,"$",Dataset!$AC:$AC,"*AA*")</f>
        <v>0</v>
      </c>
      <c r="T24" s="28">
        <f>SUMIFS(Dataset!$AA:$AA,Dataset!$F:$F,Resumen!S$8,Dataset!$J:$J,"&gt;="&amp;$AC24,Dataset!$J:$J,"&lt;"&amp;$AD24,Dataset!$AH:$AH,"bono corporativo",Dataset!$T:$T,"$",Dataset!$AC:$AC,"*AA*")</f>
        <v>0</v>
      </c>
      <c r="U24" s="27">
        <f>SUMIFS(Dataset!$AJ:$AJ,Dataset!$F:$F,Resumen!U$8,Dataset!$J:$J,"&gt;="&amp;$AC24,Dataset!$J:$J,"&lt;"&amp;$AD24,Dataset!$AH:$AH,"bono corporativo",Dataset!$T:$T,"$",Dataset!$AC:$AC,"*AA*")</f>
        <v>0</v>
      </c>
      <c r="V24" s="28">
        <f>SUMIFS(Dataset!$AA:$AA,Dataset!$F:$F,Resumen!U$8,Dataset!$J:$J,"&gt;="&amp;$AC24,Dataset!$J:$J,"&lt;"&amp;$AD24,Dataset!$AH:$AH,"bono corporativo",Dataset!$T:$T,"$",Dataset!$AC:$AC,"*AA*")</f>
        <v>0</v>
      </c>
      <c r="W24" s="27">
        <f>SUMIFS(Dataset!$AJ:$AJ,Dataset!$F:$F,Resumen!W$8,Dataset!$J:$J,"&gt;="&amp;$AC24,Dataset!$J:$J,"&lt;"&amp;$AD24,Dataset!$AH:$AH,"bono corporativo",Dataset!$T:$T,"$",Dataset!$AC:$AC,"*AA*")</f>
        <v>0</v>
      </c>
      <c r="X24" s="28">
        <f>SUMIFS(Dataset!$AA:$AA,Dataset!$F:$F,Resumen!W$8,Dataset!$J:$J,"&gt;="&amp;$AC24,Dataset!$J:$J,"&lt;"&amp;$AD24,Dataset!$AH:$AH,"bono corporativo",Dataset!$T:$T,"$",Dataset!$AC:$AC,"*AA*")</f>
        <v>0</v>
      </c>
      <c r="Y24" s="27">
        <f>SUMIFS(Dataset!$AJ:$AJ,Dataset!$F:$F,Resumen!Y$8,Dataset!$J:$J,"&gt;="&amp;$AC24,Dataset!$J:$J,"&lt;"&amp;$AD24,Dataset!$AH:$AH,"bono corporativo",Dataset!$T:$T,"$",Dataset!$AC:$AC,"*AA*")</f>
        <v>0</v>
      </c>
      <c r="Z24" s="28">
        <f>SUMIFS(Dataset!$AA:$AA,Dataset!$F:$F,Resumen!Y$8,Dataset!$J:$J,"&gt;="&amp;$AC24,Dataset!$J:$J,"&lt;"&amp;$AD24,Dataset!$AH:$AH,"bono corporativo",Dataset!$T:$T,"$",Dataset!$AC:$AC,"*AA*")</f>
        <v>0</v>
      </c>
      <c r="AA24" s="27">
        <f>SUMIFS(Dataset!$AJ:$AJ,Dataset!$F:$F,Resumen!AA$8,Dataset!$J:$J,"&gt;="&amp;$AC24,Dataset!$J:$J,"&lt;"&amp;$AD24,Dataset!$AH:$AH,"bono corporativo",Dataset!$T:$T,"$",Dataset!$AC:$AC,"*AA*")</f>
        <v>0</v>
      </c>
      <c r="AB24" s="28">
        <f>SUMIFS(Dataset!$AA:$AA,Dataset!$F:$F,Resumen!AA$8,Dataset!$J:$J,"&gt;="&amp;$AC24,Dataset!$J:$J,"&lt;"&amp;$AD24,Dataset!$AH:$AH,"bono corporativo",Dataset!$T:$T,"$",Dataset!$AC:$AC,"*AA*")</f>
        <v>0</v>
      </c>
      <c r="AC24" s="22">
        <v>5</v>
      </c>
      <c r="AD24" s="22">
        <v>10</v>
      </c>
    </row>
    <row r="25" spans="2:34" ht="30" customHeight="1" x14ac:dyDescent="0.3">
      <c r="B25" s="159"/>
      <c r="C25" s="158"/>
      <c r="D25" s="31" t="s">
        <v>126</v>
      </c>
      <c r="E25" s="29">
        <f>SUMIFS(Dataset!$AJ:$AJ,Dataset!$F:$F,Resumen!E$8,Dataset!$J:$J,"&gt;="&amp;$AC25,Dataset!$J:$J,"&lt;"&amp;$AD25,Dataset!$AH:$AH,"bono corporativo",Dataset!$T:$T,"$",Dataset!$AC:$AC,"*AA*")</f>
        <v>0</v>
      </c>
      <c r="F25" s="30">
        <f>SUMIFS(Dataset!$AA:$AA,Dataset!$F:$F,Resumen!E$8,Dataset!$J:$J,"&gt;="&amp;$AC25,Dataset!$J:$J,"&lt;"&amp;$AD25,Dataset!$AH:$AH,"bono corporativo",Dataset!$T:$T,"$",Dataset!$AC:$AC,"*AA*")</f>
        <v>0</v>
      </c>
      <c r="G25" s="29">
        <f>SUMIFS(Dataset!$AJ:$AJ,Dataset!$F:$F,Resumen!G$8,Dataset!$J:$J,"&gt;="&amp;$AC25,Dataset!$J:$J,"&lt;"&amp;$AD25,Dataset!$AH:$AH,"bono corporativo",Dataset!$T:$T,"$",Dataset!$AC:$AC,"*AA*")</f>
        <v>0</v>
      </c>
      <c r="H25" s="30">
        <f>SUMIFS(Dataset!$AA:$AA,Dataset!$F:$F,Resumen!G$8,Dataset!$J:$J,"&gt;="&amp;$AC25,Dataset!$J:$J,"&lt;"&amp;$AD25,Dataset!$AH:$AH,"bono corporativo",Dataset!$T:$T,"$",Dataset!$AC:$AC,"*AA*")</f>
        <v>0</v>
      </c>
      <c r="I25" s="29">
        <f>SUMIFS(Dataset!$AJ:$AJ,Dataset!$F:$F,Resumen!I$8,Dataset!$J:$J,"&gt;="&amp;$AC25,Dataset!$J:$J,"&lt;"&amp;$AD25,Dataset!$AH:$AH,"bono corporativo",Dataset!$T:$T,"$",Dataset!$AC:$AC,"*AA*")</f>
        <v>0</v>
      </c>
      <c r="J25" s="30">
        <f>SUMIFS(Dataset!$AA:$AA,Dataset!$F:$F,Resumen!I$8,Dataset!$J:$J,"&gt;="&amp;$AC25,Dataset!$J:$J,"&lt;"&amp;$AD25,Dataset!$AH:$AH,"bono corporativo",Dataset!$T:$T,"$",Dataset!$AC:$AC,"*AA*")</f>
        <v>0</v>
      </c>
      <c r="K25" s="29">
        <f>SUMIFS(Dataset!$AJ:$AJ,Dataset!$F:$F,Resumen!K$8,Dataset!$J:$J,"&gt;="&amp;$AC25,Dataset!$J:$J,"&lt;"&amp;$AD25,Dataset!$AH:$AH,"bono corporativo",Dataset!$T:$T,"$",Dataset!$AC:$AC,"*AA*")</f>
        <v>0</v>
      </c>
      <c r="L25" s="30">
        <f>SUMIFS(Dataset!$AA:$AA,Dataset!$F:$F,Resumen!K$8,Dataset!$J:$J,"&gt;="&amp;$AC25,Dataset!$J:$J,"&lt;"&amp;$AD25,Dataset!$AH:$AH,"bono corporativo",Dataset!$T:$T,"$",Dataset!$AC:$AC,"*AA*")</f>
        <v>0</v>
      </c>
      <c r="M25" s="29">
        <f>SUMIFS(Dataset!$AJ:$AJ,Dataset!$F:$F,Resumen!M$8,Dataset!$J:$J,"&gt;="&amp;$AC25,Dataset!$J:$J,"&lt;"&amp;$AD25,Dataset!$AH:$AH,"bono corporativo",Dataset!$T:$T,"$",Dataset!$AC:$AC,"*AA*")</f>
        <v>0</v>
      </c>
      <c r="N25" s="30">
        <f>SUMIFS(Dataset!$AA:$AA,Dataset!$F:$F,Resumen!M$8,Dataset!$J:$J,"&gt;="&amp;$AC25,Dataset!$J:$J,"&lt;"&amp;$AD25,Dataset!$AH:$AH,"bono corporativo",Dataset!$T:$T,"$",Dataset!$AC:$AC,"*AA*")</f>
        <v>0</v>
      </c>
      <c r="O25" s="29">
        <f>SUMIFS(Dataset!$AJ:$AJ,Dataset!$F:$F,Resumen!O$8,Dataset!$J:$J,"&gt;="&amp;$AC25,Dataset!$J:$J,"&lt;"&amp;$AD25,Dataset!$AH:$AH,"bono corporativo",Dataset!$T:$T,"$",Dataset!$AC:$AC,"*AA*")</f>
        <v>0</v>
      </c>
      <c r="P25" s="30">
        <f>SUMIFS(Dataset!$AA:$AA,Dataset!$F:$F,Resumen!O$8,Dataset!$J:$J,"&gt;="&amp;$AC25,Dataset!$J:$J,"&lt;"&amp;$AD25,Dataset!$AH:$AH,"bono corporativo",Dataset!$T:$T,"$",Dataset!$AC:$AC,"*AA*")</f>
        <v>0</v>
      </c>
      <c r="Q25" s="29">
        <f>SUMIFS(Dataset!$AJ:$AJ,Dataset!$F:$F,Resumen!Q$8,Dataset!$J:$J,"&gt;="&amp;$AC25,Dataset!$J:$J,"&lt;"&amp;$AD25,Dataset!$AH:$AH,"bono corporativo",Dataset!$T:$T,"$",Dataset!$AC:$AC,"*AA*")</f>
        <v>0</v>
      </c>
      <c r="R25" s="30">
        <f>SUMIFS(Dataset!$AA:$AA,Dataset!$F:$F,Resumen!Q$8,Dataset!$J:$J,"&gt;="&amp;$AC25,Dataset!$J:$J,"&lt;"&amp;$AD25,Dataset!$AH:$AH,"bono corporativo",Dataset!$T:$T,"$",Dataset!$AC:$AC,"*AA*")</f>
        <v>0</v>
      </c>
      <c r="S25" s="29">
        <f>SUMIFS(Dataset!$AJ:$AJ,Dataset!$F:$F,Resumen!S$8,Dataset!$J:$J,"&gt;="&amp;$AC25,Dataset!$J:$J,"&lt;"&amp;$AD25,Dataset!$AH:$AH,"bono corporativo",Dataset!$T:$T,"$",Dataset!$AC:$AC,"*AA*")</f>
        <v>0</v>
      </c>
      <c r="T25" s="30">
        <f>SUMIFS(Dataset!$AA:$AA,Dataset!$F:$F,Resumen!S$8,Dataset!$J:$J,"&gt;="&amp;$AC25,Dataset!$J:$J,"&lt;"&amp;$AD25,Dataset!$AH:$AH,"bono corporativo",Dataset!$T:$T,"$",Dataset!$AC:$AC,"*AA*")</f>
        <v>0</v>
      </c>
      <c r="U25" s="29">
        <f>SUMIFS(Dataset!$AJ:$AJ,Dataset!$F:$F,Resumen!U$8,Dataset!$J:$J,"&gt;="&amp;$AC25,Dataset!$J:$J,"&lt;"&amp;$AD25,Dataset!$AH:$AH,"bono corporativo",Dataset!$T:$T,"$",Dataset!$AC:$AC,"*AA*")</f>
        <v>0</v>
      </c>
      <c r="V25" s="30">
        <f>SUMIFS(Dataset!$AA:$AA,Dataset!$F:$F,Resumen!U$8,Dataset!$J:$J,"&gt;="&amp;$AC25,Dataset!$J:$J,"&lt;"&amp;$AD25,Dataset!$AH:$AH,"bono corporativo",Dataset!$T:$T,"$",Dataset!$AC:$AC,"*AA*")</f>
        <v>0</v>
      </c>
      <c r="W25" s="29">
        <f>SUMIFS(Dataset!$AJ:$AJ,Dataset!$F:$F,Resumen!W$8,Dataset!$J:$J,"&gt;="&amp;$AC25,Dataset!$J:$J,"&lt;"&amp;$AD25,Dataset!$AH:$AH,"bono corporativo",Dataset!$T:$T,"$",Dataset!$AC:$AC,"*AA*")</f>
        <v>0</v>
      </c>
      <c r="X25" s="30">
        <f>SUMIFS(Dataset!$AA:$AA,Dataset!$F:$F,Resumen!W$8,Dataset!$J:$J,"&gt;="&amp;$AC25,Dataset!$J:$J,"&lt;"&amp;$AD25,Dataset!$AH:$AH,"bono corporativo",Dataset!$T:$T,"$",Dataset!$AC:$AC,"*AA*")</f>
        <v>0</v>
      </c>
      <c r="Y25" s="29">
        <f>SUMIFS(Dataset!$AJ:$AJ,Dataset!$F:$F,Resumen!Y$8,Dataset!$J:$J,"&gt;="&amp;$AC25,Dataset!$J:$J,"&lt;"&amp;$AD25,Dataset!$AH:$AH,"bono corporativo",Dataset!$T:$T,"$",Dataset!$AC:$AC,"*AA*")</f>
        <v>0</v>
      </c>
      <c r="Z25" s="30">
        <f>SUMIFS(Dataset!$AA:$AA,Dataset!$F:$F,Resumen!Y$8,Dataset!$J:$J,"&gt;="&amp;$AC25,Dataset!$J:$J,"&lt;"&amp;$AD25,Dataset!$AH:$AH,"bono corporativo",Dataset!$T:$T,"$",Dataset!$AC:$AC,"*AA*")</f>
        <v>0</v>
      </c>
      <c r="AA25" s="29">
        <f>SUMIFS(Dataset!$AJ:$AJ,Dataset!$F:$F,Resumen!AA$8,Dataset!$J:$J,"&gt;="&amp;$AC25,Dataset!$J:$J,"&lt;"&amp;$AD25,Dataset!$AH:$AH,"bono corporativo",Dataset!$T:$T,"$",Dataset!$AC:$AC,"*AA*")</f>
        <v>0</v>
      </c>
      <c r="AB25" s="30">
        <f>SUMIFS(Dataset!$AA:$AA,Dataset!$F:$F,Resumen!AA$8,Dataset!$J:$J,"&gt;="&amp;$AC25,Dataset!$J:$J,"&lt;"&amp;$AD25,Dataset!$AH:$AH,"bono corporativo",Dataset!$T:$T,"$",Dataset!$AC:$AC,"*AA*")</f>
        <v>0</v>
      </c>
      <c r="AC25" s="22">
        <v>10</v>
      </c>
      <c r="AD25" s="22">
        <v>100</v>
      </c>
    </row>
    <row r="26" spans="2:34" ht="30" customHeight="1" x14ac:dyDescent="0.3">
      <c r="B26" s="159"/>
      <c r="C26" s="161" t="s">
        <v>130</v>
      </c>
      <c r="D26" s="32" t="s">
        <v>123</v>
      </c>
      <c r="E26" s="33">
        <f>SUMIFS(Dataset!$AJ:$AJ,Dataset!$F:$F,Resumen!E$8,Dataset!$J:$J,"&gt;="&amp;$AC26,Dataset!$J:$J,"&lt;"&amp;$AD26,Dataset!$AH:$AH,"bono corporativo",Dataset!$T:$T,"$",Dataset!$AC:$AC,"&lt;&gt;*AA*")</f>
        <v>0</v>
      </c>
      <c r="F26" s="34">
        <f>SUMIFS(Dataset!$AA:$AA,Dataset!$F:$F,Resumen!E$8,Dataset!$J:$J,"&gt;="&amp;$AC26,Dataset!$J:$J,"&lt;"&amp;$AD26,Dataset!$AH:$AH,"bono corporativo",Dataset!$T:$T,"$",Dataset!$AC:$AC,"&lt;&gt;*AA*")</f>
        <v>0</v>
      </c>
      <c r="G26" s="33">
        <f>SUMIFS(Dataset!$AJ:$AJ,Dataset!$F:$F,Resumen!G$8,Dataset!$J:$J,"&gt;="&amp;$AC26,Dataset!$J:$J,"&lt;"&amp;$AD26,Dataset!$AH:$AH,"bono corporativo",Dataset!$T:$T,"$",Dataset!$AC:$AC,"&lt;&gt;*AA*")</f>
        <v>0</v>
      </c>
      <c r="H26" s="34">
        <f>SUMIFS(Dataset!$AA:$AA,Dataset!$F:$F,Resumen!G$8,Dataset!$J:$J,"&gt;="&amp;$AC26,Dataset!$J:$J,"&lt;"&amp;$AD26,Dataset!$AH:$AH,"bono corporativo",Dataset!$T:$T,"$",Dataset!$AC:$AC,"&lt;&gt;*AA*")</f>
        <v>0</v>
      </c>
      <c r="I26" s="33">
        <f>SUMIFS(Dataset!$AJ:$AJ,Dataset!$F:$F,Resumen!I$8,Dataset!$J:$J,"&gt;="&amp;$AC26,Dataset!$J:$J,"&lt;"&amp;$AD26,Dataset!$AH:$AH,"bono corporativo",Dataset!$T:$T,"$",Dataset!$AC:$AC,"&lt;&gt;*AA*")</f>
        <v>0</v>
      </c>
      <c r="J26" s="34">
        <f>SUMIFS(Dataset!$AA:$AA,Dataset!$F:$F,Resumen!I$8,Dataset!$J:$J,"&gt;="&amp;$AC26,Dataset!$J:$J,"&lt;"&amp;$AD26,Dataset!$AH:$AH,"bono corporativo",Dataset!$T:$T,"$",Dataset!$AC:$AC,"&lt;&gt;*AA*")</f>
        <v>0</v>
      </c>
      <c r="K26" s="33">
        <f>SUMIFS(Dataset!$AJ:$AJ,Dataset!$F:$F,Resumen!K$8,Dataset!$J:$J,"&gt;="&amp;$AC26,Dataset!$J:$J,"&lt;"&amp;$AD26,Dataset!$AH:$AH,"bono corporativo",Dataset!$T:$T,"$",Dataset!$AC:$AC,"&lt;&gt;*AA*")</f>
        <v>0</v>
      </c>
      <c r="L26" s="34">
        <f>SUMIFS(Dataset!$AA:$AA,Dataset!$F:$F,Resumen!K$8,Dataset!$J:$J,"&gt;="&amp;$AC26,Dataset!$J:$J,"&lt;"&amp;$AD26,Dataset!$AH:$AH,"bono corporativo",Dataset!$T:$T,"$",Dataset!$AC:$AC,"&lt;&gt;*AA*")</f>
        <v>0</v>
      </c>
      <c r="M26" s="33">
        <f>SUMIFS(Dataset!$AJ:$AJ,Dataset!$F:$F,Resumen!M$8,Dataset!$J:$J,"&gt;="&amp;$AC26,Dataset!$J:$J,"&lt;"&amp;$AD26,Dataset!$AH:$AH,"bono corporativo",Dataset!$T:$T,"$",Dataset!$AC:$AC,"&lt;&gt;*AA*")</f>
        <v>0</v>
      </c>
      <c r="N26" s="34">
        <f>SUMIFS(Dataset!$AA:$AA,Dataset!$F:$F,Resumen!M$8,Dataset!$J:$J,"&gt;="&amp;$AC26,Dataset!$J:$J,"&lt;"&amp;$AD26,Dataset!$AH:$AH,"bono corporativo",Dataset!$T:$T,"$",Dataset!$AC:$AC,"&lt;&gt;*AA*")</f>
        <v>0</v>
      </c>
      <c r="O26" s="33">
        <f>SUMIFS(Dataset!$AJ:$AJ,Dataset!$F:$F,Resumen!O$8,Dataset!$J:$J,"&gt;="&amp;$AC26,Dataset!$J:$J,"&lt;"&amp;$AD26,Dataset!$AH:$AH,"bono corporativo",Dataset!$T:$T,"$",Dataset!$AC:$AC,"&lt;&gt;*AA*")</f>
        <v>0</v>
      </c>
      <c r="P26" s="34">
        <f>SUMIFS(Dataset!$AA:$AA,Dataset!$F:$F,Resumen!O$8,Dataset!$J:$J,"&gt;="&amp;$AC26,Dataset!$J:$J,"&lt;"&amp;$AD26,Dataset!$AH:$AH,"bono corporativo",Dataset!$T:$T,"$",Dataset!$AC:$AC,"&lt;&gt;*AA*")</f>
        <v>0</v>
      </c>
      <c r="Q26" s="33">
        <f>SUMIFS(Dataset!$AJ:$AJ,Dataset!$F:$F,Resumen!Q$8,Dataset!$J:$J,"&gt;="&amp;$AC26,Dataset!$J:$J,"&lt;"&amp;$AD26,Dataset!$AH:$AH,"bono corporativo",Dataset!$T:$T,"$",Dataset!$AC:$AC,"&lt;&gt;*AA*")</f>
        <v>0</v>
      </c>
      <c r="R26" s="34">
        <f>SUMIFS(Dataset!$AA:$AA,Dataset!$F:$F,Resumen!Q$8,Dataset!$J:$J,"&gt;="&amp;$AC26,Dataset!$J:$J,"&lt;"&amp;$AD26,Dataset!$AH:$AH,"bono corporativo",Dataset!$T:$T,"$",Dataset!$AC:$AC,"&lt;&gt;*AA*")</f>
        <v>0</v>
      </c>
      <c r="S26" s="33">
        <f>SUMIFS(Dataset!$AJ:$AJ,Dataset!$F:$F,Resumen!S$8,Dataset!$J:$J,"&gt;="&amp;$AC26,Dataset!$J:$J,"&lt;"&amp;$AD26,Dataset!$AH:$AH,"bono corporativo",Dataset!$T:$T,"$",Dataset!$AC:$AC,"&lt;&gt;*AA*")</f>
        <v>0</v>
      </c>
      <c r="T26" s="34">
        <f>SUMIFS(Dataset!$AA:$AA,Dataset!$F:$F,Resumen!S$8,Dataset!$J:$J,"&gt;="&amp;$AC26,Dataset!$J:$J,"&lt;"&amp;$AD26,Dataset!$AH:$AH,"bono corporativo",Dataset!$T:$T,"$",Dataset!$AC:$AC,"&lt;&gt;*AA*")</f>
        <v>0</v>
      </c>
      <c r="U26" s="33">
        <f>SUMIFS(Dataset!$AJ:$AJ,Dataset!$F:$F,Resumen!U$8,Dataset!$J:$J,"&gt;="&amp;$AC26,Dataset!$J:$J,"&lt;"&amp;$AD26,Dataset!$AH:$AH,"bono corporativo",Dataset!$T:$T,"$",Dataset!$AC:$AC,"&lt;&gt;*AA*")</f>
        <v>0</v>
      </c>
      <c r="V26" s="34">
        <f>SUMIFS(Dataset!$AA:$AA,Dataset!$F:$F,Resumen!U$8,Dataset!$J:$J,"&gt;="&amp;$AC26,Dataset!$J:$J,"&lt;"&amp;$AD26,Dataset!$AH:$AH,"bono corporativo",Dataset!$T:$T,"$",Dataset!$AC:$AC,"&lt;&gt;*AA*")</f>
        <v>0</v>
      </c>
      <c r="W26" s="33">
        <f>SUMIFS(Dataset!$AJ:$AJ,Dataset!$F:$F,Resumen!W$8,Dataset!$J:$J,"&gt;="&amp;$AC26,Dataset!$J:$J,"&lt;"&amp;$AD26,Dataset!$AH:$AH,"bono corporativo",Dataset!$T:$T,"$",Dataset!$AC:$AC,"&lt;&gt;*AA*")</f>
        <v>0</v>
      </c>
      <c r="X26" s="34">
        <f>SUMIFS(Dataset!$AA:$AA,Dataset!$F:$F,Resumen!W$8,Dataset!$J:$J,"&gt;="&amp;$AC26,Dataset!$J:$J,"&lt;"&amp;$AD26,Dataset!$AH:$AH,"bono corporativo",Dataset!$T:$T,"$",Dataset!$AC:$AC,"&lt;&gt;*AA*")</f>
        <v>0</v>
      </c>
      <c r="Y26" s="33">
        <f>SUMIFS(Dataset!$AJ:$AJ,Dataset!$F:$F,Resumen!Y$8,Dataset!$J:$J,"&gt;="&amp;$AC26,Dataset!$J:$J,"&lt;"&amp;$AD26,Dataset!$AH:$AH,"bono corporativo",Dataset!$T:$T,"$",Dataset!$AC:$AC,"&lt;&gt;*AA*")</f>
        <v>0</v>
      </c>
      <c r="Z26" s="34">
        <f>SUMIFS(Dataset!$AA:$AA,Dataset!$F:$F,Resumen!Y$8,Dataset!$J:$J,"&gt;="&amp;$AC26,Dataset!$J:$J,"&lt;"&amp;$AD26,Dataset!$AH:$AH,"bono corporativo",Dataset!$T:$T,"$",Dataset!$AC:$AC,"&lt;&gt;*AA*")</f>
        <v>0</v>
      </c>
      <c r="AA26" s="33">
        <f>SUMIFS(Dataset!$AJ:$AJ,Dataset!$F:$F,Resumen!AA$8,Dataset!$J:$J,"&gt;="&amp;$AC26,Dataset!$J:$J,"&lt;"&amp;$AD26,Dataset!$AH:$AH,"bono corporativo",Dataset!$T:$T,"$",Dataset!$AC:$AC,"&lt;&gt;*AA*")</f>
        <v>0</v>
      </c>
      <c r="AB26" s="34">
        <f>SUMIFS(Dataset!$AA:$AA,Dataset!$F:$F,Resumen!AA$8,Dataset!$J:$J,"&gt;="&amp;$AC26,Dataset!$J:$J,"&lt;"&amp;$AD26,Dataset!$AH:$AH,"bono corporativo",Dataset!$T:$T,"$",Dataset!$AC:$AC,"&lt;&gt;*AA*")</f>
        <v>0</v>
      </c>
      <c r="AC26" s="22">
        <v>0</v>
      </c>
      <c r="AD26" s="22">
        <v>3</v>
      </c>
    </row>
    <row r="27" spans="2:34" ht="30" customHeight="1" x14ac:dyDescent="0.3">
      <c r="B27" s="159"/>
      <c r="C27" s="158"/>
      <c r="D27" s="31" t="s">
        <v>124</v>
      </c>
      <c r="E27" s="27">
        <f>SUMIFS(Dataset!$AJ:$AJ,Dataset!$F:$F,Resumen!E$8,Dataset!$J:$J,"&gt;="&amp;$AC27,Dataset!$J:$J,"&lt;"&amp;$AD27,Dataset!$AH:$AH,"bono corporativo",Dataset!$T:$T,"$",Dataset!$AC:$AC,"&lt;&gt;*AA*")</f>
        <v>0</v>
      </c>
      <c r="F27" s="28">
        <f>SUMIFS(Dataset!$AA:$AA,Dataset!$F:$F,Resumen!E$8,Dataset!$J:$J,"&gt;="&amp;$AC27,Dataset!$J:$J,"&lt;"&amp;$AD27,Dataset!$AH:$AH,"bono corporativo",Dataset!$T:$T,"$",Dataset!$AC:$AC,"&lt;&gt;*AA*")</f>
        <v>0</v>
      </c>
      <c r="G27" s="27">
        <f>SUMIFS(Dataset!$AJ:$AJ,Dataset!$F:$F,Resumen!G$8,Dataset!$J:$J,"&gt;="&amp;$AC27,Dataset!$J:$J,"&lt;"&amp;$AD27,Dataset!$AH:$AH,"bono corporativo",Dataset!$T:$T,"$",Dataset!$AC:$AC,"&lt;&gt;*AA*")</f>
        <v>0</v>
      </c>
      <c r="H27" s="28">
        <f>SUMIFS(Dataset!$AA:$AA,Dataset!$F:$F,Resumen!G$8,Dataset!$J:$J,"&gt;="&amp;$AC27,Dataset!$J:$J,"&lt;"&amp;$AD27,Dataset!$AH:$AH,"bono corporativo",Dataset!$T:$T,"$",Dataset!$AC:$AC,"&lt;&gt;*AA*")</f>
        <v>0</v>
      </c>
      <c r="I27" s="27">
        <f>SUMIFS(Dataset!$AJ:$AJ,Dataset!$F:$F,Resumen!I$8,Dataset!$J:$J,"&gt;="&amp;$AC27,Dataset!$J:$J,"&lt;"&amp;$AD27,Dataset!$AH:$AH,"bono corporativo",Dataset!$T:$T,"$",Dataset!$AC:$AC,"&lt;&gt;*AA*")</f>
        <v>0</v>
      </c>
      <c r="J27" s="28">
        <f>SUMIFS(Dataset!$AA:$AA,Dataset!$F:$F,Resumen!I$8,Dataset!$J:$J,"&gt;="&amp;$AC27,Dataset!$J:$J,"&lt;"&amp;$AD27,Dataset!$AH:$AH,"bono corporativo",Dataset!$T:$T,"$",Dataset!$AC:$AC,"&lt;&gt;*AA*")</f>
        <v>0</v>
      </c>
      <c r="K27" s="27">
        <f>SUMIFS(Dataset!$AJ:$AJ,Dataset!$F:$F,Resumen!K$8,Dataset!$J:$J,"&gt;="&amp;$AC27,Dataset!$J:$J,"&lt;"&amp;$AD27,Dataset!$AH:$AH,"bono corporativo",Dataset!$T:$T,"$",Dataset!$AC:$AC,"&lt;&gt;*AA*")</f>
        <v>0</v>
      </c>
      <c r="L27" s="28">
        <f>SUMIFS(Dataset!$AA:$AA,Dataset!$F:$F,Resumen!K$8,Dataset!$J:$J,"&gt;="&amp;$AC27,Dataset!$J:$J,"&lt;"&amp;$AD27,Dataset!$AH:$AH,"bono corporativo",Dataset!$T:$T,"$",Dataset!$AC:$AC,"&lt;&gt;*AA*")</f>
        <v>0</v>
      </c>
      <c r="M27" s="27">
        <f>SUMIFS(Dataset!$AJ:$AJ,Dataset!$F:$F,Resumen!M$8,Dataset!$J:$J,"&gt;="&amp;$AC27,Dataset!$J:$J,"&lt;"&amp;$AD27,Dataset!$AH:$AH,"bono corporativo",Dataset!$T:$T,"$",Dataset!$AC:$AC,"&lt;&gt;*AA*")</f>
        <v>0</v>
      </c>
      <c r="N27" s="28">
        <f>SUMIFS(Dataset!$AA:$AA,Dataset!$F:$F,Resumen!M$8,Dataset!$J:$J,"&gt;="&amp;$AC27,Dataset!$J:$J,"&lt;"&amp;$AD27,Dataset!$AH:$AH,"bono corporativo",Dataset!$T:$T,"$",Dataset!$AC:$AC,"&lt;&gt;*AA*")</f>
        <v>0</v>
      </c>
      <c r="O27" s="27">
        <f>SUMIFS(Dataset!$AJ:$AJ,Dataset!$F:$F,Resumen!O$8,Dataset!$J:$J,"&gt;="&amp;$AC27,Dataset!$J:$J,"&lt;"&amp;$AD27,Dataset!$AH:$AH,"bono corporativo",Dataset!$T:$T,"$",Dataset!$AC:$AC,"&lt;&gt;*AA*")</f>
        <v>0</v>
      </c>
      <c r="P27" s="28">
        <f>SUMIFS(Dataset!$AA:$AA,Dataset!$F:$F,Resumen!O$8,Dataset!$J:$J,"&gt;="&amp;$AC27,Dataset!$J:$J,"&lt;"&amp;$AD27,Dataset!$AH:$AH,"bono corporativo",Dataset!$T:$T,"$",Dataset!$AC:$AC,"&lt;&gt;*AA*")</f>
        <v>0</v>
      </c>
      <c r="Q27" s="27">
        <f>SUMIFS(Dataset!$AJ:$AJ,Dataset!$F:$F,Resumen!Q$8,Dataset!$J:$J,"&gt;="&amp;$AC27,Dataset!$J:$J,"&lt;"&amp;$AD27,Dataset!$AH:$AH,"bono corporativo",Dataset!$T:$T,"$",Dataset!$AC:$AC,"&lt;&gt;*AA*")</f>
        <v>0</v>
      </c>
      <c r="R27" s="28">
        <f>SUMIFS(Dataset!$AA:$AA,Dataset!$F:$F,Resumen!Q$8,Dataset!$J:$J,"&gt;="&amp;$AC27,Dataset!$J:$J,"&lt;"&amp;$AD27,Dataset!$AH:$AH,"bono corporativo",Dataset!$T:$T,"$",Dataset!$AC:$AC,"&lt;&gt;*AA*")</f>
        <v>0</v>
      </c>
      <c r="S27" s="27">
        <f>SUMIFS(Dataset!$AJ:$AJ,Dataset!$F:$F,Resumen!S$8,Dataset!$J:$J,"&gt;="&amp;$AC27,Dataset!$J:$J,"&lt;"&amp;$AD27,Dataset!$AH:$AH,"bono corporativo",Dataset!$T:$T,"$",Dataset!$AC:$AC,"&lt;&gt;*AA*")</f>
        <v>0</v>
      </c>
      <c r="T27" s="28">
        <f>SUMIFS(Dataset!$AA:$AA,Dataset!$F:$F,Resumen!S$8,Dataset!$J:$J,"&gt;="&amp;$AC27,Dataset!$J:$J,"&lt;"&amp;$AD27,Dataset!$AH:$AH,"bono corporativo",Dataset!$T:$T,"$",Dataset!$AC:$AC,"&lt;&gt;*AA*")</f>
        <v>0</v>
      </c>
      <c r="U27" s="27">
        <f>SUMIFS(Dataset!$AJ:$AJ,Dataset!$F:$F,Resumen!U$8,Dataset!$J:$J,"&gt;="&amp;$AC27,Dataset!$J:$J,"&lt;"&amp;$AD27,Dataset!$AH:$AH,"bono corporativo",Dataset!$T:$T,"$",Dataset!$AC:$AC,"&lt;&gt;*AA*")</f>
        <v>0</v>
      </c>
      <c r="V27" s="28">
        <f>SUMIFS(Dataset!$AA:$AA,Dataset!$F:$F,Resumen!U$8,Dataset!$J:$J,"&gt;="&amp;$AC27,Dataset!$J:$J,"&lt;"&amp;$AD27,Dataset!$AH:$AH,"bono corporativo",Dataset!$T:$T,"$",Dataset!$AC:$AC,"&lt;&gt;*AA*")</f>
        <v>0</v>
      </c>
      <c r="W27" s="27">
        <f>SUMIFS(Dataset!$AJ:$AJ,Dataset!$F:$F,Resumen!W$8,Dataset!$J:$J,"&gt;="&amp;$AC27,Dataset!$J:$J,"&lt;"&amp;$AD27,Dataset!$AH:$AH,"bono corporativo",Dataset!$T:$T,"$",Dataset!$AC:$AC,"&lt;&gt;*AA*")</f>
        <v>0</v>
      </c>
      <c r="X27" s="28">
        <f>SUMIFS(Dataset!$AA:$AA,Dataset!$F:$F,Resumen!W$8,Dataset!$J:$J,"&gt;="&amp;$AC27,Dataset!$J:$J,"&lt;"&amp;$AD27,Dataset!$AH:$AH,"bono corporativo",Dataset!$T:$T,"$",Dataset!$AC:$AC,"&lt;&gt;*AA*")</f>
        <v>0</v>
      </c>
      <c r="Y27" s="27">
        <f>SUMIFS(Dataset!$AJ:$AJ,Dataset!$F:$F,Resumen!Y$8,Dataset!$J:$J,"&gt;="&amp;$AC27,Dataset!$J:$J,"&lt;"&amp;$AD27,Dataset!$AH:$AH,"bono corporativo",Dataset!$T:$T,"$",Dataset!$AC:$AC,"&lt;&gt;*AA*")</f>
        <v>0</v>
      </c>
      <c r="Z27" s="28">
        <f>SUMIFS(Dataset!$AA:$AA,Dataset!$F:$F,Resumen!Y$8,Dataset!$J:$J,"&gt;="&amp;$AC27,Dataset!$J:$J,"&lt;"&amp;$AD27,Dataset!$AH:$AH,"bono corporativo",Dataset!$T:$T,"$",Dataset!$AC:$AC,"&lt;&gt;*AA*")</f>
        <v>0</v>
      </c>
      <c r="AA27" s="27">
        <f>SUMIFS(Dataset!$AJ:$AJ,Dataset!$F:$F,Resumen!AA$8,Dataset!$J:$J,"&gt;="&amp;$AC27,Dataset!$J:$J,"&lt;"&amp;$AD27,Dataset!$AH:$AH,"bono corporativo",Dataset!$T:$T,"$",Dataset!$AC:$AC,"&lt;&gt;*AA*")</f>
        <v>0</v>
      </c>
      <c r="AB27" s="28">
        <f>SUMIFS(Dataset!$AA:$AA,Dataset!$F:$F,Resumen!AA$8,Dataset!$J:$J,"&gt;="&amp;$AC27,Dataset!$J:$J,"&lt;"&amp;$AD27,Dataset!$AH:$AH,"bono corporativo",Dataset!$T:$T,"$",Dataset!$AC:$AC,"&lt;&gt;*AA*")</f>
        <v>0</v>
      </c>
      <c r="AC27" s="22">
        <v>3</v>
      </c>
      <c r="AD27" s="22">
        <v>5</v>
      </c>
    </row>
    <row r="28" spans="2:34" ht="30" customHeight="1" x14ac:dyDescent="0.3">
      <c r="B28" s="159"/>
      <c r="C28" s="158"/>
      <c r="D28" s="31" t="s">
        <v>125</v>
      </c>
      <c r="E28" s="27">
        <f>SUMIFS(Dataset!$AJ:$AJ,Dataset!$F:$F,Resumen!E$8,Dataset!$J:$J,"&gt;="&amp;$AC28,Dataset!$J:$J,"&lt;"&amp;$AD28,Dataset!$AH:$AH,"bono corporativo",Dataset!$T:$T,"$",Dataset!$AC:$AC,"&lt;&gt;*AA*")</f>
        <v>0</v>
      </c>
      <c r="F28" s="28">
        <f>SUMIFS(Dataset!$AA:$AA,Dataset!$F:$F,Resumen!E$8,Dataset!$J:$J,"&gt;="&amp;$AC28,Dataset!$J:$J,"&lt;"&amp;$AD28,Dataset!$AH:$AH,"bono corporativo",Dataset!$T:$T,"$",Dataset!$AC:$AC,"&lt;&gt;*AA*")</f>
        <v>0</v>
      </c>
      <c r="G28" s="27">
        <f>SUMIFS(Dataset!$AJ:$AJ,Dataset!$F:$F,Resumen!G$8,Dataset!$J:$J,"&gt;="&amp;$AC28,Dataset!$J:$J,"&lt;"&amp;$AD28,Dataset!$AH:$AH,"bono corporativo",Dataset!$T:$T,"$",Dataset!$AC:$AC,"&lt;&gt;*AA*")</f>
        <v>0</v>
      </c>
      <c r="H28" s="28">
        <f>SUMIFS(Dataset!$AA:$AA,Dataset!$F:$F,Resumen!G$8,Dataset!$J:$J,"&gt;="&amp;$AC28,Dataset!$J:$J,"&lt;"&amp;$AD28,Dataset!$AH:$AH,"bono corporativo",Dataset!$T:$T,"$",Dataset!$AC:$AC,"&lt;&gt;*AA*")</f>
        <v>0</v>
      </c>
      <c r="I28" s="27">
        <f>SUMIFS(Dataset!$AJ:$AJ,Dataset!$F:$F,Resumen!I$8,Dataset!$J:$J,"&gt;="&amp;$AC28,Dataset!$J:$J,"&lt;"&amp;$AD28,Dataset!$AH:$AH,"bono corporativo",Dataset!$T:$T,"$",Dataset!$AC:$AC,"&lt;&gt;*AA*")</f>
        <v>0</v>
      </c>
      <c r="J28" s="28">
        <f>SUMIFS(Dataset!$AA:$AA,Dataset!$F:$F,Resumen!I$8,Dataset!$J:$J,"&gt;="&amp;$AC28,Dataset!$J:$J,"&lt;"&amp;$AD28,Dataset!$AH:$AH,"bono corporativo",Dataset!$T:$T,"$",Dataset!$AC:$AC,"&lt;&gt;*AA*")</f>
        <v>0</v>
      </c>
      <c r="K28" s="27">
        <f>SUMIFS(Dataset!$AJ:$AJ,Dataset!$F:$F,Resumen!K$8,Dataset!$J:$J,"&gt;="&amp;$AC28,Dataset!$J:$J,"&lt;"&amp;$AD28,Dataset!$AH:$AH,"bono corporativo",Dataset!$T:$T,"$",Dataset!$AC:$AC,"&lt;&gt;*AA*")</f>
        <v>0</v>
      </c>
      <c r="L28" s="28">
        <f>SUMIFS(Dataset!$AA:$AA,Dataset!$F:$F,Resumen!K$8,Dataset!$J:$J,"&gt;="&amp;$AC28,Dataset!$J:$J,"&lt;"&amp;$AD28,Dataset!$AH:$AH,"bono corporativo",Dataset!$T:$T,"$",Dataset!$AC:$AC,"&lt;&gt;*AA*")</f>
        <v>0</v>
      </c>
      <c r="M28" s="27">
        <f>SUMIFS(Dataset!$AJ:$AJ,Dataset!$F:$F,Resumen!M$8,Dataset!$J:$J,"&gt;="&amp;$AC28,Dataset!$J:$J,"&lt;"&amp;$AD28,Dataset!$AH:$AH,"bono corporativo",Dataset!$T:$T,"$",Dataset!$AC:$AC,"&lt;&gt;*AA*")</f>
        <v>0</v>
      </c>
      <c r="N28" s="28">
        <f>SUMIFS(Dataset!$AA:$AA,Dataset!$F:$F,Resumen!M$8,Dataset!$J:$J,"&gt;="&amp;$AC28,Dataset!$J:$J,"&lt;"&amp;$AD28,Dataset!$AH:$AH,"bono corporativo",Dataset!$T:$T,"$",Dataset!$AC:$AC,"&lt;&gt;*AA*")</f>
        <v>0</v>
      </c>
      <c r="O28" s="27">
        <f>SUMIFS(Dataset!$AJ:$AJ,Dataset!$F:$F,Resumen!O$8,Dataset!$J:$J,"&gt;="&amp;$AC28,Dataset!$J:$J,"&lt;"&amp;$AD28,Dataset!$AH:$AH,"bono corporativo",Dataset!$T:$T,"$",Dataset!$AC:$AC,"&lt;&gt;*AA*")</f>
        <v>0</v>
      </c>
      <c r="P28" s="28">
        <f>SUMIFS(Dataset!$AA:$AA,Dataset!$F:$F,Resumen!O$8,Dataset!$J:$J,"&gt;="&amp;$AC28,Dataset!$J:$J,"&lt;"&amp;$AD28,Dataset!$AH:$AH,"bono corporativo",Dataset!$T:$T,"$",Dataset!$AC:$AC,"&lt;&gt;*AA*")</f>
        <v>0</v>
      </c>
      <c r="Q28" s="27">
        <f>SUMIFS(Dataset!$AJ:$AJ,Dataset!$F:$F,Resumen!Q$8,Dataset!$J:$J,"&gt;="&amp;$AC28,Dataset!$J:$J,"&lt;"&amp;$AD28,Dataset!$AH:$AH,"bono corporativo",Dataset!$T:$T,"$",Dataset!$AC:$AC,"&lt;&gt;*AA*")</f>
        <v>0</v>
      </c>
      <c r="R28" s="28">
        <f>SUMIFS(Dataset!$AA:$AA,Dataset!$F:$F,Resumen!Q$8,Dataset!$J:$J,"&gt;="&amp;$AC28,Dataset!$J:$J,"&lt;"&amp;$AD28,Dataset!$AH:$AH,"bono corporativo",Dataset!$T:$T,"$",Dataset!$AC:$AC,"&lt;&gt;*AA*")</f>
        <v>0</v>
      </c>
      <c r="S28" s="27">
        <f>SUMIFS(Dataset!$AJ:$AJ,Dataset!$F:$F,Resumen!S$8,Dataset!$J:$J,"&gt;="&amp;$AC28,Dataset!$J:$J,"&lt;"&amp;$AD28,Dataset!$AH:$AH,"bono corporativo",Dataset!$T:$T,"$",Dataset!$AC:$AC,"&lt;&gt;*AA*")</f>
        <v>0</v>
      </c>
      <c r="T28" s="28">
        <f>SUMIFS(Dataset!$AA:$AA,Dataset!$F:$F,Resumen!S$8,Dataset!$J:$J,"&gt;="&amp;$AC28,Dataset!$J:$J,"&lt;"&amp;$AD28,Dataset!$AH:$AH,"bono corporativo",Dataset!$T:$T,"$",Dataset!$AC:$AC,"&lt;&gt;*AA*")</f>
        <v>0</v>
      </c>
      <c r="U28" s="27">
        <f>SUMIFS(Dataset!$AJ:$AJ,Dataset!$F:$F,Resumen!U$8,Dataset!$J:$J,"&gt;="&amp;$AC28,Dataset!$J:$J,"&lt;"&amp;$AD28,Dataset!$AH:$AH,"bono corporativo",Dataset!$T:$T,"$",Dataset!$AC:$AC,"&lt;&gt;*AA*")</f>
        <v>0</v>
      </c>
      <c r="V28" s="28">
        <f>SUMIFS(Dataset!$AA:$AA,Dataset!$F:$F,Resumen!U$8,Dataset!$J:$J,"&gt;="&amp;$AC28,Dataset!$J:$J,"&lt;"&amp;$AD28,Dataset!$AH:$AH,"bono corporativo",Dataset!$T:$T,"$",Dataset!$AC:$AC,"&lt;&gt;*AA*")</f>
        <v>0</v>
      </c>
      <c r="W28" s="27">
        <f>SUMIFS(Dataset!$AJ:$AJ,Dataset!$F:$F,Resumen!W$8,Dataset!$J:$J,"&gt;="&amp;$AC28,Dataset!$J:$J,"&lt;"&amp;$AD28,Dataset!$AH:$AH,"bono corporativo",Dataset!$T:$T,"$",Dataset!$AC:$AC,"&lt;&gt;*AA*")</f>
        <v>0</v>
      </c>
      <c r="X28" s="28">
        <f>SUMIFS(Dataset!$AA:$AA,Dataset!$F:$F,Resumen!W$8,Dataset!$J:$J,"&gt;="&amp;$AC28,Dataset!$J:$J,"&lt;"&amp;$AD28,Dataset!$AH:$AH,"bono corporativo",Dataset!$T:$T,"$",Dataset!$AC:$AC,"&lt;&gt;*AA*")</f>
        <v>0</v>
      </c>
      <c r="Y28" s="27">
        <f>SUMIFS(Dataset!$AJ:$AJ,Dataset!$F:$F,Resumen!Y$8,Dataset!$J:$J,"&gt;="&amp;$AC28,Dataset!$J:$J,"&lt;"&amp;$AD28,Dataset!$AH:$AH,"bono corporativo",Dataset!$T:$T,"$",Dataset!$AC:$AC,"&lt;&gt;*AA*")</f>
        <v>0</v>
      </c>
      <c r="Z28" s="28">
        <f>SUMIFS(Dataset!$AA:$AA,Dataset!$F:$F,Resumen!Y$8,Dataset!$J:$J,"&gt;="&amp;$AC28,Dataset!$J:$J,"&lt;"&amp;$AD28,Dataset!$AH:$AH,"bono corporativo",Dataset!$T:$T,"$",Dataset!$AC:$AC,"&lt;&gt;*AA*")</f>
        <v>0</v>
      </c>
      <c r="AA28" s="27">
        <f>SUMIFS(Dataset!$AJ:$AJ,Dataset!$F:$F,Resumen!AA$8,Dataset!$J:$J,"&gt;="&amp;$AC28,Dataset!$J:$J,"&lt;"&amp;$AD28,Dataset!$AH:$AH,"bono corporativo",Dataset!$T:$T,"$",Dataset!$AC:$AC,"&lt;&gt;*AA*")</f>
        <v>0</v>
      </c>
      <c r="AB28" s="28">
        <f>SUMIFS(Dataset!$AA:$AA,Dataset!$F:$F,Resumen!AA$8,Dataset!$J:$J,"&gt;="&amp;$AC28,Dataset!$J:$J,"&lt;"&amp;$AD28,Dataset!$AH:$AH,"bono corporativo",Dataset!$T:$T,"$",Dataset!$AC:$AC,"&lt;&gt;*AA*")</f>
        <v>0</v>
      </c>
      <c r="AC28" s="22">
        <v>5</v>
      </c>
      <c r="AD28" s="22">
        <v>10</v>
      </c>
    </row>
    <row r="29" spans="2:34" ht="30" customHeight="1" x14ac:dyDescent="0.3">
      <c r="B29" s="159"/>
      <c r="C29" s="158"/>
      <c r="D29" s="31" t="s">
        <v>126</v>
      </c>
      <c r="E29" s="29">
        <f>SUMIFS(Dataset!$AJ:$AJ,Dataset!$F:$F,Resumen!E$8,Dataset!$J:$J,"&gt;="&amp;$AC29,Dataset!$J:$J,"&lt;"&amp;$AD29,Dataset!$AH:$AH,"bono corporativo",Dataset!$T:$T,"$",Dataset!$AC:$AC,"&lt;&gt;*AA*")</f>
        <v>0</v>
      </c>
      <c r="F29" s="30">
        <f>SUMIFS(Dataset!$AA:$AA,Dataset!$F:$F,Resumen!E$8,Dataset!$J:$J,"&gt;="&amp;$AC29,Dataset!$J:$J,"&lt;"&amp;$AD29,Dataset!$AH:$AH,"bono corporativo",Dataset!$T:$T,"$",Dataset!$AC:$AC,"&lt;&gt;*AA*")</f>
        <v>0</v>
      </c>
      <c r="G29" s="29">
        <f>SUMIFS(Dataset!$AJ:$AJ,Dataset!$F:$F,Resumen!G$8,Dataset!$J:$J,"&gt;="&amp;$AC29,Dataset!$J:$J,"&lt;"&amp;$AD29,Dataset!$AH:$AH,"bono corporativo",Dataset!$T:$T,"$",Dataset!$AC:$AC,"&lt;&gt;*AA*")</f>
        <v>0</v>
      </c>
      <c r="H29" s="30">
        <f>SUMIFS(Dataset!$AA:$AA,Dataset!$F:$F,Resumen!G$8,Dataset!$J:$J,"&gt;="&amp;$AC29,Dataset!$J:$J,"&lt;"&amp;$AD29,Dataset!$AH:$AH,"bono corporativo",Dataset!$T:$T,"$",Dataset!$AC:$AC,"&lt;&gt;*AA*")</f>
        <v>0</v>
      </c>
      <c r="I29" s="29">
        <f>SUMIFS(Dataset!$AJ:$AJ,Dataset!$F:$F,Resumen!I$8,Dataset!$J:$J,"&gt;="&amp;$AC29,Dataset!$J:$J,"&lt;"&amp;$AD29,Dataset!$AH:$AH,"bono corporativo",Dataset!$T:$T,"$",Dataset!$AC:$AC,"&lt;&gt;*AA*")</f>
        <v>0</v>
      </c>
      <c r="J29" s="30">
        <f>SUMIFS(Dataset!$AA:$AA,Dataset!$F:$F,Resumen!I$8,Dataset!$J:$J,"&gt;="&amp;$AC29,Dataset!$J:$J,"&lt;"&amp;$AD29,Dataset!$AH:$AH,"bono corporativo",Dataset!$T:$T,"$",Dataset!$AC:$AC,"&lt;&gt;*AA*")</f>
        <v>0</v>
      </c>
      <c r="K29" s="29">
        <f>SUMIFS(Dataset!$AJ:$AJ,Dataset!$F:$F,Resumen!K$8,Dataset!$J:$J,"&gt;="&amp;$AC29,Dataset!$J:$J,"&lt;"&amp;$AD29,Dataset!$AH:$AH,"bono corporativo",Dataset!$T:$T,"$",Dataset!$AC:$AC,"&lt;&gt;*AA*")</f>
        <v>0</v>
      </c>
      <c r="L29" s="30">
        <f>SUMIFS(Dataset!$AA:$AA,Dataset!$F:$F,Resumen!K$8,Dataset!$J:$J,"&gt;="&amp;$AC29,Dataset!$J:$J,"&lt;"&amp;$AD29,Dataset!$AH:$AH,"bono corporativo",Dataset!$T:$T,"$",Dataset!$AC:$AC,"&lt;&gt;*AA*")</f>
        <v>0</v>
      </c>
      <c r="M29" s="29">
        <f>SUMIFS(Dataset!$AJ:$AJ,Dataset!$F:$F,Resumen!M$8,Dataset!$J:$J,"&gt;="&amp;$AC29,Dataset!$J:$J,"&lt;"&amp;$AD29,Dataset!$AH:$AH,"bono corporativo",Dataset!$T:$T,"$",Dataset!$AC:$AC,"&lt;&gt;*AA*")</f>
        <v>0</v>
      </c>
      <c r="N29" s="30">
        <f>SUMIFS(Dataset!$AA:$AA,Dataset!$F:$F,Resumen!M$8,Dataset!$J:$J,"&gt;="&amp;$AC29,Dataset!$J:$J,"&lt;"&amp;$AD29,Dataset!$AH:$AH,"bono corporativo",Dataset!$T:$T,"$",Dataset!$AC:$AC,"&lt;&gt;*AA*")</f>
        <v>0</v>
      </c>
      <c r="O29" s="29">
        <f>SUMIFS(Dataset!$AJ:$AJ,Dataset!$F:$F,Resumen!O$8,Dataset!$J:$J,"&gt;="&amp;$AC29,Dataset!$J:$J,"&lt;"&amp;$AD29,Dataset!$AH:$AH,"bono corporativo",Dataset!$T:$T,"$",Dataset!$AC:$AC,"&lt;&gt;*AA*")</f>
        <v>0</v>
      </c>
      <c r="P29" s="30">
        <f>SUMIFS(Dataset!$AA:$AA,Dataset!$F:$F,Resumen!O$8,Dataset!$J:$J,"&gt;="&amp;$AC29,Dataset!$J:$J,"&lt;"&amp;$AD29,Dataset!$AH:$AH,"bono corporativo",Dataset!$T:$T,"$",Dataset!$AC:$AC,"&lt;&gt;*AA*")</f>
        <v>0</v>
      </c>
      <c r="Q29" s="29">
        <f>SUMIFS(Dataset!$AJ:$AJ,Dataset!$F:$F,Resumen!Q$8,Dataset!$J:$J,"&gt;="&amp;$AC29,Dataset!$J:$J,"&lt;"&amp;$AD29,Dataset!$AH:$AH,"bono corporativo",Dataset!$T:$T,"$",Dataset!$AC:$AC,"&lt;&gt;*AA*")</f>
        <v>0</v>
      </c>
      <c r="R29" s="30">
        <f>SUMIFS(Dataset!$AA:$AA,Dataset!$F:$F,Resumen!Q$8,Dataset!$J:$J,"&gt;="&amp;$AC29,Dataset!$J:$J,"&lt;"&amp;$AD29,Dataset!$AH:$AH,"bono corporativo",Dataset!$T:$T,"$",Dataset!$AC:$AC,"&lt;&gt;*AA*")</f>
        <v>0</v>
      </c>
      <c r="S29" s="29">
        <f>SUMIFS(Dataset!$AJ:$AJ,Dataset!$F:$F,Resumen!S$8,Dataset!$J:$J,"&gt;="&amp;$AC29,Dataset!$J:$J,"&lt;"&amp;$AD29,Dataset!$AH:$AH,"bono corporativo",Dataset!$T:$T,"$",Dataset!$AC:$AC,"&lt;&gt;*AA*")</f>
        <v>0</v>
      </c>
      <c r="T29" s="30">
        <f>SUMIFS(Dataset!$AA:$AA,Dataset!$F:$F,Resumen!S$8,Dataset!$J:$J,"&gt;="&amp;$AC29,Dataset!$J:$J,"&lt;"&amp;$AD29,Dataset!$AH:$AH,"bono corporativo",Dataset!$T:$T,"$",Dataset!$AC:$AC,"&lt;&gt;*AA*")</f>
        <v>0</v>
      </c>
      <c r="U29" s="29">
        <f>SUMIFS(Dataset!$AJ:$AJ,Dataset!$F:$F,Resumen!U$8,Dataset!$J:$J,"&gt;="&amp;$AC29,Dataset!$J:$J,"&lt;"&amp;$AD29,Dataset!$AH:$AH,"bono corporativo",Dataset!$T:$T,"$",Dataset!$AC:$AC,"&lt;&gt;*AA*")</f>
        <v>0</v>
      </c>
      <c r="V29" s="30">
        <f>SUMIFS(Dataset!$AA:$AA,Dataset!$F:$F,Resumen!U$8,Dataset!$J:$J,"&gt;="&amp;$AC29,Dataset!$J:$J,"&lt;"&amp;$AD29,Dataset!$AH:$AH,"bono corporativo",Dataset!$T:$T,"$",Dataset!$AC:$AC,"&lt;&gt;*AA*")</f>
        <v>0</v>
      </c>
      <c r="W29" s="29">
        <f>SUMIFS(Dataset!$AJ:$AJ,Dataset!$F:$F,Resumen!W$8,Dataset!$J:$J,"&gt;="&amp;$AC29,Dataset!$J:$J,"&lt;"&amp;$AD29,Dataset!$AH:$AH,"bono corporativo",Dataset!$T:$T,"$",Dataset!$AC:$AC,"&lt;&gt;*AA*")</f>
        <v>0</v>
      </c>
      <c r="X29" s="30">
        <f>SUMIFS(Dataset!$AA:$AA,Dataset!$F:$F,Resumen!W$8,Dataset!$J:$J,"&gt;="&amp;$AC29,Dataset!$J:$J,"&lt;"&amp;$AD29,Dataset!$AH:$AH,"bono corporativo",Dataset!$T:$T,"$",Dataset!$AC:$AC,"&lt;&gt;*AA*")</f>
        <v>0</v>
      </c>
      <c r="Y29" s="29">
        <f>SUMIFS(Dataset!$AJ:$AJ,Dataset!$F:$F,Resumen!Y$8,Dataset!$J:$J,"&gt;="&amp;$AC29,Dataset!$J:$J,"&lt;"&amp;$AD29,Dataset!$AH:$AH,"bono corporativo",Dataset!$T:$T,"$",Dataset!$AC:$AC,"&lt;&gt;*AA*")</f>
        <v>0</v>
      </c>
      <c r="Z29" s="30">
        <f>SUMIFS(Dataset!$AA:$AA,Dataset!$F:$F,Resumen!Y$8,Dataset!$J:$J,"&gt;="&amp;$AC29,Dataset!$J:$J,"&lt;"&amp;$AD29,Dataset!$AH:$AH,"bono corporativo",Dataset!$T:$T,"$",Dataset!$AC:$AC,"&lt;&gt;*AA*")</f>
        <v>0</v>
      </c>
      <c r="AA29" s="29">
        <f>SUMIFS(Dataset!$AJ:$AJ,Dataset!$F:$F,Resumen!AA$8,Dataset!$J:$J,"&gt;="&amp;$AC29,Dataset!$J:$J,"&lt;"&amp;$AD29,Dataset!$AH:$AH,"bono corporativo",Dataset!$T:$T,"$",Dataset!$AC:$AC,"&lt;&gt;*AA*")</f>
        <v>0</v>
      </c>
      <c r="AB29" s="30">
        <f>SUMIFS(Dataset!$AA:$AA,Dataset!$F:$F,Resumen!AA$8,Dataset!$J:$J,"&gt;="&amp;$AC29,Dataset!$J:$J,"&lt;"&amp;$AD29,Dataset!$AH:$AH,"bono corporativo",Dataset!$T:$T,"$",Dataset!$AC:$AC,"&lt;&gt;*AA*")</f>
        <v>0</v>
      </c>
      <c r="AC29" s="22">
        <v>10</v>
      </c>
      <c r="AD29" s="22">
        <v>100</v>
      </c>
    </row>
    <row r="30" spans="2:34" ht="30" customHeight="1" x14ac:dyDescent="0.3">
      <c r="B30" s="159" t="s">
        <v>73</v>
      </c>
      <c r="C30" s="158" t="s">
        <v>129</v>
      </c>
      <c r="D30" s="31" t="s">
        <v>123</v>
      </c>
      <c r="E30" s="24">
        <f>SUMIFS(Dataset!$AJ:$AJ,Dataset!$F:$F,Resumen!E$8,Dataset!$J:$J,"&gt;="&amp;$AC30,Dataset!$J:$J,"&lt;"&amp;$AD30,Dataset!$AH:$AH,"bono corporativo",Dataset!$T:$T,"UF",Dataset!$AC:$AC,"*AA*")</f>
        <v>0</v>
      </c>
      <c r="F30" s="25">
        <f>SUMIFS(Dataset!$AA:$AA,Dataset!$F:$F,Resumen!E$8,Dataset!$J:$J,"&gt;="&amp;$AC30,Dataset!$J:$J,"&lt;"&amp;$AD30,Dataset!$AH:$AH,"bono corporativo",Dataset!$T:$T,"UF",Dataset!$AC:$AC,"*AA*")</f>
        <v>0</v>
      </c>
      <c r="G30" s="24">
        <f>SUMIFS(Dataset!$AJ:$AJ,Dataset!$F:$F,Resumen!G$8,Dataset!$J:$J,"&gt;="&amp;$AC30,Dataset!$J:$J,"&lt;"&amp;$AD30,Dataset!$AH:$AH,"bono corporativo",Dataset!$T:$T,"UF",Dataset!$AC:$AC,"*AA*")</f>
        <v>0</v>
      </c>
      <c r="H30" s="25">
        <f>SUMIFS(Dataset!$AA:$AA,Dataset!$F:$F,Resumen!G$8,Dataset!$J:$J,"&gt;="&amp;$AC30,Dataset!$J:$J,"&lt;"&amp;$AD30,Dataset!$AH:$AH,"bono corporativo",Dataset!$T:$T,"UF",Dataset!$AC:$AC,"*AA*")</f>
        <v>0</v>
      </c>
      <c r="I30" s="24">
        <f>SUMIFS(Dataset!$AJ:$AJ,Dataset!$F:$F,Resumen!I$8,Dataset!$J:$J,"&gt;="&amp;$AC30,Dataset!$J:$J,"&lt;"&amp;$AD30,Dataset!$AH:$AH,"bono corporativo",Dataset!$T:$T,"UF",Dataset!$AC:$AC,"*AA*")</f>
        <v>0</v>
      </c>
      <c r="J30" s="25">
        <f>SUMIFS(Dataset!$AA:$AA,Dataset!$F:$F,Resumen!I$8,Dataset!$J:$J,"&gt;="&amp;$AC30,Dataset!$J:$J,"&lt;"&amp;$AD30,Dataset!$AH:$AH,"bono corporativo",Dataset!$T:$T,"UF",Dataset!$AC:$AC,"*AA*")</f>
        <v>0</v>
      </c>
      <c r="K30" s="24">
        <f>SUMIFS(Dataset!$AJ:$AJ,Dataset!$F:$F,Resumen!K$8,Dataset!$J:$J,"&gt;="&amp;$AC30,Dataset!$J:$J,"&lt;"&amp;$AD30,Dataset!$AH:$AH,"bono corporativo",Dataset!$T:$T,"UF",Dataset!$AC:$AC,"*AA*")</f>
        <v>0</v>
      </c>
      <c r="L30" s="25">
        <f>SUMIFS(Dataset!$AA:$AA,Dataset!$F:$F,Resumen!K$8,Dataset!$J:$J,"&gt;="&amp;$AC30,Dataset!$J:$J,"&lt;"&amp;$AD30,Dataset!$AH:$AH,"bono corporativo",Dataset!$T:$T,"UF",Dataset!$AC:$AC,"*AA*")</f>
        <v>0</v>
      </c>
      <c r="M30" s="24">
        <f>SUMIFS(Dataset!$AJ:$AJ,Dataset!$F:$F,Resumen!M$8,Dataset!$J:$J,"&gt;="&amp;$AC30,Dataset!$J:$J,"&lt;"&amp;$AD30,Dataset!$AH:$AH,"bono corporativo",Dataset!$T:$T,"UF",Dataset!$AC:$AC,"*AA*")</f>
        <v>0</v>
      </c>
      <c r="N30" s="25">
        <f>SUMIFS(Dataset!$AA:$AA,Dataset!$F:$F,Resumen!M$8,Dataset!$J:$J,"&gt;="&amp;$AC30,Dataset!$J:$J,"&lt;"&amp;$AD30,Dataset!$AH:$AH,"bono corporativo",Dataset!$T:$T,"UF",Dataset!$AC:$AC,"*AA*")</f>
        <v>0</v>
      </c>
      <c r="O30" s="24">
        <f>SUMIFS(Dataset!$AJ:$AJ,Dataset!$F:$F,Resumen!O$8,Dataset!$J:$J,"&gt;="&amp;$AC30,Dataset!$J:$J,"&lt;"&amp;$AD30,Dataset!$AH:$AH,"bono corporativo",Dataset!$T:$T,"UF",Dataset!$AC:$AC,"*AA*")</f>
        <v>0</v>
      </c>
      <c r="P30" s="25">
        <f>SUMIFS(Dataset!$AA:$AA,Dataset!$F:$F,Resumen!O$8,Dataset!$J:$J,"&gt;="&amp;$AC30,Dataset!$J:$J,"&lt;"&amp;$AD30,Dataset!$AH:$AH,"bono corporativo",Dataset!$T:$T,"UF",Dataset!$AC:$AC,"*AA*")</f>
        <v>0</v>
      </c>
      <c r="Q30" s="24">
        <f>SUMIFS(Dataset!$AJ:$AJ,Dataset!$F:$F,Resumen!Q$8,Dataset!$J:$J,"&gt;="&amp;$AC30,Dataset!$J:$J,"&lt;"&amp;$AD30,Dataset!$AH:$AH,"bono corporativo",Dataset!$T:$T,"UF",Dataset!$AC:$AC,"*AA*")</f>
        <v>0</v>
      </c>
      <c r="R30" s="25">
        <f>SUMIFS(Dataset!$AA:$AA,Dataset!$F:$F,Resumen!Q$8,Dataset!$J:$J,"&gt;="&amp;$AC30,Dataset!$J:$J,"&lt;"&amp;$AD30,Dataset!$AH:$AH,"bono corporativo",Dataset!$T:$T,"UF",Dataset!$AC:$AC,"*AA*")</f>
        <v>0</v>
      </c>
      <c r="S30" s="24">
        <f>SUMIFS(Dataset!$AJ:$AJ,Dataset!$F:$F,Resumen!S$8,Dataset!$J:$J,"&gt;="&amp;$AC30,Dataset!$J:$J,"&lt;"&amp;$AD30,Dataset!$AH:$AH,"bono corporativo",Dataset!$T:$T,"UF",Dataset!$AC:$AC,"*AA*")</f>
        <v>0</v>
      </c>
      <c r="T30" s="25">
        <f>SUMIFS(Dataset!$AA:$AA,Dataset!$F:$F,Resumen!S$8,Dataset!$J:$J,"&gt;="&amp;$AC30,Dataset!$J:$J,"&lt;"&amp;$AD30,Dataset!$AH:$AH,"bono corporativo",Dataset!$T:$T,"UF",Dataset!$AC:$AC,"*AA*")</f>
        <v>0</v>
      </c>
      <c r="U30" s="24">
        <f>SUMIFS(Dataset!$AJ:$AJ,Dataset!$F:$F,Resumen!U$8,Dataset!$J:$J,"&gt;="&amp;$AC30,Dataset!$J:$J,"&lt;"&amp;$AD30,Dataset!$AH:$AH,"bono corporativo",Dataset!$T:$T,"UF",Dataset!$AC:$AC,"*AA*")</f>
        <v>0</v>
      </c>
      <c r="V30" s="25">
        <f>SUMIFS(Dataset!$AA:$AA,Dataset!$F:$F,Resumen!U$8,Dataset!$J:$J,"&gt;="&amp;$AC30,Dataset!$J:$J,"&lt;"&amp;$AD30,Dataset!$AH:$AH,"bono corporativo",Dataset!$T:$T,"UF",Dataset!$AC:$AC,"*AA*")</f>
        <v>0</v>
      </c>
      <c r="W30" s="24">
        <f>SUMIFS(Dataset!$AJ:$AJ,Dataset!$F:$F,Resumen!W$8,Dataset!$J:$J,"&gt;="&amp;$AC30,Dataset!$J:$J,"&lt;"&amp;$AD30,Dataset!$AH:$AH,"bono corporativo",Dataset!$T:$T,"UF",Dataset!$AC:$AC,"*AA*")</f>
        <v>0</v>
      </c>
      <c r="X30" s="25">
        <f>SUMIFS(Dataset!$AA:$AA,Dataset!$F:$F,Resumen!W$8,Dataset!$J:$J,"&gt;="&amp;$AC30,Dataset!$J:$J,"&lt;"&amp;$AD30,Dataset!$AH:$AH,"bono corporativo",Dataset!$T:$T,"UF",Dataset!$AC:$AC,"*AA*")</f>
        <v>0</v>
      </c>
      <c r="Y30" s="24">
        <f>SUMIFS(Dataset!$AJ:$AJ,Dataset!$F:$F,Resumen!Y$8,Dataset!$J:$J,"&gt;="&amp;$AC30,Dataset!$J:$J,"&lt;"&amp;$AD30,Dataset!$AH:$AH,"bono corporativo",Dataset!$T:$T,"UF",Dataset!$AC:$AC,"*AA*")</f>
        <v>0</v>
      </c>
      <c r="Z30" s="25">
        <f>SUMIFS(Dataset!$AA:$AA,Dataset!$F:$F,Resumen!Y$8,Dataset!$J:$J,"&gt;="&amp;$AC30,Dataset!$J:$J,"&lt;"&amp;$AD30,Dataset!$AH:$AH,"bono corporativo",Dataset!$T:$T,"UF",Dataset!$AC:$AC,"*AA*")</f>
        <v>0</v>
      </c>
      <c r="AA30" s="24">
        <f>SUMIFS(Dataset!$AJ:$AJ,Dataset!$F:$F,Resumen!AA$8,Dataset!$J:$J,"&gt;="&amp;$AC30,Dataset!$J:$J,"&lt;"&amp;$AD30,Dataset!$AH:$AH,"bono corporativo",Dataset!$T:$T,"UF",Dataset!$AC:$AC,"*AA*")</f>
        <v>0</v>
      </c>
      <c r="AB30" s="25">
        <f>SUMIFS(Dataset!$AA:$AA,Dataset!$F:$F,Resumen!AA$8,Dataset!$J:$J,"&gt;="&amp;$AC30,Dataset!$J:$J,"&lt;"&amp;$AD30,Dataset!$AH:$AH,"bono corporativo",Dataset!$T:$T,"UF",Dataset!$AC:$AC,"*AA*")</f>
        <v>0</v>
      </c>
      <c r="AC30" s="22">
        <v>0</v>
      </c>
      <c r="AD30" s="22">
        <v>3</v>
      </c>
    </row>
    <row r="31" spans="2:34" ht="30" customHeight="1" x14ac:dyDescent="0.3">
      <c r="B31" s="159"/>
      <c r="C31" s="158"/>
      <c r="D31" s="31" t="s">
        <v>124</v>
      </c>
      <c r="E31" s="27">
        <f>SUMIFS(Dataset!$AJ:$AJ,Dataset!$F:$F,Resumen!E$8,Dataset!$J:$J,"&gt;="&amp;$AC31,Dataset!$J:$J,"&lt;"&amp;$AD31,Dataset!$AH:$AH,"bono corporativo",Dataset!$T:$T,"UF",Dataset!$AC:$AC,"*AA*")</f>
        <v>0</v>
      </c>
      <c r="F31" s="28">
        <f>SUMIFS(Dataset!$AA:$AA,Dataset!$F:$F,Resumen!E$8,Dataset!$J:$J,"&gt;="&amp;$AC31,Dataset!$J:$J,"&lt;"&amp;$AD31,Dataset!$AH:$AH,"bono corporativo",Dataset!$T:$T,"UF",Dataset!$AC:$AC,"*AA*")</f>
        <v>0</v>
      </c>
      <c r="G31" s="27">
        <f>SUMIFS(Dataset!$AJ:$AJ,Dataset!$F:$F,Resumen!G$8,Dataset!$J:$J,"&gt;="&amp;$AC31,Dataset!$J:$J,"&lt;"&amp;$AD31,Dataset!$AH:$AH,"bono corporativo",Dataset!$T:$T,"UF",Dataset!$AC:$AC,"*AA*")</f>
        <v>0</v>
      </c>
      <c r="H31" s="28">
        <f>SUMIFS(Dataset!$AA:$AA,Dataset!$F:$F,Resumen!G$8,Dataset!$J:$J,"&gt;="&amp;$AC31,Dataset!$J:$J,"&lt;"&amp;$AD31,Dataset!$AH:$AH,"bono corporativo",Dataset!$T:$T,"UF",Dataset!$AC:$AC,"*AA*")</f>
        <v>0</v>
      </c>
      <c r="I31" s="27">
        <f>SUMIFS(Dataset!$AJ:$AJ,Dataset!$F:$F,Resumen!I$8,Dataset!$J:$J,"&gt;="&amp;$AC31,Dataset!$J:$J,"&lt;"&amp;$AD31,Dataset!$AH:$AH,"bono corporativo",Dataset!$T:$T,"UF",Dataset!$AC:$AC,"*AA*")</f>
        <v>0</v>
      </c>
      <c r="J31" s="28">
        <f>SUMIFS(Dataset!$AA:$AA,Dataset!$F:$F,Resumen!I$8,Dataset!$J:$J,"&gt;="&amp;$AC31,Dataset!$J:$J,"&lt;"&amp;$AD31,Dataset!$AH:$AH,"bono corporativo",Dataset!$T:$T,"UF",Dataset!$AC:$AC,"*AA*")</f>
        <v>0</v>
      </c>
      <c r="K31" s="27">
        <f>SUMIFS(Dataset!$AJ:$AJ,Dataset!$F:$F,Resumen!K$8,Dataset!$J:$J,"&gt;="&amp;$AC31,Dataset!$J:$J,"&lt;"&amp;$AD31,Dataset!$AH:$AH,"bono corporativo",Dataset!$T:$T,"UF",Dataset!$AC:$AC,"*AA*")</f>
        <v>0</v>
      </c>
      <c r="L31" s="28">
        <f>SUMIFS(Dataset!$AA:$AA,Dataset!$F:$F,Resumen!K$8,Dataset!$J:$J,"&gt;="&amp;$AC31,Dataset!$J:$J,"&lt;"&amp;$AD31,Dataset!$AH:$AH,"bono corporativo",Dataset!$T:$T,"UF",Dataset!$AC:$AC,"*AA*")</f>
        <v>0</v>
      </c>
      <c r="M31" s="27">
        <f>SUMIFS(Dataset!$AJ:$AJ,Dataset!$F:$F,Resumen!M$8,Dataset!$J:$J,"&gt;="&amp;$AC31,Dataset!$J:$J,"&lt;"&amp;$AD31,Dataset!$AH:$AH,"bono corporativo",Dataset!$T:$T,"UF",Dataset!$AC:$AC,"*AA*")</f>
        <v>0</v>
      </c>
      <c r="N31" s="28">
        <f>SUMIFS(Dataset!$AA:$AA,Dataset!$F:$F,Resumen!M$8,Dataset!$J:$J,"&gt;="&amp;$AC31,Dataset!$J:$J,"&lt;"&amp;$AD31,Dataset!$AH:$AH,"bono corporativo",Dataset!$T:$T,"UF",Dataset!$AC:$AC,"*AA*")</f>
        <v>0</v>
      </c>
      <c r="O31" s="27">
        <f>SUMIFS(Dataset!$AJ:$AJ,Dataset!$F:$F,Resumen!O$8,Dataset!$J:$J,"&gt;="&amp;$AC31,Dataset!$J:$J,"&lt;"&amp;$AD31,Dataset!$AH:$AH,"bono corporativo",Dataset!$T:$T,"UF",Dataset!$AC:$AC,"*AA*")</f>
        <v>0</v>
      </c>
      <c r="P31" s="28">
        <f>SUMIFS(Dataset!$AA:$AA,Dataset!$F:$F,Resumen!O$8,Dataset!$J:$J,"&gt;="&amp;$AC31,Dataset!$J:$J,"&lt;"&amp;$AD31,Dataset!$AH:$AH,"bono corporativo",Dataset!$T:$T,"UF",Dataset!$AC:$AC,"*AA*")</f>
        <v>0</v>
      </c>
      <c r="Q31" s="27">
        <f>SUMIFS(Dataset!$AJ:$AJ,Dataset!$F:$F,Resumen!Q$8,Dataset!$J:$J,"&gt;="&amp;$AC31,Dataset!$J:$J,"&lt;"&amp;$AD31,Dataset!$AH:$AH,"bono corporativo",Dataset!$T:$T,"UF",Dataset!$AC:$AC,"*AA*")</f>
        <v>0</v>
      </c>
      <c r="R31" s="28">
        <f>SUMIFS(Dataset!$AA:$AA,Dataset!$F:$F,Resumen!Q$8,Dataset!$J:$J,"&gt;="&amp;$AC31,Dataset!$J:$J,"&lt;"&amp;$AD31,Dataset!$AH:$AH,"bono corporativo",Dataset!$T:$T,"UF",Dataset!$AC:$AC,"*AA*")</f>
        <v>0</v>
      </c>
      <c r="S31" s="27">
        <f>SUMIFS(Dataset!$AJ:$AJ,Dataset!$F:$F,Resumen!S$8,Dataset!$J:$J,"&gt;="&amp;$AC31,Dataset!$J:$J,"&lt;"&amp;$AD31,Dataset!$AH:$AH,"bono corporativo",Dataset!$T:$T,"UF",Dataset!$AC:$AC,"*AA*")</f>
        <v>0</v>
      </c>
      <c r="T31" s="28">
        <f>SUMIFS(Dataset!$AA:$AA,Dataset!$F:$F,Resumen!S$8,Dataset!$J:$J,"&gt;="&amp;$AC31,Dataset!$J:$J,"&lt;"&amp;$AD31,Dataset!$AH:$AH,"bono corporativo",Dataset!$T:$T,"UF",Dataset!$AC:$AC,"*AA*")</f>
        <v>0</v>
      </c>
      <c r="U31" s="27">
        <f>SUMIFS(Dataset!$AJ:$AJ,Dataset!$F:$F,Resumen!U$8,Dataset!$J:$J,"&gt;="&amp;$AC31,Dataset!$J:$J,"&lt;"&amp;$AD31,Dataset!$AH:$AH,"bono corporativo",Dataset!$T:$T,"UF",Dataset!$AC:$AC,"*AA*")</f>
        <v>0</v>
      </c>
      <c r="V31" s="28">
        <f>SUMIFS(Dataset!$AA:$AA,Dataset!$F:$F,Resumen!U$8,Dataset!$J:$J,"&gt;="&amp;$AC31,Dataset!$J:$J,"&lt;"&amp;$AD31,Dataset!$AH:$AH,"bono corporativo",Dataset!$T:$T,"UF",Dataset!$AC:$AC,"*AA*")</f>
        <v>0</v>
      </c>
      <c r="W31" s="27">
        <f>SUMIFS(Dataset!$AJ:$AJ,Dataset!$F:$F,Resumen!W$8,Dataset!$J:$J,"&gt;="&amp;$AC31,Dataset!$J:$J,"&lt;"&amp;$AD31,Dataset!$AH:$AH,"bono corporativo",Dataset!$T:$T,"UF",Dataset!$AC:$AC,"*AA*")</f>
        <v>0</v>
      </c>
      <c r="X31" s="28">
        <f>SUMIFS(Dataset!$AA:$AA,Dataset!$F:$F,Resumen!W$8,Dataset!$J:$J,"&gt;="&amp;$AC31,Dataset!$J:$J,"&lt;"&amp;$AD31,Dataset!$AH:$AH,"bono corporativo",Dataset!$T:$T,"UF",Dataset!$AC:$AC,"*AA*")</f>
        <v>0</v>
      </c>
      <c r="Y31" s="27">
        <f>SUMIFS(Dataset!$AJ:$AJ,Dataset!$F:$F,Resumen!Y$8,Dataset!$J:$J,"&gt;="&amp;$AC31,Dataset!$J:$J,"&lt;"&amp;$AD31,Dataset!$AH:$AH,"bono corporativo",Dataset!$T:$T,"UF",Dataset!$AC:$AC,"*AA*")</f>
        <v>0</v>
      </c>
      <c r="Z31" s="28">
        <f>SUMIFS(Dataset!$AA:$AA,Dataset!$F:$F,Resumen!Y$8,Dataset!$J:$J,"&gt;="&amp;$AC31,Dataset!$J:$J,"&lt;"&amp;$AD31,Dataset!$AH:$AH,"bono corporativo",Dataset!$T:$T,"UF",Dataset!$AC:$AC,"*AA*")</f>
        <v>0</v>
      </c>
      <c r="AA31" s="27">
        <f>SUMIFS(Dataset!$AJ:$AJ,Dataset!$F:$F,Resumen!AA$8,Dataset!$J:$J,"&gt;="&amp;$AC31,Dataset!$J:$J,"&lt;"&amp;$AD31,Dataset!$AH:$AH,"bono corporativo",Dataset!$T:$T,"UF",Dataset!$AC:$AC,"*AA*")</f>
        <v>0</v>
      </c>
      <c r="AB31" s="28">
        <f>SUMIFS(Dataset!$AA:$AA,Dataset!$F:$F,Resumen!AA$8,Dataset!$J:$J,"&gt;="&amp;$AC31,Dataset!$J:$J,"&lt;"&amp;$AD31,Dataset!$AH:$AH,"bono corporativo",Dataset!$T:$T,"UF",Dataset!$AC:$AC,"*AA*")</f>
        <v>0</v>
      </c>
      <c r="AC31" s="22">
        <v>3</v>
      </c>
      <c r="AD31" s="22">
        <v>5</v>
      </c>
    </row>
    <row r="32" spans="2:34" ht="30" customHeight="1" x14ac:dyDescent="0.3">
      <c r="B32" s="159"/>
      <c r="C32" s="158"/>
      <c r="D32" s="31" t="s">
        <v>125</v>
      </c>
      <c r="E32" s="27">
        <f>SUMIFS(Dataset!$AJ:$AJ,Dataset!$F:$F,Resumen!E$8,Dataset!$J:$J,"&gt;="&amp;$AC32,Dataset!$J:$J,"&lt;"&amp;$AD32,Dataset!$AH:$AH,"bono corporativo",Dataset!$T:$T,"UF",Dataset!$AC:$AC,"*AA*")</f>
        <v>0</v>
      </c>
      <c r="F32" s="28">
        <f>SUMIFS(Dataset!$AA:$AA,Dataset!$F:$F,Resumen!E$8,Dataset!$J:$J,"&gt;="&amp;$AC32,Dataset!$J:$J,"&lt;"&amp;$AD32,Dataset!$AH:$AH,"bono corporativo",Dataset!$T:$T,"UF",Dataset!$AC:$AC,"*AA*")</f>
        <v>0</v>
      </c>
      <c r="G32" s="27">
        <f>SUMIFS(Dataset!$AJ:$AJ,Dataset!$F:$F,Resumen!G$8,Dataset!$J:$J,"&gt;="&amp;$AC32,Dataset!$J:$J,"&lt;"&amp;$AD32,Dataset!$AH:$AH,"bono corporativo",Dataset!$T:$T,"UF",Dataset!$AC:$AC,"*AA*")</f>
        <v>0</v>
      </c>
      <c r="H32" s="28">
        <f>SUMIFS(Dataset!$AA:$AA,Dataset!$F:$F,Resumen!G$8,Dataset!$J:$J,"&gt;="&amp;$AC32,Dataset!$J:$J,"&lt;"&amp;$AD32,Dataset!$AH:$AH,"bono corporativo",Dataset!$T:$T,"UF",Dataset!$AC:$AC,"*AA*")</f>
        <v>0</v>
      </c>
      <c r="I32" s="27">
        <f>SUMIFS(Dataset!$AJ:$AJ,Dataset!$F:$F,Resumen!I$8,Dataset!$J:$J,"&gt;="&amp;$AC32,Dataset!$J:$J,"&lt;"&amp;$AD32,Dataset!$AH:$AH,"bono corporativo",Dataset!$T:$T,"UF",Dataset!$AC:$AC,"*AA*")</f>
        <v>0</v>
      </c>
      <c r="J32" s="28">
        <f>SUMIFS(Dataset!$AA:$AA,Dataset!$F:$F,Resumen!I$8,Dataset!$J:$J,"&gt;="&amp;$AC32,Dataset!$J:$J,"&lt;"&amp;$AD32,Dataset!$AH:$AH,"bono corporativo",Dataset!$T:$T,"UF",Dataset!$AC:$AC,"*AA*")</f>
        <v>0</v>
      </c>
      <c r="K32" s="27">
        <f>SUMIFS(Dataset!$AJ:$AJ,Dataset!$F:$F,Resumen!K$8,Dataset!$J:$J,"&gt;="&amp;$AC32,Dataset!$J:$J,"&lt;"&amp;$AD32,Dataset!$AH:$AH,"bono corporativo",Dataset!$T:$T,"UF",Dataset!$AC:$AC,"*AA*")</f>
        <v>0</v>
      </c>
      <c r="L32" s="28">
        <f>SUMIFS(Dataset!$AA:$AA,Dataset!$F:$F,Resumen!K$8,Dataset!$J:$J,"&gt;="&amp;$AC32,Dataset!$J:$J,"&lt;"&amp;$AD32,Dataset!$AH:$AH,"bono corporativo",Dataset!$T:$T,"UF",Dataset!$AC:$AC,"*AA*")</f>
        <v>0</v>
      </c>
      <c r="M32" s="27">
        <f>SUMIFS(Dataset!$AJ:$AJ,Dataset!$F:$F,Resumen!M$8,Dataset!$J:$J,"&gt;="&amp;$AC32,Dataset!$J:$J,"&lt;"&amp;$AD32,Dataset!$AH:$AH,"bono corporativo",Dataset!$T:$T,"UF",Dataset!$AC:$AC,"*AA*")</f>
        <v>0</v>
      </c>
      <c r="N32" s="28">
        <f>SUMIFS(Dataset!$AA:$AA,Dataset!$F:$F,Resumen!M$8,Dataset!$J:$J,"&gt;="&amp;$AC32,Dataset!$J:$J,"&lt;"&amp;$AD32,Dataset!$AH:$AH,"bono corporativo",Dataset!$T:$T,"UF",Dataset!$AC:$AC,"*AA*")</f>
        <v>0</v>
      </c>
      <c r="O32" s="27">
        <f>SUMIFS(Dataset!$AJ:$AJ,Dataset!$F:$F,Resumen!O$8,Dataset!$J:$J,"&gt;="&amp;$AC32,Dataset!$J:$J,"&lt;"&amp;$AD32,Dataset!$AH:$AH,"bono corporativo",Dataset!$T:$T,"UF",Dataset!$AC:$AC,"*AA*")</f>
        <v>0</v>
      </c>
      <c r="P32" s="28">
        <f>SUMIFS(Dataset!$AA:$AA,Dataset!$F:$F,Resumen!O$8,Dataset!$J:$J,"&gt;="&amp;$AC32,Dataset!$J:$J,"&lt;"&amp;$AD32,Dataset!$AH:$AH,"bono corporativo",Dataset!$T:$T,"UF",Dataset!$AC:$AC,"*AA*")</f>
        <v>0</v>
      </c>
      <c r="Q32" s="27">
        <f>SUMIFS(Dataset!$AJ:$AJ,Dataset!$F:$F,Resumen!Q$8,Dataset!$J:$J,"&gt;="&amp;$AC32,Dataset!$J:$J,"&lt;"&amp;$AD32,Dataset!$AH:$AH,"bono corporativo",Dataset!$T:$T,"UF",Dataset!$AC:$AC,"*AA*")</f>
        <v>0</v>
      </c>
      <c r="R32" s="28">
        <f>SUMIFS(Dataset!$AA:$AA,Dataset!$F:$F,Resumen!Q$8,Dataset!$J:$J,"&gt;="&amp;$AC32,Dataset!$J:$J,"&lt;"&amp;$AD32,Dataset!$AH:$AH,"bono corporativo",Dataset!$T:$T,"UF",Dataset!$AC:$AC,"*AA*")</f>
        <v>0</v>
      </c>
      <c r="S32" s="27">
        <f>SUMIFS(Dataset!$AJ:$AJ,Dataset!$F:$F,Resumen!S$8,Dataset!$J:$J,"&gt;="&amp;$AC32,Dataset!$J:$J,"&lt;"&amp;$AD32,Dataset!$AH:$AH,"bono corporativo",Dataset!$T:$T,"UF",Dataset!$AC:$AC,"*AA*")</f>
        <v>0</v>
      </c>
      <c r="T32" s="28">
        <f>SUMIFS(Dataset!$AA:$AA,Dataset!$F:$F,Resumen!S$8,Dataset!$J:$J,"&gt;="&amp;$AC32,Dataset!$J:$J,"&lt;"&amp;$AD32,Dataset!$AH:$AH,"bono corporativo",Dataset!$T:$T,"UF",Dataset!$AC:$AC,"*AA*")</f>
        <v>0</v>
      </c>
      <c r="U32" s="27">
        <f>SUMIFS(Dataset!$AJ:$AJ,Dataset!$F:$F,Resumen!U$8,Dataset!$J:$J,"&gt;="&amp;$AC32,Dataset!$J:$J,"&lt;"&amp;$AD32,Dataset!$AH:$AH,"bono corporativo",Dataset!$T:$T,"UF",Dataset!$AC:$AC,"*AA*")</f>
        <v>0</v>
      </c>
      <c r="V32" s="28">
        <f>SUMIFS(Dataset!$AA:$AA,Dataset!$F:$F,Resumen!U$8,Dataset!$J:$J,"&gt;="&amp;$AC32,Dataset!$J:$J,"&lt;"&amp;$AD32,Dataset!$AH:$AH,"bono corporativo",Dataset!$T:$T,"UF",Dataset!$AC:$AC,"*AA*")</f>
        <v>0</v>
      </c>
      <c r="W32" s="27">
        <f>SUMIFS(Dataset!$AJ:$AJ,Dataset!$F:$F,Resumen!W$8,Dataset!$J:$J,"&gt;="&amp;$AC32,Dataset!$J:$J,"&lt;"&amp;$AD32,Dataset!$AH:$AH,"bono corporativo",Dataset!$T:$T,"UF",Dataset!$AC:$AC,"*AA*")</f>
        <v>0</v>
      </c>
      <c r="X32" s="28">
        <f>SUMIFS(Dataset!$AA:$AA,Dataset!$F:$F,Resumen!W$8,Dataset!$J:$J,"&gt;="&amp;$AC32,Dataset!$J:$J,"&lt;"&amp;$AD32,Dataset!$AH:$AH,"bono corporativo",Dataset!$T:$T,"UF",Dataset!$AC:$AC,"*AA*")</f>
        <v>0</v>
      </c>
      <c r="Y32" s="27">
        <f>SUMIFS(Dataset!$AJ:$AJ,Dataset!$F:$F,Resumen!Y$8,Dataset!$J:$J,"&gt;="&amp;$AC32,Dataset!$J:$J,"&lt;"&amp;$AD32,Dataset!$AH:$AH,"bono corporativo",Dataset!$T:$T,"UF",Dataset!$AC:$AC,"*AA*")</f>
        <v>0</v>
      </c>
      <c r="Z32" s="28">
        <f>SUMIFS(Dataset!$AA:$AA,Dataset!$F:$F,Resumen!Y$8,Dataset!$J:$J,"&gt;="&amp;$AC32,Dataset!$J:$J,"&lt;"&amp;$AD32,Dataset!$AH:$AH,"bono corporativo",Dataset!$T:$T,"UF",Dataset!$AC:$AC,"*AA*")</f>
        <v>0</v>
      </c>
      <c r="AA32" s="27">
        <f>SUMIFS(Dataset!$AJ:$AJ,Dataset!$F:$F,Resumen!AA$8,Dataset!$J:$J,"&gt;="&amp;$AC32,Dataset!$J:$J,"&lt;"&amp;$AD32,Dataset!$AH:$AH,"bono corporativo",Dataset!$T:$T,"UF",Dataset!$AC:$AC,"*AA*")</f>
        <v>0</v>
      </c>
      <c r="AB32" s="28">
        <f>SUMIFS(Dataset!$AA:$AA,Dataset!$F:$F,Resumen!AA$8,Dataset!$J:$J,"&gt;="&amp;$AC32,Dataset!$J:$J,"&lt;"&amp;$AD32,Dataset!$AH:$AH,"bono corporativo",Dataset!$T:$T,"UF",Dataset!$AC:$AC,"*AA*")</f>
        <v>0</v>
      </c>
      <c r="AC32" s="22">
        <v>5</v>
      </c>
      <c r="AD32" s="22">
        <v>10</v>
      </c>
      <c r="AH32" s="35"/>
    </row>
    <row r="33" spans="2:30" ht="30" customHeight="1" x14ac:dyDescent="0.3">
      <c r="B33" s="159"/>
      <c r="C33" s="158"/>
      <c r="D33" s="31" t="s">
        <v>126</v>
      </c>
      <c r="E33" s="29">
        <f>SUMIFS(Dataset!$AJ:$AJ,Dataset!$F:$F,Resumen!E$8,Dataset!$J:$J,"&gt;="&amp;$AC33,Dataset!$J:$J,"&lt;"&amp;$AD33,Dataset!$AH:$AH,"bono corporativo",Dataset!$T:$T,"UF",Dataset!$AC:$AC,"*AA*")</f>
        <v>0</v>
      </c>
      <c r="F33" s="30">
        <f>SUMIFS(Dataset!$AA:$AA,Dataset!$F:$F,Resumen!E$8,Dataset!$J:$J,"&gt;="&amp;$AC33,Dataset!$J:$J,"&lt;"&amp;$AD33,Dataset!$AH:$AH,"bono corporativo",Dataset!$T:$T,"UF",Dataset!$AC:$AC,"*AA*")</f>
        <v>0</v>
      </c>
      <c r="G33" s="29">
        <f>SUMIFS(Dataset!$AJ:$AJ,Dataset!$F:$F,Resumen!G$8,Dataset!$J:$J,"&gt;="&amp;$AC33,Dataset!$J:$J,"&lt;"&amp;$AD33,Dataset!$AH:$AH,"bono corporativo",Dataset!$T:$T,"UF",Dataset!$AC:$AC,"*AA*")</f>
        <v>0</v>
      </c>
      <c r="H33" s="30">
        <f>SUMIFS(Dataset!$AA:$AA,Dataset!$F:$F,Resumen!G$8,Dataset!$J:$J,"&gt;="&amp;$AC33,Dataset!$J:$J,"&lt;"&amp;$AD33,Dataset!$AH:$AH,"bono corporativo",Dataset!$T:$T,"UF",Dataset!$AC:$AC,"*AA*")</f>
        <v>0</v>
      </c>
      <c r="I33" s="29">
        <f>SUMIFS(Dataset!$AJ:$AJ,Dataset!$F:$F,Resumen!I$8,Dataset!$J:$J,"&gt;="&amp;$AC33,Dataset!$J:$J,"&lt;"&amp;$AD33,Dataset!$AH:$AH,"bono corporativo",Dataset!$T:$T,"UF",Dataset!$AC:$AC,"*AA*")</f>
        <v>0</v>
      </c>
      <c r="J33" s="30">
        <f>SUMIFS(Dataset!$AA:$AA,Dataset!$F:$F,Resumen!I$8,Dataset!$J:$J,"&gt;="&amp;$AC33,Dataset!$J:$J,"&lt;"&amp;$AD33,Dataset!$AH:$AH,"bono corporativo",Dataset!$T:$T,"UF",Dataset!$AC:$AC,"*AA*")</f>
        <v>0</v>
      </c>
      <c r="K33" s="29">
        <f>SUMIFS(Dataset!$AJ:$AJ,Dataset!$F:$F,Resumen!K$8,Dataset!$J:$J,"&gt;="&amp;$AC33,Dataset!$J:$J,"&lt;"&amp;$AD33,Dataset!$AH:$AH,"bono corporativo",Dataset!$T:$T,"UF",Dataset!$AC:$AC,"*AA*")</f>
        <v>0</v>
      </c>
      <c r="L33" s="30">
        <f>SUMIFS(Dataset!$AA:$AA,Dataset!$F:$F,Resumen!K$8,Dataset!$J:$J,"&gt;="&amp;$AC33,Dataset!$J:$J,"&lt;"&amp;$AD33,Dataset!$AH:$AH,"bono corporativo",Dataset!$T:$T,"UF",Dataset!$AC:$AC,"*AA*")</f>
        <v>0</v>
      </c>
      <c r="M33" s="29">
        <f>SUMIFS(Dataset!$AJ:$AJ,Dataset!$F:$F,Resumen!M$8,Dataset!$J:$J,"&gt;="&amp;$AC33,Dataset!$J:$J,"&lt;"&amp;$AD33,Dataset!$AH:$AH,"bono corporativo",Dataset!$T:$T,"UF",Dataset!$AC:$AC,"*AA*")</f>
        <v>0</v>
      </c>
      <c r="N33" s="30">
        <f>SUMIFS(Dataset!$AA:$AA,Dataset!$F:$F,Resumen!M$8,Dataset!$J:$J,"&gt;="&amp;$AC33,Dataset!$J:$J,"&lt;"&amp;$AD33,Dataset!$AH:$AH,"bono corporativo",Dataset!$T:$T,"UF",Dataset!$AC:$AC,"*AA*")</f>
        <v>0</v>
      </c>
      <c r="O33" s="29">
        <f>SUMIFS(Dataset!$AJ:$AJ,Dataset!$F:$F,Resumen!O$8,Dataset!$J:$J,"&gt;="&amp;$AC33,Dataset!$J:$J,"&lt;"&amp;$AD33,Dataset!$AH:$AH,"bono corporativo",Dataset!$T:$T,"UF",Dataset!$AC:$AC,"*AA*")</f>
        <v>0</v>
      </c>
      <c r="P33" s="30">
        <f>SUMIFS(Dataset!$AA:$AA,Dataset!$F:$F,Resumen!O$8,Dataset!$J:$J,"&gt;="&amp;$AC33,Dataset!$J:$J,"&lt;"&amp;$AD33,Dataset!$AH:$AH,"bono corporativo",Dataset!$T:$T,"UF",Dataset!$AC:$AC,"*AA*")</f>
        <v>0</v>
      </c>
      <c r="Q33" s="29">
        <f>SUMIFS(Dataset!$AJ:$AJ,Dataset!$F:$F,Resumen!Q$8,Dataset!$J:$J,"&gt;="&amp;$AC33,Dataset!$J:$J,"&lt;"&amp;$AD33,Dataset!$AH:$AH,"bono corporativo",Dataset!$T:$T,"UF",Dataset!$AC:$AC,"*AA*")</f>
        <v>0</v>
      </c>
      <c r="R33" s="30">
        <f>SUMIFS(Dataset!$AA:$AA,Dataset!$F:$F,Resumen!Q$8,Dataset!$J:$J,"&gt;="&amp;$AC33,Dataset!$J:$J,"&lt;"&amp;$AD33,Dataset!$AH:$AH,"bono corporativo",Dataset!$T:$T,"UF",Dataset!$AC:$AC,"*AA*")</f>
        <v>0</v>
      </c>
      <c r="S33" s="29">
        <f>SUMIFS(Dataset!$AJ:$AJ,Dataset!$F:$F,Resumen!S$8,Dataset!$J:$J,"&gt;="&amp;$AC33,Dataset!$J:$J,"&lt;"&amp;$AD33,Dataset!$AH:$AH,"bono corporativo",Dataset!$T:$T,"UF",Dataset!$AC:$AC,"*AA*")</f>
        <v>0</v>
      </c>
      <c r="T33" s="30">
        <f>SUMIFS(Dataset!$AA:$AA,Dataset!$F:$F,Resumen!S$8,Dataset!$J:$J,"&gt;="&amp;$AC33,Dataset!$J:$J,"&lt;"&amp;$AD33,Dataset!$AH:$AH,"bono corporativo",Dataset!$T:$T,"UF",Dataset!$AC:$AC,"*AA*")</f>
        <v>0</v>
      </c>
      <c r="U33" s="29">
        <f>SUMIFS(Dataset!$AJ:$AJ,Dataset!$F:$F,Resumen!U$8,Dataset!$J:$J,"&gt;="&amp;$AC33,Dataset!$J:$J,"&lt;"&amp;$AD33,Dataset!$AH:$AH,"bono corporativo",Dataset!$T:$T,"UF",Dataset!$AC:$AC,"*AA*")</f>
        <v>0</v>
      </c>
      <c r="V33" s="30">
        <f>SUMIFS(Dataset!$AA:$AA,Dataset!$F:$F,Resumen!U$8,Dataset!$J:$J,"&gt;="&amp;$AC33,Dataset!$J:$J,"&lt;"&amp;$AD33,Dataset!$AH:$AH,"bono corporativo",Dataset!$T:$T,"UF",Dataset!$AC:$AC,"*AA*")</f>
        <v>0</v>
      </c>
      <c r="W33" s="29">
        <f>SUMIFS(Dataset!$AJ:$AJ,Dataset!$F:$F,Resumen!W$8,Dataset!$J:$J,"&gt;="&amp;$AC33,Dataset!$J:$J,"&lt;"&amp;$AD33,Dataset!$AH:$AH,"bono corporativo",Dataset!$T:$T,"UF",Dataset!$AC:$AC,"*AA*")</f>
        <v>0</v>
      </c>
      <c r="X33" s="30">
        <f>SUMIFS(Dataset!$AA:$AA,Dataset!$F:$F,Resumen!W$8,Dataset!$J:$J,"&gt;="&amp;$AC33,Dataset!$J:$J,"&lt;"&amp;$AD33,Dataset!$AH:$AH,"bono corporativo",Dataset!$T:$T,"UF",Dataset!$AC:$AC,"*AA*")</f>
        <v>0</v>
      </c>
      <c r="Y33" s="29">
        <f>SUMIFS(Dataset!$AJ:$AJ,Dataset!$F:$F,Resumen!Y$8,Dataset!$J:$J,"&gt;="&amp;$AC33,Dataset!$J:$J,"&lt;"&amp;$AD33,Dataset!$AH:$AH,"bono corporativo",Dataset!$T:$T,"UF",Dataset!$AC:$AC,"*AA*")</f>
        <v>0</v>
      </c>
      <c r="Z33" s="30">
        <f>SUMIFS(Dataset!$AA:$AA,Dataset!$F:$F,Resumen!Y$8,Dataset!$J:$J,"&gt;="&amp;$AC33,Dataset!$J:$J,"&lt;"&amp;$AD33,Dataset!$AH:$AH,"bono corporativo",Dataset!$T:$T,"UF",Dataset!$AC:$AC,"*AA*")</f>
        <v>0</v>
      </c>
      <c r="AA33" s="29">
        <f>SUMIFS(Dataset!$AJ:$AJ,Dataset!$F:$F,Resumen!AA$8,Dataset!$J:$J,"&gt;="&amp;$AC33,Dataset!$J:$J,"&lt;"&amp;$AD33,Dataset!$AH:$AH,"bono corporativo",Dataset!$T:$T,"UF",Dataset!$AC:$AC,"*AA*")</f>
        <v>0</v>
      </c>
      <c r="AB33" s="30">
        <f>SUMIFS(Dataset!$AA:$AA,Dataset!$F:$F,Resumen!AA$8,Dataset!$J:$J,"&gt;="&amp;$AC33,Dataset!$J:$J,"&lt;"&amp;$AD33,Dataset!$AH:$AH,"bono corporativo",Dataset!$T:$T,"UF",Dataset!$AC:$AC,"*AA*")</f>
        <v>0</v>
      </c>
      <c r="AC33" s="22">
        <v>10</v>
      </c>
      <c r="AD33" s="22">
        <v>100</v>
      </c>
    </row>
    <row r="34" spans="2:30" ht="30" customHeight="1" x14ac:dyDescent="0.3">
      <c r="B34" s="159"/>
      <c r="C34" s="158" t="s">
        <v>130</v>
      </c>
      <c r="D34" s="32" t="s">
        <v>123</v>
      </c>
      <c r="E34" s="33">
        <f>SUMIFS(Dataset!$AJ:$AJ,Dataset!$F:$F,Resumen!E$8,Dataset!$J:$J,"&gt;="&amp;$AC34,Dataset!$J:$J,"&lt;"&amp;$AD34,Dataset!$AH:$AH,"bono corporativo",Dataset!$T:$T,"UF",Dataset!$AC:$AC,"&lt;&gt;*AA*")</f>
        <v>0</v>
      </c>
      <c r="F34" s="34">
        <f>SUMIFS(Dataset!$AA:$AA,Dataset!$F:$F,Resumen!E$8,Dataset!$J:$J,"&gt;="&amp;$AC34,Dataset!$J:$J,"&lt;"&amp;$AD34,Dataset!$AH:$AH,"bono corporativo",Dataset!$T:$T,"UF",Dataset!$AC:$AC,"&lt;&gt;*AA*")</f>
        <v>0</v>
      </c>
      <c r="G34" s="33">
        <f>SUMIFS(Dataset!$AJ:$AJ,Dataset!$F:$F,Resumen!G$8,Dataset!$J:$J,"&gt;="&amp;$AC34,Dataset!$J:$J,"&lt;"&amp;$AD34,Dataset!$AH:$AH,"bono corporativo",Dataset!$T:$T,"UF",Dataset!$AC:$AC,"&lt;&gt;*AA*")</f>
        <v>0</v>
      </c>
      <c r="H34" s="34">
        <f>SUMIFS(Dataset!$AA:$AA,Dataset!$F:$F,Resumen!G$8,Dataset!$J:$J,"&gt;="&amp;$AC34,Dataset!$J:$J,"&lt;"&amp;$AD34,Dataset!$AH:$AH,"bono corporativo",Dataset!$T:$T,"UF",Dataset!$AC:$AC,"&lt;&gt;*AA*")</f>
        <v>0</v>
      </c>
      <c r="I34" s="33">
        <f>SUMIFS(Dataset!$AJ:$AJ,Dataset!$F:$F,Resumen!I$8,Dataset!$J:$J,"&gt;="&amp;$AC34,Dataset!$J:$J,"&lt;"&amp;$AD34,Dataset!$AH:$AH,"bono corporativo",Dataset!$T:$T,"UF",Dataset!$AC:$AC,"&lt;&gt;*AA*")</f>
        <v>0</v>
      </c>
      <c r="J34" s="34">
        <f>SUMIFS(Dataset!$AA:$AA,Dataset!$F:$F,Resumen!I$8,Dataset!$J:$J,"&gt;="&amp;$AC34,Dataset!$J:$J,"&lt;"&amp;$AD34,Dataset!$AH:$AH,"bono corporativo",Dataset!$T:$T,"UF",Dataset!$AC:$AC,"&lt;&gt;*AA*")</f>
        <v>0</v>
      </c>
      <c r="K34" s="33">
        <f>SUMIFS(Dataset!$AJ:$AJ,Dataset!$F:$F,Resumen!K$8,Dataset!$J:$J,"&gt;="&amp;$AC34,Dataset!$J:$J,"&lt;"&amp;$AD34,Dataset!$AH:$AH,"bono corporativo",Dataset!$T:$T,"UF",Dataset!$AC:$AC,"&lt;&gt;*AA*")</f>
        <v>0</v>
      </c>
      <c r="L34" s="34">
        <f>SUMIFS(Dataset!$AA:$AA,Dataset!$F:$F,Resumen!K$8,Dataset!$J:$J,"&gt;="&amp;$AC34,Dataset!$J:$J,"&lt;"&amp;$AD34,Dataset!$AH:$AH,"bono corporativo",Dataset!$T:$T,"UF",Dataset!$AC:$AC,"&lt;&gt;*AA*")</f>
        <v>0</v>
      </c>
      <c r="M34" s="33">
        <f>SUMIFS(Dataset!$AJ:$AJ,Dataset!$F:$F,Resumen!M$8,Dataset!$J:$J,"&gt;="&amp;$AC34,Dataset!$J:$J,"&lt;"&amp;$AD34,Dataset!$AH:$AH,"bono corporativo",Dataset!$T:$T,"UF",Dataset!$AC:$AC,"&lt;&gt;*AA*")</f>
        <v>0</v>
      </c>
      <c r="N34" s="34">
        <f>SUMIFS(Dataset!$AA:$AA,Dataset!$F:$F,Resumen!M$8,Dataset!$J:$J,"&gt;="&amp;$AC34,Dataset!$J:$J,"&lt;"&amp;$AD34,Dataset!$AH:$AH,"bono corporativo",Dataset!$T:$T,"UF",Dataset!$AC:$AC,"&lt;&gt;*AA*")</f>
        <v>0</v>
      </c>
      <c r="O34" s="33">
        <f>SUMIFS(Dataset!$AJ:$AJ,Dataset!$F:$F,Resumen!O$8,Dataset!$J:$J,"&gt;="&amp;$AC34,Dataset!$J:$J,"&lt;"&amp;$AD34,Dataset!$AH:$AH,"bono corporativo",Dataset!$T:$T,"UF",Dataset!$AC:$AC,"&lt;&gt;*AA*")</f>
        <v>0</v>
      </c>
      <c r="P34" s="34">
        <f>SUMIFS(Dataset!$AA:$AA,Dataset!$F:$F,Resumen!O$8,Dataset!$J:$J,"&gt;="&amp;$AC34,Dataset!$J:$J,"&lt;"&amp;$AD34,Dataset!$AH:$AH,"bono corporativo",Dataset!$T:$T,"UF",Dataset!$AC:$AC,"&lt;&gt;*AA*")</f>
        <v>0</v>
      </c>
      <c r="Q34" s="33">
        <f>SUMIFS(Dataset!$AJ:$AJ,Dataset!$F:$F,Resumen!Q$8,Dataset!$J:$J,"&gt;="&amp;$AC34,Dataset!$J:$J,"&lt;"&amp;$AD34,Dataset!$AH:$AH,"bono corporativo",Dataset!$T:$T,"UF",Dataset!$AC:$AC,"&lt;&gt;*AA*")</f>
        <v>0</v>
      </c>
      <c r="R34" s="34">
        <f>SUMIFS(Dataset!$AA:$AA,Dataset!$F:$F,Resumen!Q$8,Dataset!$J:$J,"&gt;="&amp;$AC34,Dataset!$J:$J,"&lt;"&amp;$AD34,Dataset!$AH:$AH,"bono corporativo",Dataset!$T:$T,"UF",Dataset!$AC:$AC,"&lt;&gt;*AA*")</f>
        <v>0</v>
      </c>
      <c r="S34" s="33">
        <f>SUMIFS(Dataset!$AJ:$AJ,Dataset!$F:$F,Resumen!S$8,Dataset!$J:$J,"&gt;="&amp;$AC34,Dataset!$J:$J,"&lt;"&amp;$AD34,Dataset!$AH:$AH,"bono corporativo",Dataset!$T:$T,"UF",Dataset!$AC:$AC,"&lt;&gt;*AA*")</f>
        <v>0</v>
      </c>
      <c r="T34" s="34">
        <f>SUMIFS(Dataset!$AA:$AA,Dataset!$F:$F,Resumen!S$8,Dataset!$J:$J,"&gt;="&amp;$AC34,Dataset!$J:$J,"&lt;"&amp;$AD34,Dataset!$AH:$AH,"bono corporativo",Dataset!$T:$T,"UF",Dataset!$AC:$AC,"&lt;&gt;*AA*")</f>
        <v>0</v>
      </c>
      <c r="U34" s="33">
        <f>SUMIFS(Dataset!$AJ:$AJ,Dataset!$F:$F,Resumen!U$8,Dataset!$J:$J,"&gt;="&amp;$AC34,Dataset!$J:$J,"&lt;"&amp;$AD34,Dataset!$AH:$AH,"bono corporativo",Dataset!$T:$T,"UF",Dataset!$AC:$AC,"&lt;&gt;*AA*")</f>
        <v>0</v>
      </c>
      <c r="V34" s="34">
        <f>SUMIFS(Dataset!$AA:$AA,Dataset!$F:$F,Resumen!U$8,Dataset!$J:$J,"&gt;="&amp;$AC34,Dataset!$J:$J,"&lt;"&amp;$AD34,Dataset!$AH:$AH,"bono corporativo",Dataset!$T:$T,"UF",Dataset!$AC:$AC,"&lt;&gt;*AA*")</f>
        <v>0</v>
      </c>
      <c r="W34" s="33">
        <f>SUMIFS(Dataset!$AJ:$AJ,Dataset!$F:$F,Resumen!W$8,Dataset!$J:$J,"&gt;="&amp;$AC34,Dataset!$J:$J,"&lt;"&amp;$AD34,Dataset!$AH:$AH,"bono corporativo",Dataset!$T:$T,"UF",Dataset!$AC:$AC,"&lt;&gt;*AA*")</f>
        <v>0</v>
      </c>
      <c r="X34" s="34">
        <f>SUMIFS(Dataset!$AA:$AA,Dataset!$F:$F,Resumen!W$8,Dataset!$J:$J,"&gt;="&amp;$AC34,Dataset!$J:$J,"&lt;"&amp;$AD34,Dataset!$AH:$AH,"bono corporativo",Dataset!$T:$T,"UF",Dataset!$AC:$AC,"&lt;&gt;*AA*")</f>
        <v>0</v>
      </c>
      <c r="Y34" s="33">
        <f>SUMIFS(Dataset!$AJ:$AJ,Dataset!$F:$F,Resumen!Y$8,Dataset!$J:$J,"&gt;="&amp;$AC34,Dataset!$J:$J,"&lt;"&amp;$AD34,Dataset!$AH:$AH,"bono corporativo",Dataset!$T:$T,"UF",Dataset!$AC:$AC,"&lt;&gt;*AA*")</f>
        <v>0</v>
      </c>
      <c r="Z34" s="34">
        <f>SUMIFS(Dataset!$AA:$AA,Dataset!$F:$F,Resumen!Y$8,Dataset!$J:$J,"&gt;="&amp;$AC34,Dataset!$J:$J,"&lt;"&amp;$AD34,Dataset!$AH:$AH,"bono corporativo",Dataset!$T:$T,"UF",Dataset!$AC:$AC,"&lt;&gt;*AA*")</f>
        <v>0</v>
      </c>
      <c r="AA34" s="33">
        <f>SUMIFS(Dataset!$AJ:$AJ,Dataset!$F:$F,Resumen!AA$8,Dataset!$J:$J,"&gt;="&amp;$AC34,Dataset!$J:$J,"&lt;"&amp;$AD34,Dataset!$AH:$AH,"bono corporativo",Dataset!$T:$T,"UF",Dataset!$AC:$AC,"&lt;&gt;*AA*")</f>
        <v>0</v>
      </c>
      <c r="AB34" s="34">
        <f>SUMIFS(Dataset!$AA:$AA,Dataset!$F:$F,Resumen!AA$8,Dataset!$J:$J,"&gt;="&amp;$AC34,Dataset!$J:$J,"&lt;"&amp;$AD34,Dataset!$AH:$AH,"bono corporativo",Dataset!$T:$T,"UF",Dataset!$AC:$AC,"&lt;&gt;*AA*")</f>
        <v>0</v>
      </c>
      <c r="AC34" s="22">
        <v>0</v>
      </c>
      <c r="AD34" s="22">
        <v>3</v>
      </c>
    </row>
    <row r="35" spans="2:30" ht="30" customHeight="1" x14ac:dyDescent="0.3">
      <c r="B35" s="159"/>
      <c r="C35" s="158"/>
      <c r="D35" s="31" t="s">
        <v>124</v>
      </c>
      <c r="E35" s="27">
        <f>SUMIFS(Dataset!$AJ:$AJ,Dataset!$F:$F,Resumen!E$8,Dataset!$J:$J,"&gt;="&amp;$AC35,Dataset!$J:$J,"&lt;"&amp;$AD35,Dataset!$AH:$AH,"bono corporativo",Dataset!$T:$T,"UF",Dataset!$AC:$AC,"&lt;&gt;*AA*")</f>
        <v>0</v>
      </c>
      <c r="F35" s="28">
        <f>SUMIFS(Dataset!$AA:$AA,Dataset!$F:$F,Resumen!E$8,Dataset!$J:$J,"&gt;="&amp;$AC35,Dataset!$J:$J,"&lt;"&amp;$AD35,Dataset!$AH:$AH,"bono corporativo",Dataset!$T:$T,"UF",Dataset!$AC:$AC,"&lt;&gt;*AA*")</f>
        <v>0</v>
      </c>
      <c r="G35" s="27">
        <f>SUMIFS(Dataset!$AJ:$AJ,Dataset!$F:$F,Resumen!G$8,Dataset!$J:$J,"&gt;="&amp;$AC35,Dataset!$J:$J,"&lt;"&amp;$AD35,Dataset!$AH:$AH,"bono corporativo",Dataset!$T:$T,"UF",Dataset!$AC:$AC,"&lt;&gt;*AA*")</f>
        <v>0</v>
      </c>
      <c r="H35" s="28">
        <f>SUMIFS(Dataset!$AA:$AA,Dataset!$F:$F,Resumen!G$8,Dataset!$J:$J,"&gt;="&amp;$AC35,Dataset!$J:$J,"&lt;"&amp;$AD35,Dataset!$AH:$AH,"bono corporativo",Dataset!$T:$T,"UF",Dataset!$AC:$AC,"&lt;&gt;*AA*")</f>
        <v>0</v>
      </c>
      <c r="I35" s="27">
        <f>SUMIFS(Dataset!$AJ:$AJ,Dataset!$F:$F,Resumen!I$8,Dataset!$J:$J,"&gt;="&amp;$AC35,Dataset!$J:$J,"&lt;"&amp;$AD35,Dataset!$AH:$AH,"bono corporativo",Dataset!$T:$T,"UF",Dataset!$AC:$AC,"&lt;&gt;*AA*")</f>
        <v>0</v>
      </c>
      <c r="J35" s="28">
        <f>SUMIFS(Dataset!$AA:$AA,Dataset!$F:$F,Resumen!I$8,Dataset!$J:$J,"&gt;="&amp;$AC35,Dataset!$J:$J,"&lt;"&amp;$AD35,Dataset!$AH:$AH,"bono corporativo",Dataset!$T:$T,"UF",Dataset!$AC:$AC,"&lt;&gt;*AA*")</f>
        <v>0</v>
      </c>
      <c r="K35" s="27">
        <f>SUMIFS(Dataset!$AJ:$AJ,Dataset!$F:$F,Resumen!K$8,Dataset!$J:$J,"&gt;="&amp;$AC35,Dataset!$J:$J,"&lt;"&amp;$AD35,Dataset!$AH:$AH,"bono corporativo",Dataset!$T:$T,"UF",Dataset!$AC:$AC,"&lt;&gt;*AA*")</f>
        <v>0</v>
      </c>
      <c r="L35" s="28">
        <f>SUMIFS(Dataset!$AA:$AA,Dataset!$F:$F,Resumen!K$8,Dataset!$J:$J,"&gt;="&amp;$AC35,Dataset!$J:$J,"&lt;"&amp;$AD35,Dataset!$AH:$AH,"bono corporativo",Dataset!$T:$T,"UF",Dataset!$AC:$AC,"&lt;&gt;*AA*")</f>
        <v>0</v>
      </c>
      <c r="M35" s="27">
        <f>SUMIFS(Dataset!$AJ:$AJ,Dataset!$F:$F,Resumen!M$8,Dataset!$J:$J,"&gt;="&amp;$AC35,Dataset!$J:$J,"&lt;"&amp;$AD35,Dataset!$AH:$AH,"bono corporativo",Dataset!$T:$T,"UF",Dataset!$AC:$AC,"&lt;&gt;*AA*")</f>
        <v>0</v>
      </c>
      <c r="N35" s="28">
        <f>SUMIFS(Dataset!$AA:$AA,Dataset!$F:$F,Resumen!M$8,Dataset!$J:$J,"&gt;="&amp;$AC35,Dataset!$J:$J,"&lt;"&amp;$AD35,Dataset!$AH:$AH,"bono corporativo",Dataset!$T:$T,"UF",Dataset!$AC:$AC,"&lt;&gt;*AA*")</f>
        <v>0</v>
      </c>
      <c r="O35" s="27">
        <f>SUMIFS(Dataset!$AJ:$AJ,Dataset!$F:$F,Resumen!O$8,Dataset!$J:$J,"&gt;="&amp;$AC35,Dataset!$J:$J,"&lt;"&amp;$AD35,Dataset!$AH:$AH,"bono corporativo",Dataset!$T:$T,"UF",Dataset!$AC:$AC,"&lt;&gt;*AA*")</f>
        <v>0</v>
      </c>
      <c r="P35" s="28">
        <f>SUMIFS(Dataset!$AA:$AA,Dataset!$F:$F,Resumen!O$8,Dataset!$J:$J,"&gt;="&amp;$AC35,Dataset!$J:$J,"&lt;"&amp;$AD35,Dataset!$AH:$AH,"bono corporativo",Dataset!$T:$T,"UF",Dataset!$AC:$AC,"&lt;&gt;*AA*")</f>
        <v>0</v>
      </c>
      <c r="Q35" s="27">
        <f>SUMIFS(Dataset!$AJ:$AJ,Dataset!$F:$F,Resumen!Q$8,Dataset!$J:$J,"&gt;="&amp;$AC35,Dataset!$J:$J,"&lt;"&amp;$AD35,Dataset!$AH:$AH,"bono corporativo",Dataset!$T:$T,"UF",Dataset!$AC:$AC,"&lt;&gt;*AA*")</f>
        <v>0</v>
      </c>
      <c r="R35" s="28">
        <f>SUMIFS(Dataset!$AA:$AA,Dataset!$F:$F,Resumen!Q$8,Dataset!$J:$J,"&gt;="&amp;$AC35,Dataset!$J:$J,"&lt;"&amp;$AD35,Dataset!$AH:$AH,"bono corporativo",Dataset!$T:$T,"UF",Dataset!$AC:$AC,"&lt;&gt;*AA*")</f>
        <v>0</v>
      </c>
      <c r="S35" s="27">
        <f>SUMIFS(Dataset!$AJ:$AJ,Dataset!$F:$F,Resumen!S$8,Dataset!$J:$J,"&gt;="&amp;$AC35,Dataset!$J:$J,"&lt;"&amp;$AD35,Dataset!$AH:$AH,"bono corporativo",Dataset!$T:$T,"UF",Dataset!$AC:$AC,"&lt;&gt;*AA*")</f>
        <v>0</v>
      </c>
      <c r="T35" s="28">
        <f>SUMIFS(Dataset!$AA:$AA,Dataset!$F:$F,Resumen!S$8,Dataset!$J:$J,"&gt;="&amp;$AC35,Dataset!$J:$J,"&lt;"&amp;$AD35,Dataset!$AH:$AH,"bono corporativo",Dataset!$T:$T,"UF",Dataset!$AC:$AC,"&lt;&gt;*AA*")</f>
        <v>0</v>
      </c>
      <c r="U35" s="27">
        <f>SUMIFS(Dataset!$AJ:$AJ,Dataset!$F:$F,Resumen!U$8,Dataset!$J:$J,"&gt;="&amp;$AC35,Dataset!$J:$J,"&lt;"&amp;$AD35,Dataset!$AH:$AH,"bono corporativo",Dataset!$T:$T,"UF",Dataset!$AC:$AC,"&lt;&gt;*AA*")</f>
        <v>0</v>
      </c>
      <c r="V35" s="28">
        <f>SUMIFS(Dataset!$AA:$AA,Dataset!$F:$F,Resumen!U$8,Dataset!$J:$J,"&gt;="&amp;$AC35,Dataset!$J:$J,"&lt;"&amp;$AD35,Dataset!$AH:$AH,"bono corporativo",Dataset!$T:$T,"UF",Dataset!$AC:$AC,"&lt;&gt;*AA*")</f>
        <v>0</v>
      </c>
      <c r="W35" s="27">
        <f>SUMIFS(Dataset!$AJ:$AJ,Dataset!$F:$F,Resumen!W$8,Dataset!$J:$J,"&gt;="&amp;$AC35,Dataset!$J:$J,"&lt;"&amp;$AD35,Dataset!$AH:$AH,"bono corporativo",Dataset!$T:$T,"UF",Dataset!$AC:$AC,"&lt;&gt;*AA*")</f>
        <v>0</v>
      </c>
      <c r="X35" s="28">
        <f>SUMIFS(Dataset!$AA:$AA,Dataset!$F:$F,Resumen!W$8,Dataset!$J:$J,"&gt;="&amp;$AC35,Dataset!$J:$J,"&lt;"&amp;$AD35,Dataset!$AH:$AH,"bono corporativo",Dataset!$T:$T,"UF",Dataset!$AC:$AC,"&lt;&gt;*AA*")</f>
        <v>0</v>
      </c>
      <c r="Y35" s="27">
        <f>SUMIFS(Dataset!$AJ:$AJ,Dataset!$F:$F,Resumen!Y$8,Dataset!$J:$J,"&gt;="&amp;$AC35,Dataset!$J:$J,"&lt;"&amp;$AD35,Dataset!$AH:$AH,"bono corporativo",Dataset!$T:$T,"UF",Dataset!$AC:$AC,"&lt;&gt;*AA*")</f>
        <v>0</v>
      </c>
      <c r="Z35" s="28">
        <f>SUMIFS(Dataset!$AA:$AA,Dataset!$F:$F,Resumen!Y$8,Dataset!$J:$J,"&gt;="&amp;$AC35,Dataset!$J:$J,"&lt;"&amp;$AD35,Dataset!$AH:$AH,"bono corporativo",Dataset!$T:$T,"UF",Dataset!$AC:$AC,"&lt;&gt;*AA*")</f>
        <v>0</v>
      </c>
      <c r="AA35" s="27">
        <f>SUMIFS(Dataset!$AJ:$AJ,Dataset!$F:$F,Resumen!AA$8,Dataset!$J:$J,"&gt;="&amp;$AC35,Dataset!$J:$J,"&lt;"&amp;$AD35,Dataset!$AH:$AH,"bono corporativo",Dataset!$T:$T,"UF",Dataset!$AC:$AC,"&lt;&gt;*AA*")</f>
        <v>0</v>
      </c>
      <c r="AB35" s="28">
        <f>SUMIFS(Dataset!$AA:$AA,Dataset!$F:$F,Resumen!AA$8,Dataset!$J:$J,"&gt;="&amp;$AC35,Dataset!$J:$J,"&lt;"&amp;$AD35,Dataset!$AH:$AH,"bono corporativo",Dataset!$T:$T,"UF",Dataset!$AC:$AC,"&lt;&gt;*AA*")</f>
        <v>0</v>
      </c>
      <c r="AC35" s="22">
        <v>3</v>
      </c>
      <c r="AD35" s="22">
        <v>5</v>
      </c>
    </row>
    <row r="36" spans="2:30" ht="30" customHeight="1" x14ac:dyDescent="0.3">
      <c r="B36" s="159"/>
      <c r="C36" s="158"/>
      <c r="D36" s="31" t="s">
        <v>125</v>
      </c>
      <c r="E36" s="27">
        <f>SUMIFS(Dataset!$AJ:$AJ,Dataset!$F:$F,Resumen!E$8,Dataset!$J:$J,"&gt;="&amp;$AC36,Dataset!$J:$J,"&lt;"&amp;$AD36,Dataset!$AH:$AH,"bono corporativo",Dataset!$T:$T,"UF",Dataset!$AC:$AC,"&lt;&gt;*AA*")</f>
        <v>0</v>
      </c>
      <c r="F36" s="28">
        <f>SUMIFS(Dataset!$AA:$AA,Dataset!$F:$F,Resumen!E$8,Dataset!$J:$J,"&gt;="&amp;$AC36,Dataset!$J:$J,"&lt;"&amp;$AD36,Dataset!$AH:$AH,"bono corporativo",Dataset!$T:$T,"UF",Dataset!$AC:$AC,"&lt;&gt;*AA*")</f>
        <v>0</v>
      </c>
      <c r="G36" s="27">
        <f>SUMIFS(Dataset!$AJ:$AJ,Dataset!$F:$F,Resumen!G$8,Dataset!$J:$J,"&gt;="&amp;$AC36,Dataset!$J:$J,"&lt;"&amp;$AD36,Dataset!$AH:$AH,"bono corporativo",Dataset!$T:$T,"UF",Dataset!$AC:$AC,"&lt;&gt;*AA*")</f>
        <v>0</v>
      </c>
      <c r="H36" s="28">
        <f>SUMIFS(Dataset!$AA:$AA,Dataset!$F:$F,Resumen!G$8,Dataset!$J:$J,"&gt;="&amp;$AC36,Dataset!$J:$J,"&lt;"&amp;$AD36,Dataset!$AH:$AH,"bono corporativo",Dataset!$T:$T,"UF",Dataset!$AC:$AC,"&lt;&gt;*AA*")</f>
        <v>0</v>
      </c>
      <c r="I36" s="27">
        <f>SUMIFS(Dataset!$AJ:$AJ,Dataset!$F:$F,Resumen!I$8,Dataset!$J:$J,"&gt;="&amp;$AC36,Dataset!$J:$J,"&lt;"&amp;$AD36,Dataset!$AH:$AH,"bono corporativo",Dataset!$T:$T,"UF",Dataset!$AC:$AC,"&lt;&gt;*AA*")</f>
        <v>0</v>
      </c>
      <c r="J36" s="28">
        <f>SUMIFS(Dataset!$AA:$AA,Dataset!$F:$F,Resumen!I$8,Dataset!$J:$J,"&gt;="&amp;$AC36,Dataset!$J:$J,"&lt;"&amp;$AD36,Dataset!$AH:$AH,"bono corporativo",Dataset!$T:$T,"UF",Dataset!$AC:$AC,"&lt;&gt;*AA*")</f>
        <v>0</v>
      </c>
      <c r="K36" s="27">
        <f>SUMIFS(Dataset!$AJ:$AJ,Dataset!$F:$F,Resumen!K$8,Dataset!$J:$J,"&gt;="&amp;$AC36,Dataset!$J:$J,"&lt;"&amp;$AD36,Dataset!$AH:$AH,"bono corporativo",Dataset!$T:$T,"UF",Dataset!$AC:$AC,"&lt;&gt;*AA*")</f>
        <v>0</v>
      </c>
      <c r="L36" s="28">
        <f>SUMIFS(Dataset!$AA:$AA,Dataset!$F:$F,Resumen!K$8,Dataset!$J:$J,"&gt;="&amp;$AC36,Dataset!$J:$J,"&lt;"&amp;$AD36,Dataset!$AH:$AH,"bono corporativo",Dataset!$T:$T,"UF",Dataset!$AC:$AC,"&lt;&gt;*AA*")</f>
        <v>0</v>
      </c>
      <c r="M36" s="27">
        <f>SUMIFS(Dataset!$AJ:$AJ,Dataset!$F:$F,Resumen!M$8,Dataset!$J:$J,"&gt;="&amp;$AC36,Dataset!$J:$J,"&lt;"&amp;$AD36,Dataset!$AH:$AH,"bono corporativo",Dataset!$T:$T,"UF",Dataset!$AC:$AC,"&lt;&gt;*AA*")</f>
        <v>0</v>
      </c>
      <c r="N36" s="28">
        <f>SUMIFS(Dataset!$AA:$AA,Dataset!$F:$F,Resumen!M$8,Dataset!$J:$J,"&gt;="&amp;$AC36,Dataset!$J:$J,"&lt;"&amp;$AD36,Dataset!$AH:$AH,"bono corporativo",Dataset!$T:$T,"UF",Dataset!$AC:$AC,"&lt;&gt;*AA*")</f>
        <v>0</v>
      </c>
      <c r="O36" s="27">
        <f>SUMIFS(Dataset!$AJ:$AJ,Dataset!$F:$F,Resumen!O$8,Dataset!$J:$J,"&gt;="&amp;$AC36,Dataset!$J:$J,"&lt;"&amp;$AD36,Dataset!$AH:$AH,"bono corporativo",Dataset!$T:$T,"UF",Dataset!$AC:$AC,"&lt;&gt;*AA*")</f>
        <v>0</v>
      </c>
      <c r="P36" s="28">
        <f>SUMIFS(Dataset!$AA:$AA,Dataset!$F:$F,Resumen!O$8,Dataset!$J:$J,"&gt;="&amp;$AC36,Dataset!$J:$J,"&lt;"&amp;$AD36,Dataset!$AH:$AH,"bono corporativo",Dataset!$T:$T,"UF",Dataset!$AC:$AC,"&lt;&gt;*AA*")</f>
        <v>0</v>
      </c>
      <c r="Q36" s="27">
        <f>SUMIFS(Dataset!$AJ:$AJ,Dataset!$F:$F,Resumen!Q$8,Dataset!$J:$J,"&gt;="&amp;$AC36,Dataset!$J:$J,"&lt;"&amp;$AD36,Dataset!$AH:$AH,"bono corporativo",Dataset!$T:$T,"UF",Dataset!$AC:$AC,"&lt;&gt;*AA*")</f>
        <v>0</v>
      </c>
      <c r="R36" s="28">
        <f>SUMIFS(Dataset!$AA:$AA,Dataset!$F:$F,Resumen!Q$8,Dataset!$J:$J,"&gt;="&amp;$AC36,Dataset!$J:$J,"&lt;"&amp;$AD36,Dataset!$AH:$AH,"bono corporativo",Dataset!$T:$T,"UF",Dataset!$AC:$AC,"&lt;&gt;*AA*")</f>
        <v>0</v>
      </c>
      <c r="S36" s="27">
        <f>SUMIFS(Dataset!$AJ:$AJ,Dataset!$F:$F,Resumen!S$8,Dataset!$J:$J,"&gt;="&amp;$AC36,Dataset!$J:$J,"&lt;"&amp;$AD36,Dataset!$AH:$AH,"bono corporativo",Dataset!$T:$T,"UF",Dataset!$AC:$AC,"&lt;&gt;*AA*")</f>
        <v>0</v>
      </c>
      <c r="T36" s="28">
        <f>SUMIFS(Dataset!$AA:$AA,Dataset!$F:$F,Resumen!S$8,Dataset!$J:$J,"&gt;="&amp;$AC36,Dataset!$J:$J,"&lt;"&amp;$AD36,Dataset!$AH:$AH,"bono corporativo",Dataset!$T:$T,"UF",Dataset!$AC:$AC,"&lt;&gt;*AA*")</f>
        <v>0</v>
      </c>
      <c r="U36" s="27">
        <f>SUMIFS(Dataset!$AJ:$AJ,Dataset!$F:$F,Resumen!U$8,Dataset!$J:$J,"&gt;="&amp;$AC36,Dataset!$J:$J,"&lt;"&amp;$AD36,Dataset!$AH:$AH,"bono corporativo",Dataset!$T:$T,"UF",Dataset!$AC:$AC,"&lt;&gt;*AA*")</f>
        <v>0</v>
      </c>
      <c r="V36" s="28">
        <f>SUMIFS(Dataset!$AA:$AA,Dataset!$F:$F,Resumen!U$8,Dataset!$J:$J,"&gt;="&amp;$AC36,Dataset!$J:$J,"&lt;"&amp;$AD36,Dataset!$AH:$AH,"bono corporativo",Dataset!$T:$T,"UF",Dataset!$AC:$AC,"&lt;&gt;*AA*")</f>
        <v>0</v>
      </c>
      <c r="W36" s="27">
        <f>SUMIFS(Dataset!$AJ:$AJ,Dataset!$F:$F,Resumen!W$8,Dataset!$J:$J,"&gt;="&amp;$AC36,Dataset!$J:$J,"&lt;"&amp;$AD36,Dataset!$AH:$AH,"bono corporativo",Dataset!$T:$T,"UF",Dataset!$AC:$AC,"&lt;&gt;*AA*")</f>
        <v>0</v>
      </c>
      <c r="X36" s="28">
        <f>SUMIFS(Dataset!$AA:$AA,Dataset!$F:$F,Resumen!W$8,Dataset!$J:$J,"&gt;="&amp;$AC36,Dataset!$J:$J,"&lt;"&amp;$AD36,Dataset!$AH:$AH,"bono corporativo",Dataset!$T:$T,"UF",Dataset!$AC:$AC,"&lt;&gt;*AA*")</f>
        <v>0</v>
      </c>
      <c r="Y36" s="27">
        <f>SUMIFS(Dataset!$AJ:$AJ,Dataset!$F:$F,Resumen!Y$8,Dataset!$J:$J,"&gt;="&amp;$AC36,Dataset!$J:$J,"&lt;"&amp;$AD36,Dataset!$AH:$AH,"bono corporativo",Dataset!$T:$T,"UF",Dataset!$AC:$AC,"&lt;&gt;*AA*")</f>
        <v>0</v>
      </c>
      <c r="Z36" s="28">
        <f>SUMIFS(Dataset!$AA:$AA,Dataset!$F:$F,Resumen!Y$8,Dataset!$J:$J,"&gt;="&amp;$AC36,Dataset!$J:$J,"&lt;"&amp;$AD36,Dataset!$AH:$AH,"bono corporativo",Dataset!$T:$T,"UF",Dataset!$AC:$AC,"&lt;&gt;*AA*")</f>
        <v>0</v>
      </c>
      <c r="AA36" s="27">
        <f>SUMIFS(Dataset!$AJ:$AJ,Dataset!$F:$F,Resumen!AA$8,Dataset!$J:$J,"&gt;="&amp;$AC36,Dataset!$J:$J,"&lt;"&amp;$AD36,Dataset!$AH:$AH,"bono corporativo",Dataset!$T:$T,"UF",Dataset!$AC:$AC,"&lt;&gt;*AA*")</f>
        <v>0</v>
      </c>
      <c r="AB36" s="28">
        <f>SUMIFS(Dataset!$AA:$AA,Dataset!$F:$F,Resumen!AA$8,Dataset!$J:$J,"&gt;="&amp;$AC36,Dataset!$J:$J,"&lt;"&amp;$AD36,Dataset!$AH:$AH,"bono corporativo",Dataset!$T:$T,"UF",Dataset!$AC:$AC,"&lt;&gt;*AA*")</f>
        <v>0</v>
      </c>
      <c r="AC36" s="22">
        <v>5</v>
      </c>
      <c r="AD36" s="22">
        <v>10</v>
      </c>
    </row>
    <row r="37" spans="2:30" ht="30" customHeight="1" x14ac:dyDescent="0.3">
      <c r="B37" s="159"/>
      <c r="C37" s="158"/>
      <c r="D37" s="31" t="s">
        <v>126</v>
      </c>
      <c r="E37" s="29">
        <f>SUMIFS(Dataset!$AJ:$AJ,Dataset!$F:$F,Resumen!E$8,Dataset!$J:$J,"&gt;="&amp;$AC37,Dataset!$J:$J,"&lt;"&amp;$AD37,Dataset!$AH:$AH,"bono corporativo",Dataset!$T:$T,"UF",Dataset!$AC:$AC,"&lt;&gt;*AA*")</f>
        <v>0</v>
      </c>
      <c r="F37" s="30">
        <f>SUMIFS(Dataset!$AA:$AA,Dataset!$F:$F,Resumen!E$8,Dataset!$J:$J,"&gt;="&amp;$AC37,Dataset!$J:$J,"&lt;"&amp;$AD37,Dataset!$AH:$AH,"bono corporativo",Dataset!$T:$T,"UF",Dataset!$AC:$AC,"&lt;&gt;*AA*")</f>
        <v>0</v>
      </c>
      <c r="G37" s="29">
        <f>SUMIFS(Dataset!$AJ:$AJ,Dataset!$F:$F,Resumen!G$8,Dataset!$J:$J,"&gt;="&amp;$AC37,Dataset!$J:$J,"&lt;"&amp;$AD37,Dataset!$AH:$AH,"bono corporativo",Dataset!$T:$T,"UF",Dataset!$AC:$AC,"&lt;&gt;*AA*")</f>
        <v>0</v>
      </c>
      <c r="H37" s="30">
        <f>SUMIFS(Dataset!$AA:$AA,Dataset!$F:$F,Resumen!G$8,Dataset!$J:$J,"&gt;="&amp;$AC37,Dataset!$J:$J,"&lt;"&amp;$AD37,Dataset!$AH:$AH,"bono corporativo",Dataset!$T:$T,"UF",Dataset!$AC:$AC,"&lt;&gt;*AA*")</f>
        <v>0</v>
      </c>
      <c r="I37" s="29">
        <f>SUMIFS(Dataset!$AJ:$AJ,Dataset!$F:$F,Resumen!I$8,Dataset!$J:$J,"&gt;="&amp;$AC37,Dataset!$J:$J,"&lt;"&amp;$AD37,Dataset!$AH:$AH,"bono corporativo",Dataset!$T:$T,"UF",Dataset!$AC:$AC,"&lt;&gt;*AA*")</f>
        <v>0</v>
      </c>
      <c r="J37" s="30">
        <f>SUMIFS(Dataset!$AA:$AA,Dataset!$F:$F,Resumen!I$8,Dataset!$J:$J,"&gt;="&amp;$AC37,Dataset!$J:$J,"&lt;"&amp;$AD37,Dataset!$AH:$AH,"bono corporativo",Dataset!$T:$T,"UF",Dataset!$AC:$AC,"&lt;&gt;*AA*")</f>
        <v>0</v>
      </c>
      <c r="K37" s="29">
        <f>SUMIFS(Dataset!$AJ:$AJ,Dataset!$F:$F,Resumen!K$8,Dataset!$J:$J,"&gt;="&amp;$AC37,Dataset!$J:$J,"&lt;"&amp;$AD37,Dataset!$AH:$AH,"bono corporativo",Dataset!$T:$T,"UF",Dataset!$AC:$AC,"&lt;&gt;*AA*")</f>
        <v>0</v>
      </c>
      <c r="L37" s="30">
        <f>SUMIFS(Dataset!$AA:$AA,Dataset!$F:$F,Resumen!K$8,Dataset!$J:$J,"&gt;="&amp;$AC37,Dataset!$J:$J,"&lt;"&amp;$AD37,Dataset!$AH:$AH,"bono corporativo",Dataset!$T:$T,"UF",Dataset!$AC:$AC,"&lt;&gt;*AA*")</f>
        <v>0</v>
      </c>
      <c r="M37" s="29">
        <f>SUMIFS(Dataset!$AJ:$AJ,Dataset!$F:$F,Resumen!M$8,Dataset!$J:$J,"&gt;="&amp;$AC37,Dataset!$J:$J,"&lt;"&amp;$AD37,Dataset!$AH:$AH,"bono corporativo",Dataset!$T:$T,"UF",Dataset!$AC:$AC,"&lt;&gt;*AA*")</f>
        <v>0</v>
      </c>
      <c r="N37" s="30">
        <f>SUMIFS(Dataset!$AA:$AA,Dataset!$F:$F,Resumen!M$8,Dataset!$J:$J,"&gt;="&amp;$AC37,Dataset!$J:$J,"&lt;"&amp;$AD37,Dataset!$AH:$AH,"bono corporativo",Dataset!$T:$T,"UF",Dataset!$AC:$AC,"&lt;&gt;*AA*")</f>
        <v>0</v>
      </c>
      <c r="O37" s="29">
        <f>SUMIFS(Dataset!$AJ:$AJ,Dataset!$F:$F,Resumen!O$8,Dataset!$J:$J,"&gt;="&amp;$AC37,Dataset!$J:$J,"&lt;"&amp;$AD37,Dataset!$AH:$AH,"bono corporativo",Dataset!$T:$T,"UF",Dataset!$AC:$AC,"&lt;&gt;*AA*")</f>
        <v>0</v>
      </c>
      <c r="P37" s="30">
        <f>SUMIFS(Dataset!$AA:$AA,Dataset!$F:$F,Resumen!O$8,Dataset!$J:$J,"&gt;="&amp;$AC37,Dataset!$J:$J,"&lt;"&amp;$AD37,Dataset!$AH:$AH,"bono corporativo",Dataset!$T:$T,"UF",Dataset!$AC:$AC,"&lt;&gt;*AA*")</f>
        <v>0</v>
      </c>
      <c r="Q37" s="29">
        <f>SUMIFS(Dataset!$AJ:$AJ,Dataset!$F:$F,Resumen!Q$8,Dataset!$J:$J,"&gt;="&amp;$AC37,Dataset!$J:$J,"&lt;"&amp;$AD37,Dataset!$AH:$AH,"bono corporativo",Dataset!$T:$T,"UF",Dataset!$AC:$AC,"&lt;&gt;*AA*")</f>
        <v>0</v>
      </c>
      <c r="R37" s="30">
        <f>SUMIFS(Dataset!$AA:$AA,Dataset!$F:$F,Resumen!Q$8,Dataset!$J:$J,"&gt;="&amp;$AC37,Dataset!$J:$J,"&lt;"&amp;$AD37,Dataset!$AH:$AH,"bono corporativo",Dataset!$T:$T,"UF",Dataset!$AC:$AC,"&lt;&gt;*AA*")</f>
        <v>0</v>
      </c>
      <c r="S37" s="29">
        <f>SUMIFS(Dataset!$AJ:$AJ,Dataset!$F:$F,Resumen!S$8,Dataset!$J:$J,"&gt;="&amp;$AC37,Dataset!$J:$J,"&lt;"&amp;$AD37,Dataset!$AH:$AH,"bono corporativo",Dataset!$T:$T,"UF",Dataset!$AC:$AC,"&lt;&gt;*AA*")</f>
        <v>0</v>
      </c>
      <c r="T37" s="30">
        <f>SUMIFS(Dataset!$AA:$AA,Dataset!$F:$F,Resumen!S$8,Dataset!$J:$J,"&gt;="&amp;$AC37,Dataset!$J:$J,"&lt;"&amp;$AD37,Dataset!$AH:$AH,"bono corporativo",Dataset!$T:$T,"UF",Dataset!$AC:$AC,"&lt;&gt;*AA*")</f>
        <v>0</v>
      </c>
      <c r="U37" s="29">
        <f>SUMIFS(Dataset!$AJ:$AJ,Dataset!$F:$F,Resumen!U$8,Dataset!$J:$J,"&gt;="&amp;$AC37,Dataset!$J:$J,"&lt;"&amp;$AD37,Dataset!$AH:$AH,"bono corporativo",Dataset!$T:$T,"UF",Dataset!$AC:$AC,"&lt;&gt;*AA*")</f>
        <v>0</v>
      </c>
      <c r="V37" s="30">
        <f>SUMIFS(Dataset!$AA:$AA,Dataset!$F:$F,Resumen!U$8,Dataset!$J:$J,"&gt;="&amp;$AC37,Dataset!$J:$J,"&lt;"&amp;$AD37,Dataset!$AH:$AH,"bono corporativo",Dataset!$T:$T,"UF",Dataset!$AC:$AC,"&lt;&gt;*AA*")</f>
        <v>0</v>
      </c>
      <c r="W37" s="29">
        <f>SUMIFS(Dataset!$AJ:$AJ,Dataset!$F:$F,Resumen!W$8,Dataset!$J:$J,"&gt;="&amp;$AC37,Dataset!$J:$J,"&lt;"&amp;$AD37,Dataset!$AH:$AH,"bono corporativo",Dataset!$T:$T,"UF",Dataset!$AC:$AC,"&lt;&gt;*AA*")</f>
        <v>0</v>
      </c>
      <c r="X37" s="30">
        <f>SUMIFS(Dataset!$AA:$AA,Dataset!$F:$F,Resumen!W$8,Dataset!$J:$J,"&gt;="&amp;$AC37,Dataset!$J:$J,"&lt;"&amp;$AD37,Dataset!$AH:$AH,"bono corporativo",Dataset!$T:$T,"UF",Dataset!$AC:$AC,"&lt;&gt;*AA*")</f>
        <v>0</v>
      </c>
      <c r="Y37" s="29">
        <f>SUMIFS(Dataset!$AJ:$AJ,Dataset!$F:$F,Resumen!Y$8,Dataset!$J:$J,"&gt;="&amp;$AC37,Dataset!$J:$J,"&lt;"&amp;$AD37,Dataset!$AH:$AH,"bono corporativo",Dataset!$T:$T,"UF",Dataset!$AC:$AC,"&lt;&gt;*AA*")</f>
        <v>0</v>
      </c>
      <c r="Z37" s="30">
        <f>SUMIFS(Dataset!$AA:$AA,Dataset!$F:$F,Resumen!Y$8,Dataset!$J:$J,"&gt;="&amp;$AC37,Dataset!$J:$J,"&lt;"&amp;$AD37,Dataset!$AH:$AH,"bono corporativo",Dataset!$T:$T,"UF",Dataset!$AC:$AC,"&lt;&gt;*AA*")</f>
        <v>0</v>
      </c>
      <c r="AA37" s="29">
        <f>SUMIFS(Dataset!$AJ:$AJ,Dataset!$F:$F,Resumen!AA$8,Dataset!$J:$J,"&gt;="&amp;$AC37,Dataset!$J:$J,"&lt;"&amp;$AD37,Dataset!$AH:$AH,"bono corporativo",Dataset!$T:$T,"UF",Dataset!$AC:$AC,"&lt;&gt;*AA*")</f>
        <v>0</v>
      </c>
      <c r="AB37" s="30">
        <f>SUMIFS(Dataset!$AA:$AA,Dataset!$F:$F,Resumen!AA$8,Dataset!$J:$J,"&gt;="&amp;$AC37,Dataset!$J:$J,"&lt;"&amp;$AD37,Dataset!$AH:$AH,"bono corporativo",Dataset!$T:$T,"UF",Dataset!$AC:$AC,"&lt;&gt;*AA*")</f>
        <v>0</v>
      </c>
      <c r="AC37" s="22">
        <v>10</v>
      </c>
      <c r="AD37" s="22">
        <v>100</v>
      </c>
    </row>
    <row r="38" spans="2:30" ht="30" customHeight="1" x14ac:dyDescent="0.3">
      <c r="B38" s="159" t="s">
        <v>131</v>
      </c>
      <c r="C38" s="158" t="s">
        <v>129</v>
      </c>
      <c r="D38" s="31" t="s">
        <v>123</v>
      </c>
      <c r="E38" s="24">
        <f>SUMIFS(Dataset!$AJ:$AJ,Dataset!$F:$F,Resumen!E$8,Dataset!$J:$J,"&gt;="&amp;$AC38,Dataset!$J:$J,"&lt;"&amp;$AD38,Dataset!$AH:$AH,"bono corporativo",Dataset!$T:$T,"&lt;&gt;UF",Dataset!$T:$T,"&lt;&gt;$",Dataset!$AC:$AC,"*AA*")</f>
        <v>0</v>
      </c>
      <c r="F38" s="25">
        <f>SUMIFS(Dataset!$AA:$AA,Dataset!$F:$F,Resumen!E$8,Dataset!$J:$J,"&gt;="&amp;$AC38,Dataset!$J:$J,"&lt;"&amp;$AD38,Dataset!$AH:$AH,"bono corporativo",Dataset!$T:$T,"&lt;&gt;UF",Dataset!$T:$T,"&lt;&gt;$",Dataset!$AC:$AC,"*AA*")</f>
        <v>0</v>
      </c>
      <c r="G38" s="24">
        <f>SUMIFS(Dataset!$AJ:$AJ,Dataset!$F:$F,Resumen!G$8,Dataset!$J:$J,"&gt;="&amp;$AC38,Dataset!$J:$J,"&lt;"&amp;$AD38,Dataset!$AH:$AH,"bono corporativo",Dataset!$T:$T,"&lt;&gt;UF",Dataset!$T:$T,"&lt;&gt;$",Dataset!$AC:$AC,"*AA*")</f>
        <v>0</v>
      </c>
      <c r="H38" s="25">
        <f>SUMIFS(Dataset!$AA:$AA,Dataset!$F:$F,Resumen!G$8,Dataset!$J:$J,"&gt;="&amp;$AC38,Dataset!$J:$J,"&lt;"&amp;$AD38,Dataset!$AH:$AH,"bono corporativo",Dataset!$T:$T,"&lt;&gt;UF",Dataset!$T:$T,"&lt;&gt;$",Dataset!$AC:$AC,"*AA*")</f>
        <v>0</v>
      </c>
      <c r="I38" s="24">
        <f>SUMIFS(Dataset!$AJ:$AJ,Dataset!$F:$F,Resumen!I$8,Dataset!$J:$J,"&gt;="&amp;$AC38,Dataset!$J:$J,"&lt;"&amp;$AD38,Dataset!$AH:$AH,"bono corporativo",Dataset!$T:$T,"&lt;&gt;UF",Dataset!$T:$T,"&lt;&gt;$",Dataset!$AC:$AC,"*AA*")</f>
        <v>0</v>
      </c>
      <c r="J38" s="25">
        <f>SUMIFS(Dataset!$AA:$AA,Dataset!$F:$F,Resumen!I$8,Dataset!$J:$J,"&gt;="&amp;$AC38,Dataset!$J:$J,"&lt;"&amp;$AD38,Dataset!$AH:$AH,"bono corporativo",Dataset!$T:$T,"&lt;&gt;UF",Dataset!$T:$T,"&lt;&gt;$",Dataset!$AC:$AC,"*AA*")</f>
        <v>0</v>
      </c>
      <c r="K38" s="24">
        <f>SUMIFS(Dataset!$AJ:$AJ,Dataset!$F:$F,Resumen!K$8,Dataset!$J:$J,"&gt;="&amp;$AC38,Dataset!$J:$J,"&lt;"&amp;$AD38,Dataset!$AH:$AH,"bono corporativo",Dataset!$T:$T,"&lt;&gt;UF",Dataset!$T:$T,"&lt;&gt;$",Dataset!$AC:$AC,"*AA*")</f>
        <v>0</v>
      </c>
      <c r="L38" s="25">
        <f>SUMIFS(Dataset!$AA:$AA,Dataset!$F:$F,Resumen!K$8,Dataset!$J:$J,"&gt;="&amp;$AC38,Dataset!$J:$J,"&lt;"&amp;$AD38,Dataset!$AH:$AH,"bono corporativo",Dataset!$T:$T,"&lt;&gt;UF",Dataset!$T:$T,"&lt;&gt;$",Dataset!$AC:$AC,"*AA*")</f>
        <v>0</v>
      </c>
      <c r="M38" s="24">
        <f>SUMIFS(Dataset!$AJ:$AJ,Dataset!$F:$F,Resumen!M$8,Dataset!$J:$J,"&gt;="&amp;$AC38,Dataset!$J:$J,"&lt;"&amp;$AD38,Dataset!$AH:$AH,"bono corporativo",Dataset!$T:$T,"&lt;&gt;UF",Dataset!$T:$T,"&lt;&gt;$",Dataset!$AC:$AC,"*AA*")</f>
        <v>0</v>
      </c>
      <c r="N38" s="25">
        <f>SUMIFS(Dataset!$AA:$AA,Dataset!$F:$F,Resumen!M$8,Dataset!$J:$J,"&gt;="&amp;$AC38,Dataset!$J:$J,"&lt;"&amp;$AD38,Dataset!$AH:$AH,"bono corporativo",Dataset!$T:$T,"&lt;&gt;UF",Dataset!$T:$T,"&lt;&gt;$",Dataset!$AC:$AC,"*AA*")</f>
        <v>0</v>
      </c>
      <c r="O38" s="24">
        <f>SUMIFS(Dataset!$AJ:$AJ,Dataset!$F:$F,Resumen!O$8,Dataset!$J:$J,"&gt;="&amp;$AC38,Dataset!$J:$J,"&lt;"&amp;$AD38,Dataset!$AH:$AH,"bono corporativo",Dataset!$T:$T,"&lt;&gt;UF",Dataset!$T:$T,"&lt;&gt;$",Dataset!$AC:$AC,"*AA*")</f>
        <v>0</v>
      </c>
      <c r="P38" s="25">
        <f>SUMIFS(Dataset!$AA:$AA,Dataset!$F:$F,Resumen!O$8,Dataset!$J:$J,"&gt;="&amp;$AC38,Dataset!$J:$J,"&lt;"&amp;$AD38,Dataset!$AH:$AH,"bono corporativo",Dataset!$T:$T,"&lt;&gt;UF",Dataset!$T:$T,"&lt;&gt;$",Dataset!$AC:$AC,"*AA*")</f>
        <v>0</v>
      </c>
      <c r="Q38" s="24">
        <f>SUMIFS(Dataset!$AJ:$AJ,Dataset!$F:$F,Resumen!Q$8,Dataset!$J:$J,"&gt;="&amp;$AC38,Dataset!$J:$J,"&lt;"&amp;$AD38,Dataset!$AH:$AH,"bono corporativo",Dataset!$T:$T,"&lt;&gt;UF",Dataset!$T:$T,"&lt;&gt;$",Dataset!$AC:$AC,"*AA*")</f>
        <v>0</v>
      </c>
      <c r="R38" s="25">
        <f>SUMIFS(Dataset!$AA:$AA,Dataset!$F:$F,Resumen!Q$8,Dataset!$J:$J,"&gt;="&amp;$AC38,Dataset!$J:$J,"&lt;"&amp;$AD38,Dataset!$AH:$AH,"bono corporativo",Dataset!$T:$T,"&lt;&gt;UF",Dataset!$T:$T,"&lt;&gt;$",Dataset!$AC:$AC,"*AA*")</f>
        <v>0</v>
      </c>
      <c r="S38" s="24">
        <f>SUMIFS(Dataset!$AJ:$AJ,Dataset!$F:$F,Resumen!S$8,Dataset!$J:$J,"&gt;="&amp;$AC38,Dataset!$J:$J,"&lt;"&amp;$AD38,Dataset!$AH:$AH,"bono corporativo",Dataset!$T:$T,"&lt;&gt;UF",Dataset!$T:$T,"&lt;&gt;$",Dataset!$AC:$AC,"*AA*")</f>
        <v>0</v>
      </c>
      <c r="T38" s="25">
        <f>SUMIFS(Dataset!$AA:$AA,Dataset!$F:$F,Resumen!S$8,Dataset!$J:$J,"&gt;="&amp;$AC38,Dataset!$J:$J,"&lt;"&amp;$AD38,Dataset!$AH:$AH,"bono corporativo",Dataset!$T:$T,"&lt;&gt;UF",Dataset!$T:$T,"&lt;&gt;$",Dataset!$AC:$AC,"*AA*")</f>
        <v>0</v>
      </c>
      <c r="U38" s="24">
        <f>SUMIFS(Dataset!$AJ:$AJ,Dataset!$F:$F,Resumen!U$8,Dataset!$J:$J,"&gt;="&amp;$AC38,Dataset!$J:$J,"&lt;"&amp;$AD38,Dataset!$AH:$AH,"bono corporativo",Dataset!$T:$T,"&lt;&gt;UF",Dataset!$T:$T,"&lt;&gt;$",Dataset!$AC:$AC,"*AA*")</f>
        <v>0</v>
      </c>
      <c r="V38" s="25">
        <f>SUMIFS(Dataset!$AA:$AA,Dataset!$F:$F,Resumen!U$8,Dataset!$J:$J,"&gt;="&amp;$AC38,Dataset!$J:$J,"&lt;"&amp;$AD38,Dataset!$AH:$AH,"bono corporativo",Dataset!$T:$T,"&lt;&gt;UF",Dataset!$T:$T,"&lt;&gt;$",Dataset!$AC:$AC,"*AA*")</f>
        <v>0</v>
      </c>
      <c r="W38" s="24">
        <f>SUMIFS(Dataset!$AJ:$AJ,Dataset!$F:$F,Resumen!W$8,Dataset!$J:$J,"&gt;="&amp;$AC38,Dataset!$J:$J,"&lt;"&amp;$AD38,Dataset!$AH:$AH,"bono corporativo",Dataset!$T:$T,"&lt;&gt;UF",Dataset!$T:$T,"&lt;&gt;$",Dataset!$AC:$AC,"*AA*")</f>
        <v>0</v>
      </c>
      <c r="X38" s="25">
        <f>SUMIFS(Dataset!$AA:$AA,Dataset!$F:$F,Resumen!W$8,Dataset!$J:$J,"&gt;="&amp;$AC38,Dataset!$J:$J,"&lt;"&amp;$AD38,Dataset!$AH:$AH,"bono corporativo",Dataset!$T:$T,"&lt;&gt;UF",Dataset!$T:$T,"&lt;&gt;$",Dataset!$AC:$AC,"*AA*")</f>
        <v>0</v>
      </c>
      <c r="Y38" s="24">
        <f>SUMIFS(Dataset!$AJ:$AJ,Dataset!$F:$F,Resumen!Y$8,Dataset!$J:$J,"&gt;="&amp;$AC38,Dataset!$J:$J,"&lt;"&amp;$AD38,Dataset!$AH:$AH,"bono corporativo",Dataset!$T:$T,"&lt;&gt;UF",Dataset!$T:$T,"&lt;&gt;$",Dataset!$AC:$AC,"*AA*")</f>
        <v>0</v>
      </c>
      <c r="Z38" s="25">
        <f>SUMIFS(Dataset!$AA:$AA,Dataset!$F:$F,Resumen!Y$8,Dataset!$J:$J,"&gt;="&amp;$AC38,Dataset!$J:$J,"&lt;"&amp;$AD38,Dataset!$AH:$AH,"bono corporativo",Dataset!$T:$T,"&lt;&gt;UF",Dataset!$T:$T,"&lt;&gt;$",Dataset!$AC:$AC,"*AA*")</f>
        <v>0</v>
      </c>
      <c r="AA38" s="24">
        <f>SUMIFS(Dataset!$AJ:$AJ,Dataset!$F:$F,Resumen!AA$8,Dataset!$J:$J,"&gt;="&amp;$AC38,Dataset!$J:$J,"&lt;"&amp;$AD38,Dataset!$AH:$AH,"bono corporativo",Dataset!$T:$T,"&lt;&gt;UF",Dataset!$T:$T,"&lt;&gt;$",Dataset!$AC:$AC,"*AA*")</f>
        <v>0</v>
      </c>
      <c r="AB38" s="25">
        <f>SUMIFS(Dataset!$AA:$AA,Dataset!$F:$F,Resumen!AA$8,Dataset!$J:$J,"&gt;="&amp;$AC38,Dataset!$J:$J,"&lt;"&amp;$AD38,Dataset!$AH:$AH,"bono corporativo",Dataset!$T:$T,"&lt;&gt;UF",Dataset!$T:$T,"&lt;&gt;$",Dataset!$AC:$AC,"*AA*")</f>
        <v>0</v>
      </c>
      <c r="AC38" s="22">
        <v>0</v>
      </c>
      <c r="AD38" s="22">
        <v>3</v>
      </c>
    </row>
    <row r="39" spans="2:30" ht="30" customHeight="1" x14ac:dyDescent="0.3">
      <c r="B39" s="159"/>
      <c r="C39" s="158"/>
      <c r="D39" s="31" t="s">
        <v>124</v>
      </c>
      <c r="E39" s="27">
        <f>SUMIFS(Dataset!$AJ:$AJ,Dataset!$F:$F,Resumen!E$8,Dataset!$J:$J,"&gt;="&amp;$AC39,Dataset!$J:$J,"&lt;"&amp;$AD39,Dataset!$AH:$AH,"bono corporativo",Dataset!$T:$T,"&lt;&gt;UF",Dataset!$T:$T,"&lt;&gt;$",Dataset!$AC:$AC,"*AA*")</f>
        <v>0</v>
      </c>
      <c r="F39" s="28">
        <f>SUMIFS(Dataset!$AA:$AA,Dataset!$F:$F,Resumen!E$8,Dataset!$J:$J,"&gt;="&amp;$AC39,Dataset!$J:$J,"&lt;"&amp;$AD39,Dataset!$AH:$AH,"bono corporativo",Dataset!$T:$T,"&lt;&gt;UF",Dataset!$T:$T,"&lt;&gt;$",Dataset!$AC:$AC,"*AA*")</f>
        <v>0</v>
      </c>
      <c r="G39" s="27">
        <f>SUMIFS(Dataset!$AJ:$AJ,Dataset!$F:$F,Resumen!G$8,Dataset!$J:$J,"&gt;="&amp;$AC39,Dataset!$J:$J,"&lt;"&amp;$AD39,Dataset!$AH:$AH,"bono corporativo",Dataset!$T:$T,"&lt;&gt;UF",Dataset!$T:$T,"&lt;&gt;$",Dataset!$AC:$AC,"*AA*")</f>
        <v>0</v>
      </c>
      <c r="H39" s="28">
        <f>SUMIFS(Dataset!$AA:$AA,Dataset!$F:$F,Resumen!G$8,Dataset!$J:$J,"&gt;="&amp;$AC39,Dataset!$J:$J,"&lt;"&amp;$AD39,Dataset!$AH:$AH,"bono corporativo",Dataset!$T:$T,"&lt;&gt;UF",Dataset!$T:$T,"&lt;&gt;$",Dataset!$AC:$AC,"*AA*")</f>
        <v>0</v>
      </c>
      <c r="I39" s="27">
        <f>SUMIFS(Dataset!$AJ:$AJ,Dataset!$F:$F,Resumen!I$8,Dataset!$J:$J,"&gt;="&amp;$AC39,Dataset!$J:$J,"&lt;"&amp;$AD39,Dataset!$AH:$AH,"bono corporativo",Dataset!$T:$T,"&lt;&gt;UF",Dataset!$T:$T,"&lt;&gt;$",Dataset!$AC:$AC,"*AA*")</f>
        <v>0</v>
      </c>
      <c r="J39" s="28">
        <f>SUMIFS(Dataset!$AA:$AA,Dataset!$F:$F,Resumen!I$8,Dataset!$J:$J,"&gt;="&amp;$AC39,Dataset!$J:$J,"&lt;"&amp;$AD39,Dataset!$AH:$AH,"bono corporativo",Dataset!$T:$T,"&lt;&gt;UF",Dataset!$T:$T,"&lt;&gt;$",Dataset!$AC:$AC,"*AA*")</f>
        <v>0</v>
      </c>
      <c r="K39" s="27">
        <f>SUMIFS(Dataset!$AJ:$AJ,Dataset!$F:$F,Resumen!K$8,Dataset!$J:$J,"&gt;="&amp;$AC39,Dataset!$J:$J,"&lt;"&amp;$AD39,Dataset!$AH:$AH,"bono corporativo",Dataset!$T:$T,"&lt;&gt;UF",Dataset!$T:$T,"&lt;&gt;$",Dataset!$AC:$AC,"*AA*")</f>
        <v>0</v>
      </c>
      <c r="L39" s="28">
        <f>SUMIFS(Dataset!$AA:$AA,Dataset!$F:$F,Resumen!K$8,Dataset!$J:$J,"&gt;="&amp;$AC39,Dataset!$J:$J,"&lt;"&amp;$AD39,Dataset!$AH:$AH,"bono corporativo",Dataset!$T:$T,"&lt;&gt;UF",Dataset!$T:$T,"&lt;&gt;$",Dataset!$AC:$AC,"*AA*")</f>
        <v>0</v>
      </c>
      <c r="M39" s="27">
        <f>SUMIFS(Dataset!$AJ:$AJ,Dataset!$F:$F,Resumen!M$8,Dataset!$J:$J,"&gt;="&amp;$AC39,Dataset!$J:$J,"&lt;"&amp;$AD39,Dataset!$AH:$AH,"bono corporativo",Dataset!$T:$T,"&lt;&gt;UF",Dataset!$T:$T,"&lt;&gt;$",Dataset!$AC:$AC,"*AA*")</f>
        <v>0</v>
      </c>
      <c r="N39" s="28">
        <f>SUMIFS(Dataset!$AA:$AA,Dataset!$F:$F,Resumen!M$8,Dataset!$J:$J,"&gt;="&amp;$AC39,Dataset!$J:$J,"&lt;"&amp;$AD39,Dataset!$AH:$AH,"bono corporativo",Dataset!$T:$T,"&lt;&gt;UF",Dataset!$T:$T,"&lt;&gt;$",Dataset!$AC:$AC,"*AA*")</f>
        <v>0</v>
      </c>
      <c r="O39" s="27">
        <f>SUMIFS(Dataset!$AJ:$AJ,Dataset!$F:$F,Resumen!O$8,Dataset!$J:$J,"&gt;="&amp;$AC39,Dataset!$J:$J,"&lt;"&amp;$AD39,Dataset!$AH:$AH,"bono corporativo",Dataset!$T:$T,"&lt;&gt;UF",Dataset!$T:$T,"&lt;&gt;$",Dataset!$AC:$AC,"*AA*")</f>
        <v>0</v>
      </c>
      <c r="P39" s="28">
        <f>SUMIFS(Dataset!$AA:$AA,Dataset!$F:$F,Resumen!O$8,Dataset!$J:$J,"&gt;="&amp;$AC39,Dataset!$J:$J,"&lt;"&amp;$AD39,Dataset!$AH:$AH,"bono corporativo",Dataset!$T:$T,"&lt;&gt;UF",Dataset!$T:$T,"&lt;&gt;$",Dataset!$AC:$AC,"*AA*")</f>
        <v>0</v>
      </c>
      <c r="Q39" s="27">
        <f>SUMIFS(Dataset!$AJ:$AJ,Dataset!$F:$F,Resumen!Q$8,Dataset!$J:$J,"&gt;="&amp;$AC39,Dataset!$J:$J,"&lt;"&amp;$AD39,Dataset!$AH:$AH,"bono corporativo",Dataset!$T:$T,"&lt;&gt;UF",Dataset!$T:$T,"&lt;&gt;$",Dataset!$AC:$AC,"*AA*")</f>
        <v>0</v>
      </c>
      <c r="R39" s="28">
        <f>SUMIFS(Dataset!$AA:$AA,Dataset!$F:$F,Resumen!Q$8,Dataset!$J:$J,"&gt;="&amp;$AC39,Dataset!$J:$J,"&lt;"&amp;$AD39,Dataset!$AH:$AH,"bono corporativo",Dataset!$T:$T,"&lt;&gt;UF",Dataset!$T:$T,"&lt;&gt;$",Dataset!$AC:$AC,"*AA*")</f>
        <v>0</v>
      </c>
      <c r="S39" s="27">
        <f>SUMIFS(Dataset!$AJ:$AJ,Dataset!$F:$F,Resumen!S$8,Dataset!$J:$J,"&gt;="&amp;$AC39,Dataset!$J:$J,"&lt;"&amp;$AD39,Dataset!$AH:$AH,"bono corporativo",Dataset!$T:$T,"&lt;&gt;UF",Dataset!$T:$T,"&lt;&gt;$",Dataset!$AC:$AC,"*AA*")</f>
        <v>0</v>
      </c>
      <c r="T39" s="28">
        <f>SUMIFS(Dataset!$AA:$AA,Dataset!$F:$F,Resumen!S$8,Dataset!$J:$J,"&gt;="&amp;$AC39,Dataset!$J:$J,"&lt;"&amp;$AD39,Dataset!$AH:$AH,"bono corporativo",Dataset!$T:$T,"&lt;&gt;UF",Dataset!$T:$T,"&lt;&gt;$",Dataset!$AC:$AC,"*AA*")</f>
        <v>0</v>
      </c>
      <c r="U39" s="27">
        <f>SUMIFS(Dataset!$AJ:$AJ,Dataset!$F:$F,Resumen!U$8,Dataset!$J:$J,"&gt;="&amp;$AC39,Dataset!$J:$J,"&lt;"&amp;$AD39,Dataset!$AH:$AH,"bono corporativo",Dataset!$T:$T,"&lt;&gt;UF",Dataset!$T:$T,"&lt;&gt;$",Dataset!$AC:$AC,"*AA*")</f>
        <v>0</v>
      </c>
      <c r="V39" s="28">
        <f>SUMIFS(Dataset!$AA:$AA,Dataset!$F:$F,Resumen!U$8,Dataset!$J:$J,"&gt;="&amp;$AC39,Dataset!$J:$J,"&lt;"&amp;$AD39,Dataset!$AH:$AH,"bono corporativo",Dataset!$T:$T,"&lt;&gt;UF",Dataset!$T:$T,"&lt;&gt;$",Dataset!$AC:$AC,"*AA*")</f>
        <v>0</v>
      </c>
      <c r="W39" s="27">
        <f>SUMIFS(Dataset!$AJ:$AJ,Dataset!$F:$F,Resumen!W$8,Dataset!$J:$J,"&gt;="&amp;$AC39,Dataset!$J:$J,"&lt;"&amp;$AD39,Dataset!$AH:$AH,"bono corporativo",Dataset!$T:$T,"&lt;&gt;UF",Dataset!$T:$T,"&lt;&gt;$",Dataset!$AC:$AC,"*AA*")</f>
        <v>0</v>
      </c>
      <c r="X39" s="28">
        <f>SUMIFS(Dataset!$AA:$AA,Dataset!$F:$F,Resumen!W$8,Dataset!$J:$J,"&gt;="&amp;$AC39,Dataset!$J:$J,"&lt;"&amp;$AD39,Dataset!$AH:$AH,"bono corporativo",Dataset!$T:$T,"&lt;&gt;UF",Dataset!$T:$T,"&lt;&gt;$",Dataset!$AC:$AC,"*AA*")</f>
        <v>0</v>
      </c>
      <c r="Y39" s="27">
        <f>SUMIFS(Dataset!$AJ:$AJ,Dataset!$F:$F,Resumen!Y$8,Dataset!$J:$J,"&gt;="&amp;$AC39,Dataset!$J:$J,"&lt;"&amp;$AD39,Dataset!$AH:$AH,"bono corporativo",Dataset!$T:$T,"&lt;&gt;UF",Dataset!$T:$T,"&lt;&gt;$",Dataset!$AC:$AC,"*AA*")</f>
        <v>0</v>
      </c>
      <c r="Z39" s="28">
        <f>SUMIFS(Dataset!$AA:$AA,Dataset!$F:$F,Resumen!Y$8,Dataset!$J:$J,"&gt;="&amp;$AC39,Dataset!$J:$J,"&lt;"&amp;$AD39,Dataset!$AH:$AH,"bono corporativo",Dataset!$T:$T,"&lt;&gt;UF",Dataset!$T:$T,"&lt;&gt;$",Dataset!$AC:$AC,"*AA*")</f>
        <v>0</v>
      </c>
      <c r="AA39" s="27">
        <f>SUMIFS(Dataset!$AJ:$AJ,Dataset!$F:$F,Resumen!AA$8,Dataset!$J:$J,"&gt;="&amp;$AC39,Dataset!$J:$J,"&lt;"&amp;$AD39,Dataset!$AH:$AH,"bono corporativo",Dataset!$T:$T,"&lt;&gt;UF",Dataset!$T:$T,"&lt;&gt;$",Dataset!$AC:$AC,"*AA*")</f>
        <v>0</v>
      </c>
      <c r="AB39" s="28">
        <f>SUMIFS(Dataset!$AA:$AA,Dataset!$F:$F,Resumen!AA$8,Dataset!$J:$J,"&gt;="&amp;$AC39,Dataset!$J:$J,"&lt;"&amp;$AD39,Dataset!$AH:$AH,"bono corporativo",Dataset!$T:$T,"&lt;&gt;UF",Dataset!$T:$T,"&lt;&gt;$",Dataset!$AC:$AC,"*AA*")</f>
        <v>0</v>
      </c>
      <c r="AC39" s="22">
        <v>3</v>
      </c>
      <c r="AD39" s="22">
        <v>5</v>
      </c>
    </row>
    <row r="40" spans="2:30" ht="30" customHeight="1" x14ac:dyDescent="0.3">
      <c r="B40" s="159"/>
      <c r="C40" s="158"/>
      <c r="D40" s="31" t="s">
        <v>125</v>
      </c>
      <c r="E40" s="27">
        <f>SUMIFS(Dataset!$AJ:$AJ,Dataset!$F:$F,Resumen!E$8,Dataset!$J:$J,"&gt;="&amp;$AC40,Dataset!$J:$J,"&lt;"&amp;$AD40,Dataset!$AH:$AH,"bono corporativo",Dataset!$T:$T,"&lt;&gt;UF",Dataset!$T:$T,"&lt;&gt;$",Dataset!$AC:$AC,"*AA*")</f>
        <v>0</v>
      </c>
      <c r="F40" s="28">
        <f>SUMIFS(Dataset!$AA:$AA,Dataset!$F:$F,Resumen!E$8,Dataset!$J:$J,"&gt;="&amp;$AC40,Dataset!$J:$J,"&lt;"&amp;$AD40,Dataset!$AH:$AH,"bono corporativo",Dataset!$T:$T,"&lt;&gt;UF",Dataset!$T:$T,"&lt;&gt;$",Dataset!$AC:$AC,"*AA*")</f>
        <v>0</v>
      </c>
      <c r="G40" s="27">
        <f>SUMIFS(Dataset!$AJ:$AJ,Dataset!$F:$F,Resumen!G$8,Dataset!$J:$J,"&gt;="&amp;$AC40,Dataset!$J:$J,"&lt;"&amp;$AD40,Dataset!$AH:$AH,"bono corporativo",Dataset!$T:$T,"&lt;&gt;UF",Dataset!$T:$T,"&lt;&gt;$",Dataset!$AC:$AC,"*AA*")</f>
        <v>0</v>
      </c>
      <c r="H40" s="28">
        <f>SUMIFS(Dataset!$AA:$AA,Dataset!$F:$F,Resumen!G$8,Dataset!$J:$J,"&gt;="&amp;$AC40,Dataset!$J:$J,"&lt;"&amp;$AD40,Dataset!$AH:$AH,"bono corporativo",Dataset!$T:$T,"&lt;&gt;UF",Dataset!$T:$T,"&lt;&gt;$",Dataset!$AC:$AC,"*AA*")</f>
        <v>0</v>
      </c>
      <c r="I40" s="27">
        <f>SUMIFS(Dataset!$AJ:$AJ,Dataset!$F:$F,Resumen!I$8,Dataset!$J:$J,"&gt;="&amp;$AC40,Dataset!$J:$J,"&lt;"&amp;$AD40,Dataset!$AH:$AH,"bono corporativo",Dataset!$T:$T,"&lt;&gt;UF",Dataset!$T:$T,"&lt;&gt;$",Dataset!$AC:$AC,"*AA*")</f>
        <v>0</v>
      </c>
      <c r="J40" s="28">
        <f>SUMIFS(Dataset!$AA:$AA,Dataset!$F:$F,Resumen!I$8,Dataset!$J:$J,"&gt;="&amp;$AC40,Dataset!$J:$J,"&lt;"&amp;$AD40,Dataset!$AH:$AH,"bono corporativo",Dataset!$T:$T,"&lt;&gt;UF",Dataset!$T:$T,"&lt;&gt;$",Dataset!$AC:$AC,"*AA*")</f>
        <v>0</v>
      </c>
      <c r="K40" s="27">
        <f>SUMIFS(Dataset!$AJ:$AJ,Dataset!$F:$F,Resumen!K$8,Dataset!$J:$J,"&gt;="&amp;$AC40,Dataset!$J:$J,"&lt;"&amp;$AD40,Dataset!$AH:$AH,"bono corporativo",Dataset!$T:$T,"&lt;&gt;UF",Dataset!$T:$T,"&lt;&gt;$",Dataset!$AC:$AC,"*AA*")</f>
        <v>0</v>
      </c>
      <c r="L40" s="28">
        <f>SUMIFS(Dataset!$AA:$AA,Dataset!$F:$F,Resumen!K$8,Dataset!$J:$J,"&gt;="&amp;$AC40,Dataset!$J:$J,"&lt;"&amp;$AD40,Dataset!$AH:$AH,"bono corporativo",Dataset!$T:$T,"&lt;&gt;UF",Dataset!$T:$T,"&lt;&gt;$",Dataset!$AC:$AC,"*AA*")</f>
        <v>0</v>
      </c>
      <c r="M40" s="27">
        <f>SUMIFS(Dataset!$AJ:$AJ,Dataset!$F:$F,Resumen!M$8,Dataset!$J:$J,"&gt;="&amp;$AC40,Dataset!$J:$J,"&lt;"&amp;$AD40,Dataset!$AH:$AH,"bono corporativo",Dataset!$T:$T,"&lt;&gt;UF",Dataset!$T:$T,"&lt;&gt;$",Dataset!$AC:$AC,"*AA*")</f>
        <v>0</v>
      </c>
      <c r="N40" s="28">
        <f>SUMIFS(Dataset!$AA:$AA,Dataset!$F:$F,Resumen!M$8,Dataset!$J:$J,"&gt;="&amp;$AC40,Dataset!$J:$J,"&lt;"&amp;$AD40,Dataset!$AH:$AH,"bono corporativo",Dataset!$T:$T,"&lt;&gt;UF",Dataset!$T:$T,"&lt;&gt;$",Dataset!$AC:$AC,"*AA*")</f>
        <v>0</v>
      </c>
      <c r="O40" s="27">
        <f>SUMIFS(Dataset!$AJ:$AJ,Dataset!$F:$F,Resumen!O$8,Dataset!$J:$J,"&gt;="&amp;$AC40,Dataset!$J:$J,"&lt;"&amp;$AD40,Dataset!$AH:$AH,"bono corporativo",Dataset!$T:$T,"&lt;&gt;UF",Dataset!$T:$T,"&lt;&gt;$",Dataset!$AC:$AC,"*AA*")</f>
        <v>0</v>
      </c>
      <c r="P40" s="28">
        <f>SUMIFS(Dataset!$AA:$AA,Dataset!$F:$F,Resumen!O$8,Dataset!$J:$J,"&gt;="&amp;$AC40,Dataset!$J:$J,"&lt;"&amp;$AD40,Dataset!$AH:$AH,"bono corporativo",Dataset!$T:$T,"&lt;&gt;UF",Dataset!$T:$T,"&lt;&gt;$",Dataset!$AC:$AC,"*AA*")</f>
        <v>0</v>
      </c>
      <c r="Q40" s="27">
        <f>SUMIFS(Dataset!$AJ:$AJ,Dataset!$F:$F,Resumen!Q$8,Dataset!$J:$J,"&gt;="&amp;$AC40,Dataset!$J:$J,"&lt;"&amp;$AD40,Dataset!$AH:$AH,"bono corporativo",Dataset!$T:$T,"&lt;&gt;UF",Dataset!$T:$T,"&lt;&gt;$",Dataset!$AC:$AC,"*AA*")</f>
        <v>0</v>
      </c>
      <c r="R40" s="28">
        <f>SUMIFS(Dataset!$AA:$AA,Dataset!$F:$F,Resumen!Q$8,Dataset!$J:$J,"&gt;="&amp;$AC40,Dataset!$J:$J,"&lt;"&amp;$AD40,Dataset!$AH:$AH,"bono corporativo",Dataset!$T:$T,"&lt;&gt;UF",Dataset!$T:$T,"&lt;&gt;$",Dataset!$AC:$AC,"*AA*")</f>
        <v>0</v>
      </c>
      <c r="S40" s="27">
        <f>SUMIFS(Dataset!$AJ:$AJ,Dataset!$F:$F,Resumen!S$8,Dataset!$J:$J,"&gt;="&amp;$AC40,Dataset!$J:$J,"&lt;"&amp;$AD40,Dataset!$AH:$AH,"bono corporativo",Dataset!$T:$T,"&lt;&gt;UF",Dataset!$T:$T,"&lt;&gt;$",Dataset!$AC:$AC,"*AA*")</f>
        <v>0</v>
      </c>
      <c r="T40" s="28">
        <f>SUMIFS(Dataset!$AA:$AA,Dataset!$F:$F,Resumen!S$8,Dataset!$J:$J,"&gt;="&amp;$AC40,Dataset!$J:$J,"&lt;"&amp;$AD40,Dataset!$AH:$AH,"bono corporativo",Dataset!$T:$T,"&lt;&gt;UF",Dataset!$T:$T,"&lt;&gt;$",Dataset!$AC:$AC,"*AA*")</f>
        <v>0</v>
      </c>
      <c r="U40" s="27">
        <f>SUMIFS(Dataset!$AJ:$AJ,Dataset!$F:$F,Resumen!U$8,Dataset!$J:$J,"&gt;="&amp;$AC40,Dataset!$J:$J,"&lt;"&amp;$AD40,Dataset!$AH:$AH,"bono corporativo",Dataset!$T:$T,"&lt;&gt;UF",Dataset!$T:$T,"&lt;&gt;$",Dataset!$AC:$AC,"*AA*")</f>
        <v>0</v>
      </c>
      <c r="V40" s="28">
        <f>SUMIFS(Dataset!$AA:$AA,Dataset!$F:$F,Resumen!U$8,Dataset!$J:$J,"&gt;="&amp;$AC40,Dataset!$J:$J,"&lt;"&amp;$AD40,Dataset!$AH:$AH,"bono corporativo",Dataset!$T:$T,"&lt;&gt;UF",Dataset!$T:$T,"&lt;&gt;$",Dataset!$AC:$AC,"*AA*")</f>
        <v>0</v>
      </c>
      <c r="W40" s="27">
        <f>SUMIFS(Dataset!$AJ:$AJ,Dataset!$F:$F,Resumen!W$8,Dataset!$J:$J,"&gt;="&amp;$AC40,Dataset!$J:$J,"&lt;"&amp;$AD40,Dataset!$AH:$AH,"bono corporativo",Dataset!$T:$T,"&lt;&gt;UF",Dataset!$T:$T,"&lt;&gt;$",Dataset!$AC:$AC,"*AA*")</f>
        <v>0</v>
      </c>
      <c r="X40" s="28">
        <f>SUMIFS(Dataset!$AA:$AA,Dataset!$F:$F,Resumen!W$8,Dataset!$J:$J,"&gt;="&amp;$AC40,Dataset!$J:$J,"&lt;"&amp;$AD40,Dataset!$AH:$AH,"bono corporativo",Dataset!$T:$T,"&lt;&gt;UF",Dataset!$T:$T,"&lt;&gt;$",Dataset!$AC:$AC,"*AA*")</f>
        <v>0</v>
      </c>
      <c r="Y40" s="27">
        <f>SUMIFS(Dataset!$AJ:$AJ,Dataset!$F:$F,Resumen!Y$8,Dataset!$J:$J,"&gt;="&amp;$AC40,Dataset!$J:$J,"&lt;"&amp;$AD40,Dataset!$AH:$AH,"bono corporativo",Dataset!$T:$T,"&lt;&gt;UF",Dataset!$T:$T,"&lt;&gt;$",Dataset!$AC:$AC,"*AA*")</f>
        <v>0</v>
      </c>
      <c r="Z40" s="28">
        <f>SUMIFS(Dataset!$AA:$AA,Dataset!$F:$F,Resumen!Y$8,Dataset!$J:$J,"&gt;="&amp;$AC40,Dataset!$J:$J,"&lt;"&amp;$AD40,Dataset!$AH:$AH,"bono corporativo",Dataset!$T:$T,"&lt;&gt;UF",Dataset!$T:$T,"&lt;&gt;$",Dataset!$AC:$AC,"*AA*")</f>
        <v>0</v>
      </c>
      <c r="AA40" s="27">
        <f>SUMIFS(Dataset!$AJ:$AJ,Dataset!$F:$F,Resumen!AA$8,Dataset!$J:$J,"&gt;="&amp;$AC40,Dataset!$J:$J,"&lt;"&amp;$AD40,Dataset!$AH:$AH,"bono corporativo",Dataset!$T:$T,"&lt;&gt;UF",Dataset!$T:$T,"&lt;&gt;$",Dataset!$AC:$AC,"*AA*")</f>
        <v>0</v>
      </c>
      <c r="AB40" s="28">
        <f>SUMIFS(Dataset!$AA:$AA,Dataset!$F:$F,Resumen!AA$8,Dataset!$J:$J,"&gt;="&amp;$AC40,Dataset!$J:$J,"&lt;"&amp;$AD40,Dataset!$AH:$AH,"bono corporativo",Dataset!$T:$T,"&lt;&gt;UF",Dataset!$T:$T,"&lt;&gt;$",Dataset!$AC:$AC,"*AA*")</f>
        <v>0</v>
      </c>
      <c r="AC40" s="22">
        <v>5</v>
      </c>
      <c r="AD40" s="22">
        <v>10</v>
      </c>
    </row>
    <row r="41" spans="2:30" ht="30" customHeight="1" x14ac:dyDescent="0.3">
      <c r="B41" s="159"/>
      <c r="C41" s="158"/>
      <c r="D41" s="31" t="s">
        <v>126</v>
      </c>
      <c r="E41" s="29">
        <f>SUMIFS(Dataset!$AJ:$AJ,Dataset!$F:$F,Resumen!E$8,Dataset!$J:$J,"&gt;="&amp;$AC41,Dataset!$J:$J,"&lt;"&amp;$AD41,Dataset!$AH:$AH,"bono corporativo",Dataset!$T:$T,"&lt;&gt;UF",Dataset!$T:$T,"&lt;&gt;$",Dataset!$AC:$AC,"*AA*")</f>
        <v>0</v>
      </c>
      <c r="F41" s="30">
        <f>SUMIFS(Dataset!$AA:$AA,Dataset!$F:$F,Resumen!E$8,Dataset!$J:$J,"&gt;="&amp;$AC41,Dataset!$J:$J,"&lt;"&amp;$AD41,Dataset!$AH:$AH,"bono corporativo",Dataset!$T:$T,"&lt;&gt;UF",Dataset!$T:$T,"&lt;&gt;$",Dataset!$AC:$AC,"*AA*")</f>
        <v>0</v>
      </c>
      <c r="G41" s="29">
        <f>SUMIFS(Dataset!$AJ:$AJ,Dataset!$F:$F,Resumen!G$8,Dataset!$J:$J,"&gt;="&amp;$AC41,Dataset!$J:$J,"&lt;"&amp;$AD41,Dataset!$AH:$AH,"bono corporativo",Dataset!$T:$T,"&lt;&gt;UF",Dataset!$T:$T,"&lt;&gt;$",Dataset!$AC:$AC,"*AA*")</f>
        <v>0</v>
      </c>
      <c r="H41" s="30">
        <f>SUMIFS(Dataset!$AA:$AA,Dataset!$F:$F,Resumen!G$8,Dataset!$J:$J,"&gt;="&amp;$AC41,Dataset!$J:$J,"&lt;"&amp;$AD41,Dataset!$AH:$AH,"bono corporativo",Dataset!$T:$T,"&lt;&gt;UF",Dataset!$T:$T,"&lt;&gt;$",Dataset!$AC:$AC,"*AA*")</f>
        <v>0</v>
      </c>
      <c r="I41" s="29">
        <f>SUMIFS(Dataset!$AJ:$AJ,Dataset!$F:$F,Resumen!I$8,Dataset!$J:$J,"&gt;="&amp;$AC41,Dataset!$J:$J,"&lt;"&amp;$AD41,Dataset!$AH:$AH,"bono corporativo",Dataset!$T:$T,"&lt;&gt;UF",Dataset!$T:$T,"&lt;&gt;$",Dataset!$AC:$AC,"*AA*")</f>
        <v>0</v>
      </c>
      <c r="J41" s="30">
        <f>SUMIFS(Dataset!$AA:$AA,Dataset!$F:$F,Resumen!I$8,Dataset!$J:$J,"&gt;="&amp;$AC41,Dataset!$J:$J,"&lt;"&amp;$AD41,Dataset!$AH:$AH,"bono corporativo",Dataset!$T:$T,"&lt;&gt;UF",Dataset!$T:$T,"&lt;&gt;$",Dataset!$AC:$AC,"*AA*")</f>
        <v>0</v>
      </c>
      <c r="K41" s="29">
        <f>SUMIFS(Dataset!$AJ:$AJ,Dataset!$F:$F,Resumen!K$8,Dataset!$J:$J,"&gt;="&amp;$AC41,Dataset!$J:$J,"&lt;"&amp;$AD41,Dataset!$AH:$AH,"bono corporativo",Dataset!$T:$T,"&lt;&gt;UF",Dataset!$T:$T,"&lt;&gt;$",Dataset!$AC:$AC,"*AA*")</f>
        <v>0</v>
      </c>
      <c r="L41" s="30">
        <f>SUMIFS(Dataset!$AA:$AA,Dataset!$F:$F,Resumen!K$8,Dataset!$J:$J,"&gt;="&amp;$AC41,Dataset!$J:$J,"&lt;"&amp;$AD41,Dataset!$AH:$AH,"bono corporativo",Dataset!$T:$T,"&lt;&gt;UF",Dataset!$T:$T,"&lt;&gt;$",Dataset!$AC:$AC,"*AA*")</f>
        <v>0</v>
      </c>
      <c r="M41" s="29">
        <f>SUMIFS(Dataset!$AJ:$AJ,Dataset!$F:$F,Resumen!M$8,Dataset!$J:$J,"&gt;="&amp;$AC41,Dataset!$J:$J,"&lt;"&amp;$AD41,Dataset!$AH:$AH,"bono corporativo",Dataset!$T:$T,"&lt;&gt;UF",Dataset!$T:$T,"&lt;&gt;$",Dataset!$AC:$AC,"*AA*")</f>
        <v>0</v>
      </c>
      <c r="N41" s="30">
        <f>SUMIFS(Dataset!$AA:$AA,Dataset!$F:$F,Resumen!M$8,Dataset!$J:$J,"&gt;="&amp;$AC41,Dataset!$J:$J,"&lt;"&amp;$AD41,Dataset!$AH:$AH,"bono corporativo",Dataset!$T:$T,"&lt;&gt;UF",Dataset!$T:$T,"&lt;&gt;$",Dataset!$AC:$AC,"*AA*")</f>
        <v>0</v>
      </c>
      <c r="O41" s="29">
        <f>SUMIFS(Dataset!$AJ:$AJ,Dataset!$F:$F,Resumen!O$8,Dataset!$J:$J,"&gt;="&amp;$AC41,Dataset!$J:$J,"&lt;"&amp;$AD41,Dataset!$AH:$AH,"bono corporativo",Dataset!$T:$T,"&lt;&gt;UF",Dataset!$T:$T,"&lt;&gt;$",Dataset!$AC:$AC,"*AA*")</f>
        <v>0</v>
      </c>
      <c r="P41" s="30">
        <f>SUMIFS(Dataset!$AA:$AA,Dataset!$F:$F,Resumen!O$8,Dataset!$J:$J,"&gt;="&amp;$AC41,Dataset!$J:$J,"&lt;"&amp;$AD41,Dataset!$AH:$AH,"bono corporativo",Dataset!$T:$T,"&lt;&gt;UF",Dataset!$T:$T,"&lt;&gt;$",Dataset!$AC:$AC,"*AA*")</f>
        <v>0</v>
      </c>
      <c r="Q41" s="29">
        <f>SUMIFS(Dataset!$AJ:$AJ,Dataset!$F:$F,Resumen!Q$8,Dataset!$J:$J,"&gt;="&amp;$AC41,Dataset!$J:$J,"&lt;"&amp;$AD41,Dataset!$AH:$AH,"bono corporativo",Dataset!$T:$T,"&lt;&gt;UF",Dataset!$T:$T,"&lt;&gt;$",Dataset!$AC:$AC,"*AA*")</f>
        <v>0</v>
      </c>
      <c r="R41" s="30">
        <f>SUMIFS(Dataset!$AA:$AA,Dataset!$F:$F,Resumen!Q$8,Dataset!$J:$J,"&gt;="&amp;$AC41,Dataset!$J:$J,"&lt;"&amp;$AD41,Dataset!$AH:$AH,"bono corporativo",Dataset!$T:$T,"&lt;&gt;UF",Dataset!$T:$T,"&lt;&gt;$",Dataset!$AC:$AC,"*AA*")</f>
        <v>0</v>
      </c>
      <c r="S41" s="29">
        <f>SUMIFS(Dataset!$AJ:$AJ,Dataset!$F:$F,Resumen!S$8,Dataset!$J:$J,"&gt;="&amp;$AC41,Dataset!$J:$J,"&lt;"&amp;$AD41,Dataset!$AH:$AH,"bono corporativo",Dataset!$T:$T,"&lt;&gt;UF",Dataset!$T:$T,"&lt;&gt;$",Dataset!$AC:$AC,"*AA*")</f>
        <v>0</v>
      </c>
      <c r="T41" s="30">
        <f>SUMIFS(Dataset!$AA:$AA,Dataset!$F:$F,Resumen!S$8,Dataset!$J:$J,"&gt;="&amp;$AC41,Dataset!$J:$J,"&lt;"&amp;$AD41,Dataset!$AH:$AH,"bono corporativo",Dataset!$T:$T,"&lt;&gt;UF",Dataset!$T:$T,"&lt;&gt;$",Dataset!$AC:$AC,"*AA*")</f>
        <v>0</v>
      </c>
      <c r="U41" s="29">
        <f>SUMIFS(Dataset!$AJ:$AJ,Dataset!$F:$F,Resumen!U$8,Dataset!$J:$J,"&gt;="&amp;$AC41,Dataset!$J:$J,"&lt;"&amp;$AD41,Dataset!$AH:$AH,"bono corporativo",Dataset!$T:$T,"&lt;&gt;UF",Dataset!$T:$T,"&lt;&gt;$",Dataset!$AC:$AC,"*AA*")</f>
        <v>0</v>
      </c>
      <c r="V41" s="30">
        <f>SUMIFS(Dataset!$AA:$AA,Dataset!$F:$F,Resumen!U$8,Dataset!$J:$J,"&gt;="&amp;$AC41,Dataset!$J:$J,"&lt;"&amp;$AD41,Dataset!$AH:$AH,"bono corporativo",Dataset!$T:$T,"&lt;&gt;UF",Dataset!$T:$T,"&lt;&gt;$",Dataset!$AC:$AC,"*AA*")</f>
        <v>0</v>
      </c>
      <c r="W41" s="29">
        <f>SUMIFS(Dataset!$AJ:$AJ,Dataset!$F:$F,Resumen!W$8,Dataset!$J:$J,"&gt;="&amp;$AC41,Dataset!$J:$J,"&lt;"&amp;$AD41,Dataset!$AH:$AH,"bono corporativo",Dataset!$T:$T,"&lt;&gt;UF",Dataset!$T:$T,"&lt;&gt;$",Dataset!$AC:$AC,"*AA*")</f>
        <v>0</v>
      </c>
      <c r="X41" s="30">
        <f>SUMIFS(Dataset!$AA:$AA,Dataset!$F:$F,Resumen!W$8,Dataset!$J:$J,"&gt;="&amp;$AC41,Dataset!$J:$J,"&lt;"&amp;$AD41,Dataset!$AH:$AH,"bono corporativo",Dataset!$T:$T,"&lt;&gt;UF",Dataset!$T:$T,"&lt;&gt;$",Dataset!$AC:$AC,"*AA*")</f>
        <v>0</v>
      </c>
      <c r="Y41" s="29">
        <f>SUMIFS(Dataset!$AJ:$AJ,Dataset!$F:$F,Resumen!Y$8,Dataset!$J:$J,"&gt;="&amp;$AC41,Dataset!$J:$J,"&lt;"&amp;$AD41,Dataset!$AH:$AH,"bono corporativo",Dataset!$T:$T,"&lt;&gt;UF",Dataset!$T:$T,"&lt;&gt;$",Dataset!$AC:$AC,"*AA*")</f>
        <v>0</v>
      </c>
      <c r="Z41" s="30">
        <f>SUMIFS(Dataset!$AA:$AA,Dataset!$F:$F,Resumen!Y$8,Dataset!$J:$J,"&gt;="&amp;$AC41,Dataset!$J:$J,"&lt;"&amp;$AD41,Dataset!$AH:$AH,"bono corporativo",Dataset!$T:$T,"&lt;&gt;UF",Dataset!$T:$T,"&lt;&gt;$",Dataset!$AC:$AC,"*AA*")</f>
        <v>0</v>
      </c>
      <c r="AA41" s="29">
        <f>SUMIFS(Dataset!$AJ:$AJ,Dataset!$F:$F,Resumen!AA$8,Dataset!$J:$J,"&gt;="&amp;$AC41,Dataset!$J:$J,"&lt;"&amp;$AD41,Dataset!$AH:$AH,"bono corporativo",Dataset!$T:$T,"&lt;&gt;UF",Dataset!$T:$T,"&lt;&gt;$",Dataset!$AC:$AC,"*AA*")</f>
        <v>0</v>
      </c>
      <c r="AB41" s="30">
        <f>SUMIFS(Dataset!$AA:$AA,Dataset!$F:$F,Resumen!AA$8,Dataset!$J:$J,"&gt;="&amp;$AC41,Dataset!$J:$J,"&lt;"&amp;$AD41,Dataset!$AH:$AH,"bono corporativo",Dataset!$T:$T,"&lt;&gt;UF",Dataset!$T:$T,"&lt;&gt;$",Dataset!$AC:$AC,"*AA*")</f>
        <v>0</v>
      </c>
      <c r="AC41" s="22">
        <v>10</v>
      </c>
      <c r="AD41" s="22">
        <v>100</v>
      </c>
    </row>
    <row r="42" spans="2:30" ht="30" customHeight="1" x14ac:dyDescent="0.3">
      <c r="B42" s="159"/>
      <c r="C42" s="158" t="s">
        <v>130</v>
      </c>
      <c r="D42" s="31" t="s">
        <v>123</v>
      </c>
      <c r="E42" s="33">
        <f>SUMIFS(Dataset!$AJ:$AJ,Dataset!$F:$F,Resumen!E$8,Dataset!$J:$J,"&gt;="&amp;$AC42,Dataset!$J:$J,"&lt;"&amp;$AD42,Dataset!$AH:$AH,"bono corporativo",Dataset!$T:$T,"&lt;&gt;UF",Dataset!$T:$T,"&lt;&gt;$",Dataset!$AC:$AC,"&lt;&gt;*AA*")</f>
        <v>0</v>
      </c>
      <c r="F42" s="34">
        <f>SUMIFS(Dataset!$AA:$AA,Dataset!$F:$F,Resumen!E$8,Dataset!$J:$J,"&gt;="&amp;$AC42,Dataset!$J:$J,"&lt;"&amp;$AD42,Dataset!$AH:$AH,"bono corporativo",Dataset!$T:$T,"&lt;&gt;UF",Dataset!$T:$T,"&lt;&gt;$",Dataset!$AC:$AC,"&lt;&gt;*AA*")</f>
        <v>0</v>
      </c>
      <c r="G42" s="33">
        <f>SUMIFS(Dataset!$AJ:$AJ,Dataset!$F:$F,Resumen!G$8,Dataset!$J:$J,"&gt;="&amp;$AC42,Dataset!$J:$J,"&lt;"&amp;$AD42,Dataset!$AH:$AH,"bono corporativo",Dataset!$T:$T,"&lt;&gt;UF",Dataset!$T:$T,"&lt;&gt;$",Dataset!$AC:$AC,"&lt;&gt;*AA*")</f>
        <v>0</v>
      </c>
      <c r="H42" s="34">
        <f>SUMIFS(Dataset!$AA:$AA,Dataset!$F:$F,Resumen!G$8,Dataset!$J:$J,"&gt;="&amp;$AC42,Dataset!$J:$J,"&lt;"&amp;$AD42,Dataset!$AH:$AH,"bono corporativo",Dataset!$T:$T,"&lt;&gt;UF",Dataset!$T:$T,"&lt;&gt;$",Dataset!$AC:$AC,"&lt;&gt;*AA*")</f>
        <v>0</v>
      </c>
      <c r="I42" s="33">
        <f>SUMIFS(Dataset!$AJ:$AJ,Dataset!$F:$F,Resumen!I$8,Dataset!$J:$J,"&gt;="&amp;$AC42,Dataset!$J:$J,"&lt;"&amp;$AD42,Dataset!$AH:$AH,"bono corporativo",Dataset!$T:$T,"&lt;&gt;UF",Dataset!$T:$T,"&lt;&gt;$",Dataset!$AC:$AC,"&lt;&gt;*AA*")</f>
        <v>0</v>
      </c>
      <c r="J42" s="34">
        <f>SUMIFS(Dataset!$AA:$AA,Dataset!$F:$F,Resumen!I$8,Dataset!$J:$J,"&gt;="&amp;$AC42,Dataset!$J:$J,"&lt;"&amp;$AD42,Dataset!$AH:$AH,"bono corporativo",Dataset!$T:$T,"&lt;&gt;UF",Dataset!$T:$T,"&lt;&gt;$",Dataset!$AC:$AC,"&lt;&gt;*AA*")</f>
        <v>0</v>
      </c>
      <c r="K42" s="33">
        <f>SUMIFS(Dataset!$AJ:$AJ,Dataset!$F:$F,Resumen!K$8,Dataset!$J:$J,"&gt;="&amp;$AC42,Dataset!$J:$J,"&lt;"&amp;$AD42,Dataset!$AH:$AH,"bono corporativo",Dataset!$T:$T,"&lt;&gt;UF",Dataset!$T:$T,"&lt;&gt;$",Dataset!$AC:$AC,"&lt;&gt;*AA*")</f>
        <v>0</v>
      </c>
      <c r="L42" s="34">
        <f>SUMIFS(Dataset!$AA:$AA,Dataset!$F:$F,Resumen!K$8,Dataset!$J:$J,"&gt;="&amp;$AC42,Dataset!$J:$J,"&lt;"&amp;$AD42,Dataset!$AH:$AH,"bono corporativo",Dataset!$T:$T,"&lt;&gt;UF",Dataset!$T:$T,"&lt;&gt;$",Dataset!$AC:$AC,"&lt;&gt;*AA*")</f>
        <v>0</v>
      </c>
      <c r="M42" s="33">
        <f>SUMIFS(Dataset!$AJ:$AJ,Dataset!$F:$F,Resumen!M$8,Dataset!$J:$J,"&gt;="&amp;$AC42,Dataset!$J:$J,"&lt;"&amp;$AD42,Dataset!$AH:$AH,"bono corporativo",Dataset!$T:$T,"&lt;&gt;UF",Dataset!$T:$T,"&lt;&gt;$",Dataset!$AC:$AC,"&lt;&gt;*AA*")</f>
        <v>0</v>
      </c>
      <c r="N42" s="34">
        <f>SUMIFS(Dataset!$AA:$AA,Dataset!$F:$F,Resumen!M$8,Dataset!$J:$J,"&gt;="&amp;$AC42,Dataset!$J:$J,"&lt;"&amp;$AD42,Dataset!$AH:$AH,"bono corporativo",Dataset!$T:$T,"&lt;&gt;UF",Dataset!$T:$T,"&lt;&gt;$",Dataset!$AC:$AC,"&lt;&gt;*AA*")</f>
        <v>0</v>
      </c>
      <c r="O42" s="33">
        <f>SUMIFS(Dataset!$AJ:$AJ,Dataset!$F:$F,Resumen!O$8,Dataset!$J:$J,"&gt;="&amp;$AC42,Dataset!$J:$J,"&lt;"&amp;$AD42,Dataset!$AH:$AH,"bono corporativo",Dataset!$T:$T,"&lt;&gt;UF",Dataset!$T:$T,"&lt;&gt;$",Dataset!$AC:$AC,"&lt;&gt;*AA*")</f>
        <v>0</v>
      </c>
      <c r="P42" s="34">
        <f>SUMIFS(Dataset!$AA:$AA,Dataset!$F:$F,Resumen!O$8,Dataset!$J:$J,"&gt;="&amp;$AC42,Dataset!$J:$J,"&lt;"&amp;$AD42,Dataset!$AH:$AH,"bono corporativo",Dataset!$T:$T,"&lt;&gt;UF",Dataset!$T:$T,"&lt;&gt;$",Dataset!$AC:$AC,"&lt;&gt;*AA*")</f>
        <v>0</v>
      </c>
      <c r="Q42" s="33">
        <f>SUMIFS(Dataset!$AJ:$AJ,Dataset!$F:$F,Resumen!Q$8,Dataset!$J:$J,"&gt;="&amp;$AC42,Dataset!$J:$J,"&lt;"&amp;$AD42,Dataset!$AH:$AH,"bono corporativo",Dataset!$T:$T,"&lt;&gt;UF",Dataset!$T:$T,"&lt;&gt;$",Dataset!$AC:$AC,"&lt;&gt;*AA*")</f>
        <v>0</v>
      </c>
      <c r="R42" s="34">
        <f>SUMIFS(Dataset!$AA:$AA,Dataset!$F:$F,Resumen!Q$8,Dataset!$J:$J,"&gt;="&amp;$AC42,Dataset!$J:$J,"&lt;"&amp;$AD42,Dataset!$AH:$AH,"bono corporativo",Dataset!$T:$T,"&lt;&gt;UF",Dataset!$T:$T,"&lt;&gt;$",Dataset!$AC:$AC,"&lt;&gt;*AA*")</f>
        <v>0</v>
      </c>
      <c r="S42" s="33">
        <f>SUMIFS(Dataset!$AJ:$AJ,Dataset!$F:$F,Resumen!S$8,Dataset!$J:$J,"&gt;="&amp;$AC42,Dataset!$J:$J,"&lt;"&amp;$AD42,Dataset!$AH:$AH,"bono corporativo",Dataset!$T:$T,"&lt;&gt;UF",Dataset!$T:$T,"&lt;&gt;$",Dataset!$AC:$AC,"&lt;&gt;*AA*")</f>
        <v>0</v>
      </c>
      <c r="T42" s="34">
        <f>SUMIFS(Dataset!$AA:$AA,Dataset!$F:$F,Resumen!S$8,Dataset!$J:$J,"&gt;="&amp;$AC42,Dataset!$J:$J,"&lt;"&amp;$AD42,Dataset!$AH:$AH,"bono corporativo",Dataset!$T:$T,"&lt;&gt;UF",Dataset!$T:$T,"&lt;&gt;$",Dataset!$AC:$AC,"&lt;&gt;*AA*")</f>
        <v>0</v>
      </c>
      <c r="U42" s="33">
        <f>SUMIFS(Dataset!$AJ:$AJ,Dataset!$F:$F,Resumen!U$8,Dataset!$J:$J,"&gt;="&amp;$AC42,Dataset!$J:$J,"&lt;"&amp;$AD42,Dataset!$AH:$AH,"bono corporativo",Dataset!$T:$T,"&lt;&gt;UF",Dataset!$T:$T,"&lt;&gt;$",Dataset!$AC:$AC,"&lt;&gt;*AA*")</f>
        <v>0</v>
      </c>
      <c r="V42" s="34">
        <f>SUMIFS(Dataset!$AA:$AA,Dataset!$F:$F,Resumen!U$8,Dataset!$J:$J,"&gt;="&amp;$AC42,Dataset!$J:$J,"&lt;"&amp;$AD42,Dataset!$AH:$AH,"bono corporativo",Dataset!$T:$T,"&lt;&gt;UF",Dataset!$T:$T,"&lt;&gt;$",Dataset!$AC:$AC,"&lt;&gt;*AA*")</f>
        <v>0</v>
      </c>
      <c r="W42" s="33">
        <f>SUMIFS(Dataset!$AJ:$AJ,Dataset!$F:$F,Resumen!W$8,Dataset!$J:$J,"&gt;="&amp;$AC42,Dataset!$J:$J,"&lt;"&amp;$AD42,Dataset!$AH:$AH,"bono corporativo",Dataset!$T:$T,"&lt;&gt;UF",Dataset!$T:$T,"&lt;&gt;$",Dataset!$AC:$AC,"&lt;&gt;*AA*")</f>
        <v>0</v>
      </c>
      <c r="X42" s="34">
        <f>SUMIFS(Dataset!$AA:$AA,Dataset!$F:$F,Resumen!W$8,Dataset!$J:$J,"&gt;="&amp;$AC42,Dataset!$J:$J,"&lt;"&amp;$AD42,Dataset!$AH:$AH,"bono corporativo",Dataset!$T:$T,"&lt;&gt;UF",Dataset!$T:$T,"&lt;&gt;$",Dataset!$AC:$AC,"&lt;&gt;*AA*")</f>
        <v>0</v>
      </c>
      <c r="Y42" s="33">
        <f>SUMIFS(Dataset!$AJ:$AJ,Dataset!$F:$F,Resumen!Y$8,Dataset!$J:$J,"&gt;="&amp;$AC42,Dataset!$J:$J,"&lt;"&amp;$AD42,Dataset!$AH:$AH,"bono corporativo",Dataset!$T:$T,"&lt;&gt;UF",Dataset!$T:$T,"&lt;&gt;$",Dataset!$AC:$AC,"&lt;&gt;*AA*")</f>
        <v>0</v>
      </c>
      <c r="Z42" s="34">
        <f>SUMIFS(Dataset!$AA:$AA,Dataset!$F:$F,Resumen!Y$8,Dataset!$J:$J,"&gt;="&amp;$AC42,Dataset!$J:$J,"&lt;"&amp;$AD42,Dataset!$AH:$AH,"bono corporativo",Dataset!$T:$T,"&lt;&gt;UF",Dataset!$T:$T,"&lt;&gt;$",Dataset!$AC:$AC,"&lt;&gt;*AA*")</f>
        <v>0</v>
      </c>
      <c r="AA42" s="33">
        <f>SUMIFS(Dataset!$AJ:$AJ,Dataset!$F:$F,Resumen!AA$8,Dataset!$J:$J,"&gt;="&amp;$AC42,Dataset!$J:$J,"&lt;"&amp;$AD42,Dataset!$AH:$AH,"bono corporativo",Dataset!$T:$T,"&lt;&gt;UF",Dataset!$T:$T,"&lt;&gt;$",Dataset!$AC:$AC,"&lt;&gt;*AA*")</f>
        <v>0</v>
      </c>
      <c r="AB42" s="34">
        <f>SUMIFS(Dataset!$AA:$AA,Dataset!$F:$F,Resumen!AA$8,Dataset!$J:$J,"&gt;="&amp;$AC42,Dataset!$J:$J,"&lt;"&amp;$AD42,Dataset!$AH:$AH,"bono corporativo",Dataset!$T:$T,"&lt;&gt;UF",Dataset!$T:$T,"&lt;&gt;$",Dataset!$AC:$AC,"&lt;&gt;*AA*")</f>
        <v>0</v>
      </c>
      <c r="AC42" s="22">
        <v>0</v>
      </c>
      <c r="AD42" s="22">
        <v>3</v>
      </c>
    </row>
    <row r="43" spans="2:30" ht="30" customHeight="1" x14ac:dyDescent="0.3">
      <c r="B43" s="159"/>
      <c r="C43" s="158"/>
      <c r="D43" s="31" t="s">
        <v>124</v>
      </c>
      <c r="E43" s="27">
        <f>SUMIFS(Dataset!$AJ:$AJ,Dataset!$F:$F,Resumen!E$8,Dataset!$J:$J,"&gt;="&amp;$AC43,Dataset!$J:$J,"&lt;"&amp;$AD43,Dataset!$AH:$AH,"bono corporativo",Dataset!$T:$T,"&lt;&gt;UF",Dataset!$T:$T,"&lt;&gt;$",Dataset!$AC:$AC,"&lt;&gt;*AA*")</f>
        <v>0</v>
      </c>
      <c r="F43" s="28">
        <f>SUMIFS(Dataset!$AA:$AA,Dataset!$F:$F,Resumen!E$8,Dataset!$J:$J,"&gt;="&amp;$AC43,Dataset!$J:$J,"&lt;"&amp;$AD43,Dataset!$AH:$AH,"bono corporativo",Dataset!$T:$T,"&lt;&gt;UF",Dataset!$T:$T,"&lt;&gt;$",Dataset!$AC:$AC,"&lt;&gt;*AA*")</f>
        <v>0</v>
      </c>
      <c r="G43" s="27">
        <f>SUMIFS(Dataset!$AJ:$AJ,Dataset!$F:$F,Resumen!G$8,Dataset!$J:$J,"&gt;="&amp;$AC43,Dataset!$J:$J,"&lt;"&amp;$AD43,Dataset!$AH:$AH,"bono corporativo",Dataset!$T:$T,"&lt;&gt;UF",Dataset!$T:$T,"&lt;&gt;$",Dataset!$AC:$AC,"&lt;&gt;*AA*")</f>
        <v>0</v>
      </c>
      <c r="H43" s="28">
        <f>SUMIFS(Dataset!$AA:$AA,Dataset!$F:$F,Resumen!G$8,Dataset!$J:$J,"&gt;="&amp;$AC43,Dataset!$J:$J,"&lt;"&amp;$AD43,Dataset!$AH:$AH,"bono corporativo",Dataset!$T:$T,"&lt;&gt;UF",Dataset!$T:$T,"&lt;&gt;$",Dataset!$AC:$AC,"&lt;&gt;*AA*")</f>
        <v>0</v>
      </c>
      <c r="I43" s="27">
        <f>SUMIFS(Dataset!$AJ:$AJ,Dataset!$F:$F,Resumen!I$8,Dataset!$J:$J,"&gt;="&amp;$AC43,Dataset!$J:$J,"&lt;"&amp;$AD43,Dataset!$AH:$AH,"bono corporativo",Dataset!$T:$T,"&lt;&gt;UF",Dataset!$T:$T,"&lt;&gt;$",Dataset!$AC:$AC,"&lt;&gt;*AA*")</f>
        <v>0</v>
      </c>
      <c r="J43" s="28">
        <f>SUMIFS(Dataset!$AA:$AA,Dataset!$F:$F,Resumen!I$8,Dataset!$J:$J,"&gt;="&amp;$AC43,Dataset!$J:$J,"&lt;"&amp;$AD43,Dataset!$AH:$AH,"bono corporativo",Dataset!$T:$T,"&lt;&gt;UF",Dataset!$T:$T,"&lt;&gt;$",Dataset!$AC:$AC,"&lt;&gt;*AA*")</f>
        <v>0</v>
      </c>
      <c r="K43" s="27">
        <f>SUMIFS(Dataset!$AJ:$AJ,Dataset!$F:$F,Resumen!K$8,Dataset!$J:$J,"&gt;="&amp;$AC43,Dataset!$J:$J,"&lt;"&amp;$AD43,Dataset!$AH:$AH,"bono corporativo",Dataset!$T:$T,"&lt;&gt;UF",Dataset!$T:$T,"&lt;&gt;$",Dataset!$AC:$AC,"&lt;&gt;*AA*")</f>
        <v>0</v>
      </c>
      <c r="L43" s="28">
        <f>SUMIFS(Dataset!$AA:$AA,Dataset!$F:$F,Resumen!K$8,Dataset!$J:$J,"&gt;="&amp;$AC43,Dataset!$J:$J,"&lt;"&amp;$AD43,Dataset!$AH:$AH,"bono corporativo",Dataset!$T:$T,"&lt;&gt;UF",Dataset!$T:$T,"&lt;&gt;$",Dataset!$AC:$AC,"&lt;&gt;*AA*")</f>
        <v>0</v>
      </c>
      <c r="M43" s="27">
        <f>SUMIFS(Dataset!$AJ:$AJ,Dataset!$F:$F,Resumen!M$8,Dataset!$J:$J,"&gt;="&amp;$AC43,Dataset!$J:$J,"&lt;"&amp;$AD43,Dataset!$AH:$AH,"bono corporativo",Dataset!$T:$T,"&lt;&gt;UF",Dataset!$T:$T,"&lt;&gt;$",Dataset!$AC:$AC,"&lt;&gt;*AA*")</f>
        <v>0</v>
      </c>
      <c r="N43" s="28">
        <f>SUMIFS(Dataset!$AA:$AA,Dataset!$F:$F,Resumen!M$8,Dataset!$J:$J,"&gt;="&amp;$AC43,Dataset!$J:$J,"&lt;"&amp;$AD43,Dataset!$AH:$AH,"bono corporativo",Dataset!$T:$T,"&lt;&gt;UF",Dataset!$T:$T,"&lt;&gt;$",Dataset!$AC:$AC,"&lt;&gt;*AA*")</f>
        <v>0</v>
      </c>
      <c r="O43" s="27">
        <f>SUMIFS(Dataset!$AJ:$AJ,Dataset!$F:$F,Resumen!O$8,Dataset!$J:$J,"&gt;="&amp;$AC43,Dataset!$J:$J,"&lt;"&amp;$AD43,Dataset!$AH:$AH,"bono corporativo",Dataset!$T:$T,"&lt;&gt;UF",Dataset!$T:$T,"&lt;&gt;$",Dataset!$AC:$AC,"&lt;&gt;*AA*")</f>
        <v>0</v>
      </c>
      <c r="P43" s="28">
        <f>SUMIFS(Dataset!$AA:$AA,Dataset!$F:$F,Resumen!O$8,Dataset!$J:$J,"&gt;="&amp;$AC43,Dataset!$J:$J,"&lt;"&amp;$AD43,Dataset!$AH:$AH,"bono corporativo",Dataset!$T:$T,"&lt;&gt;UF",Dataset!$T:$T,"&lt;&gt;$",Dataset!$AC:$AC,"&lt;&gt;*AA*")</f>
        <v>0</v>
      </c>
      <c r="Q43" s="27">
        <f>SUMIFS(Dataset!$AJ:$AJ,Dataset!$F:$F,Resumen!Q$8,Dataset!$J:$J,"&gt;="&amp;$AC43,Dataset!$J:$J,"&lt;"&amp;$AD43,Dataset!$AH:$AH,"bono corporativo",Dataset!$T:$T,"&lt;&gt;UF",Dataset!$T:$T,"&lt;&gt;$",Dataset!$AC:$AC,"&lt;&gt;*AA*")</f>
        <v>0</v>
      </c>
      <c r="R43" s="28">
        <f>SUMIFS(Dataset!$AA:$AA,Dataset!$F:$F,Resumen!Q$8,Dataset!$J:$J,"&gt;="&amp;$AC43,Dataset!$J:$J,"&lt;"&amp;$AD43,Dataset!$AH:$AH,"bono corporativo",Dataset!$T:$T,"&lt;&gt;UF",Dataset!$T:$T,"&lt;&gt;$",Dataset!$AC:$AC,"&lt;&gt;*AA*")</f>
        <v>0</v>
      </c>
      <c r="S43" s="27">
        <f>SUMIFS(Dataset!$AJ:$AJ,Dataset!$F:$F,Resumen!S$8,Dataset!$J:$J,"&gt;="&amp;$AC43,Dataset!$J:$J,"&lt;"&amp;$AD43,Dataset!$AH:$AH,"bono corporativo",Dataset!$T:$T,"&lt;&gt;UF",Dataset!$T:$T,"&lt;&gt;$",Dataset!$AC:$AC,"&lt;&gt;*AA*")</f>
        <v>0</v>
      </c>
      <c r="T43" s="28">
        <f>SUMIFS(Dataset!$AA:$AA,Dataset!$F:$F,Resumen!S$8,Dataset!$J:$J,"&gt;="&amp;$AC43,Dataset!$J:$J,"&lt;"&amp;$AD43,Dataset!$AH:$AH,"bono corporativo",Dataset!$T:$T,"&lt;&gt;UF",Dataset!$T:$T,"&lt;&gt;$",Dataset!$AC:$AC,"&lt;&gt;*AA*")</f>
        <v>0</v>
      </c>
      <c r="U43" s="27">
        <f>SUMIFS(Dataset!$AJ:$AJ,Dataset!$F:$F,Resumen!U$8,Dataset!$J:$J,"&gt;="&amp;$AC43,Dataset!$J:$J,"&lt;"&amp;$AD43,Dataset!$AH:$AH,"bono corporativo",Dataset!$T:$T,"&lt;&gt;UF",Dataset!$T:$T,"&lt;&gt;$",Dataset!$AC:$AC,"&lt;&gt;*AA*")</f>
        <v>0</v>
      </c>
      <c r="V43" s="28">
        <f>SUMIFS(Dataset!$AA:$AA,Dataset!$F:$F,Resumen!U$8,Dataset!$J:$J,"&gt;="&amp;$AC43,Dataset!$J:$J,"&lt;"&amp;$AD43,Dataset!$AH:$AH,"bono corporativo",Dataset!$T:$T,"&lt;&gt;UF",Dataset!$T:$T,"&lt;&gt;$",Dataset!$AC:$AC,"&lt;&gt;*AA*")</f>
        <v>0</v>
      </c>
      <c r="W43" s="27">
        <f>SUMIFS(Dataset!$AJ:$AJ,Dataset!$F:$F,Resumen!W$8,Dataset!$J:$J,"&gt;="&amp;$AC43,Dataset!$J:$J,"&lt;"&amp;$AD43,Dataset!$AH:$AH,"bono corporativo",Dataset!$T:$T,"&lt;&gt;UF",Dataset!$T:$T,"&lt;&gt;$",Dataset!$AC:$AC,"&lt;&gt;*AA*")</f>
        <v>0</v>
      </c>
      <c r="X43" s="28">
        <f>SUMIFS(Dataset!$AA:$AA,Dataset!$F:$F,Resumen!W$8,Dataset!$J:$J,"&gt;="&amp;$AC43,Dataset!$J:$J,"&lt;"&amp;$AD43,Dataset!$AH:$AH,"bono corporativo",Dataset!$T:$T,"&lt;&gt;UF",Dataset!$T:$T,"&lt;&gt;$",Dataset!$AC:$AC,"&lt;&gt;*AA*")</f>
        <v>0</v>
      </c>
      <c r="Y43" s="27">
        <f>SUMIFS(Dataset!$AJ:$AJ,Dataset!$F:$F,Resumen!Y$8,Dataset!$J:$J,"&gt;="&amp;$AC43,Dataset!$J:$J,"&lt;"&amp;$AD43,Dataset!$AH:$AH,"bono corporativo",Dataset!$T:$T,"&lt;&gt;UF",Dataset!$T:$T,"&lt;&gt;$",Dataset!$AC:$AC,"&lt;&gt;*AA*")</f>
        <v>0</v>
      </c>
      <c r="Z43" s="28">
        <f>SUMIFS(Dataset!$AA:$AA,Dataset!$F:$F,Resumen!Y$8,Dataset!$J:$J,"&gt;="&amp;$AC43,Dataset!$J:$J,"&lt;"&amp;$AD43,Dataset!$AH:$AH,"bono corporativo",Dataset!$T:$T,"&lt;&gt;UF",Dataset!$T:$T,"&lt;&gt;$",Dataset!$AC:$AC,"&lt;&gt;*AA*")</f>
        <v>0</v>
      </c>
      <c r="AA43" s="27">
        <f>SUMIFS(Dataset!$AJ:$AJ,Dataset!$F:$F,Resumen!AA$8,Dataset!$J:$J,"&gt;="&amp;$AC43,Dataset!$J:$J,"&lt;"&amp;$AD43,Dataset!$AH:$AH,"bono corporativo",Dataset!$T:$T,"&lt;&gt;UF",Dataset!$T:$T,"&lt;&gt;$",Dataset!$AC:$AC,"&lt;&gt;*AA*")</f>
        <v>0</v>
      </c>
      <c r="AB43" s="28">
        <f>SUMIFS(Dataset!$AA:$AA,Dataset!$F:$F,Resumen!AA$8,Dataset!$J:$J,"&gt;="&amp;$AC43,Dataset!$J:$J,"&lt;"&amp;$AD43,Dataset!$AH:$AH,"bono corporativo",Dataset!$T:$T,"&lt;&gt;UF",Dataset!$T:$T,"&lt;&gt;$",Dataset!$AC:$AC,"&lt;&gt;*AA*")</f>
        <v>0</v>
      </c>
      <c r="AC43" s="22">
        <v>3</v>
      </c>
      <c r="AD43" s="22">
        <v>5</v>
      </c>
    </row>
    <row r="44" spans="2:30" ht="30" customHeight="1" x14ac:dyDescent="0.3">
      <c r="B44" s="159"/>
      <c r="C44" s="158"/>
      <c r="D44" s="31" t="s">
        <v>125</v>
      </c>
      <c r="E44" s="27">
        <f>SUMIFS(Dataset!$AJ:$AJ,Dataset!$F:$F,Resumen!E$8,Dataset!$J:$J,"&gt;="&amp;$AC44,Dataset!$J:$J,"&lt;"&amp;$AD44,Dataset!$AH:$AH,"bono corporativo",Dataset!$T:$T,"&lt;&gt;UF",Dataset!$T:$T,"&lt;&gt;$",Dataset!$AC:$AC,"&lt;&gt;*AA*")</f>
        <v>0</v>
      </c>
      <c r="F44" s="28">
        <f>SUMIFS(Dataset!$AA:$AA,Dataset!$F:$F,Resumen!E$8,Dataset!$J:$J,"&gt;="&amp;$AC44,Dataset!$J:$J,"&lt;"&amp;$AD44,Dataset!$AH:$AH,"bono corporativo",Dataset!$T:$T,"&lt;&gt;UF",Dataset!$T:$T,"&lt;&gt;$",Dataset!$AC:$AC,"&lt;&gt;*AA*")</f>
        <v>0</v>
      </c>
      <c r="G44" s="27">
        <f>SUMIFS(Dataset!$AJ:$AJ,Dataset!$F:$F,Resumen!G$8,Dataset!$J:$J,"&gt;="&amp;$AC44,Dataset!$J:$J,"&lt;"&amp;$AD44,Dataset!$AH:$AH,"bono corporativo",Dataset!$T:$T,"&lt;&gt;UF",Dataset!$T:$T,"&lt;&gt;$",Dataset!$AC:$AC,"&lt;&gt;*AA*")</f>
        <v>0</v>
      </c>
      <c r="H44" s="28">
        <f>SUMIFS(Dataset!$AA:$AA,Dataset!$F:$F,Resumen!G$8,Dataset!$J:$J,"&gt;="&amp;$AC44,Dataset!$J:$J,"&lt;"&amp;$AD44,Dataset!$AH:$AH,"bono corporativo",Dataset!$T:$T,"&lt;&gt;UF",Dataset!$T:$T,"&lt;&gt;$",Dataset!$AC:$AC,"&lt;&gt;*AA*")</f>
        <v>0</v>
      </c>
      <c r="I44" s="27">
        <f>SUMIFS(Dataset!$AJ:$AJ,Dataset!$F:$F,Resumen!I$8,Dataset!$J:$J,"&gt;="&amp;$AC44,Dataset!$J:$J,"&lt;"&amp;$AD44,Dataset!$AH:$AH,"bono corporativo",Dataset!$T:$T,"&lt;&gt;UF",Dataset!$T:$T,"&lt;&gt;$",Dataset!$AC:$AC,"&lt;&gt;*AA*")</f>
        <v>0</v>
      </c>
      <c r="J44" s="28">
        <f>SUMIFS(Dataset!$AA:$AA,Dataset!$F:$F,Resumen!I$8,Dataset!$J:$J,"&gt;="&amp;$AC44,Dataset!$J:$J,"&lt;"&amp;$AD44,Dataset!$AH:$AH,"bono corporativo",Dataset!$T:$T,"&lt;&gt;UF",Dataset!$T:$T,"&lt;&gt;$",Dataset!$AC:$AC,"&lt;&gt;*AA*")</f>
        <v>0</v>
      </c>
      <c r="K44" s="27">
        <f>SUMIFS(Dataset!$AJ:$AJ,Dataset!$F:$F,Resumen!K$8,Dataset!$J:$J,"&gt;="&amp;$AC44,Dataset!$J:$J,"&lt;"&amp;$AD44,Dataset!$AH:$AH,"bono corporativo",Dataset!$T:$T,"&lt;&gt;UF",Dataset!$T:$T,"&lt;&gt;$",Dataset!$AC:$AC,"&lt;&gt;*AA*")</f>
        <v>0</v>
      </c>
      <c r="L44" s="28">
        <f>SUMIFS(Dataset!$AA:$AA,Dataset!$F:$F,Resumen!K$8,Dataset!$J:$J,"&gt;="&amp;$AC44,Dataset!$J:$J,"&lt;"&amp;$AD44,Dataset!$AH:$AH,"bono corporativo",Dataset!$T:$T,"&lt;&gt;UF",Dataset!$T:$T,"&lt;&gt;$",Dataset!$AC:$AC,"&lt;&gt;*AA*")</f>
        <v>0</v>
      </c>
      <c r="M44" s="27">
        <f>SUMIFS(Dataset!$AJ:$AJ,Dataset!$F:$F,Resumen!M$8,Dataset!$J:$J,"&gt;="&amp;$AC44,Dataset!$J:$J,"&lt;"&amp;$AD44,Dataset!$AH:$AH,"bono corporativo",Dataset!$T:$T,"&lt;&gt;UF",Dataset!$T:$T,"&lt;&gt;$",Dataset!$AC:$AC,"&lt;&gt;*AA*")</f>
        <v>0</v>
      </c>
      <c r="N44" s="28">
        <f>SUMIFS(Dataset!$AA:$AA,Dataset!$F:$F,Resumen!M$8,Dataset!$J:$J,"&gt;="&amp;$AC44,Dataset!$J:$J,"&lt;"&amp;$AD44,Dataset!$AH:$AH,"bono corporativo",Dataset!$T:$T,"&lt;&gt;UF",Dataset!$T:$T,"&lt;&gt;$",Dataset!$AC:$AC,"&lt;&gt;*AA*")</f>
        <v>0</v>
      </c>
      <c r="O44" s="27">
        <f>SUMIFS(Dataset!$AJ:$AJ,Dataset!$F:$F,Resumen!O$8,Dataset!$J:$J,"&gt;="&amp;$AC44,Dataset!$J:$J,"&lt;"&amp;$AD44,Dataset!$AH:$AH,"bono corporativo",Dataset!$T:$T,"&lt;&gt;UF",Dataset!$T:$T,"&lt;&gt;$",Dataset!$AC:$AC,"&lt;&gt;*AA*")</f>
        <v>0</v>
      </c>
      <c r="P44" s="28">
        <f>SUMIFS(Dataset!$AA:$AA,Dataset!$F:$F,Resumen!O$8,Dataset!$J:$J,"&gt;="&amp;$AC44,Dataset!$J:$J,"&lt;"&amp;$AD44,Dataset!$AH:$AH,"bono corporativo",Dataset!$T:$T,"&lt;&gt;UF",Dataset!$T:$T,"&lt;&gt;$",Dataset!$AC:$AC,"&lt;&gt;*AA*")</f>
        <v>0</v>
      </c>
      <c r="Q44" s="27">
        <f>SUMIFS(Dataset!$AJ:$AJ,Dataset!$F:$F,Resumen!Q$8,Dataset!$J:$J,"&gt;="&amp;$AC44,Dataset!$J:$J,"&lt;"&amp;$AD44,Dataset!$AH:$AH,"bono corporativo",Dataset!$T:$T,"&lt;&gt;UF",Dataset!$T:$T,"&lt;&gt;$",Dataset!$AC:$AC,"&lt;&gt;*AA*")</f>
        <v>0</v>
      </c>
      <c r="R44" s="28">
        <f>SUMIFS(Dataset!$AA:$AA,Dataset!$F:$F,Resumen!Q$8,Dataset!$J:$J,"&gt;="&amp;$AC44,Dataset!$J:$J,"&lt;"&amp;$AD44,Dataset!$AH:$AH,"bono corporativo",Dataset!$T:$T,"&lt;&gt;UF",Dataset!$T:$T,"&lt;&gt;$",Dataset!$AC:$AC,"&lt;&gt;*AA*")</f>
        <v>0</v>
      </c>
      <c r="S44" s="27">
        <f>SUMIFS(Dataset!$AJ:$AJ,Dataset!$F:$F,Resumen!S$8,Dataset!$J:$J,"&gt;="&amp;$AC44,Dataset!$J:$J,"&lt;"&amp;$AD44,Dataset!$AH:$AH,"bono corporativo",Dataset!$T:$T,"&lt;&gt;UF",Dataset!$T:$T,"&lt;&gt;$",Dataset!$AC:$AC,"&lt;&gt;*AA*")</f>
        <v>0</v>
      </c>
      <c r="T44" s="28">
        <f>SUMIFS(Dataset!$AA:$AA,Dataset!$F:$F,Resumen!S$8,Dataset!$J:$J,"&gt;="&amp;$AC44,Dataset!$J:$J,"&lt;"&amp;$AD44,Dataset!$AH:$AH,"bono corporativo",Dataset!$T:$T,"&lt;&gt;UF",Dataset!$T:$T,"&lt;&gt;$",Dataset!$AC:$AC,"&lt;&gt;*AA*")</f>
        <v>0</v>
      </c>
      <c r="U44" s="27">
        <f>SUMIFS(Dataset!$AJ:$AJ,Dataset!$F:$F,Resumen!U$8,Dataset!$J:$J,"&gt;="&amp;$AC44,Dataset!$J:$J,"&lt;"&amp;$AD44,Dataset!$AH:$AH,"bono corporativo",Dataset!$T:$T,"&lt;&gt;UF",Dataset!$T:$T,"&lt;&gt;$",Dataset!$AC:$AC,"&lt;&gt;*AA*")</f>
        <v>0</v>
      </c>
      <c r="V44" s="28">
        <f>SUMIFS(Dataset!$AA:$AA,Dataset!$F:$F,Resumen!U$8,Dataset!$J:$J,"&gt;="&amp;$AC44,Dataset!$J:$J,"&lt;"&amp;$AD44,Dataset!$AH:$AH,"bono corporativo",Dataset!$T:$T,"&lt;&gt;UF",Dataset!$T:$T,"&lt;&gt;$",Dataset!$AC:$AC,"&lt;&gt;*AA*")</f>
        <v>0</v>
      </c>
      <c r="W44" s="27">
        <f>SUMIFS(Dataset!$AJ:$AJ,Dataset!$F:$F,Resumen!W$8,Dataset!$J:$J,"&gt;="&amp;$AC44,Dataset!$J:$J,"&lt;"&amp;$AD44,Dataset!$AH:$AH,"bono corporativo",Dataset!$T:$T,"&lt;&gt;UF",Dataset!$T:$T,"&lt;&gt;$",Dataset!$AC:$AC,"&lt;&gt;*AA*")</f>
        <v>0</v>
      </c>
      <c r="X44" s="28">
        <f>SUMIFS(Dataset!$AA:$AA,Dataset!$F:$F,Resumen!W$8,Dataset!$J:$J,"&gt;="&amp;$AC44,Dataset!$J:$J,"&lt;"&amp;$AD44,Dataset!$AH:$AH,"bono corporativo",Dataset!$T:$T,"&lt;&gt;UF",Dataset!$T:$T,"&lt;&gt;$",Dataset!$AC:$AC,"&lt;&gt;*AA*")</f>
        <v>0</v>
      </c>
      <c r="Y44" s="27">
        <f>SUMIFS(Dataset!$AJ:$AJ,Dataset!$F:$F,Resumen!Y$8,Dataset!$J:$J,"&gt;="&amp;$AC44,Dataset!$J:$J,"&lt;"&amp;$AD44,Dataset!$AH:$AH,"bono corporativo",Dataset!$T:$T,"&lt;&gt;UF",Dataset!$T:$T,"&lt;&gt;$",Dataset!$AC:$AC,"&lt;&gt;*AA*")</f>
        <v>0</v>
      </c>
      <c r="Z44" s="28">
        <f>SUMIFS(Dataset!$AA:$AA,Dataset!$F:$F,Resumen!Y$8,Dataset!$J:$J,"&gt;="&amp;$AC44,Dataset!$J:$J,"&lt;"&amp;$AD44,Dataset!$AH:$AH,"bono corporativo",Dataset!$T:$T,"&lt;&gt;UF",Dataset!$T:$T,"&lt;&gt;$",Dataset!$AC:$AC,"&lt;&gt;*AA*")</f>
        <v>0</v>
      </c>
      <c r="AA44" s="27">
        <f>SUMIFS(Dataset!$AJ:$AJ,Dataset!$F:$F,Resumen!AA$8,Dataset!$J:$J,"&gt;="&amp;$AC44,Dataset!$J:$J,"&lt;"&amp;$AD44,Dataset!$AH:$AH,"bono corporativo",Dataset!$T:$T,"&lt;&gt;UF",Dataset!$T:$T,"&lt;&gt;$",Dataset!$AC:$AC,"&lt;&gt;*AA*")</f>
        <v>0</v>
      </c>
      <c r="AB44" s="28">
        <f>SUMIFS(Dataset!$AA:$AA,Dataset!$F:$F,Resumen!AA$8,Dataset!$J:$J,"&gt;="&amp;$AC44,Dataset!$J:$J,"&lt;"&amp;$AD44,Dataset!$AH:$AH,"bono corporativo",Dataset!$T:$T,"&lt;&gt;UF",Dataset!$T:$T,"&lt;&gt;$",Dataset!$AC:$AC,"&lt;&gt;*AA*")</f>
        <v>0</v>
      </c>
      <c r="AC44" s="22">
        <v>5</v>
      </c>
      <c r="AD44" s="22">
        <v>10</v>
      </c>
    </row>
    <row r="45" spans="2:30" ht="30" customHeight="1" x14ac:dyDescent="0.3">
      <c r="B45" s="159"/>
      <c r="C45" s="158"/>
      <c r="D45" s="31" t="s">
        <v>126</v>
      </c>
      <c r="E45" s="29">
        <f>SUMIFS(Dataset!$AJ:$AJ,Dataset!$F:$F,Resumen!E$8,Dataset!$J:$J,"&gt;="&amp;$AC45,Dataset!$J:$J,"&lt;"&amp;$AD45,Dataset!$AH:$AH,"bono corporativo",Dataset!$T:$T,"&lt;&gt;UF",Dataset!$T:$T,"&lt;&gt;$",Dataset!$AC:$AC,"&lt;&gt;*AA*")</f>
        <v>0</v>
      </c>
      <c r="F45" s="30">
        <f>SUMIFS(Dataset!$AA:$AA,Dataset!$F:$F,Resumen!E$8,Dataset!$J:$J,"&gt;="&amp;$AC45,Dataset!$J:$J,"&lt;"&amp;$AD45,Dataset!$AH:$AH,"bono corporativo",Dataset!$T:$T,"&lt;&gt;UF",Dataset!$T:$T,"&lt;&gt;$",Dataset!$AC:$AC,"&lt;&gt;*AA*")</f>
        <v>0</v>
      </c>
      <c r="G45" s="29">
        <f>SUMIFS(Dataset!$AJ:$AJ,Dataset!$F:$F,Resumen!G$8,Dataset!$J:$J,"&gt;="&amp;$AC45,Dataset!$J:$J,"&lt;"&amp;$AD45,Dataset!$AH:$AH,"bono corporativo",Dataset!$T:$T,"&lt;&gt;UF",Dataset!$T:$T,"&lt;&gt;$",Dataset!$AC:$AC,"&lt;&gt;*AA*")</f>
        <v>0</v>
      </c>
      <c r="H45" s="30">
        <f>SUMIFS(Dataset!$AA:$AA,Dataset!$F:$F,Resumen!G$8,Dataset!$J:$J,"&gt;="&amp;$AC45,Dataset!$J:$J,"&lt;"&amp;$AD45,Dataset!$AH:$AH,"bono corporativo",Dataset!$T:$T,"&lt;&gt;UF",Dataset!$T:$T,"&lt;&gt;$",Dataset!$AC:$AC,"&lt;&gt;*AA*")</f>
        <v>0</v>
      </c>
      <c r="I45" s="29">
        <f>SUMIFS(Dataset!$AJ:$AJ,Dataset!$F:$F,Resumen!I$8,Dataset!$J:$J,"&gt;="&amp;$AC45,Dataset!$J:$J,"&lt;"&amp;$AD45,Dataset!$AH:$AH,"bono corporativo",Dataset!$T:$T,"&lt;&gt;UF",Dataset!$T:$T,"&lt;&gt;$",Dataset!$AC:$AC,"&lt;&gt;*AA*")</f>
        <v>0</v>
      </c>
      <c r="J45" s="30">
        <f>SUMIFS(Dataset!$AA:$AA,Dataset!$F:$F,Resumen!I$8,Dataset!$J:$J,"&gt;="&amp;$AC45,Dataset!$J:$J,"&lt;"&amp;$AD45,Dataset!$AH:$AH,"bono corporativo",Dataset!$T:$T,"&lt;&gt;UF",Dataset!$T:$T,"&lt;&gt;$",Dataset!$AC:$AC,"&lt;&gt;*AA*")</f>
        <v>0</v>
      </c>
      <c r="K45" s="29">
        <f>SUMIFS(Dataset!$AJ:$AJ,Dataset!$F:$F,Resumen!K$8,Dataset!$J:$J,"&gt;="&amp;$AC45,Dataset!$J:$J,"&lt;"&amp;$AD45,Dataset!$AH:$AH,"bono corporativo",Dataset!$T:$T,"&lt;&gt;UF",Dataset!$T:$T,"&lt;&gt;$",Dataset!$AC:$AC,"&lt;&gt;*AA*")</f>
        <v>0</v>
      </c>
      <c r="L45" s="30">
        <f>SUMIFS(Dataset!$AA:$AA,Dataset!$F:$F,Resumen!K$8,Dataset!$J:$J,"&gt;="&amp;$AC45,Dataset!$J:$J,"&lt;"&amp;$AD45,Dataset!$AH:$AH,"bono corporativo",Dataset!$T:$T,"&lt;&gt;UF",Dataset!$T:$T,"&lt;&gt;$",Dataset!$AC:$AC,"&lt;&gt;*AA*")</f>
        <v>0</v>
      </c>
      <c r="M45" s="29">
        <f>SUMIFS(Dataset!$AJ:$AJ,Dataset!$F:$F,Resumen!M$8,Dataset!$J:$J,"&gt;="&amp;$AC45,Dataset!$J:$J,"&lt;"&amp;$AD45,Dataset!$AH:$AH,"bono corporativo",Dataset!$T:$T,"&lt;&gt;UF",Dataset!$T:$T,"&lt;&gt;$",Dataset!$AC:$AC,"&lt;&gt;*AA*")</f>
        <v>0</v>
      </c>
      <c r="N45" s="30">
        <f>SUMIFS(Dataset!$AA:$AA,Dataset!$F:$F,Resumen!M$8,Dataset!$J:$J,"&gt;="&amp;$AC45,Dataset!$J:$J,"&lt;"&amp;$AD45,Dataset!$AH:$AH,"bono corporativo",Dataset!$T:$T,"&lt;&gt;UF",Dataset!$T:$T,"&lt;&gt;$",Dataset!$AC:$AC,"&lt;&gt;*AA*")</f>
        <v>0</v>
      </c>
      <c r="O45" s="29">
        <f>SUMIFS(Dataset!$AJ:$AJ,Dataset!$F:$F,Resumen!O$8,Dataset!$J:$J,"&gt;="&amp;$AC45,Dataset!$J:$J,"&lt;"&amp;$AD45,Dataset!$AH:$AH,"bono corporativo",Dataset!$T:$T,"&lt;&gt;UF",Dataset!$T:$T,"&lt;&gt;$",Dataset!$AC:$AC,"&lt;&gt;*AA*")</f>
        <v>0</v>
      </c>
      <c r="P45" s="30">
        <f>SUMIFS(Dataset!$AA:$AA,Dataset!$F:$F,Resumen!O$8,Dataset!$J:$J,"&gt;="&amp;$AC45,Dataset!$J:$J,"&lt;"&amp;$AD45,Dataset!$AH:$AH,"bono corporativo",Dataset!$T:$T,"&lt;&gt;UF",Dataset!$T:$T,"&lt;&gt;$",Dataset!$AC:$AC,"&lt;&gt;*AA*")</f>
        <v>0</v>
      </c>
      <c r="Q45" s="29">
        <f>SUMIFS(Dataset!$AJ:$AJ,Dataset!$F:$F,Resumen!Q$8,Dataset!$J:$J,"&gt;="&amp;$AC45,Dataset!$J:$J,"&lt;"&amp;$AD45,Dataset!$AH:$AH,"bono corporativo",Dataset!$T:$T,"&lt;&gt;UF",Dataset!$T:$T,"&lt;&gt;$",Dataset!$AC:$AC,"&lt;&gt;*AA*")</f>
        <v>0</v>
      </c>
      <c r="R45" s="30">
        <f>SUMIFS(Dataset!$AA:$AA,Dataset!$F:$F,Resumen!Q$8,Dataset!$J:$J,"&gt;="&amp;$AC45,Dataset!$J:$J,"&lt;"&amp;$AD45,Dataset!$AH:$AH,"bono corporativo",Dataset!$T:$T,"&lt;&gt;UF",Dataset!$T:$T,"&lt;&gt;$",Dataset!$AC:$AC,"&lt;&gt;*AA*")</f>
        <v>0</v>
      </c>
      <c r="S45" s="29">
        <f>SUMIFS(Dataset!$AJ:$AJ,Dataset!$F:$F,Resumen!S$8,Dataset!$J:$J,"&gt;="&amp;$AC45,Dataset!$J:$J,"&lt;"&amp;$AD45,Dataset!$AH:$AH,"bono corporativo",Dataset!$T:$T,"&lt;&gt;UF",Dataset!$T:$T,"&lt;&gt;$",Dataset!$AC:$AC,"&lt;&gt;*AA*")</f>
        <v>0</v>
      </c>
      <c r="T45" s="30">
        <f>SUMIFS(Dataset!$AA:$AA,Dataset!$F:$F,Resumen!S$8,Dataset!$J:$J,"&gt;="&amp;$AC45,Dataset!$J:$J,"&lt;"&amp;$AD45,Dataset!$AH:$AH,"bono corporativo",Dataset!$T:$T,"&lt;&gt;UF",Dataset!$T:$T,"&lt;&gt;$",Dataset!$AC:$AC,"&lt;&gt;*AA*")</f>
        <v>0</v>
      </c>
      <c r="U45" s="29">
        <f>SUMIFS(Dataset!$AJ:$AJ,Dataset!$F:$F,Resumen!U$8,Dataset!$J:$J,"&gt;="&amp;$AC45,Dataset!$J:$J,"&lt;"&amp;$AD45,Dataset!$AH:$AH,"bono corporativo",Dataset!$T:$T,"&lt;&gt;UF",Dataset!$T:$T,"&lt;&gt;$",Dataset!$AC:$AC,"&lt;&gt;*AA*")</f>
        <v>0</v>
      </c>
      <c r="V45" s="30">
        <f>SUMIFS(Dataset!$AA:$AA,Dataset!$F:$F,Resumen!U$8,Dataset!$J:$J,"&gt;="&amp;$AC45,Dataset!$J:$J,"&lt;"&amp;$AD45,Dataset!$AH:$AH,"bono corporativo",Dataset!$T:$T,"&lt;&gt;UF",Dataset!$T:$T,"&lt;&gt;$",Dataset!$AC:$AC,"&lt;&gt;*AA*")</f>
        <v>0</v>
      </c>
      <c r="W45" s="29">
        <f>SUMIFS(Dataset!$AJ:$AJ,Dataset!$F:$F,Resumen!W$8,Dataset!$J:$J,"&gt;="&amp;$AC45,Dataset!$J:$J,"&lt;"&amp;$AD45,Dataset!$AH:$AH,"bono corporativo",Dataset!$T:$T,"&lt;&gt;UF",Dataset!$T:$T,"&lt;&gt;$",Dataset!$AC:$AC,"&lt;&gt;*AA*")</f>
        <v>0</v>
      </c>
      <c r="X45" s="30">
        <f>SUMIFS(Dataset!$AA:$AA,Dataset!$F:$F,Resumen!W$8,Dataset!$J:$J,"&gt;="&amp;$AC45,Dataset!$J:$J,"&lt;"&amp;$AD45,Dataset!$AH:$AH,"bono corporativo",Dataset!$T:$T,"&lt;&gt;UF",Dataset!$T:$T,"&lt;&gt;$",Dataset!$AC:$AC,"&lt;&gt;*AA*")</f>
        <v>0</v>
      </c>
      <c r="Y45" s="29">
        <f>SUMIFS(Dataset!$AJ:$AJ,Dataset!$F:$F,Resumen!Y$8,Dataset!$J:$J,"&gt;="&amp;$AC45,Dataset!$J:$J,"&lt;"&amp;$AD45,Dataset!$AH:$AH,"bono corporativo",Dataset!$T:$T,"&lt;&gt;UF",Dataset!$T:$T,"&lt;&gt;$",Dataset!$AC:$AC,"&lt;&gt;*AA*")</f>
        <v>0</v>
      </c>
      <c r="Z45" s="30">
        <f>SUMIFS(Dataset!$AA:$AA,Dataset!$F:$F,Resumen!Y$8,Dataset!$J:$J,"&gt;="&amp;$AC45,Dataset!$J:$J,"&lt;"&amp;$AD45,Dataset!$AH:$AH,"bono corporativo",Dataset!$T:$T,"&lt;&gt;UF",Dataset!$T:$T,"&lt;&gt;$",Dataset!$AC:$AC,"&lt;&gt;*AA*")</f>
        <v>0</v>
      </c>
      <c r="AA45" s="29">
        <f>SUMIFS(Dataset!$AJ:$AJ,Dataset!$F:$F,Resumen!AA$8,Dataset!$J:$J,"&gt;="&amp;$AC45,Dataset!$J:$J,"&lt;"&amp;$AD45,Dataset!$AH:$AH,"bono corporativo",Dataset!$T:$T,"&lt;&gt;UF",Dataset!$T:$T,"&lt;&gt;$",Dataset!$AC:$AC,"&lt;&gt;*AA*")</f>
        <v>0</v>
      </c>
      <c r="AB45" s="30">
        <f>SUMIFS(Dataset!$AA:$AA,Dataset!$F:$F,Resumen!AA$8,Dataset!$J:$J,"&gt;="&amp;$AC45,Dataset!$J:$J,"&lt;"&amp;$AD45,Dataset!$AH:$AH,"bono corporativo",Dataset!$T:$T,"&lt;&gt;UF",Dataset!$T:$T,"&lt;&gt;$",Dataset!$AC:$AC,"&lt;&gt;*AA*")</f>
        <v>0</v>
      </c>
      <c r="AC45" s="22">
        <v>10</v>
      </c>
      <c r="AD45" s="22">
        <v>100</v>
      </c>
    </row>
    <row r="46" spans="2:30" ht="30" customHeight="1" x14ac:dyDescent="0.3">
      <c r="B46" s="159" t="s">
        <v>132</v>
      </c>
      <c r="C46" s="160" t="s">
        <v>133</v>
      </c>
      <c r="D46" s="160"/>
      <c r="E46" s="24">
        <f>SUMIFS(Dataset!$AJ:$AJ,Dataset!$F:$F,Resumen!E$8,Dataset!$J:$J,"&gt;="&amp;$AC46/365,Dataset!$J:$J,"&lt;"&amp;$AD46/365,Dataset!$AH:$AH,"deposito")+SUMIFS(Dataset!$AJ:$AJ,Dataset!$F:$F,Resumen!E$8,Dataset!$J:$J,"&gt;="&amp;$AC46/365,Dataset!$J:$J,"&lt;"&amp;$AD46/365,Dataset!$AH:$AH,"*factura*")</f>
        <v>0</v>
      </c>
      <c r="F46" s="25">
        <f>SUMIFS(Dataset!$AA:$AA,Dataset!$F:$F,Resumen!E$8,Dataset!$J:$J,"&gt;="&amp;$AC46/365,Dataset!$J:$J,"&lt;"&amp;$AD46/365,Dataset!$AH:$AH,"deposito")+SUMIFS(Dataset!$AA:$AA,Dataset!$F:$F,Resumen!E$8,Dataset!$J:$J,"&gt;="&amp;$AC46/365,Dataset!$J:$J,"&lt;"&amp;$AD46/365,Dataset!$AH:$AH,"*factura*")</f>
        <v>0</v>
      </c>
      <c r="G46" s="24">
        <f>SUMIFS(Dataset!$AJ:$AJ,Dataset!$F:$F,Resumen!G$8,Dataset!$J:$J,"&gt;="&amp;$AC46/365,Dataset!$J:$J,"&lt;"&amp;$AD46/365,Dataset!$AH:$AH,"deposito")+SUMIFS(Dataset!$AJ:$AJ,Dataset!$F:$F,Resumen!G$8,Dataset!$J:$J,"&gt;="&amp;$AC46/365,Dataset!$J:$J,"&lt;"&amp;$AD46/365,Dataset!$AH:$AH,"*factura*")</f>
        <v>0</v>
      </c>
      <c r="H46" s="25">
        <f>SUMIFS(Dataset!$AA:$AA,Dataset!$F:$F,Resumen!G$8,Dataset!$J:$J,"&gt;="&amp;$AC46/365,Dataset!$J:$J,"&lt;"&amp;$AD46/365,Dataset!$AH:$AH,"deposito")+SUMIFS(Dataset!$AA:$AA,Dataset!$F:$F,Resumen!G$8,Dataset!$J:$J,"&gt;="&amp;$AC46/365,Dataset!$J:$J,"&lt;"&amp;$AD46/365,Dataset!$AH:$AH,"*factura*")</f>
        <v>0</v>
      </c>
      <c r="I46" s="24">
        <f>SUMIFS(Dataset!$AJ:$AJ,Dataset!$F:$F,Resumen!I$8,Dataset!$J:$J,"&gt;="&amp;$AC46/365,Dataset!$J:$J,"&lt;"&amp;$AD46/365,Dataset!$AH:$AH,"deposito")+SUMIFS(Dataset!$AJ:$AJ,Dataset!$F:$F,Resumen!I$8,Dataset!$J:$J,"&gt;="&amp;$AC46/365,Dataset!$J:$J,"&lt;"&amp;$AD46/365,Dataset!$AH:$AH,"*factura*")</f>
        <v>0</v>
      </c>
      <c r="J46" s="25">
        <f>SUMIFS(Dataset!$AA:$AA,Dataset!$F:$F,Resumen!I$8,Dataset!$J:$J,"&gt;="&amp;$AC46/365,Dataset!$J:$J,"&lt;"&amp;$AD46/365,Dataset!$AH:$AH,"deposito")+SUMIFS(Dataset!$AA:$AA,Dataset!$F:$F,Resumen!I$8,Dataset!$J:$J,"&gt;="&amp;$AC46/365,Dataset!$J:$J,"&lt;"&amp;$AD46/365,Dataset!$AH:$AH,"*factura*")</f>
        <v>0</v>
      </c>
      <c r="K46" s="24">
        <f>SUMIFS(Dataset!$AJ:$AJ,Dataset!$F:$F,Resumen!K$8,Dataset!$J:$J,"&gt;="&amp;$AC46/365,Dataset!$J:$J,"&lt;"&amp;$AD46/365,Dataset!$AH:$AH,"deposito")+SUMIFS(Dataset!$AJ:$AJ,Dataset!$F:$F,Resumen!K$8,Dataset!$J:$J,"&gt;="&amp;$AC46/365,Dataset!$J:$J,"&lt;"&amp;$AD46/365,Dataset!$AH:$AH,"*factura*")</f>
        <v>0</v>
      </c>
      <c r="L46" s="25">
        <f>SUMIFS(Dataset!$AA:$AA,Dataset!$F:$F,Resumen!K$8,Dataset!$J:$J,"&gt;="&amp;$AC46/365,Dataset!$J:$J,"&lt;"&amp;$AD46/365,Dataset!$AH:$AH,"deposito")+SUMIFS(Dataset!$AA:$AA,Dataset!$F:$F,Resumen!K$8,Dataset!$J:$J,"&gt;="&amp;$AC46/365,Dataset!$J:$J,"&lt;"&amp;$AD46/365,Dataset!$AH:$AH,"*factura*")</f>
        <v>0</v>
      </c>
      <c r="M46" s="24">
        <f>SUMIFS(Dataset!$AJ:$AJ,Dataset!$F:$F,Resumen!M$8,Dataset!$J:$J,"&gt;="&amp;$AC46/365,Dataset!$J:$J,"&lt;"&amp;$AD46/365,Dataset!$AH:$AH,"deposito")+SUMIFS(Dataset!$AJ:$AJ,Dataset!$F:$F,Resumen!M$8,Dataset!$J:$J,"&gt;="&amp;$AC46/365,Dataset!$J:$J,"&lt;"&amp;$AD46/365,Dataset!$AH:$AH,"*factura*")</f>
        <v>0</v>
      </c>
      <c r="N46" s="25">
        <f>SUMIFS(Dataset!$AA:$AA,Dataset!$F:$F,Resumen!M$8,Dataset!$J:$J,"&gt;="&amp;$AC46/365,Dataset!$J:$J,"&lt;"&amp;$AD46/365,Dataset!$AH:$AH,"deposito")+SUMIFS(Dataset!$AA:$AA,Dataset!$F:$F,Resumen!M$8,Dataset!$J:$J,"&gt;="&amp;$AC46/365,Dataset!$J:$J,"&lt;"&amp;$AD46/365,Dataset!$AH:$AH,"*factura*")</f>
        <v>0</v>
      </c>
      <c r="O46" s="24">
        <f>SUMIFS(Dataset!$AJ:$AJ,Dataset!$F:$F,Resumen!O$8,Dataset!$J:$J,"&gt;="&amp;$AC46/365,Dataset!$J:$J,"&lt;"&amp;$AD46/365,Dataset!$AH:$AH,"deposito")+SUMIFS(Dataset!$AJ:$AJ,Dataset!$F:$F,Resumen!O$8,Dataset!$J:$J,"&gt;="&amp;$AC46/365,Dataset!$J:$J,"&lt;"&amp;$AD46/365,Dataset!$AH:$AH,"*factura*")</f>
        <v>0</v>
      </c>
      <c r="P46" s="25">
        <f>SUMIFS(Dataset!$AA:$AA,Dataset!$F:$F,Resumen!O$8,Dataset!$J:$J,"&gt;="&amp;$AC46/365,Dataset!$J:$J,"&lt;"&amp;$AD46/365,Dataset!$AH:$AH,"deposito")+SUMIFS(Dataset!$AA:$AA,Dataset!$F:$F,Resumen!O$8,Dataset!$J:$J,"&gt;="&amp;$AC46/365,Dataset!$J:$J,"&lt;"&amp;$AD46/365,Dataset!$AH:$AH,"*factura*")</f>
        <v>0</v>
      </c>
      <c r="Q46" s="24">
        <f>SUMIFS(Dataset!$AJ:$AJ,Dataset!$F:$F,Resumen!Q$8,Dataset!$J:$J,"&gt;="&amp;$AC46/365,Dataset!$J:$J,"&lt;"&amp;$AD46/365,Dataset!$AH:$AH,"deposito")+SUMIFS(Dataset!$AJ:$AJ,Dataset!$F:$F,Resumen!Q$8,Dataset!$J:$J,"&gt;="&amp;$AC46/365,Dataset!$J:$J,"&lt;"&amp;$AD46/365,Dataset!$AH:$AH,"*factura*")</f>
        <v>0</v>
      </c>
      <c r="R46" s="25">
        <f>SUMIFS(Dataset!$AA:$AA,Dataset!$F:$F,Resumen!Q$8,Dataset!$J:$J,"&gt;="&amp;$AC46/365,Dataset!$J:$J,"&lt;"&amp;$AD46/365,Dataset!$AH:$AH,"deposito")+SUMIFS(Dataset!$AA:$AA,Dataset!$F:$F,Resumen!Q$8,Dataset!$J:$J,"&gt;="&amp;$AC46/365,Dataset!$J:$J,"&lt;"&amp;$AD46/365,Dataset!$AH:$AH,"*factura*")</f>
        <v>0</v>
      </c>
      <c r="S46" s="24">
        <f>SUMIFS(Dataset!$AJ:$AJ,Dataset!$F:$F,Resumen!S$8,Dataset!$J:$J,"&gt;="&amp;$AC46/365,Dataset!$J:$J,"&lt;"&amp;$AD46/365,Dataset!$AH:$AH,"deposito")+SUMIFS(Dataset!$AJ:$AJ,Dataset!$F:$F,Resumen!S$8,Dataset!$J:$J,"&gt;="&amp;$AC46/365,Dataset!$J:$J,"&lt;"&amp;$AD46/365,Dataset!$AH:$AH,"*factura*")</f>
        <v>0</v>
      </c>
      <c r="T46" s="25">
        <f>SUMIFS(Dataset!$AA:$AA,Dataset!$F:$F,Resumen!S$8,Dataset!$J:$J,"&gt;="&amp;$AC46/365,Dataset!$J:$J,"&lt;"&amp;$AD46/365,Dataset!$AH:$AH,"deposito")+SUMIFS(Dataset!$AA:$AA,Dataset!$F:$F,Resumen!S$8,Dataset!$J:$J,"&gt;="&amp;$AC46/365,Dataset!$J:$J,"&lt;"&amp;$AD46/365,Dataset!$AH:$AH,"*factura*")</f>
        <v>0</v>
      </c>
      <c r="U46" s="24">
        <f>SUMIFS(Dataset!$AJ:$AJ,Dataset!$F:$F,Resumen!U$8,Dataset!$J:$J,"&gt;="&amp;$AC46/365,Dataset!$J:$J,"&lt;"&amp;$AD46/365,Dataset!$AH:$AH,"deposito")+SUMIFS(Dataset!$AJ:$AJ,Dataset!$F:$F,Resumen!U$8,Dataset!$J:$J,"&gt;="&amp;$AC46/365,Dataset!$J:$J,"&lt;"&amp;$AD46/365,Dataset!$AH:$AH,"*factura*")</f>
        <v>0</v>
      </c>
      <c r="V46" s="25">
        <f>SUMIFS(Dataset!$AA:$AA,Dataset!$F:$F,Resumen!U$8,Dataset!$J:$J,"&gt;="&amp;$AC46/365,Dataset!$J:$J,"&lt;"&amp;$AD46/365,Dataset!$AH:$AH,"deposito")+SUMIFS(Dataset!$AA:$AA,Dataset!$F:$F,Resumen!U$8,Dataset!$J:$J,"&gt;="&amp;$AC46/365,Dataset!$J:$J,"&lt;"&amp;$AD46/365,Dataset!$AH:$AH,"*factura*")</f>
        <v>0</v>
      </c>
      <c r="W46" s="24">
        <f>SUMIFS(Dataset!$AJ:$AJ,Dataset!$F:$F,Resumen!W$8,Dataset!$J:$J,"&gt;="&amp;$AC46/365,Dataset!$J:$J,"&lt;"&amp;$AD46/365,Dataset!$AH:$AH,"deposito")+SUMIFS(Dataset!$AJ:$AJ,Dataset!$F:$F,Resumen!W$8,Dataset!$J:$J,"&gt;="&amp;$AC46/365,Dataset!$J:$J,"&lt;"&amp;$AD46/365,Dataset!$AH:$AH,"*factura*")</f>
        <v>0</v>
      </c>
      <c r="X46" s="25">
        <f>SUMIFS(Dataset!$AA:$AA,Dataset!$F:$F,Resumen!W$8,Dataset!$J:$J,"&gt;="&amp;$AC46/365,Dataset!$J:$J,"&lt;"&amp;$AD46/365,Dataset!$AH:$AH,"deposito")+SUMIFS(Dataset!$AA:$AA,Dataset!$F:$F,Resumen!W$8,Dataset!$J:$J,"&gt;="&amp;$AC46/365,Dataset!$J:$J,"&lt;"&amp;$AD46/365,Dataset!$AH:$AH,"*factura*")</f>
        <v>0</v>
      </c>
      <c r="Y46" s="24">
        <f>SUMIFS(Dataset!$AJ:$AJ,Dataset!$F:$F,Resumen!Y$8,Dataset!$J:$J,"&gt;="&amp;$AC46/365,Dataset!$J:$J,"&lt;"&amp;$AD46/365,Dataset!$AH:$AH,"deposito")+SUMIFS(Dataset!$AJ:$AJ,Dataset!$F:$F,Resumen!Y$8,Dataset!$J:$J,"&gt;="&amp;$AC46/365,Dataset!$J:$J,"&lt;"&amp;$AD46/365,Dataset!$AH:$AH,"*factura*")</f>
        <v>9.3467904865647267E-2</v>
      </c>
      <c r="Z46" s="25">
        <f>SUMIFS(Dataset!$AA:$AA,Dataset!$F:$F,Resumen!Y$8,Dataset!$J:$J,"&gt;="&amp;$AC46/365,Dataset!$J:$J,"&lt;"&amp;$AD46/365,Dataset!$AH:$AH,"deposito")+SUMIFS(Dataset!$AA:$AA,Dataset!$F:$F,Resumen!Y$8,Dataset!$J:$J,"&gt;="&amp;$AC46/365,Dataset!$J:$J,"&lt;"&amp;$AD46/365,Dataset!$AH:$AH,"*factura*")</f>
        <v>-1.5392181644556481E-4</v>
      </c>
      <c r="AA46" s="24">
        <f>SUMIFS(Dataset!$AJ:$AJ,Dataset!$F:$F,Resumen!AA$8,Dataset!$J:$J,"&gt;="&amp;$AC46/365,Dataset!$J:$J,"&lt;"&amp;$AD46/365,Dataset!$AH:$AH,"deposito")+SUMIFS(Dataset!$AJ:$AJ,Dataset!$F:$F,Resumen!AA$8,Dataset!$J:$J,"&gt;="&amp;$AC46/365,Dataset!$J:$J,"&lt;"&amp;$AD46/365,Dataset!$AH:$AH,"*factura*")</f>
        <v>0</v>
      </c>
      <c r="AB46" s="25">
        <f>SUMIFS(Dataset!$AA:$AA,Dataset!$F:$F,Resumen!AA$8,Dataset!$J:$J,"&gt;="&amp;$AC46/365,Dataset!$J:$J,"&lt;"&amp;$AD46/365,Dataset!$AH:$AH,"deposito")+SUMIFS(Dataset!$AA:$AA,Dataset!$F:$F,Resumen!AA$8,Dataset!$J:$J,"&gt;="&amp;$AC46/365,Dataset!$J:$J,"&lt;"&amp;$AD46/365,Dataset!$AH:$AH,"*factura*")</f>
        <v>0</v>
      </c>
      <c r="AC46" s="22">
        <v>0</v>
      </c>
      <c r="AD46" s="22">
        <v>90</v>
      </c>
    </row>
    <row r="47" spans="2:30" ht="30" customHeight="1" x14ac:dyDescent="0.3">
      <c r="B47" s="159"/>
      <c r="C47" s="160" t="s">
        <v>134</v>
      </c>
      <c r="D47" s="160"/>
      <c r="E47" s="27">
        <f>SUMIFS(Dataset!$AJ:$AJ,Dataset!$F:$F,Resumen!E$8,Dataset!$J:$J,"&gt;="&amp;$AC47/365,Dataset!$J:$J,"&lt;"&amp;$AD47/365,Dataset!$AH:$AH,"deposito")+SUMIFS(Dataset!$AJ:$AJ,Dataset!$F:$F,Resumen!E$8,Dataset!$J:$J,"&gt;="&amp;$AC47/365,Dataset!$J:$J,"&lt;"&amp;$AD47/365,Dataset!$AH:$AH,"*factura*")</f>
        <v>0</v>
      </c>
      <c r="F47" s="28">
        <f>SUMIFS(Dataset!$AA:$AA,Dataset!$F:$F,Resumen!E$8,Dataset!$J:$J,"&gt;="&amp;$AC47/365,Dataset!$J:$J,"&lt;"&amp;$AD47/365,Dataset!$AH:$AH,"deposito")+SUMIFS(Dataset!$AA:$AA,Dataset!$F:$F,Resumen!E$8,Dataset!$J:$J,"&gt;="&amp;$AC47/365,Dataset!$J:$J,"&lt;"&amp;$AD47/365,Dataset!$AH:$AH,"*factura*")</f>
        <v>0</v>
      </c>
      <c r="G47" s="27">
        <f>SUMIFS(Dataset!$AJ:$AJ,Dataset!$F:$F,Resumen!G$8,Dataset!$J:$J,"&gt;="&amp;$AC47/365,Dataset!$J:$J,"&lt;"&amp;$AD47/365,Dataset!$AH:$AH,"deposito")+SUMIFS(Dataset!$AJ:$AJ,Dataset!$F:$F,Resumen!G$8,Dataset!$J:$J,"&gt;="&amp;$AC47/365,Dataset!$J:$J,"&lt;"&amp;$AD47/365,Dataset!$AH:$AH,"*factura*")</f>
        <v>0</v>
      </c>
      <c r="H47" s="28">
        <f>SUMIFS(Dataset!$AA:$AA,Dataset!$F:$F,Resumen!G$8,Dataset!$J:$J,"&gt;="&amp;$AC47/365,Dataset!$J:$J,"&lt;"&amp;$AD47/365,Dataset!$AH:$AH,"deposito")+SUMIFS(Dataset!$AA:$AA,Dataset!$F:$F,Resumen!G$8,Dataset!$J:$J,"&gt;="&amp;$AC47/365,Dataset!$J:$J,"&lt;"&amp;$AD47/365,Dataset!$AH:$AH,"*factura*")</f>
        <v>0</v>
      </c>
      <c r="I47" s="27">
        <f>SUMIFS(Dataset!$AJ:$AJ,Dataset!$F:$F,Resumen!I$8,Dataset!$J:$J,"&gt;="&amp;$AC47/365,Dataset!$J:$J,"&lt;"&amp;$AD47/365,Dataset!$AH:$AH,"deposito")+SUMIFS(Dataset!$AJ:$AJ,Dataset!$F:$F,Resumen!I$8,Dataset!$J:$J,"&gt;="&amp;$AC47/365,Dataset!$J:$J,"&lt;"&amp;$AD47/365,Dataset!$AH:$AH,"*factura*")</f>
        <v>0</v>
      </c>
      <c r="J47" s="28">
        <f>SUMIFS(Dataset!$AA:$AA,Dataset!$F:$F,Resumen!I$8,Dataset!$J:$J,"&gt;="&amp;$AC47/365,Dataset!$J:$J,"&lt;"&amp;$AD47/365,Dataset!$AH:$AH,"deposito")+SUMIFS(Dataset!$AA:$AA,Dataset!$F:$F,Resumen!I$8,Dataset!$J:$J,"&gt;="&amp;$AC47/365,Dataset!$J:$J,"&lt;"&amp;$AD47/365,Dataset!$AH:$AH,"*factura*")</f>
        <v>0</v>
      </c>
      <c r="K47" s="27">
        <f>SUMIFS(Dataset!$AJ:$AJ,Dataset!$F:$F,Resumen!K$8,Dataset!$J:$J,"&gt;="&amp;$AC47/365,Dataset!$J:$J,"&lt;"&amp;$AD47/365,Dataset!$AH:$AH,"deposito")+SUMIFS(Dataset!$AJ:$AJ,Dataset!$F:$F,Resumen!K$8,Dataset!$J:$J,"&gt;="&amp;$AC47/365,Dataset!$J:$J,"&lt;"&amp;$AD47/365,Dataset!$AH:$AH,"*factura*")</f>
        <v>0</v>
      </c>
      <c r="L47" s="28">
        <f>SUMIFS(Dataset!$AA:$AA,Dataset!$F:$F,Resumen!K$8,Dataset!$J:$J,"&gt;="&amp;$AC47/365,Dataset!$J:$J,"&lt;"&amp;$AD47/365,Dataset!$AH:$AH,"deposito")+SUMIFS(Dataset!$AA:$AA,Dataset!$F:$F,Resumen!K$8,Dataset!$J:$J,"&gt;="&amp;$AC47/365,Dataset!$J:$J,"&lt;"&amp;$AD47/365,Dataset!$AH:$AH,"*factura*")</f>
        <v>0</v>
      </c>
      <c r="M47" s="27">
        <f>SUMIFS(Dataset!$AJ:$AJ,Dataset!$F:$F,Resumen!M$8,Dataset!$J:$J,"&gt;="&amp;$AC47/365,Dataset!$J:$J,"&lt;"&amp;$AD47/365,Dataset!$AH:$AH,"deposito")+SUMIFS(Dataset!$AJ:$AJ,Dataset!$F:$F,Resumen!M$8,Dataset!$J:$J,"&gt;="&amp;$AC47/365,Dataset!$J:$J,"&lt;"&amp;$AD47/365,Dataset!$AH:$AH,"*factura*")</f>
        <v>0</v>
      </c>
      <c r="N47" s="28">
        <f>SUMIFS(Dataset!$AA:$AA,Dataset!$F:$F,Resumen!M$8,Dataset!$J:$J,"&gt;="&amp;$AC47/365,Dataset!$J:$J,"&lt;"&amp;$AD47/365,Dataset!$AH:$AH,"deposito")+SUMIFS(Dataset!$AA:$AA,Dataset!$F:$F,Resumen!M$8,Dataset!$J:$J,"&gt;="&amp;$AC47/365,Dataset!$J:$J,"&lt;"&amp;$AD47/365,Dataset!$AH:$AH,"*factura*")</f>
        <v>0</v>
      </c>
      <c r="O47" s="27">
        <f>SUMIFS(Dataset!$AJ:$AJ,Dataset!$F:$F,Resumen!O$8,Dataset!$J:$J,"&gt;="&amp;$AC47/365,Dataset!$J:$J,"&lt;"&amp;$AD47/365,Dataset!$AH:$AH,"deposito")+SUMIFS(Dataset!$AJ:$AJ,Dataset!$F:$F,Resumen!O$8,Dataset!$J:$J,"&gt;="&amp;$AC47/365,Dataset!$J:$J,"&lt;"&amp;$AD47/365,Dataset!$AH:$AH,"*factura*")</f>
        <v>0</v>
      </c>
      <c r="P47" s="28">
        <f>SUMIFS(Dataset!$AA:$AA,Dataset!$F:$F,Resumen!O$8,Dataset!$J:$J,"&gt;="&amp;$AC47/365,Dataset!$J:$J,"&lt;"&amp;$AD47/365,Dataset!$AH:$AH,"deposito")+SUMIFS(Dataset!$AA:$AA,Dataset!$F:$F,Resumen!O$8,Dataset!$J:$J,"&gt;="&amp;$AC47/365,Dataset!$J:$J,"&lt;"&amp;$AD47/365,Dataset!$AH:$AH,"*factura*")</f>
        <v>0</v>
      </c>
      <c r="Q47" s="27">
        <f>SUMIFS(Dataset!$AJ:$AJ,Dataset!$F:$F,Resumen!Q$8,Dataset!$J:$J,"&gt;="&amp;$AC47/365,Dataset!$J:$J,"&lt;"&amp;$AD47/365,Dataset!$AH:$AH,"deposito")+SUMIFS(Dataset!$AJ:$AJ,Dataset!$F:$F,Resumen!Q$8,Dataset!$J:$J,"&gt;="&amp;$AC47/365,Dataset!$J:$J,"&lt;"&amp;$AD47/365,Dataset!$AH:$AH,"*factura*")</f>
        <v>0</v>
      </c>
      <c r="R47" s="28">
        <f>SUMIFS(Dataset!$AA:$AA,Dataset!$F:$F,Resumen!Q$8,Dataset!$J:$J,"&gt;="&amp;$AC47/365,Dataset!$J:$J,"&lt;"&amp;$AD47/365,Dataset!$AH:$AH,"deposito")+SUMIFS(Dataset!$AA:$AA,Dataset!$F:$F,Resumen!Q$8,Dataset!$J:$J,"&gt;="&amp;$AC47/365,Dataset!$J:$J,"&lt;"&amp;$AD47/365,Dataset!$AH:$AH,"*factura*")</f>
        <v>0</v>
      </c>
      <c r="S47" s="27">
        <f>SUMIFS(Dataset!$AJ:$AJ,Dataset!$F:$F,Resumen!S$8,Dataset!$J:$J,"&gt;="&amp;$AC47/365,Dataset!$J:$J,"&lt;"&amp;$AD47/365,Dataset!$AH:$AH,"deposito")+SUMIFS(Dataset!$AJ:$AJ,Dataset!$F:$F,Resumen!S$8,Dataset!$J:$J,"&gt;="&amp;$AC47/365,Dataset!$J:$J,"&lt;"&amp;$AD47/365,Dataset!$AH:$AH,"*factura*")</f>
        <v>0</v>
      </c>
      <c r="T47" s="28">
        <f>SUMIFS(Dataset!$AA:$AA,Dataset!$F:$F,Resumen!S$8,Dataset!$J:$J,"&gt;="&amp;$AC47/365,Dataset!$J:$J,"&lt;"&amp;$AD47/365,Dataset!$AH:$AH,"deposito")+SUMIFS(Dataset!$AA:$AA,Dataset!$F:$F,Resumen!S$8,Dataset!$J:$J,"&gt;="&amp;$AC47/365,Dataset!$J:$J,"&lt;"&amp;$AD47/365,Dataset!$AH:$AH,"*factura*")</f>
        <v>0</v>
      </c>
      <c r="U47" s="27">
        <f>SUMIFS(Dataset!$AJ:$AJ,Dataset!$F:$F,Resumen!U$8,Dataset!$J:$J,"&gt;="&amp;$AC47/365,Dataset!$J:$J,"&lt;"&amp;$AD47/365,Dataset!$AH:$AH,"deposito")+SUMIFS(Dataset!$AJ:$AJ,Dataset!$F:$F,Resumen!U$8,Dataset!$J:$J,"&gt;="&amp;$AC47/365,Dataset!$J:$J,"&lt;"&amp;$AD47/365,Dataset!$AH:$AH,"*factura*")</f>
        <v>0</v>
      </c>
      <c r="V47" s="28">
        <f>SUMIFS(Dataset!$AA:$AA,Dataset!$F:$F,Resumen!U$8,Dataset!$J:$J,"&gt;="&amp;$AC47/365,Dataset!$J:$J,"&lt;"&amp;$AD47/365,Dataset!$AH:$AH,"deposito")+SUMIFS(Dataset!$AA:$AA,Dataset!$F:$F,Resumen!U$8,Dataset!$J:$J,"&gt;="&amp;$AC47/365,Dataset!$J:$J,"&lt;"&amp;$AD47/365,Dataset!$AH:$AH,"*factura*")</f>
        <v>0</v>
      </c>
      <c r="W47" s="27">
        <f>SUMIFS(Dataset!$AJ:$AJ,Dataset!$F:$F,Resumen!W$8,Dataset!$J:$J,"&gt;="&amp;$AC47/365,Dataset!$J:$J,"&lt;"&amp;$AD47/365,Dataset!$AH:$AH,"deposito")+SUMIFS(Dataset!$AJ:$AJ,Dataset!$F:$F,Resumen!W$8,Dataset!$J:$J,"&gt;="&amp;$AC47/365,Dataset!$J:$J,"&lt;"&amp;$AD47/365,Dataset!$AH:$AH,"*factura*")</f>
        <v>0</v>
      </c>
      <c r="X47" s="28">
        <f>SUMIFS(Dataset!$AA:$AA,Dataset!$F:$F,Resumen!W$8,Dataset!$J:$J,"&gt;="&amp;$AC47/365,Dataset!$J:$J,"&lt;"&amp;$AD47/365,Dataset!$AH:$AH,"deposito")+SUMIFS(Dataset!$AA:$AA,Dataset!$F:$F,Resumen!W$8,Dataset!$J:$J,"&gt;="&amp;$AC47/365,Dataset!$J:$J,"&lt;"&amp;$AD47/365,Dataset!$AH:$AH,"*factura*")</f>
        <v>0</v>
      </c>
      <c r="Y47" s="27">
        <f>SUMIFS(Dataset!$AJ:$AJ,Dataset!$F:$F,Resumen!Y$8,Dataset!$J:$J,"&gt;="&amp;$AC47/365,Dataset!$J:$J,"&lt;"&amp;$AD47/365,Dataset!$AH:$AH,"deposito")+SUMIFS(Dataset!$AJ:$AJ,Dataset!$F:$F,Resumen!Y$8,Dataset!$J:$J,"&gt;="&amp;$AC47/365,Dataset!$J:$J,"&lt;"&amp;$AD47/365,Dataset!$AH:$AH,"*factura*")</f>
        <v>0.14133647896336929</v>
      </c>
      <c r="Z47" s="28">
        <f>SUMIFS(Dataset!$AA:$AA,Dataset!$F:$F,Resumen!Y$8,Dataset!$J:$J,"&gt;="&amp;$AC47/365,Dataset!$J:$J,"&lt;"&amp;$AD47/365,Dataset!$AH:$AH,"deposito")+SUMIFS(Dataset!$AA:$AA,Dataset!$F:$F,Resumen!Y$8,Dataset!$J:$J,"&gt;="&amp;$AC47/365,Dataset!$J:$J,"&lt;"&amp;$AD47/365,Dataset!$AH:$AH,"*factura*")</f>
        <v>7.8890443903128962E-3</v>
      </c>
      <c r="AA47" s="27">
        <f>SUMIFS(Dataset!$AJ:$AJ,Dataset!$F:$F,Resumen!AA$8,Dataset!$J:$J,"&gt;="&amp;$AC47/365,Dataset!$J:$J,"&lt;"&amp;$AD47/365,Dataset!$AH:$AH,"deposito")+SUMIFS(Dataset!$AJ:$AJ,Dataset!$F:$F,Resumen!AA$8,Dataset!$J:$J,"&gt;="&amp;$AC47/365,Dataset!$J:$J,"&lt;"&amp;$AD47/365,Dataset!$AH:$AH,"*factura*")</f>
        <v>0</v>
      </c>
      <c r="AB47" s="28">
        <f>SUMIFS(Dataset!$AA:$AA,Dataset!$F:$F,Resumen!AA$8,Dataset!$J:$J,"&gt;="&amp;$AC47/365,Dataset!$J:$J,"&lt;"&amp;$AD47/365,Dataset!$AH:$AH,"deposito")+SUMIFS(Dataset!$AA:$AA,Dataset!$F:$F,Resumen!AA$8,Dataset!$J:$J,"&gt;="&amp;$AC47/365,Dataset!$J:$J,"&lt;"&amp;$AD47/365,Dataset!$AH:$AH,"*factura*")</f>
        <v>0</v>
      </c>
      <c r="AC47" s="22">
        <v>90</v>
      </c>
      <c r="AD47" s="22">
        <v>180</v>
      </c>
    </row>
    <row r="48" spans="2:30" ht="30" customHeight="1" x14ac:dyDescent="0.3">
      <c r="B48" s="159"/>
      <c r="C48" s="160" t="s">
        <v>135</v>
      </c>
      <c r="D48" s="160"/>
      <c r="E48" s="29">
        <f>SUMIFS(Dataset!$AJ:$AJ,Dataset!$F:$F,Resumen!E$8,Dataset!$J:$J,"&gt;="&amp;$AC48/365,Dataset!$J:$J,"&lt;"&amp;$AD48/365,Dataset!$AH:$AH,"deposito")+SUMIFS(Dataset!$AJ:$AJ,Dataset!$F:$F,Resumen!E$8,Dataset!$J:$J,"&gt;="&amp;$AC48/365,Dataset!$J:$J,"&lt;"&amp;$AD48/365,Dataset!$AH:$AH,"*factura*")</f>
        <v>0</v>
      </c>
      <c r="F48" s="30">
        <f>SUMIFS(Dataset!$AA:$AA,Dataset!$F:$F,Resumen!E$8,Dataset!$J:$J,"&gt;="&amp;$AC48/365,Dataset!$J:$J,"&lt;"&amp;$AD48/365,Dataset!$AH:$AH,"deposito")+SUMIFS(Dataset!$AA:$AA,Dataset!$F:$F,Resumen!E$8,Dataset!$J:$J,"&gt;="&amp;$AC48/365,Dataset!$J:$J,"&lt;"&amp;$AD48/365,Dataset!$AH:$AH,"*factura*")</f>
        <v>0</v>
      </c>
      <c r="G48" s="29">
        <f>SUMIFS(Dataset!$AJ:$AJ,Dataset!$F:$F,Resumen!G$8,Dataset!$J:$J,"&gt;="&amp;$AC48/365,Dataset!$J:$J,"&lt;"&amp;$AD48/365,Dataset!$AH:$AH,"deposito")+SUMIFS(Dataset!$AJ:$AJ,Dataset!$F:$F,Resumen!G$8,Dataset!$J:$J,"&gt;="&amp;$AC48/365,Dataset!$J:$J,"&lt;"&amp;$AD48/365,Dataset!$AH:$AH,"*factura*")</f>
        <v>0</v>
      </c>
      <c r="H48" s="30">
        <f>SUMIFS(Dataset!$AA:$AA,Dataset!$F:$F,Resumen!G$8,Dataset!$J:$J,"&gt;="&amp;$AC48/365,Dataset!$J:$J,"&lt;"&amp;$AD48/365,Dataset!$AH:$AH,"deposito")+SUMIFS(Dataset!$AA:$AA,Dataset!$F:$F,Resumen!G$8,Dataset!$J:$J,"&gt;="&amp;$AC48/365,Dataset!$J:$J,"&lt;"&amp;$AD48/365,Dataset!$AH:$AH,"*factura*")</f>
        <v>0</v>
      </c>
      <c r="I48" s="29">
        <f>SUMIFS(Dataset!$AJ:$AJ,Dataset!$F:$F,Resumen!I$8,Dataset!$J:$J,"&gt;="&amp;$AC48/365,Dataset!$J:$J,"&lt;"&amp;$AD48/365,Dataset!$AH:$AH,"deposito")+SUMIFS(Dataset!$AJ:$AJ,Dataset!$F:$F,Resumen!I$8,Dataset!$J:$J,"&gt;="&amp;$AC48/365,Dataset!$J:$J,"&lt;"&amp;$AD48/365,Dataset!$AH:$AH,"*factura*")</f>
        <v>0</v>
      </c>
      <c r="J48" s="30">
        <f>SUMIFS(Dataset!$AA:$AA,Dataset!$F:$F,Resumen!I$8,Dataset!$J:$J,"&gt;="&amp;$AC48/365,Dataset!$J:$J,"&lt;"&amp;$AD48/365,Dataset!$AH:$AH,"deposito")+SUMIFS(Dataset!$AA:$AA,Dataset!$F:$F,Resumen!I$8,Dataset!$J:$J,"&gt;="&amp;$AC48/365,Dataset!$J:$J,"&lt;"&amp;$AD48/365,Dataset!$AH:$AH,"*factura*")</f>
        <v>0</v>
      </c>
      <c r="K48" s="29">
        <f>SUMIFS(Dataset!$AJ:$AJ,Dataset!$F:$F,Resumen!K$8,Dataset!$J:$J,"&gt;="&amp;$AC48/365,Dataset!$J:$J,"&lt;"&amp;$AD48/365,Dataset!$AH:$AH,"deposito")+SUMIFS(Dataset!$AJ:$AJ,Dataset!$F:$F,Resumen!K$8,Dataset!$J:$J,"&gt;="&amp;$AC48/365,Dataset!$J:$J,"&lt;"&amp;$AD48/365,Dataset!$AH:$AH,"*factura*")</f>
        <v>0</v>
      </c>
      <c r="L48" s="30">
        <f>SUMIFS(Dataset!$AA:$AA,Dataset!$F:$F,Resumen!K$8,Dataset!$J:$J,"&gt;="&amp;$AC48/365,Dataset!$J:$J,"&lt;"&amp;$AD48/365,Dataset!$AH:$AH,"deposito")+SUMIFS(Dataset!$AA:$AA,Dataset!$F:$F,Resumen!K$8,Dataset!$J:$J,"&gt;="&amp;$AC48/365,Dataset!$J:$J,"&lt;"&amp;$AD48/365,Dataset!$AH:$AH,"*factura*")</f>
        <v>0</v>
      </c>
      <c r="M48" s="29">
        <f>SUMIFS(Dataset!$AJ:$AJ,Dataset!$F:$F,Resumen!M$8,Dataset!$J:$J,"&gt;="&amp;$AC48/365,Dataset!$J:$J,"&lt;"&amp;$AD48/365,Dataset!$AH:$AH,"deposito")+SUMIFS(Dataset!$AJ:$AJ,Dataset!$F:$F,Resumen!M$8,Dataset!$J:$J,"&gt;="&amp;$AC48/365,Dataset!$J:$J,"&lt;"&amp;$AD48/365,Dataset!$AH:$AH,"*factura*")</f>
        <v>0</v>
      </c>
      <c r="N48" s="30">
        <f>SUMIFS(Dataset!$AA:$AA,Dataset!$F:$F,Resumen!M$8,Dataset!$J:$J,"&gt;="&amp;$AC48/365,Dataset!$J:$J,"&lt;"&amp;$AD48/365,Dataset!$AH:$AH,"deposito")+SUMIFS(Dataset!$AA:$AA,Dataset!$F:$F,Resumen!M$8,Dataset!$J:$J,"&gt;="&amp;$AC48/365,Dataset!$J:$J,"&lt;"&amp;$AD48/365,Dataset!$AH:$AH,"*factura*")</f>
        <v>0</v>
      </c>
      <c r="O48" s="29">
        <f>SUMIFS(Dataset!$AJ:$AJ,Dataset!$F:$F,Resumen!O$8,Dataset!$J:$J,"&gt;="&amp;$AC48/365,Dataset!$J:$J,"&lt;"&amp;$AD48/365,Dataset!$AH:$AH,"deposito")+SUMIFS(Dataset!$AJ:$AJ,Dataset!$F:$F,Resumen!O$8,Dataset!$J:$J,"&gt;="&amp;$AC48/365,Dataset!$J:$J,"&lt;"&amp;$AD48/365,Dataset!$AH:$AH,"*factura*")</f>
        <v>0</v>
      </c>
      <c r="P48" s="30">
        <f>SUMIFS(Dataset!$AA:$AA,Dataset!$F:$F,Resumen!O$8,Dataset!$J:$J,"&gt;="&amp;$AC48/365,Dataset!$J:$J,"&lt;"&amp;$AD48/365,Dataset!$AH:$AH,"deposito")+SUMIFS(Dataset!$AA:$AA,Dataset!$F:$F,Resumen!O$8,Dataset!$J:$J,"&gt;="&amp;$AC48/365,Dataset!$J:$J,"&lt;"&amp;$AD48/365,Dataset!$AH:$AH,"*factura*")</f>
        <v>0</v>
      </c>
      <c r="Q48" s="29">
        <f>SUMIFS(Dataset!$AJ:$AJ,Dataset!$F:$F,Resumen!Q$8,Dataset!$J:$J,"&gt;="&amp;$AC48/365,Dataset!$J:$J,"&lt;"&amp;$AD48/365,Dataset!$AH:$AH,"deposito")+SUMIFS(Dataset!$AJ:$AJ,Dataset!$F:$F,Resumen!Q$8,Dataset!$J:$J,"&gt;="&amp;$AC48/365,Dataset!$J:$J,"&lt;"&amp;$AD48/365,Dataset!$AH:$AH,"*factura*")</f>
        <v>0</v>
      </c>
      <c r="R48" s="30">
        <f>SUMIFS(Dataset!$AA:$AA,Dataset!$F:$F,Resumen!Q$8,Dataset!$J:$J,"&gt;="&amp;$AC48/365,Dataset!$J:$J,"&lt;"&amp;$AD48/365,Dataset!$AH:$AH,"deposito")+SUMIFS(Dataset!$AA:$AA,Dataset!$F:$F,Resumen!Q$8,Dataset!$J:$J,"&gt;="&amp;$AC48/365,Dataset!$J:$J,"&lt;"&amp;$AD48/365,Dataset!$AH:$AH,"*factura*")</f>
        <v>0</v>
      </c>
      <c r="S48" s="29">
        <f>SUMIFS(Dataset!$AJ:$AJ,Dataset!$F:$F,Resumen!S$8,Dataset!$J:$J,"&gt;="&amp;$AC48/365,Dataset!$J:$J,"&lt;"&amp;$AD48/365,Dataset!$AH:$AH,"deposito")+SUMIFS(Dataset!$AJ:$AJ,Dataset!$F:$F,Resumen!S$8,Dataset!$J:$J,"&gt;="&amp;$AC48/365,Dataset!$J:$J,"&lt;"&amp;$AD48/365,Dataset!$AH:$AH,"*factura*")</f>
        <v>0</v>
      </c>
      <c r="T48" s="30">
        <f>SUMIFS(Dataset!$AA:$AA,Dataset!$F:$F,Resumen!S$8,Dataset!$J:$J,"&gt;="&amp;$AC48/365,Dataset!$J:$J,"&lt;"&amp;$AD48/365,Dataset!$AH:$AH,"deposito")+SUMIFS(Dataset!$AA:$AA,Dataset!$F:$F,Resumen!S$8,Dataset!$J:$J,"&gt;="&amp;$AC48/365,Dataset!$J:$J,"&lt;"&amp;$AD48/365,Dataset!$AH:$AH,"*factura*")</f>
        <v>0</v>
      </c>
      <c r="U48" s="29">
        <f>SUMIFS(Dataset!$AJ:$AJ,Dataset!$F:$F,Resumen!U$8,Dataset!$J:$J,"&gt;="&amp;$AC48/365,Dataset!$J:$J,"&lt;"&amp;$AD48/365,Dataset!$AH:$AH,"deposito")+SUMIFS(Dataset!$AJ:$AJ,Dataset!$F:$F,Resumen!U$8,Dataset!$J:$J,"&gt;="&amp;$AC48/365,Dataset!$J:$J,"&lt;"&amp;$AD48/365,Dataset!$AH:$AH,"*factura*")</f>
        <v>0</v>
      </c>
      <c r="V48" s="30">
        <f>SUMIFS(Dataset!$AA:$AA,Dataset!$F:$F,Resumen!U$8,Dataset!$J:$J,"&gt;="&amp;$AC48/365,Dataset!$J:$J,"&lt;"&amp;$AD48/365,Dataset!$AH:$AH,"deposito")+SUMIFS(Dataset!$AA:$AA,Dataset!$F:$F,Resumen!U$8,Dataset!$J:$J,"&gt;="&amp;$AC48/365,Dataset!$J:$J,"&lt;"&amp;$AD48/365,Dataset!$AH:$AH,"*factura*")</f>
        <v>0</v>
      </c>
      <c r="W48" s="29">
        <f>SUMIFS(Dataset!$AJ:$AJ,Dataset!$F:$F,Resumen!W$8,Dataset!$J:$J,"&gt;="&amp;$AC48/365,Dataset!$J:$J,"&lt;"&amp;$AD48/365,Dataset!$AH:$AH,"deposito")+SUMIFS(Dataset!$AJ:$AJ,Dataset!$F:$F,Resumen!W$8,Dataset!$J:$J,"&gt;="&amp;$AC48/365,Dataset!$J:$J,"&lt;"&amp;$AD48/365,Dataset!$AH:$AH,"*factura*")</f>
        <v>0</v>
      </c>
      <c r="X48" s="30">
        <f>SUMIFS(Dataset!$AA:$AA,Dataset!$F:$F,Resumen!W$8,Dataset!$J:$J,"&gt;="&amp;$AC48/365,Dataset!$J:$J,"&lt;"&amp;$AD48/365,Dataset!$AH:$AH,"deposito")+SUMIFS(Dataset!$AA:$AA,Dataset!$F:$F,Resumen!W$8,Dataset!$J:$J,"&gt;="&amp;$AC48/365,Dataset!$J:$J,"&lt;"&amp;$AD48/365,Dataset!$AH:$AH,"*factura*")</f>
        <v>0</v>
      </c>
      <c r="Y48" s="29">
        <f>SUMIFS(Dataset!$AJ:$AJ,Dataset!$F:$F,Resumen!Y$8,Dataset!$J:$J,"&gt;="&amp;$AC48/365,Dataset!$J:$J,"&lt;"&amp;$AD48/365,Dataset!$AH:$AH,"deposito")+SUMIFS(Dataset!$AJ:$AJ,Dataset!$F:$F,Resumen!Y$8,Dataset!$J:$J,"&gt;="&amp;$AC48/365,Dataset!$J:$J,"&lt;"&amp;$AD48/365,Dataset!$AH:$AH,"*factura*")</f>
        <v>2.0722494620328113E-2</v>
      </c>
      <c r="Z48" s="30">
        <f>SUMIFS(Dataset!$AA:$AA,Dataset!$F:$F,Resumen!Y$8,Dataset!$J:$J,"&gt;="&amp;$AC48/365,Dataset!$J:$J,"&lt;"&amp;$AD48/365,Dataset!$AH:$AH,"deposito")+SUMIFS(Dataset!$AA:$AA,Dataset!$F:$F,Resumen!Y$8,Dataset!$J:$J,"&gt;="&amp;$AC48/365,Dataset!$J:$J,"&lt;"&amp;$AD48/365,Dataset!$AH:$AH,"*factura*")</f>
        <v>1.5394410439025536E-3</v>
      </c>
      <c r="AA48" s="29">
        <f>SUMIFS(Dataset!$AJ:$AJ,Dataset!$F:$F,Resumen!AA$8,Dataset!$J:$J,"&gt;="&amp;$AC48/365,Dataset!$J:$J,"&lt;"&amp;$AD48/365,Dataset!$AH:$AH,"deposito")+SUMIFS(Dataset!$AJ:$AJ,Dataset!$F:$F,Resumen!AA$8,Dataset!$J:$J,"&gt;="&amp;$AC48/365,Dataset!$J:$J,"&lt;"&amp;$AD48/365,Dataset!$AH:$AH,"*factura*")</f>
        <v>0</v>
      </c>
      <c r="AB48" s="30">
        <f>SUMIFS(Dataset!$AA:$AA,Dataset!$F:$F,Resumen!AA$8,Dataset!$J:$J,"&gt;="&amp;$AC48/365,Dataset!$J:$J,"&lt;"&amp;$AD48/365,Dataset!$AH:$AH,"deposito")+SUMIFS(Dataset!$AA:$AA,Dataset!$F:$F,Resumen!AA$8,Dataset!$J:$J,"&gt;="&amp;$AC48/365,Dataset!$J:$J,"&lt;"&amp;$AD48/365,Dataset!$AH:$AH,"*factura*")</f>
        <v>0</v>
      </c>
      <c r="AC48" s="22">
        <v>180</v>
      </c>
      <c r="AD48" s="22">
        <v>10000</v>
      </c>
    </row>
    <row r="49" spans="2:30" ht="30" customHeight="1" x14ac:dyDescent="0.3">
      <c r="B49" s="157" t="s">
        <v>37</v>
      </c>
      <c r="C49" s="157"/>
      <c r="D49" s="157"/>
      <c r="E49" s="36">
        <f>SUMIFS(Dataset!$AJ:$AJ,Dataset!$F:$F,Resumen!E$8,Dataset!$AH:$AH,"&lt;&gt;deposito",Dataset!$AH:$AH,"&lt;&gt;bono de gobierno",Dataset!$AH:$AH,"&lt;&gt;bono corporativo",Dataset!$AH:$AH,"&lt;&gt;factura")</f>
        <v>0</v>
      </c>
      <c r="F49" s="37">
        <f>SUMIFS(Dataset!$AA:$AA,Dataset!$F:$F,Resumen!E$8,Dataset!$AH:$AH,"&lt;&gt;deposito",Dataset!$AH:$AH,"&lt;&gt;bono de gobierno",Dataset!$AH:$AH,"&lt;&gt;bono corporativo",Dataset!$AH:$AH,"&lt;&gt;factura")</f>
        <v>0</v>
      </c>
      <c r="G49" s="36">
        <f>SUMIFS(Dataset!$AJ:$AJ,Dataset!$F:$F,Resumen!G$8,Dataset!$AH:$AH,"&lt;&gt;deposito",Dataset!$AH:$AH,"&lt;&gt;bono de gobierno",Dataset!$AH:$AH,"&lt;&gt;bono corporativo",Dataset!$AH:$AH,"&lt;&gt;factura")</f>
        <v>0</v>
      </c>
      <c r="H49" s="37">
        <f>SUMIFS(Dataset!$AA:$AA,Dataset!$F:$F,Resumen!G$8,Dataset!$AH:$AH,"&lt;&gt;deposito",Dataset!$AH:$AH,"&lt;&gt;bono de gobierno",Dataset!$AH:$AH,"&lt;&gt;bono corporativo",Dataset!$AH:$AH,"&lt;&gt;factura")</f>
        <v>0</v>
      </c>
      <c r="I49" s="36">
        <f>SUMIFS(Dataset!$AJ:$AJ,Dataset!$F:$F,Resumen!I$8,Dataset!$AH:$AH,"&lt;&gt;deposito",Dataset!$AH:$AH,"&lt;&gt;bono de gobierno",Dataset!$AH:$AH,"&lt;&gt;bono corporativo",Dataset!$AH:$AH,"&lt;&gt;factura")</f>
        <v>0</v>
      </c>
      <c r="J49" s="37">
        <f>SUMIFS(Dataset!$AA:$AA,Dataset!$F:$F,Resumen!I$8,Dataset!$AH:$AH,"&lt;&gt;deposito",Dataset!$AH:$AH,"&lt;&gt;bono de gobierno",Dataset!$AH:$AH,"&lt;&gt;bono corporativo",Dataset!$AH:$AH,"&lt;&gt;factura")</f>
        <v>0</v>
      </c>
      <c r="K49" s="36">
        <f>SUMIFS(Dataset!$AJ:$AJ,Dataset!$F:$F,Resumen!K$8,Dataset!$AH:$AH,"&lt;&gt;deposito",Dataset!$AH:$AH,"&lt;&gt;bono de gobierno",Dataset!$AH:$AH,"&lt;&gt;bono corporativo",Dataset!$AH:$AH,"&lt;&gt;factura")</f>
        <v>0</v>
      </c>
      <c r="L49" s="37">
        <f>SUMIFS(Dataset!$AA:$AA,Dataset!$F:$F,Resumen!K$8,Dataset!$AH:$AH,"&lt;&gt;deposito",Dataset!$AH:$AH,"&lt;&gt;bono de gobierno",Dataset!$AH:$AH,"&lt;&gt;bono corporativo",Dataset!$AH:$AH,"&lt;&gt;factura")</f>
        <v>0</v>
      </c>
      <c r="M49" s="36">
        <f>SUMIFS(Dataset!$AJ:$AJ,Dataset!$F:$F,Resumen!M$8,Dataset!$AH:$AH,"&lt;&gt;deposito",Dataset!$AH:$AH,"&lt;&gt;bono de gobierno",Dataset!$AH:$AH,"&lt;&gt;bono corporativo",Dataset!$AH:$AH,"&lt;&gt;factura")</f>
        <v>0</v>
      </c>
      <c r="N49" s="37">
        <f>SUMIFS(Dataset!$AA:$AA,Dataset!$F:$F,Resumen!M$8,Dataset!$AH:$AH,"&lt;&gt;deposito",Dataset!$AH:$AH,"&lt;&gt;bono de gobierno",Dataset!$AH:$AH,"&lt;&gt;bono corporativo",Dataset!$AH:$AH,"&lt;&gt;factura")</f>
        <v>0</v>
      </c>
      <c r="O49" s="36">
        <f>SUMIFS(Dataset!$AJ:$AJ,Dataset!$F:$F,Resumen!O$8,Dataset!$AH:$AH,"&lt;&gt;deposito",Dataset!$AH:$AH,"&lt;&gt;bono de gobierno",Dataset!$AH:$AH,"&lt;&gt;bono corporativo",Dataset!$AH:$AH,"&lt;&gt;factura")</f>
        <v>0</v>
      </c>
      <c r="P49" s="37">
        <f>SUMIFS(Dataset!$AA:$AA,Dataset!$F:$F,Resumen!O$8,Dataset!$AH:$AH,"&lt;&gt;deposito",Dataset!$AH:$AH,"&lt;&gt;bono de gobierno",Dataset!$AH:$AH,"&lt;&gt;bono corporativo",Dataset!$AH:$AH,"&lt;&gt;factura")</f>
        <v>0</v>
      </c>
      <c r="Q49" s="36">
        <f>SUMIFS(Dataset!$AJ:$AJ,Dataset!$F:$F,Resumen!Q$8,Dataset!$AH:$AH,"&lt;&gt;deposito",Dataset!$AH:$AH,"&lt;&gt;bono de gobierno",Dataset!$AH:$AH,"&lt;&gt;bono corporativo",Dataset!$AH:$AH,"&lt;&gt;factura")</f>
        <v>0</v>
      </c>
      <c r="R49" s="37">
        <f>SUMIFS(Dataset!$AA:$AA,Dataset!$F:$F,Resumen!Q$8,Dataset!$AH:$AH,"&lt;&gt;deposito",Dataset!$AH:$AH,"&lt;&gt;bono de gobierno",Dataset!$AH:$AH,"&lt;&gt;bono corporativo",Dataset!$AH:$AH,"&lt;&gt;factura")</f>
        <v>0</v>
      </c>
      <c r="S49" s="36">
        <f>SUMIFS(Dataset!$AJ:$AJ,Dataset!$F:$F,Resumen!S$8,Dataset!$AH:$AH,"&lt;&gt;deposito",Dataset!$AH:$AH,"&lt;&gt;bono de gobierno",Dataset!$AH:$AH,"&lt;&gt;bono corporativo",Dataset!$AH:$AH,"&lt;&gt;factura")</f>
        <v>0</v>
      </c>
      <c r="T49" s="37">
        <f>SUMIFS(Dataset!$AA:$AA,Dataset!$F:$F,Resumen!S$8,Dataset!$AH:$AH,"&lt;&gt;deposito",Dataset!$AH:$AH,"&lt;&gt;bono de gobierno",Dataset!$AH:$AH,"&lt;&gt;bono corporativo",Dataset!$AH:$AH,"&lt;&gt;factura")</f>
        <v>0</v>
      </c>
      <c r="U49" s="36">
        <f>SUMIFS(Dataset!$AJ:$AJ,Dataset!$F:$F,Resumen!U$8,Dataset!$AH:$AH,"&lt;&gt;deposito",Dataset!$AH:$AH,"&lt;&gt;bono de gobierno",Dataset!$AH:$AH,"&lt;&gt;bono corporativo",Dataset!$AH:$AH,"&lt;&gt;factura")</f>
        <v>0</v>
      </c>
      <c r="V49" s="37">
        <f>SUMIFS(Dataset!$AA:$AA,Dataset!$F:$F,Resumen!U$8,Dataset!$AH:$AH,"&lt;&gt;deposito",Dataset!$AH:$AH,"&lt;&gt;bono de gobierno",Dataset!$AH:$AH,"&lt;&gt;bono corporativo",Dataset!$AH:$AH,"&lt;&gt;factura")</f>
        <v>0</v>
      </c>
      <c r="W49" s="36">
        <f>SUMIFS(Dataset!$AJ:$AJ,Dataset!$F:$F,Resumen!W$8,Dataset!$AH:$AH,"&lt;&gt;deposito",Dataset!$AH:$AH,"&lt;&gt;bono de gobierno",Dataset!$AH:$AH,"&lt;&gt;bono corporativo",Dataset!$AH:$AH,"&lt;&gt;factura")</f>
        <v>0</v>
      </c>
      <c r="X49" s="37">
        <f>SUMIFS(Dataset!$AA:$AA,Dataset!$F:$F,Resumen!W$8,Dataset!$AH:$AH,"&lt;&gt;deposito",Dataset!$AH:$AH,"&lt;&gt;bono de gobierno",Dataset!$AH:$AH,"&lt;&gt;bono corporativo",Dataset!$AH:$AH,"&lt;&gt;factura")</f>
        <v>0</v>
      </c>
      <c r="Y49" s="36">
        <f>SUMIFS(Dataset!$AJ:$AJ,Dataset!$F:$F,Resumen!Y$8,Dataset!$AH:$AH,"&lt;&gt;deposito",Dataset!$AH:$AH,"&lt;&gt;bono de gobierno",Dataset!$AH:$AH,"&lt;&gt;bono corporativo",Dataset!$AH:$AH,"&lt;&gt;factura")</f>
        <v>1.000469653353585E-2</v>
      </c>
      <c r="Z49" s="37">
        <f>SUMIFS(Dataset!$AA:$AA,Dataset!$F:$F,Resumen!Y$8,Dataset!$AH:$AH,"&lt;&gt;deposito",Dataset!$AH:$AH,"&lt;&gt;bono de gobierno",Dataset!$AH:$AH,"&lt;&gt;bono corporativo",Dataset!$AH:$AH,"&lt;&gt;factura")</f>
        <v>-1.0594069008727847E-3</v>
      </c>
      <c r="AA49" s="36">
        <f>SUMIFS(Dataset!$AJ:$AJ,Dataset!$F:$F,Resumen!AA$8,Dataset!$AH:$AH,"&lt;&gt;deposito",Dataset!$AH:$AH,"&lt;&gt;bono de gobierno",Dataset!$AH:$AH,"&lt;&gt;bono corporativo",Dataset!$AH:$AH,"&lt;&gt;factura")</f>
        <v>0</v>
      </c>
      <c r="AB49" s="37">
        <f>SUMIFS(Dataset!$AA:$AA,Dataset!$F:$F,Resumen!AA$8,Dataset!$AH:$AH,"&lt;&gt;deposito",Dataset!$AH:$AH,"&lt;&gt;bono de gobierno",Dataset!$AH:$AH,"&lt;&gt;bono corporativo",Dataset!$AH:$AH,"&lt;&gt;factura")</f>
        <v>0</v>
      </c>
    </row>
    <row r="50" spans="2:30" ht="30" customHeight="1" x14ac:dyDescent="0.3">
      <c r="B50" s="163" t="s">
        <v>66</v>
      </c>
      <c r="C50" s="163"/>
      <c r="D50" s="163"/>
      <c r="E50" s="38">
        <f>SUM(E10:E49)</f>
        <v>0</v>
      </c>
      <c r="F50" s="39">
        <f t="shared" ref="F50:AB50" si="0">SUM(F10:F49)</f>
        <v>0</v>
      </c>
      <c r="G50" s="38">
        <f t="shared" si="0"/>
        <v>0</v>
      </c>
      <c r="H50" s="39">
        <f t="shared" si="0"/>
        <v>0</v>
      </c>
      <c r="I50" s="38">
        <f>SUM(I10:I49)</f>
        <v>0</v>
      </c>
      <c r="J50" s="39">
        <f>SUM(J10:J49)</f>
        <v>0</v>
      </c>
      <c r="K50" s="38">
        <f t="shared" si="0"/>
        <v>0</v>
      </c>
      <c r="L50" s="39">
        <f t="shared" si="0"/>
        <v>0</v>
      </c>
      <c r="M50" s="38">
        <f t="shared" si="0"/>
        <v>0</v>
      </c>
      <c r="N50" s="39">
        <f t="shared" si="0"/>
        <v>0</v>
      </c>
      <c r="O50" s="38">
        <f t="shared" si="0"/>
        <v>0</v>
      </c>
      <c r="P50" s="39">
        <f t="shared" si="0"/>
        <v>0</v>
      </c>
      <c r="Q50" s="38">
        <f t="shared" si="0"/>
        <v>0</v>
      </c>
      <c r="R50" s="39">
        <f t="shared" si="0"/>
        <v>0</v>
      </c>
      <c r="S50" s="38">
        <f t="shared" si="0"/>
        <v>0</v>
      </c>
      <c r="T50" s="39">
        <f t="shared" si="0"/>
        <v>0</v>
      </c>
      <c r="U50" s="38">
        <f t="shared" si="0"/>
        <v>0</v>
      </c>
      <c r="V50" s="39">
        <f t="shared" si="0"/>
        <v>0</v>
      </c>
      <c r="W50" s="38">
        <f t="shared" si="0"/>
        <v>0</v>
      </c>
      <c r="X50" s="39">
        <f t="shared" si="0"/>
        <v>0</v>
      </c>
      <c r="Y50" s="38">
        <f t="shared" si="0"/>
        <v>1</v>
      </c>
      <c r="Z50" s="39">
        <f t="shared" si="0"/>
        <v>0.99999999999999967</v>
      </c>
      <c r="AA50" s="38">
        <f t="shared" si="0"/>
        <v>0</v>
      </c>
      <c r="AB50" s="39">
        <f t="shared" si="0"/>
        <v>0</v>
      </c>
    </row>
    <row r="51" spans="2:30" ht="30" customHeight="1" x14ac:dyDescent="0.3">
      <c r="B51" s="157" t="s">
        <v>39</v>
      </c>
      <c r="C51" s="157"/>
      <c r="D51" s="157"/>
      <c r="E51" s="36">
        <f>SUMIFS(Dataset!$AJ:$AJ,Dataset!$F:$F,Resumen!E$8,Dataset!$T:$T,$B51)</f>
        <v>0</v>
      </c>
      <c r="F51" s="37">
        <f>SUMIFS(Dataset!$AA:$AA,Dataset!$F:$F,Resumen!E$8,Dataset!$T:$T,$B51)</f>
        <v>0</v>
      </c>
      <c r="G51" s="36">
        <f>SUMIFS(Dataset!$AJ:$AJ,Dataset!$F:$F,Resumen!G$8,Dataset!$T:$T,$B51)</f>
        <v>0</v>
      </c>
      <c r="H51" s="37">
        <f>SUMIFS(Dataset!$AA:$AA,Dataset!$F:$F,Resumen!G$8,Dataset!$T:$T,$B51)</f>
        <v>0</v>
      </c>
      <c r="I51" s="36">
        <f>SUMIFS(Dataset!$AJ:$AJ,Dataset!$F:$F,Resumen!I$8,Dataset!$T:$T,$B51)</f>
        <v>0</v>
      </c>
      <c r="J51" s="37">
        <f>SUMIFS(Dataset!$AA:$AA,Dataset!$F:$F,Resumen!I$8,Dataset!$T:$T,$B51)</f>
        <v>0</v>
      </c>
      <c r="K51" s="36">
        <f>SUMIFS(Dataset!$AJ:$AJ,Dataset!$F:$F,Resumen!K$8,Dataset!$T:$T,$B51)</f>
        <v>0</v>
      </c>
      <c r="L51" s="37">
        <f>SUMIFS(Dataset!$AA:$AA,Dataset!$F:$F,Resumen!K$8,Dataset!$T:$T,$B51)</f>
        <v>0</v>
      </c>
      <c r="M51" s="36">
        <f>SUMIFS(Dataset!$AJ:$AJ,Dataset!$F:$F,Resumen!M$8,Dataset!$T:$T,$B51)</f>
        <v>0</v>
      </c>
      <c r="N51" s="37">
        <f>SUMIFS(Dataset!$AA:$AA,Dataset!$F:$F,Resumen!M$8,Dataset!$T:$T,$B51)</f>
        <v>0</v>
      </c>
      <c r="O51" s="36">
        <f>SUMIFS(Dataset!$AJ:$AJ,Dataset!$F:$F,Resumen!O$8,Dataset!$T:$T,$B51)</f>
        <v>0</v>
      </c>
      <c r="P51" s="37">
        <f>SUMIFS(Dataset!$AA:$AA,Dataset!$F:$F,Resumen!O$8,Dataset!$T:$T,$B51)</f>
        <v>0</v>
      </c>
      <c r="Q51" s="36">
        <f>SUMIFS(Dataset!$AJ:$AJ,Dataset!$F:$F,Resumen!Q$8,Dataset!$T:$T,$B51)</f>
        <v>0</v>
      </c>
      <c r="R51" s="37">
        <f>SUMIFS(Dataset!$AA:$AA,Dataset!$F:$F,Resumen!Q$8,Dataset!$T:$T,$B51)</f>
        <v>0</v>
      </c>
      <c r="S51" s="36">
        <f>SUMIFS(Dataset!$AJ:$AJ,Dataset!$F:$F,Resumen!S$8,Dataset!$T:$T,$B51)</f>
        <v>0</v>
      </c>
      <c r="T51" s="37">
        <f>SUMIFS(Dataset!$AA:$AA,Dataset!$F:$F,Resumen!S$8,Dataset!$T:$T,$B51)</f>
        <v>0</v>
      </c>
      <c r="U51" s="36">
        <f>SUMIFS(Dataset!$AJ:$AJ,Dataset!$F:$F,Resumen!U$8,Dataset!$T:$T,$B51)</f>
        <v>0</v>
      </c>
      <c r="V51" s="37">
        <f>SUMIFS(Dataset!$AA:$AA,Dataset!$F:$F,Resumen!U$8,Dataset!$T:$T,$B51)</f>
        <v>0</v>
      </c>
      <c r="W51" s="36">
        <f>SUMIFS(Dataset!$AJ:$AJ,Dataset!$F:$F,Resumen!W$8,Dataset!$T:$T,$B51)</f>
        <v>0</v>
      </c>
      <c r="X51" s="37">
        <f>SUMIFS(Dataset!$AA:$AA,Dataset!$F:$F,Resumen!W$8,Dataset!$T:$T,$B51)</f>
        <v>0</v>
      </c>
      <c r="Y51" s="36">
        <f>SUMIFS(Dataset!$AJ:$AJ,Dataset!$F:$F,Resumen!Y$8,Dataset!$T:$T,$B51)</f>
        <v>0.78350185064359346</v>
      </c>
      <c r="Z51" s="37">
        <f>SUMIFS(Dataset!$AA:$AA,Dataset!$F:$F,Resumen!Y$8,Dataset!$T:$T,$B51)</f>
        <v>0.55276927112953633</v>
      </c>
      <c r="AA51" s="36">
        <f>SUMIFS(Dataset!$AJ:$AJ,Dataset!$F:$F,Resumen!AA$8,Dataset!$T:$T,$B51)</f>
        <v>0</v>
      </c>
      <c r="AB51" s="37">
        <f>SUMIFS(Dataset!$AA:$AA,Dataset!$F:$F,Resumen!AA$8,Dataset!$T:$T,$B51)</f>
        <v>0</v>
      </c>
    </row>
    <row r="52" spans="2:30" ht="30" customHeight="1" x14ac:dyDescent="0.3">
      <c r="B52" s="157" t="s">
        <v>32</v>
      </c>
      <c r="C52" s="157"/>
      <c r="D52" s="157"/>
      <c r="E52" s="36">
        <f>SUMIFS(Dataset!$AJ:$AJ,Dataset!$F:$F,Resumen!E$8,Dataset!$T:$T,$B52)</f>
        <v>0</v>
      </c>
      <c r="F52" s="37">
        <f>SUMIFS(Dataset!$AA:$AA,Dataset!$F:$F,Resumen!E$8,Dataset!$T:$T,$B52)</f>
        <v>0</v>
      </c>
      <c r="G52" s="36">
        <f>SUMIFS(Dataset!$AJ:$AJ,Dataset!$F:$F,Resumen!G$8,Dataset!$T:$T,$B52)</f>
        <v>0</v>
      </c>
      <c r="H52" s="37">
        <f>SUMIFS(Dataset!$AA:$AA,Dataset!$F:$F,Resumen!G$8,Dataset!$T:$T,$B52)</f>
        <v>0</v>
      </c>
      <c r="I52" s="36">
        <f>SUMIFS(Dataset!$AJ:$AJ,Dataset!$F:$F,Resumen!I$8,Dataset!$T:$T,$B52)</f>
        <v>0</v>
      </c>
      <c r="J52" s="37">
        <f>SUMIFS(Dataset!$AA:$AA,Dataset!$F:$F,Resumen!I$8,Dataset!$T:$T,$B52)</f>
        <v>0</v>
      </c>
      <c r="K52" s="36">
        <f>SUMIFS(Dataset!$AJ:$AJ,Dataset!$F:$F,Resumen!K$8,Dataset!$T:$T,$B52)</f>
        <v>0</v>
      </c>
      <c r="L52" s="37">
        <f>SUMIFS(Dataset!$AA:$AA,Dataset!$F:$F,Resumen!K$8,Dataset!$T:$T,$B52)</f>
        <v>0</v>
      </c>
      <c r="M52" s="36">
        <f>SUMIFS(Dataset!$AJ:$AJ,Dataset!$F:$F,Resumen!M$8,Dataset!$T:$T,$B52)</f>
        <v>0</v>
      </c>
      <c r="N52" s="37">
        <f>SUMIFS(Dataset!$AA:$AA,Dataset!$F:$F,Resumen!M$8,Dataset!$T:$T,$B52)</f>
        <v>0</v>
      </c>
      <c r="O52" s="36">
        <f>SUMIFS(Dataset!$AJ:$AJ,Dataset!$F:$F,Resumen!O$8,Dataset!$T:$T,$B52)</f>
        <v>0</v>
      </c>
      <c r="P52" s="37">
        <f>SUMIFS(Dataset!$AA:$AA,Dataset!$F:$F,Resumen!O$8,Dataset!$T:$T,$B52)</f>
        <v>0</v>
      </c>
      <c r="Q52" s="36">
        <f>SUMIFS(Dataset!$AJ:$AJ,Dataset!$F:$F,Resumen!Q$8,Dataset!$T:$T,$B52)</f>
        <v>0</v>
      </c>
      <c r="R52" s="37">
        <f>SUMIFS(Dataset!$AA:$AA,Dataset!$F:$F,Resumen!Q$8,Dataset!$T:$T,$B52)</f>
        <v>0</v>
      </c>
      <c r="S52" s="36">
        <f>SUMIFS(Dataset!$AJ:$AJ,Dataset!$F:$F,Resumen!S$8,Dataset!$T:$T,$B52)</f>
        <v>0</v>
      </c>
      <c r="T52" s="37">
        <f>SUMIFS(Dataset!$AA:$AA,Dataset!$F:$F,Resumen!S$8,Dataset!$T:$T,$B52)</f>
        <v>0</v>
      </c>
      <c r="U52" s="36">
        <f>SUMIFS(Dataset!$AJ:$AJ,Dataset!$F:$F,Resumen!U$8,Dataset!$T:$T,$B52)</f>
        <v>0</v>
      </c>
      <c r="V52" s="37">
        <f>SUMIFS(Dataset!$AA:$AA,Dataset!$F:$F,Resumen!U$8,Dataset!$T:$T,$B52)</f>
        <v>0</v>
      </c>
      <c r="W52" s="36">
        <f>SUMIFS(Dataset!$AJ:$AJ,Dataset!$F:$F,Resumen!W$8,Dataset!$T:$T,$B52)</f>
        <v>0</v>
      </c>
      <c r="X52" s="37">
        <f>SUMIFS(Dataset!$AA:$AA,Dataset!$F:$F,Resumen!W$8,Dataset!$T:$T,$B52)</f>
        <v>0</v>
      </c>
      <c r="Y52" s="36">
        <f>SUMIFS(Dataset!$AJ:$AJ,Dataset!$F:$F,Resumen!Y$8,Dataset!$T:$T,$B52)</f>
        <v>0.22054507918813332</v>
      </c>
      <c r="Z52" s="37">
        <f>SUMIFS(Dataset!$AA:$AA,Dataset!$F:$F,Resumen!Y$8,Dataset!$T:$T,$B52)</f>
        <v>0.44829013577133636</v>
      </c>
      <c r="AA52" s="36">
        <f>SUMIFS(Dataset!$AJ:$AJ,Dataset!$F:$F,Resumen!AA$8,Dataset!$T:$T,$B52)</f>
        <v>0</v>
      </c>
      <c r="AB52" s="37">
        <f>SUMIFS(Dataset!$AA:$AA,Dataset!$F:$F,Resumen!AA$8,Dataset!$T:$T,$B52)</f>
        <v>0</v>
      </c>
    </row>
    <row r="53" spans="2:30" ht="30" customHeight="1" x14ac:dyDescent="0.3">
      <c r="B53" s="157" t="s">
        <v>30</v>
      </c>
      <c r="C53" s="157"/>
      <c r="D53" s="157"/>
      <c r="E53" s="36">
        <f>SUMIFS(Dataset!$AJ:$AJ,Dataset!$F:$F,Resumen!E$8,Dataset!$T:$T,$B53)</f>
        <v>0</v>
      </c>
      <c r="F53" s="37">
        <f>SUMIFS(Dataset!$AA:$AA,Dataset!$F:$F,Resumen!E$8,Dataset!$T:$T,$B53)</f>
        <v>0</v>
      </c>
      <c r="G53" s="36">
        <f>SUMIFS(Dataset!$AJ:$AJ,Dataset!$F:$F,Resumen!G$8,Dataset!$T:$T,$B53)</f>
        <v>0</v>
      </c>
      <c r="H53" s="37">
        <f>SUMIFS(Dataset!$AA:$AA,Dataset!$F:$F,Resumen!G$8,Dataset!$T:$T,$B53)</f>
        <v>0</v>
      </c>
      <c r="I53" s="36">
        <f>SUMIFS(Dataset!$AJ:$AJ,Dataset!$F:$F,Resumen!I$8,Dataset!$T:$T,$B53)</f>
        <v>0</v>
      </c>
      <c r="J53" s="37">
        <f>SUMIFS(Dataset!$AA:$AA,Dataset!$F:$F,Resumen!I$8,Dataset!$T:$T,$B53)</f>
        <v>0</v>
      </c>
      <c r="K53" s="36">
        <f>SUMIFS(Dataset!$AJ:$AJ,Dataset!$F:$F,Resumen!K$8,Dataset!$T:$T,$B53)</f>
        <v>0</v>
      </c>
      <c r="L53" s="37">
        <f>SUMIFS(Dataset!$AA:$AA,Dataset!$F:$F,Resumen!K$8,Dataset!$T:$T,$B53)</f>
        <v>0</v>
      </c>
      <c r="M53" s="36">
        <f>SUMIFS(Dataset!$AJ:$AJ,Dataset!$F:$F,Resumen!M$8,Dataset!$T:$T,$B53)</f>
        <v>0</v>
      </c>
      <c r="N53" s="37">
        <f>SUMIFS(Dataset!$AA:$AA,Dataset!$F:$F,Resumen!M$8,Dataset!$T:$T,$B53)</f>
        <v>0</v>
      </c>
      <c r="O53" s="36">
        <f>SUMIFS(Dataset!$AJ:$AJ,Dataset!$F:$F,Resumen!O$8,Dataset!$T:$T,$B53)</f>
        <v>0</v>
      </c>
      <c r="P53" s="37">
        <f>SUMIFS(Dataset!$AA:$AA,Dataset!$F:$F,Resumen!O$8,Dataset!$T:$T,$B53)</f>
        <v>0</v>
      </c>
      <c r="Q53" s="36">
        <f>SUMIFS(Dataset!$AJ:$AJ,Dataset!$F:$F,Resumen!Q$8,Dataset!$T:$T,$B53)</f>
        <v>0</v>
      </c>
      <c r="R53" s="37">
        <f>SUMIFS(Dataset!$AA:$AA,Dataset!$F:$F,Resumen!Q$8,Dataset!$T:$T,$B53)</f>
        <v>0</v>
      </c>
      <c r="S53" s="36">
        <f>SUMIFS(Dataset!$AJ:$AJ,Dataset!$F:$F,Resumen!S$8,Dataset!$T:$T,$B53)</f>
        <v>0</v>
      </c>
      <c r="T53" s="37">
        <f>SUMIFS(Dataset!$AA:$AA,Dataset!$F:$F,Resumen!S$8,Dataset!$T:$T,$B53)</f>
        <v>0</v>
      </c>
      <c r="U53" s="36">
        <f>SUMIFS(Dataset!$AJ:$AJ,Dataset!$F:$F,Resumen!U$8,Dataset!$T:$T,$B53)</f>
        <v>0</v>
      </c>
      <c r="V53" s="37">
        <f>SUMIFS(Dataset!$AA:$AA,Dataset!$F:$F,Resumen!U$8,Dataset!$T:$T,$B53)</f>
        <v>0</v>
      </c>
      <c r="W53" s="36">
        <f>SUMIFS(Dataset!$AJ:$AJ,Dataset!$F:$F,Resumen!W$8,Dataset!$T:$T,$B53)</f>
        <v>0</v>
      </c>
      <c r="X53" s="37">
        <f>SUMIFS(Dataset!$AA:$AA,Dataset!$F:$F,Resumen!W$8,Dataset!$T:$T,$B53)</f>
        <v>0</v>
      </c>
      <c r="Y53" s="36">
        <f>SUMIFS(Dataset!$AJ:$AJ,Dataset!$F:$F,Resumen!Y$8,Dataset!$T:$T,$B53)</f>
        <v>-4.0605550733873071E-3</v>
      </c>
      <c r="Z53" s="37">
        <f>SUMIFS(Dataset!$AA:$AA,Dataset!$F:$F,Resumen!Y$8,Dataset!$T:$T,$B53)</f>
        <v>-1.0721760315682248E-3</v>
      </c>
      <c r="AA53" s="36">
        <f>SUMIFS(Dataset!$AJ:$AJ,Dataset!$F:$F,Resumen!AA$8,Dataset!$T:$T,$B53)</f>
        <v>0</v>
      </c>
      <c r="AB53" s="37">
        <f>SUMIFS(Dataset!$AA:$AA,Dataset!$F:$F,Resumen!AA$8,Dataset!$T:$T,$B53)</f>
        <v>0</v>
      </c>
    </row>
    <row r="54" spans="2:30" ht="30" customHeight="1" x14ac:dyDescent="0.3">
      <c r="B54" s="157" t="s">
        <v>49</v>
      </c>
      <c r="C54" s="157"/>
      <c r="D54" s="157"/>
      <c r="E54" s="36">
        <f>SUMIFS(Dataset!$AJ:$AJ,Dataset!$F:$F,Resumen!E$8,Dataset!$T:$T,$B54)</f>
        <v>0</v>
      </c>
      <c r="F54" s="37">
        <f>SUMIFS(Dataset!$AA:$AA,Dataset!$F:$F,Resumen!E$8,Dataset!$T:$T,$B54)</f>
        <v>0</v>
      </c>
      <c r="G54" s="36">
        <f>SUMIFS(Dataset!$AJ:$AJ,Dataset!$F:$F,Resumen!G$8,Dataset!$T:$T,$B54)</f>
        <v>0</v>
      </c>
      <c r="H54" s="37">
        <f>SUMIFS(Dataset!$AA:$AA,Dataset!$F:$F,Resumen!G$8,Dataset!$T:$T,$B54)</f>
        <v>0</v>
      </c>
      <c r="I54" s="36">
        <f>SUMIFS(Dataset!$AJ:$AJ,Dataset!$F:$F,Resumen!I$8,Dataset!$T:$T,$B54)</f>
        <v>0</v>
      </c>
      <c r="J54" s="37">
        <f>SUMIFS(Dataset!$AA:$AA,Dataset!$F:$F,Resumen!I$8,Dataset!$T:$T,$B54)</f>
        <v>0</v>
      </c>
      <c r="K54" s="36">
        <f>SUMIFS(Dataset!$AJ:$AJ,Dataset!$F:$F,Resumen!K$8,Dataset!$T:$T,$B54)</f>
        <v>0</v>
      </c>
      <c r="L54" s="37">
        <f>SUMIFS(Dataset!$AA:$AA,Dataset!$F:$F,Resumen!K$8,Dataset!$T:$T,$B54)</f>
        <v>0</v>
      </c>
      <c r="M54" s="36">
        <f>SUMIFS(Dataset!$AJ:$AJ,Dataset!$F:$F,Resumen!M$8,Dataset!$T:$T,$B54)</f>
        <v>0</v>
      </c>
      <c r="N54" s="37">
        <f>SUMIFS(Dataset!$AA:$AA,Dataset!$F:$F,Resumen!M$8,Dataset!$T:$T,$B54)</f>
        <v>0</v>
      </c>
      <c r="O54" s="36">
        <f>SUMIFS(Dataset!$AJ:$AJ,Dataset!$F:$F,Resumen!O$8,Dataset!$T:$T,$B54)</f>
        <v>0</v>
      </c>
      <c r="P54" s="37">
        <f>SUMIFS(Dataset!$AA:$AA,Dataset!$F:$F,Resumen!O$8,Dataset!$T:$T,$B54)</f>
        <v>0</v>
      </c>
      <c r="Q54" s="36">
        <f>SUMIFS(Dataset!$AJ:$AJ,Dataset!$F:$F,Resumen!Q$8,Dataset!$T:$T,$B54)</f>
        <v>0</v>
      </c>
      <c r="R54" s="37">
        <f>SUMIFS(Dataset!$AA:$AA,Dataset!$F:$F,Resumen!Q$8,Dataset!$T:$T,$B54)</f>
        <v>0</v>
      </c>
      <c r="S54" s="36">
        <f>SUMIFS(Dataset!$AJ:$AJ,Dataset!$F:$F,Resumen!S$8,Dataset!$T:$T,$B54)</f>
        <v>0</v>
      </c>
      <c r="T54" s="37">
        <f>SUMIFS(Dataset!$AA:$AA,Dataset!$F:$F,Resumen!S$8,Dataset!$T:$T,$B54)</f>
        <v>0</v>
      </c>
      <c r="U54" s="36">
        <f>SUMIFS(Dataset!$AJ:$AJ,Dataset!$F:$F,Resumen!U$8,Dataset!$T:$T,$B54)</f>
        <v>0</v>
      </c>
      <c r="V54" s="37">
        <f>SUMIFS(Dataset!$AA:$AA,Dataset!$F:$F,Resumen!U$8,Dataset!$T:$T,$B54)</f>
        <v>0</v>
      </c>
      <c r="W54" s="36">
        <f>SUMIFS(Dataset!$AJ:$AJ,Dataset!$F:$F,Resumen!W$8,Dataset!$T:$T,$B54)</f>
        <v>0</v>
      </c>
      <c r="X54" s="37">
        <f>SUMIFS(Dataset!$AA:$AA,Dataset!$F:$F,Resumen!W$8,Dataset!$T:$T,$B54)</f>
        <v>0</v>
      </c>
      <c r="Y54" s="36">
        <f>SUMIFS(Dataset!$AJ:$AJ,Dataset!$F:$F,Resumen!Y$8,Dataset!$T:$T,$B54)</f>
        <v>1.362524166079626E-5</v>
      </c>
      <c r="Z54" s="37">
        <f>SUMIFS(Dataset!$AA:$AA,Dataset!$F:$F,Resumen!Y$8,Dataset!$T:$T,$B54)</f>
        <v>1.2769130695440184E-5</v>
      </c>
      <c r="AA54" s="36">
        <f>SUMIFS(Dataset!$AJ:$AJ,Dataset!$F:$F,Resumen!AA$8,Dataset!$T:$T,$B54)</f>
        <v>0</v>
      </c>
      <c r="AB54" s="37">
        <f>SUMIFS(Dataset!$AA:$AA,Dataset!$F:$F,Resumen!AA$8,Dataset!$T:$T,$B54)</f>
        <v>0</v>
      </c>
    </row>
    <row r="55" spans="2:30" ht="30" customHeight="1" x14ac:dyDescent="0.3">
      <c r="B55" s="154" t="s">
        <v>145</v>
      </c>
      <c r="C55" s="155"/>
      <c r="D55" s="156"/>
      <c r="E55" s="36">
        <f>SUMIFS(Dataset!$AJ:$AJ,Dataset!$F:$F,Resumen!E$8,Dataset!$T:$T,$B55)</f>
        <v>0</v>
      </c>
      <c r="F55" s="40">
        <f>SUMIFS(Dataset!$AA:$AA,Dataset!$F:$F,Resumen!E$8,Dataset!$T:$T,$B55)</f>
        <v>0</v>
      </c>
      <c r="G55" s="36">
        <f>SUMIFS(Dataset!$AJ:$AJ,Dataset!$F:$F,Resumen!G$8,Dataset!$T:$T,$B55)</f>
        <v>0</v>
      </c>
      <c r="H55" s="40">
        <f>SUMIFS(Dataset!$AA:$AA,Dataset!$F:$F,Resumen!G$8,Dataset!$T:$T,$B55)</f>
        <v>0</v>
      </c>
      <c r="I55" s="36">
        <f>SUMIFS(Dataset!$AJ:$AJ,Dataset!$F:$F,Resumen!I$8,Dataset!$T:$T,$B55)</f>
        <v>0</v>
      </c>
      <c r="J55" s="40">
        <f>SUMIFS(Dataset!$AA:$AA,Dataset!$F:$F,Resumen!I$8,Dataset!$T:$T,$B55)</f>
        <v>0</v>
      </c>
      <c r="K55" s="36">
        <f>SUMIFS(Dataset!$AJ:$AJ,Dataset!$F:$F,Resumen!K$8,Dataset!$T:$T,$B55)</f>
        <v>0</v>
      </c>
      <c r="L55" s="40">
        <f>SUMIFS(Dataset!$AA:$AA,Dataset!$F:$F,Resumen!K$8,Dataset!$T:$T,$B55)</f>
        <v>0</v>
      </c>
      <c r="M55" s="36">
        <f>SUMIFS(Dataset!$AJ:$AJ,Dataset!$F:$F,Resumen!M$8,Dataset!$T:$T,$B55)</f>
        <v>0</v>
      </c>
      <c r="N55" s="40">
        <f>SUMIFS(Dataset!$AA:$AA,Dataset!$F:$F,Resumen!M$8,Dataset!$T:$T,$B55)</f>
        <v>0</v>
      </c>
      <c r="O55" s="36">
        <f>SUMIFS(Dataset!$AJ:$AJ,Dataset!$F:$F,Resumen!O$8,Dataset!$T:$T,$B55)</f>
        <v>0</v>
      </c>
      <c r="P55" s="40">
        <f>SUMIFS(Dataset!$AA:$AA,Dataset!$F:$F,Resumen!O$8,Dataset!$T:$T,$B55)</f>
        <v>0</v>
      </c>
      <c r="Q55" s="36">
        <f>SUMIFS(Dataset!$AJ:$AJ,Dataset!$F:$F,Resumen!Q$8,Dataset!$T:$T,$B55)</f>
        <v>0</v>
      </c>
      <c r="R55" s="40">
        <f>SUMIFS(Dataset!$AA:$AA,Dataset!$F:$F,Resumen!Q$8,Dataset!$T:$T,$B55)</f>
        <v>0</v>
      </c>
      <c r="S55" s="36">
        <f>SUMIFS(Dataset!$AJ:$AJ,Dataset!$F:$F,Resumen!S$8,Dataset!$T:$T,$B55)</f>
        <v>0</v>
      </c>
      <c r="T55" s="40">
        <f>SUMIFS(Dataset!$AA:$AA,Dataset!$F:$F,Resumen!S$8,Dataset!$T:$T,$B55)</f>
        <v>0</v>
      </c>
      <c r="U55" s="36">
        <f>SUMIFS(Dataset!$AJ:$AJ,Dataset!$F:$F,Resumen!U$8,Dataset!$T:$T,$B55)</f>
        <v>0</v>
      </c>
      <c r="V55" s="40">
        <f>SUMIFS(Dataset!$AA:$AA,Dataset!$F:$F,Resumen!U$8,Dataset!$T:$T,$B55)</f>
        <v>0</v>
      </c>
      <c r="W55" s="36">
        <f>SUMIFS(Dataset!$AJ:$AJ,Dataset!$F:$F,Resumen!W$8,Dataset!$T:$T,$B55)</f>
        <v>0</v>
      </c>
      <c r="X55" s="40">
        <f>SUMIFS(Dataset!$AA:$AA,Dataset!$F:$F,Resumen!W$8,Dataset!$T:$T,$B55)</f>
        <v>0</v>
      </c>
      <c r="Y55" s="36">
        <f>SUMIFS(Dataset!$AJ:$AJ,Dataset!$F:$F,Resumen!Y$8,Dataset!$T:$T,$B55)</f>
        <v>0</v>
      </c>
      <c r="Z55" s="40">
        <f>SUMIFS(Dataset!$AA:$AA,Dataset!$F:$F,Resumen!Y$8,Dataset!$T:$T,$B55)</f>
        <v>0</v>
      </c>
      <c r="AA55" s="36">
        <f>SUMIFS(Dataset!$AJ:$AJ,Dataset!$F:$F,Resumen!AA$8,Dataset!$T:$T,$B55)</f>
        <v>0</v>
      </c>
      <c r="AB55" s="40">
        <f>SUMIFS(Dataset!$AA:$AA,Dataset!$F:$F,Resumen!AA$8,Dataset!$T:$T,$B55)</f>
        <v>0</v>
      </c>
    </row>
    <row r="56" spans="2:30" ht="30" customHeight="1" x14ac:dyDescent="0.3">
      <c r="B56" s="154" t="s">
        <v>221</v>
      </c>
      <c r="C56" s="155"/>
      <c r="D56" s="156"/>
      <c r="E56" s="41">
        <f>SUMIFS(Dataset!$AJ:$AJ,Dataset!$F:$F,Resumen!E$8,Dataset!$T:$T,$B56)</f>
        <v>0</v>
      </c>
      <c r="F56" s="40">
        <f>SUMIFS(Dataset!$AA:$AA,Dataset!$F:$F,Resumen!E$8,Dataset!$T:$T,$B56)</f>
        <v>0</v>
      </c>
      <c r="G56" s="41">
        <f>SUMIFS(Dataset!$AJ:$AJ,Dataset!$F:$F,Resumen!G$8,Dataset!$T:$T,$B56)</f>
        <v>0</v>
      </c>
      <c r="H56" s="40">
        <f>SUMIFS(Dataset!$AA:$AA,Dataset!$F:$F,Resumen!G$8,Dataset!$T:$T,$B56)</f>
        <v>0</v>
      </c>
      <c r="I56" s="41">
        <f>SUMIFS(Dataset!$AJ:$AJ,Dataset!$F:$F,Resumen!I$8,Dataset!$T:$T,$B56)</f>
        <v>0</v>
      </c>
      <c r="J56" s="40">
        <f>SUMIFS(Dataset!$AA:$AA,Dataset!$F:$F,Resumen!I$8,Dataset!$T:$T,$B56)</f>
        <v>0</v>
      </c>
      <c r="K56" s="41">
        <f>SUMIFS(Dataset!$AJ:$AJ,Dataset!$F:$F,Resumen!K$8,Dataset!$T:$T,$B56)</f>
        <v>0</v>
      </c>
      <c r="L56" s="40">
        <f>SUMIFS(Dataset!$AA:$AA,Dataset!$F:$F,Resumen!K$8,Dataset!$T:$T,$B56)</f>
        <v>0</v>
      </c>
      <c r="M56" s="41">
        <f>SUMIFS(Dataset!$AJ:$AJ,Dataset!$F:$F,Resumen!M$8,Dataset!$T:$T,$B56)</f>
        <v>0</v>
      </c>
      <c r="N56" s="40">
        <f>SUMIFS(Dataset!$AA:$AA,Dataset!$F:$F,Resumen!M$8,Dataset!$T:$T,$B56)</f>
        <v>0</v>
      </c>
      <c r="O56" s="41">
        <f>SUMIFS(Dataset!$AJ:$AJ,Dataset!$F:$F,Resumen!O$8,Dataset!$T:$T,$B56)</f>
        <v>0</v>
      </c>
      <c r="P56" s="40">
        <f>SUMIFS(Dataset!$AA:$AA,Dataset!$F:$F,Resumen!O$8,Dataset!$T:$T,$B56)</f>
        <v>0</v>
      </c>
      <c r="Q56" s="41">
        <f>SUMIFS(Dataset!$AJ:$AJ,Dataset!$F:$F,Resumen!Q$8,Dataset!$T:$T,$B56)</f>
        <v>0</v>
      </c>
      <c r="R56" s="40">
        <f>SUMIFS(Dataset!$AA:$AA,Dataset!$F:$F,Resumen!Q$8,Dataset!$T:$T,$B56)</f>
        <v>0</v>
      </c>
      <c r="S56" s="41">
        <f>SUMIFS(Dataset!$AJ:$AJ,Dataset!$F:$F,Resumen!S$8,Dataset!$T:$T,$B56)</f>
        <v>0</v>
      </c>
      <c r="T56" s="40">
        <f>SUMIFS(Dataset!$AA:$AA,Dataset!$F:$F,Resumen!S$8,Dataset!$T:$T,$B56)</f>
        <v>0</v>
      </c>
      <c r="U56" s="41">
        <f>SUMIFS(Dataset!$AJ:$AJ,Dataset!$F:$F,Resumen!U$8,Dataset!$T:$T,$B56)</f>
        <v>0</v>
      </c>
      <c r="V56" s="40">
        <f>SUMIFS(Dataset!$AA:$AA,Dataset!$F:$F,Resumen!U$8,Dataset!$T:$T,$B56)</f>
        <v>0</v>
      </c>
      <c r="W56" s="41">
        <f>SUMIFS(Dataset!$AJ:$AJ,Dataset!$F:$F,Resumen!W$8,Dataset!$T:$T,$B56)</f>
        <v>0</v>
      </c>
      <c r="X56" s="40">
        <f>SUMIFS(Dataset!$AA:$AA,Dataset!$F:$F,Resumen!W$8,Dataset!$T:$T,$B56)</f>
        <v>0</v>
      </c>
      <c r="Y56" s="41">
        <f>SUMIFS(Dataset!$AJ:$AJ,Dataset!$F:$F,Resumen!Y$8,Dataset!$T:$T,$B56)</f>
        <v>0</v>
      </c>
      <c r="Z56" s="40">
        <f>SUMIFS(Dataset!$AA:$AA,Dataset!$F:$F,Resumen!Y$8,Dataset!$T:$T,$B56)</f>
        <v>0</v>
      </c>
      <c r="AA56" s="41">
        <f>SUMIFS(Dataset!$AJ:$AJ,Dataset!$F:$F,Resumen!AA$8,Dataset!$T:$T,$B56)</f>
        <v>0</v>
      </c>
      <c r="AB56" s="40">
        <f>SUMIFS(Dataset!$AA:$AA,Dataset!$F:$F,Resumen!AA$8,Dataset!$T:$T,$B56)</f>
        <v>0</v>
      </c>
    </row>
    <row r="57" spans="2:30" ht="30" customHeight="1" x14ac:dyDescent="0.3">
      <c r="B57" s="154" t="s">
        <v>172</v>
      </c>
      <c r="C57" s="155"/>
      <c r="D57" s="156"/>
      <c r="E57" s="41">
        <f>SUMIFS(Dataset!$AJ:$AJ,Dataset!$F:$F,Resumen!E$8,Dataset!$T:$T,$B57)</f>
        <v>0</v>
      </c>
      <c r="F57" s="40">
        <f>SUMIFS(Dataset!$AA:$AA,Dataset!$F:$F,Resumen!E$8,Dataset!$T:$T,$B57)</f>
        <v>0</v>
      </c>
      <c r="G57" s="41">
        <f>SUMIFS(Dataset!$AJ:$AJ,Dataset!$F:$F,Resumen!G$8,Dataset!$T:$T,$B57)</f>
        <v>0</v>
      </c>
      <c r="H57" s="40">
        <f>SUMIFS(Dataset!$AA:$AA,Dataset!$F:$F,Resumen!G$8,Dataset!$T:$T,$B57)</f>
        <v>0</v>
      </c>
      <c r="I57" s="41">
        <f>SUMIFS(Dataset!$AJ:$AJ,Dataset!$F:$F,Resumen!I$8,Dataset!$T:$T,$B57)</f>
        <v>0</v>
      </c>
      <c r="J57" s="40">
        <f>SUMIFS(Dataset!$AA:$AA,Dataset!$F:$F,Resumen!I$8,Dataset!$T:$T,$B57)</f>
        <v>0</v>
      </c>
      <c r="K57" s="41">
        <f>SUMIFS(Dataset!$AJ:$AJ,Dataset!$F:$F,Resumen!K$8,Dataset!$T:$T,$B57)</f>
        <v>0</v>
      </c>
      <c r="L57" s="40">
        <f>SUMIFS(Dataset!$AA:$AA,Dataset!$F:$F,Resumen!K$8,Dataset!$T:$T,$B57)</f>
        <v>0</v>
      </c>
      <c r="M57" s="41">
        <f>SUMIFS(Dataset!$AJ:$AJ,Dataset!$F:$F,Resumen!M$8,Dataset!$T:$T,$B57)</f>
        <v>0</v>
      </c>
      <c r="N57" s="40">
        <f>SUMIFS(Dataset!$AA:$AA,Dataset!$F:$F,Resumen!M$8,Dataset!$T:$T,$B57)</f>
        <v>0</v>
      </c>
      <c r="O57" s="41">
        <f>SUMIFS(Dataset!$AJ:$AJ,Dataset!$F:$F,Resumen!O$8,Dataset!$T:$T,$B57)</f>
        <v>0</v>
      </c>
      <c r="P57" s="40">
        <f>SUMIFS(Dataset!$AA:$AA,Dataset!$F:$F,Resumen!O$8,Dataset!$T:$T,$B57)</f>
        <v>0</v>
      </c>
      <c r="Q57" s="41">
        <f>SUMIFS(Dataset!$AJ:$AJ,Dataset!$F:$F,Resumen!Q$8,Dataset!$T:$T,$B57)</f>
        <v>0</v>
      </c>
      <c r="R57" s="40">
        <f>SUMIFS(Dataset!$AA:$AA,Dataset!$F:$F,Resumen!Q$8,Dataset!$T:$T,$B57)</f>
        <v>0</v>
      </c>
      <c r="S57" s="41">
        <f>SUMIFS(Dataset!$AJ:$AJ,Dataset!$F:$F,Resumen!S$8,Dataset!$T:$T,$B57)</f>
        <v>0</v>
      </c>
      <c r="T57" s="40">
        <f>SUMIFS(Dataset!$AA:$AA,Dataset!$F:$F,Resumen!S$8,Dataset!$T:$T,$B57)</f>
        <v>0</v>
      </c>
      <c r="U57" s="41">
        <f>SUMIFS(Dataset!$AJ:$AJ,Dataset!$F:$F,Resumen!U$8,Dataset!$T:$T,$B57)</f>
        <v>0</v>
      </c>
      <c r="V57" s="40">
        <f>SUMIFS(Dataset!$AA:$AA,Dataset!$F:$F,Resumen!U$8,Dataset!$T:$T,$B57)</f>
        <v>0</v>
      </c>
      <c r="W57" s="41">
        <f>SUMIFS(Dataset!$AJ:$AJ,Dataset!$F:$F,Resumen!W$8,Dataset!$T:$T,$B57)</f>
        <v>0</v>
      </c>
      <c r="X57" s="40">
        <f>SUMIFS(Dataset!$AA:$AA,Dataset!$F:$F,Resumen!W$8,Dataset!$T:$T,$B57)</f>
        <v>0</v>
      </c>
      <c r="Y57" s="41">
        <f>SUMIFS(Dataset!$AJ:$AJ,Dataset!$F:$F,Resumen!Y$8,Dataset!$T:$T,$B57)</f>
        <v>0</v>
      </c>
      <c r="Z57" s="40">
        <f>SUMIFS(Dataset!$AA:$AA,Dataset!$F:$F,Resumen!Y$8,Dataset!$T:$T,$B57)</f>
        <v>0</v>
      </c>
      <c r="AA57" s="41">
        <f>SUMIFS(Dataset!$AJ:$AJ,Dataset!$F:$F,Resumen!AA$8,Dataset!$T:$T,$B57)</f>
        <v>0</v>
      </c>
      <c r="AB57" s="40">
        <f>SUMIFS(Dataset!$AA:$AA,Dataset!$F:$F,Resumen!AA$8,Dataset!$T:$T,$B57)</f>
        <v>0</v>
      </c>
    </row>
    <row r="58" spans="2:30" ht="30" customHeight="1" x14ac:dyDescent="0.3">
      <c r="B58" s="154" t="s">
        <v>227</v>
      </c>
      <c r="C58" s="155"/>
      <c r="D58" s="156"/>
      <c r="E58" s="41">
        <f>SUMIFS(Dataset!$AJ:$AJ,Dataset!$F:$F,Resumen!E$8,Dataset!$T:$T,$B58)</f>
        <v>0</v>
      </c>
      <c r="F58" s="40">
        <f>SUMIFS(Dataset!$AA:$AA,Dataset!$F:$F,Resumen!E$8,Dataset!$T:$T,$B58)</f>
        <v>0</v>
      </c>
      <c r="G58" s="41">
        <f>SUMIFS(Dataset!$AJ:$AJ,Dataset!$F:$F,Resumen!G$8,Dataset!$T:$T,$B58)</f>
        <v>0</v>
      </c>
      <c r="H58" s="40">
        <f>SUMIFS(Dataset!$AA:$AA,Dataset!$F:$F,Resumen!G$8,Dataset!$T:$T,$B58)</f>
        <v>0</v>
      </c>
      <c r="I58" s="41">
        <f>SUMIFS(Dataset!$AJ:$AJ,Dataset!$F:$F,Resumen!I$8,Dataset!$T:$T,$B58)</f>
        <v>0</v>
      </c>
      <c r="J58" s="40">
        <f>SUMIFS(Dataset!$AA:$AA,Dataset!$F:$F,Resumen!I$8,Dataset!$T:$T,$B58)</f>
        <v>0</v>
      </c>
      <c r="K58" s="41">
        <f>SUMIFS(Dataset!$AJ:$AJ,Dataset!$F:$F,Resumen!K$8,Dataset!$T:$T,$B58)</f>
        <v>0</v>
      </c>
      <c r="L58" s="40">
        <f>SUMIFS(Dataset!$AA:$AA,Dataset!$F:$F,Resumen!K$8,Dataset!$T:$T,$B58)</f>
        <v>0</v>
      </c>
      <c r="M58" s="41">
        <f>SUMIFS(Dataset!$AJ:$AJ,Dataset!$F:$F,Resumen!M$8,Dataset!$T:$T,$B58)</f>
        <v>0</v>
      </c>
      <c r="N58" s="40">
        <f>SUMIFS(Dataset!$AA:$AA,Dataset!$F:$F,Resumen!M$8,Dataset!$T:$T,$B58)</f>
        <v>0</v>
      </c>
      <c r="O58" s="41">
        <f>SUMIFS(Dataset!$AJ:$AJ,Dataset!$F:$F,Resumen!O$8,Dataset!$T:$T,$B58)</f>
        <v>0</v>
      </c>
      <c r="P58" s="40">
        <f>SUMIFS(Dataset!$AA:$AA,Dataset!$F:$F,Resumen!O$8,Dataset!$T:$T,$B58)</f>
        <v>0</v>
      </c>
      <c r="Q58" s="41">
        <f>SUMIFS(Dataset!$AJ:$AJ,Dataset!$F:$F,Resumen!Q$8,Dataset!$T:$T,$B58)</f>
        <v>0</v>
      </c>
      <c r="R58" s="40">
        <f>SUMIFS(Dataset!$AA:$AA,Dataset!$F:$F,Resumen!Q$8,Dataset!$T:$T,$B58)</f>
        <v>0</v>
      </c>
      <c r="S58" s="41">
        <f>SUMIFS(Dataset!$AJ:$AJ,Dataset!$F:$F,Resumen!S$8,Dataset!$T:$T,$B58)</f>
        <v>0</v>
      </c>
      <c r="T58" s="40">
        <f>SUMIFS(Dataset!$AA:$AA,Dataset!$F:$F,Resumen!S$8,Dataset!$T:$T,$B58)</f>
        <v>0</v>
      </c>
      <c r="U58" s="41">
        <f>SUMIFS(Dataset!$AJ:$AJ,Dataset!$F:$F,Resumen!U$8,Dataset!$T:$T,$B58)</f>
        <v>0</v>
      </c>
      <c r="V58" s="40">
        <f>SUMIFS(Dataset!$AA:$AA,Dataset!$F:$F,Resumen!U$8,Dataset!$T:$T,$B58)</f>
        <v>0</v>
      </c>
      <c r="W58" s="41">
        <f>SUMIFS(Dataset!$AJ:$AJ,Dataset!$F:$F,Resumen!W$8,Dataset!$T:$T,$B58)</f>
        <v>0</v>
      </c>
      <c r="X58" s="40">
        <f>SUMIFS(Dataset!$AA:$AA,Dataset!$F:$F,Resumen!W$8,Dataset!$T:$T,$B58)</f>
        <v>0</v>
      </c>
      <c r="Y58" s="41">
        <f>SUMIFS(Dataset!$AJ:$AJ,Dataset!$F:$F,Resumen!Y$8,Dataset!$T:$T,$B58)</f>
        <v>0</v>
      </c>
      <c r="Z58" s="40">
        <f>SUMIFS(Dataset!$AA:$AA,Dataset!$F:$F,Resumen!Y$8,Dataset!$T:$T,$B58)</f>
        <v>0</v>
      </c>
      <c r="AA58" s="41">
        <f>SUMIFS(Dataset!$AJ:$AJ,Dataset!$F:$F,Resumen!AA$8,Dataset!$T:$T,$B58)</f>
        <v>0</v>
      </c>
      <c r="AB58" s="40">
        <f>SUMIFS(Dataset!$AA:$AA,Dataset!$F:$F,Resumen!AA$8,Dataset!$T:$T,$B58)</f>
        <v>0</v>
      </c>
    </row>
    <row r="59" spans="2:30" ht="30" customHeight="1" x14ac:dyDescent="0.3">
      <c r="B59" s="163" t="s">
        <v>66</v>
      </c>
      <c r="C59" s="163"/>
      <c r="D59" s="163"/>
      <c r="E59" s="38">
        <f>SUM(E51:E58)</f>
        <v>0</v>
      </c>
      <c r="F59" s="39">
        <f t="shared" ref="F59:AD59" si="1">SUM(F51:F58)</f>
        <v>0</v>
      </c>
      <c r="G59" s="38">
        <f t="shared" si="1"/>
        <v>0</v>
      </c>
      <c r="H59" s="39">
        <f t="shared" si="1"/>
        <v>0</v>
      </c>
      <c r="I59" s="38">
        <f t="shared" si="1"/>
        <v>0</v>
      </c>
      <c r="J59" s="39">
        <f t="shared" si="1"/>
        <v>0</v>
      </c>
      <c r="K59" s="38">
        <f t="shared" si="1"/>
        <v>0</v>
      </c>
      <c r="L59" s="39">
        <f t="shared" si="1"/>
        <v>0</v>
      </c>
      <c r="M59" s="38">
        <f t="shared" si="1"/>
        <v>0</v>
      </c>
      <c r="N59" s="39">
        <f t="shared" si="1"/>
        <v>0</v>
      </c>
      <c r="O59" s="38">
        <f t="shared" si="1"/>
        <v>0</v>
      </c>
      <c r="P59" s="39">
        <f t="shared" si="1"/>
        <v>0</v>
      </c>
      <c r="Q59" s="38">
        <f t="shared" si="1"/>
        <v>0</v>
      </c>
      <c r="R59" s="39">
        <f t="shared" si="1"/>
        <v>0</v>
      </c>
      <c r="S59" s="38">
        <f t="shared" si="1"/>
        <v>0</v>
      </c>
      <c r="T59" s="39">
        <f t="shared" si="1"/>
        <v>0</v>
      </c>
      <c r="U59" s="38">
        <f t="shared" si="1"/>
        <v>0</v>
      </c>
      <c r="V59" s="39">
        <f t="shared" si="1"/>
        <v>0</v>
      </c>
      <c r="W59" s="38">
        <f t="shared" si="1"/>
        <v>0</v>
      </c>
      <c r="X59" s="39">
        <f t="shared" si="1"/>
        <v>0</v>
      </c>
      <c r="Y59" s="38">
        <f t="shared" si="1"/>
        <v>1.0000000000000002</v>
      </c>
      <c r="Z59" s="39">
        <f t="shared" si="1"/>
        <v>1</v>
      </c>
      <c r="AA59" s="38">
        <f t="shared" si="1"/>
        <v>0</v>
      </c>
      <c r="AB59" s="39">
        <f t="shared" si="1"/>
        <v>0</v>
      </c>
      <c r="AC59" s="22">
        <f t="shared" si="1"/>
        <v>0</v>
      </c>
      <c r="AD59" s="22">
        <f t="shared" si="1"/>
        <v>0</v>
      </c>
    </row>
    <row r="60" spans="2:30" x14ac:dyDescent="0.3"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2" spans="2:30" ht="27" x14ac:dyDescent="0.3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</row>
    <row r="63" spans="2:30" x14ac:dyDescent="0.3">
      <c r="B63" s="44" t="s">
        <v>74</v>
      </c>
    </row>
  </sheetData>
  <mergeCells count="55">
    <mergeCell ref="B2:AB2"/>
    <mergeCell ref="B3:AB3"/>
    <mergeCell ref="B62:AB62"/>
    <mergeCell ref="B58:D58"/>
    <mergeCell ref="AA8:AB8"/>
    <mergeCell ref="C18:D18"/>
    <mergeCell ref="B46:B48"/>
    <mergeCell ref="C46:D46"/>
    <mergeCell ref="C47:D47"/>
    <mergeCell ref="B14:B17"/>
    <mergeCell ref="B18:B21"/>
    <mergeCell ref="C19:D19"/>
    <mergeCell ref="C20:D20"/>
    <mergeCell ref="C21:D21"/>
    <mergeCell ref="C22:C25"/>
    <mergeCell ref="B22:B29"/>
    <mergeCell ref="I8:J8"/>
    <mergeCell ref="Q8:R8"/>
    <mergeCell ref="E8:F8"/>
    <mergeCell ref="G8:H8"/>
    <mergeCell ref="K8:L8"/>
    <mergeCell ref="M8:N8"/>
    <mergeCell ref="O8:P8"/>
    <mergeCell ref="S8:T8"/>
    <mergeCell ref="U8:V8"/>
    <mergeCell ref="W8:X8"/>
    <mergeCell ref="Y8:Z8"/>
    <mergeCell ref="B59:D59"/>
    <mergeCell ref="B8:D9"/>
    <mergeCell ref="C38:C41"/>
    <mergeCell ref="C42:C45"/>
    <mergeCell ref="B54:D54"/>
    <mergeCell ref="C17:D17"/>
    <mergeCell ref="C10:D10"/>
    <mergeCell ref="C11:D11"/>
    <mergeCell ref="C12:D12"/>
    <mergeCell ref="C13:D13"/>
    <mergeCell ref="B49:D49"/>
    <mergeCell ref="B50:D50"/>
    <mergeCell ref="B10:B13"/>
    <mergeCell ref="B56:D56"/>
    <mergeCell ref="C16:D16"/>
    <mergeCell ref="B51:D51"/>
    <mergeCell ref="C14:D14"/>
    <mergeCell ref="B53:D53"/>
    <mergeCell ref="C15:D15"/>
    <mergeCell ref="C26:C29"/>
    <mergeCell ref="C48:D48"/>
    <mergeCell ref="B57:D57"/>
    <mergeCell ref="B55:D55"/>
    <mergeCell ref="B52:D52"/>
    <mergeCell ref="C34:C37"/>
    <mergeCell ref="B38:B45"/>
    <mergeCell ref="B30:B37"/>
    <mergeCell ref="C30:C33"/>
  </mergeCells>
  <conditionalFormatting sqref="G11:G24 F55:F56 E57:AB58">
    <cfRule type="cellIs" dxfId="487" priority="944" operator="lessThan">
      <formula>0</formula>
    </cfRule>
  </conditionalFormatting>
  <conditionalFormatting sqref="H11:H24">
    <cfRule type="cellIs" dxfId="486" priority="943" operator="lessThan">
      <formula>0</formula>
    </cfRule>
  </conditionalFormatting>
  <conditionalFormatting sqref="K11:K24">
    <cfRule type="cellIs" dxfId="485" priority="942" operator="lessThan">
      <formula>0</formula>
    </cfRule>
  </conditionalFormatting>
  <conditionalFormatting sqref="L11:L24">
    <cfRule type="cellIs" dxfId="484" priority="941" operator="lessThan">
      <formula>0</formula>
    </cfRule>
  </conditionalFormatting>
  <conditionalFormatting sqref="G25:G29 G46:G48">
    <cfRule type="cellIs" dxfId="483" priority="939" operator="lessThan">
      <formula>0</formula>
    </cfRule>
  </conditionalFormatting>
  <conditionalFormatting sqref="H25:H29 H46:H48">
    <cfRule type="cellIs" dxfId="482" priority="938" operator="lessThan">
      <formula>0</formula>
    </cfRule>
  </conditionalFormatting>
  <conditionalFormatting sqref="K25:K29 K46:K48">
    <cfRule type="cellIs" dxfId="481" priority="937" operator="lessThan">
      <formula>0</formula>
    </cfRule>
  </conditionalFormatting>
  <conditionalFormatting sqref="L25:L29 L46:L48">
    <cfRule type="cellIs" dxfId="480" priority="936" operator="lessThan">
      <formula>0</formula>
    </cfRule>
  </conditionalFormatting>
  <conditionalFormatting sqref="G38:G40">
    <cfRule type="cellIs" dxfId="479" priority="704" operator="lessThan">
      <formula>0</formula>
    </cfRule>
  </conditionalFormatting>
  <conditionalFormatting sqref="H38:H40">
    <cfRule type="cellIs" dxfId="478" priority="703" operator="lessThan">
      <formula>0</formula>
    </cfRule>
  </conditionalFormatting>
  <conditionalFormatting sqref="E49:E50">
    <cfRule type="cellIs" dxfId="477" priority="804" operator="lessThan">
      <formula>0</formula>
    </cfRule>
  </conditionalFormatting>
  <conditionalFormatting sqref="F49:F50">
    <cfRule type="cellIs" dxfId="476" priority="803" operator="lessThan">
      <formula>0</formula>
    </cfRule>
  </conditionalFormatting>
  <conditionalFormatting sqref="G49:G50">
    <cfRule type="cellIs" dxfId="475" priority="802" operator="lessThan">
      <formula>0</formula>
    </cfRule>
  </conditionalFormatting>
  <conditionalFormatting sqref="E10:E23">
    <cfRule type="cellIs" dxfId="474" priority="904" operator="lessThan">
      <formula>0</formula>
    </cfRule>
  </conditionalFormatting>
  <conditionalFormatting sqref="F10:F23">
    <cfRule type="cellIs" dxfId="473" priority="903" operator="lessThan">
      <formula>0</formula>
    </cfRule>
  </conditionalFormatting>
  <conditionalFormatting sqref="G10:G23">
    <cfRule type="cellIs" dxfId="472" priority="902" operator="lessThan">
      <formula>0</formula>
    </cfRule>
  </conditionalFormatting>
  <conditionalFormatting sqref="H10:H23">
    <cfRule type="cellIs" dxfId="471" priority="901" operator="lessThan">
      <formula>0</formula>
    </cfRule>
  </conditionalFormatting>
  <conditionalFormatting sqref="K10:K23">
    <cfRule type="cellIs" dxfId="470" priority="900" operator="lessThan">
      <formula>0</formula>
    </cfRule>
  </conditionalFormatting>
  <conditionalFormatting sqref="E24:E29 E46:E48">
    <cfRule type="cellIs" dxfId="469" priority="899" operator="lessThan">
      <formula>0</formula>
    </cfRule>
  </conditionalFormatting>
  <conditionalFormatting sqref="F24:F29 F46:F48">
    <cfRule type="cellIs" dxfId="468" priority="898" operator="lessThan">
      <formula>0</formula>
    </cfRule>
  </conditionalFormatting>
  <conditionalFormatting sqref="G24:G29 G46:G48">
    <cfRule type="cellIs" dxfId="467" priority="897" operator="lessThan">
      <formula>0</formula>
    </cfRule>
  </conditionalFormatting>
  <conditionalFormatting sqref="H24:H29 H46:H48">
    <cfRule type="cellIs" dxfId="466" priority="896" operator="lessThan">
      <formula>0</formula>
    </cfRule>
  </conditionalFormatting>
  <conditionalFormatting sqref="K24:K29 K46:K48">
    <cfRule type="cellIs" dxfId="465" priority="895" operator="lessThan">
      <formula>0</formula>
    </cfRule>
  </conditionalFormatting>
  <conditionalFormatting sqref="L10:L23">
    <cfRule type="cellIs" dxfId="464" priority="894" operator="lessThan">
      <formula>0</formula>
    </cfRule>
  </conditionalFormatting>
  <conditionalFormatting sqref="L24:L29 L46:L48">
    <cfRule type="cellIs" dxfId="463" priority="889" operator="lessThan">
      <formula>0</formula>
    </cfRule>
  </conditionalFormatting>
  <conditionalFormatting sqref="E38:E39">
    <cfRule type="cellIs" dxfId="462" priority="664" operator="lessThan">
      <formula>0</formula>
    </cfRule>
  </conditionalFormatting>
  <conditionalFormatting sqref="F38:F39">
    <cfRule type="cellIs" dxfId="461" priority="663" operator="lessThan">
      <formula>0</formula>
    </cfRule>
  </conditionalFormatting>
  <conditionalFormatting sqref="G38:G39">
    <cfRule type="cellIs" dxfId="460" priority="662" operator="lessThan">
      <formula>0</formula>
    </cfRule>
  </conditionalFormatting>
  <conditionalFormatting sqref="H38:H39">
    <cfRule type="cellIs" dxfId="459" priority="661" operator="lessThan">
      <formula>0</formula>
    </cfRule>
  </conditionalFormatting>
  <conditionalFormatting sqref="U30:U31">
    <cfRule type="cellIs" dxfId="458" priority="480" operator="lessThan">
      <formula>0</formula>
    </cfRule>
  </conditionalFormatting>
  <conditionalFormatting sqref="V30:V31">
    <cfRule type="cellIs" dxfId="457" priority="479" operator="lessThan">
      <formula>0</formula>
    </cfRule>
  </conditionalFormatting>
  <conditionalFormatting sqref="W30:W31">
    <cfRule type="cellIs" dxfId="456" priority="478" operator="lessThan">
      <formula>0</formula>
    </cfRule>
  </conditionalFormatting>
  <conditionalFormatting sqref="U32:U37">
    <cfRule type="cellIs" dxfId="455" priority="477" operator="lessThan">
      <formula>0</formula>
    </cfRule>
  </conditionalFormatting>
  <conditionalFormatting sqref="V32:V37">
    <cfRule type="cellIs" dxfId="454" priority="476" operator="lessThan">
      <formula>0</formula>
    </cfRule>
  </conditionalFormatting>
  <conditionalFormatting sqref="W32:W37">
    <cfRule type="cellIs" dxfId="453" priority="475" operator="lessThan">
      <formula>0</formula>
    </cfRule>
  </conditionalFormatting>
  <conditionalFormatting sqref="X30:X31">
    <cfRule type="cellIs" dxfId="452" priority="474" operator="lessThan">
      <formula>0</formula>
    </cfRule>
  </conditionalFormatting>
  <conditionalFormatting sqref="X32:X37">
    <cfRule type="cellIs" dxfId="451" priority="473" operator="lessThan">
      <formula>0</formula>
    </cfRule>
  </conditionalFormatting>
  <conditionalFormatting sqref="U38:U40">
    <cfRule type="cellIs" dxfId="450" priority="472" operator="lessThan">
      <formula>0</formula>
    </cfRule>
  </conditionalFormatting>
  <conditionalFormatting sqref="V38:V40">
    <cfRule type="cellIs" dxfId="449" priority="471" operator="lessThan">
      <formula>0</formula>
    </cfRule>
  </conditionalFormatting>
  <conditionalFormatting sqref="W38:W40">
    <cfRule type="cellIs" dxfId="448" priority="470" operator="lessThan">
      <formula>0</formula>
    </cfRule>
  </conditionalFormatting>
  <conditionalFormatting sqref="X38:X40">
    <cfRule type="cellIs" dxfId="447" priority="469" operator="lessThan">
      <formula>0</formula>
    </cfRule>
  </conditionalFormatting>
  <conditionalFormatting sqref="U41:U45">
    <cfRule type="cellIs" dxfId="446" priority="468" operator="lessThan">
      <formula>0</formula>
    </cfRule>
  </conditionalFormatting>
  <conditionalFormatting sqref="V41:V45">
    <cfRule type="cellIs" dxfId="445" priority="467" operator="lessThan">
      <formula>0</formula>
    </cfRule>
  </conditionalFormatting>
  <conditionalFormatting sqref="W41:W45">
    <cfRule type="cellIs" dxfId="444" priority="466" operator="lessThan">
      <formula>0</formula>
    </cfRule>
  </conditionalFormatting>
  <conditionalFormatting sqref="X41:X45">
    <cfRule type="cellIs" dxfId="443" priority="465" operator="lessThan">
      <formula>0</formula>
    </cfRule>
  </conditionalFormatting>
  <conditionalFormatting sqref="U38:U39">
    <cfRule type="cellIs" dxfId="442" priority="464" operator="lessThan">
      <formula>0</formula>
    </cfRule>
  </conditionalFormatting>
  <conditionalFormatting sqref="V38:V39">
    <cfRule type="cellIs" dxfId="441" priority="463" operator="lessThan">
      <formula>0</formula>
    </cfRule>
  </conditionalFormatting>
  <conditionalFormatting sqref="W38:W39">
    <cfRule type="cellIs" dxfId="440" priority="462" operator="lessThan">
      <formula>0</formula>
    </cfRule>
  </conditionalFormatting>
  <conditionalFormatting sqref="U40:U45">
    <cfRule type="cellIs" dxfId="439" priority="461" operator="lessThan">
      <formula>0</formula>
    </cfRule>
  </conditionalFormatting>
  <conditionalFormatting sqref="V40:V45">
    <cfRule type="cellIs" dxfId="438" priority="460" operator="lessThan">
      <formula>0</formula>
    </cfRule>
  </conditionalFormatting>
  <conditionalFormatting sqref="W40:W45">
    <cfRule type="cellIs" dxfId="437" priority="459" operator="lessThan">
      <formula>0</formula>
    </cfRule>
  </conditionalFormatting>
  <conditionalFormatting sqref="X38:X39">
    <cfRule type="cellIs" dxfId="436" priority="458" operator="lessThan">
      <formula>0</formula>
    </cfRule>
  </conditionalFormatting>
  <conditionalFormatting sqref="X40:X45">
    <cfRule type="cellIs" dxfId="435" priority="457" operator="lessThan">
      <formula>0</formula>
    </cfRule>
  </conditionalFormatting>
  <conditionalFormatting sqref="Y11:Y24">
    <cfRule type="cellIs" dxfId="434" priority="456" operator="lessThan">
      <formula>0</formula>
    </cfRule>
  </conditionalFormatting>
  <conditionalFormatting sqref="Z11:Z24">
    <cfRule type="cellIs" dxfId="433" priority="455" operator="lessThan">
      <formula>0</formula>
    </cfRule>
  </conditionalFormatting>
  <conditionalFormatting sqref="AA11:AA24">
    <cfRule type="cellIs" dxfId="432" priority="454" operator="lessThan">
      <formula>0</formula>
    </cfRule>
  </conditionalFormatting>
  <conditionalFormatting sqref="AB11:AB24">
    <cfRule type="cellIs" dxfId="431" priority="453" operator="lessThan">
      <formula>0</formula>
    </cfRule>
  </conditionalFormatting>
  <conditionalFormatting sqref="Y25:Y29 Y46:Y48">
    <cfRule type="cellIs" dxfId="430" priority="452" operator="lessThan">
      <formula>0</formula>
    </cfRule>
  </conditionalFormatting>
  <conditionalFormatting sqref="Z25:Z29 Z46:Z48">
    <cfRule type="cellIs" dxfId="429" priority="451" operator="lessThan">
      <formula>0</formula>
    </cfRule>
  </conditionalFormatting>
  <conditionalFormatting sqref="AA25:AA29 AA46:AA48">
    <cfRule type="cellIs" dxfId="428" priority="450" operator="lessThan">
      <formula>0</formula>
    </cfRule>
  </conditionalFormatting>
  <conditionalFormatting sqref="AB25:AB29 AB46:AB48">
    <cfRule type="cellIs" dxfId="427" priority="449" operator="lessThan">
      <formula>0</formula>
    </cfRule>
  </conditionalFormatting>
  <conditionalFormatting sqref="Y10:Y23">
    <cfRule type="cellIs" dxfId="426" priority="448" operator="lessThan">
      <formula>0</formula>
    </cfRule>
  </conditionalFormatting>
  <conditionalFormatting sqref="Z10:Z23">
    <cfRule type="cellIs" dxfId="425" priority="447" operator="lessThan">
      <formula>0</formula>
    </cfRule>
  </conditionalFormatting>
  <conditionalFormatting sqref="AA10:AA23">
    <cfRule type="cellIs" dxfId="424" priority="446" operator="lessThan">
      <formula>0</formula>
    </cfRule>
  </conditionalFormatting>
  <conditionalFormatting sqref="Y24:Y29 Y46:Y48">
    <cfRule type="cellIs" dxfId="423" priority="445" operator="lessThan">
      <formula>0</formula>
    </cfRule>
  </conditionalFormatting>
  <conditionalFormatting sqref="Z24:Z29 Z46:Z48">
    <cfRule type="cellIs" dxfId="422" priority="444" operator="lessThan">
      <formula>0</formula>
    </cfRule>
  </conditionalFormatting>
  <conditionalFormatting sqref="AA24:AA29 AA46:AA48">
    <cfRule type="cellIs" dxfId="421" priority="443" operator="lessThan">
      <formula>0</formula>
    </cfRule>
  </conditionalFormatting>
  <conditionalFormatting sqref="AB10:AB23">
    <cfRule type="cellIs" dxfId="420" priority="442" operator="lessThan">
      <formula>0</formula>
    </cfRule>
  </conditionalFormatting>
  <conditionalFormatting sqref="AB24:AB29 AB46:AB48">
    <cfRule type="cellIs" dxfId="419" priority="441" operator="lessThan">
      <formula>0</formula>
    </cfRule>
  </conditionalFormatting>
  <conditionalFormatting sqref="G49:G50">
    <cfRule type="cellIs" dxfId="418" priority="824" operator="lessThan">
      <formula>0</formula>
    </cfRule>
  </conditionalFormatting>
  <conditionalFormatting sqref="H49:H50">
    <cfRule type="cellIs" dxfId="417" priority="823" operator="lessThan">
      <formula>0</formula>
    </cfRule>
  </conditionalFormatting>
  <conditionalFormatting sqref="K49:K50">
    <cfRule type="cellIs" dxfId="416" priority="822" operator="lessThan">
      <formula>0</formula>
    </cfRule>
  </conditionalFormatting>
  <conditionalFormatting sqref="L49:L50">
    <cfRule type="cellIs" dxfId="415" priority="821" operator="lessThan">
      <formula>0</formula>
    </cfRule>
  </conditionalFormatting>
  <conditionalFormatting sqref="M33:M37">
    <cfRule type="cellIs" dxfId="414" priority="596" operator="lessThan">
      <formula>0</formula>
    </cfRule>
  </conditionalFormatting>
  <conditionalFormatting sqref="N33:N37">
    <cfRule type="cellIs" dxfId="413" priority="595" operator="lessThan">
      <formula>0</formula>
    </cfRule>
  </conditionalFormatting>
  <conditionalFormatting sqref="O33:O37">
    <cfRule type="cellIs" dxfId="412" priority="594" operator="lessThan">
      <formula>0</formula>
    </cfRule>
  </conditionalFormatting>
  <conditionalFormatting sqref="P33:P37">
    <cfRule type="cellIs" dxfId="411" priority="593" operator="lessThan">
      <formula>0</formula>
    </cfRule>
  </conditionalFormatting>
  <conditionalFormatting sqref="G41:G45">
    <cfRule type="cellIs" dxfId="410" priority="699" operator="lessThan">
      <formula>0</formula>
    </cfRule>
  </conditionalFormatting>
  <conditionalFormatting sqref="H41:H45">
    <cfRule type="cellIs" dxfId="409" priority="698" operator="lessThan">
      <formula>0</formula>
    </cfRule>
  </conditionalFormatting>
  <conditionalFormatting sqref="K41:K45">
    <cfRule type="cellIs" dxfId="408" priority="697" operator="lessThan">
      <formula>0</formula>
    </cfRule>
  </conditionalFormatting>
  <conditionalFormatting sqref="H49:H50">
    <cfRule type="cellIs" dxfId="407" priority="801" operator="lessThan">
      <formula>0</formula>
    </cfRule>
  </conditionalFormatting>
  <conditionalFormatting sqref="K49:K50">
    <cfRule type="cellIs" dxfId="406" priority="800" operator="lessThan">
      <formula>0</formula>
    </cfRule>
  </conditionalFormatting>
  <conditionalFormatting sqref="L49:L50">
    <cfRule type="cellIs" dxfId="405" priority="799" operator="lessThan">
      <formula>0</formula>
    </cfRule>
  </conditionalFormatting>
  <conditionalFormatting sqref="O38:O39">
    <cfRule type="cellIs" dxfId="404" priority="574" operator="lessThan">
      <formula>0</formula>
    </cfRule>
  </conditionalFormatting>
  <conditionalFormatting sqref="M40:M45">
    <cfRule type="cellIs" dxfId="403" priority="573" operator="lessThan">
      <formula>0</formula>
    </cfRule>
  </conditionalFormatting>
  <conditionalFormatting sqref="N40:N45">
    <cfRule type="cellIs" dxfId="402" priority="572" operator="lessThan">
      <formula>0</formula>
    </cfRule>
  </conditionalFormatting>
  <conditionalFormatting sqref="O40:O45">
    <cfRule type="cellIs" dxfId="401" priority="571" operator="lessThan">
      <formula>0</formula>
    </cfRule>
  </conditionalFormatting>
  <conditionalFormatting sqref="M11:M24">
    <cfRule type="cellIs" dxfId="400" priority="624" operator="lessThan">
      <formula>0</formula>
    </cfRule>
  </conditionalFormatting>
  <conditionalFormatting sqref="N11:N24">
    <cfRule type="cellIs" dxfId="399" priority="623" operator="lessThan">
      <formula>0</formula>
    </cfRule>
  </conditionalFormatting>
  <conditionalFormatting sqref="L32:L37">
    <cfRule type="cellIs" dxfId="398" priority="729" operator="lessThan">
      <formula>0</formula>
    </cfRule>
  </conditionalFormatting>
  <conditionalFormatting sqref="G30:G32">
    <cfRule type="cellIs" dxfId="397" priority="784" operator="lessThan">
      <formula>0</formula>
    </cfRule>
  </conditionalFormatting>
  <conditionalFormatting sqref="H30:H32">
    <cfRule type="cellIs" dxfId="396" priority="783" operator="lessThan">
      <formula>0</formula>
    </cfRule>
  </conditionalFormatting>
  <conditionalFormatting sqref="K30:K32">
    <cfRule type="cellIs" dxfId="395" priority="782" operator="lessThan">
      <formula>0</formula>
    </cfRule>
  </conditionalFormatting>
  <conditionalFormatting sqref="L30:L32">
    <cfRule type="cellIs" dxfId="394" priority="781" operator="lessThan">
      <formula>0</formula>
    </cfRule>
  </conditionalFormatting>
  <conditionalFormatting sqref="R24:R29 R46:R48">
    <cfRule type="cellIs" dxfId="393" priority="556" operator="lessThan">
      <formula>0</formula>
    </cfRule>
  </conditionalFormatting>
  <conditionalFormatting sqref="G33:G37">
    <cfRule type="cellIs" dxfId="392" priority="779" operator="lessThan">
      <formula>0</formula>
    </cfRule>
  </conditionalFormatting>
  <conditionalFormatting sqref="H33:H37">
    <cfRule type="cellIs" dxfId="391" priority="778" operator="lessThan">
      <formula>0</formula>
    </cfRule>
  </conditionalFormatting>
  <conditionalFormatting sqref="K33:K37">
    <cfRule type="cellIs" dxfId="390" priority="777" operator="lessThan">
      <formula>0</formula>
    </cfRule>
  </conditionalFormatting>
  <conditionalFormatting sqref="L33:L37">
    <cfRule type="cellIs" dxfId="389" priority="776" operator="lessThan">
      <formula>0</formula>
    </cfRule>
  </conditionalFormatting>
  <conditionalFormatting sqref="R49:R50">
    <cfRule type="cellIs" dxfId="388" priority="551" operator="lessThan">
      <formula>0</formula>
    </cfRule>
  </conditionalFormatting>
  <conditionalFormatting sqref="S49:S50">
    <cfRule type="cellIs" dxfId="387" priority="550" operator="lessThan">
      <formula>0</formula>
    </cfRule>
  </conditionalFormatting>
  <conditionalFormatting sqref="T49:T50">
    <cfRule type="cellIs" dxfId="386" priority="549" operator="lessThan">
      <formula>0</formula>
    </cfRule>
  </conditionalFormatting>
  <conditionalFormatting sqref="Q49:Q50">
    <cfRule type="cellIs" dxfId="385" priority="548" operator="lessThan">
      <formula>0</formula>
    </cfRule>
  </conditionalFormatting>
  <conditionalFormatting sqref="N49:N50">
    <cfRule type="cellIs" dxfId="384" priority="603" operator="lessThan">
      <formula>0</formula>
    </cfRule>
  </conditionalFormatting>
  <conditionalFormatting sqref="O49:O50">
    <cfRule type="cellIs" dxfId="383" priority="602" operator="lessThan">
      <formula>0</formula>
    </cfRule>
  </conditionalFormatting>
  <conditionalFormatting sqref="T49:T50">
    <cfRule type="cellIs" dxfId="382" priority="545" operator="lessThan">
      <formula>0</formula>
    </cfRule>
  </conditionalFormatting>
  <conditionalFormatting sqref="Q30:Q32">
    <cfRule type="cellIs" dxfId="381" priority="544" operator="lessThan">
      <formula>0</formula>
    </cfRule>
  </conditionalFormatting>
  <conditionalFormatting sqref="R30:R32">
    <cfRule type="cellIs" dxfId="380" priority="543" operator="lessThan">
      <formula>0</formula>
    </cfRule>
  </conditionalFormatting>
  <conditionalFormatting sqref="O30:O32">
    <cfRule type="cellIs" dxfId="379" priority="598" operator="lessThan">
      <formula>0</formula>
    </cfRule>
  </conditionalFormatting>
  <conditionalFormatting sqref="P30:P32">
    <cfRule type="cellIs" dxfId="378" priority="597" operator="lessThan">
      <formula>0</formula>
    </cfRule>
  </conditionalFormatting>
  <conditionalFormatting sqref="L40:L45">
    <cfRule type="cellIs" dxfId="377" priority="649" operator="lessThan">
      <formula>0</formula>
    </cfRule>
  </conditionalFormatting>
  <conditionalFormatting sqref="N30:N31">
    <cfRule type="cellIs" dxfId="376" priority="591" operator="lessThan">
      <formula>0</formula>
    </cfRule>
  </conditionalFormatting>
  <conditionalFormatting sqref="O30:O31">
    <cfRule type="cellIs" dxfId="375" priority="590" operator="lessThan">
      <formula>0</formula>
    </cfRule>
  </conditionalFormatting>
  <conditionalFormatting sqref="L41:L45">
    <cfRule type="cellIs" dxfId="374" priority="696" operator="lessThan">
      <formula>0</formula>
    </cfRule>
  </conditionalFormatting>
  <conditionalFormatting sqref="E30:E31">
    <cfRule type="cellIs" dxfId="373" priority="744" operator="lessThan">
      <formula>0</formula>
    </cfRule>
  </conditionalFormatting>
  <conditionalFormatting sqref="F30:F31">
    <cfRule type="cellIs" dxfId="372" priority="743" operator="lessThan">
      <formula>0</formula>
    </cfRule>
  </conditionalFormatting>
  <conditionalFormatting sqref="G30:G31">
    <cfRule type="cellIs" dxfId="371" priority="742" operator="lessThan">
      <formula>0</formula>
    </cfRule>
  </conditionalFormatting>
  <conditionalFormatting sqref="H30:H31">
    <cfRule type="cellIs" dxfId="370" priority="741" operator="lessThan">
      <formula>0</formula>
    </cfRule>
  </conditionalFormatting>
  <conditionalFormatting sqref="K30:K31">
    <cfRule type="cellIs" dxfId="369" priority="740" operator="lessThan">
      <formula>0</formula>
    </cfRule>
  </conditionalFormatting>
  <conditionalFormatting sqref="E32:E37">
    <cfRule type="cellIs" dxfId="368" priority="739" operator="lessThan">
      <formula>0</formula>
    </cfRule>
  </conditionalFormatting>
  <conditionalFormatting sqref="F32:F37">
    <cfRule type="cellIs" dxfId="367" priority="738" operator="lessThan">
      <formula>0</formula>
    </cfRule>
  </conditionalFormatting>
  <conditionalFormatting sqref="G32:G37">
    <cfRule type="cellIs" dxfId="366" priority="737" operator="lessThan">
      <formula>0</formula>
    </cfRule>
  </conditionalFormatting>
  <conditionalFormatting sqref="H32:H37">
    <cfRule type="cellIs" dxfId="365" priority="736" operator="lessThan">
      <formula>0</formula>
    </cfRule>
  </conditionalFormatting>
  <conditionalFormatting sqref="K32:K37">
    <cfRule type="cellIs" dxfId="364" priority="735" operator="lessThan">
      <formula>0</formula>
    </cfRule>
  </conditionalFormatting>
  <conditionalFormatting sqref="L30:L31">
    <cfRule type="cellIs" dxfId="363" priority="734" operator="lessThan">
      <formula>0</formula>
    </cfRule>
  </conditionalFormatting>
  <conditionalFormatting sqref="X11:X24">
    <cfRule type="cellIs" dxfId="362" priority="509" operator="lessThan">
      <formula>0</formula>
    </cfRule>
  </conditionalFormatting>
  <conditionalFormatting sqref="U25:U29 U46:U48">
    <cfRule type="cellIs" dxfId="361" priority="508" operator="lessThan">
      <formula>0</formula>
    </cfRule>
  </conditionalFormatting>
  <conditionalFormatting sqref="V25:V29 V46:V48">
    <cfRule type="cellIs" dxfId="360" priority="507" operator="lessThan">
      <formula>0</formula>
    </cfRule>
  </conditionalFormatting>
  <conditionalFormatting sqref="W25:W29 W46:W48">
    <cfRule type="cellIs" dxfId="359" priority="506" operator="lessThan">
      <formula>0</formula>
    </cfRule>
  </conditionalFormatting>
  <conditionalFormatting sqref="U10:U23">
    <cfRule type="cellIs" dxfId="358" priority="504" operator="lessThan">
      <formula>0</formula>
    </cfRule>
  </conditionalFormatting>
  <conditionalFormatting sqref="V10:V23">
    <cfRule type="cellIs" dxfId="357" priority="503" operator="lessThan">
      <formula>0</formula>
    </cfRule>
  </conditionalFormatting>
  <conditionalFormatting sqref="W10:W23">
    <cfRule type="cellIs" dxfId="356" priority="502" operator="lessThan">
      <formula>0</formula>
    </cfRule>
  </conditionalFormatting>
  <conditionalFormatting sqref="U24:U29 U46:U48">
    <cfRule type="cellIs" dxfId="355" priority="501" operator="lessThan">
      <formula>0</formula>
    </cfRule>
  </conditionalFormatting>
  <conditionalFormatting sqref="S24:S29 S46:S48">
    <cfRule type="cellIs" dxfId="354" priority="555" operator="lessThan">
      <formula>0</formula>
    </cfRule>
  </conditionalFormatting>
  <conditionalFormatting sqref="T10:T23">
    <cfRule type="cellIs" dxfId="353" priority="554" operator="lessThan">
      <formula>0</formula>
    </cfRule>
  </conditionalFormatting>
  <conditionalFormatting sqref="T24:T29 T46:T48">
    <cfRule type="cellIs" dxfId="352" priority="553" operator="lessThan">
      <formula>0</formula>
    </cfRule>
  </conditionalFormatting>
  <conditionalFormatting sqref="M49:M50">
    <cfRule type="cellIs" dxfId="351" priority="608" operator="lessThan">
      <formula>0</formula>
    </cfRule>
  </conditionalFormatting>
  <conditionalFormatting sqref="P49:P50">
    <cfRule type="cellIs" dxfId="350" priority="601" operator="lessThan">
      <formula>0</formula>
    </cfRule>
  </conditionalFormatting>
  <conditionalFormatting sqref="M30:M32">
    <cfRule type="cellIs" dxfId="349" priority="600" operator="lessThan">
      <formula>0</formula>
    </cfRule>
  </conditionalFormatting>
  <conditionalFormatting sqref="K40:K45">
    <cfRule type="cellIs" dxfId="348" priority="655" operator="lessThan">
      <formula>0</formula>
    </cfRule>
  </conditionalFormatting>
  <conditionalFormatting sqref="L38:L39">
    <cfRule type="cellIs" dxfId="347" priority="654" operator="lessThan">
      <formula>0</formula>
    </cfRule>
  </conditionalFormatting>
  <conditionalFormatting sqref="K38:K40">
    <cfRule type="cellIs" dxfId="346" priority="702" operator="lessThan">
      <formula>0</formula>
    </cfRule>
  </conditionalFormatting>
  <conditionalFormatting sqref="L38:L40">
    <cfRule type="cellIs" dxfId="345" priority="701" operator="lessThan">
      <formula>0</formula>
    </cfRule>
  </conditionalFormatting>
  <conditionalFormatting sqref="R41:R45">
    <cfRule type="cellIs" dxfId="344" priority="523" operator="lessThan">
      <formula>0</formula>
    </cfRule>
  </conditionalFormatting>
  <conditionalFormatting sqref="S41:S45">
    <cfRule type="cellIs" dxfId="343" priority="522" operator="lessThan">
      <formula>0</formula>
    </cfRule>
  </conditionalFormatting>
  <conditionalFormatting sqref="S38:S39">
    <cfRule type="cellIs" dxfId="342" priority="518" operator="lessThan">
      <formula>0</formula>
    </cfRule>
  </conditionalFormatting>
  <conditionalFormatting sqref="Q40:Q45">
    <cfRule type="cellIs" dxfId="341" priority="517" operator="lessThan">
      <formula>0</formula>
    </cfRule>
  </conditionalFormatting>
  <conditionalFormatting sqref="R40:R45">
    <cfRule type="cellIs" dxfId="340" priority="516" operator="lessThan">
      <formula>0</formula>
    </cfRule>
  </conditionalFormatting>
  <conditionalFormatting sqref="S40:S45">
    <cfRule type="cellIs" dxfId="339" priority="515" operator="lessThan">
      <formula>0</formula>
    </cfRule>
  </conditionalFormatting>
  <conditionalFormatting sqref="P38:P39">
    <cfRule type="cellIs" dxfId="338" priority="570" operator="lessThan">
      <formula>0</formula>
    </cfRule>
  </conditionalFormatting>
  <conditionalFormatting sqref="P40:P45">
    <cfRule type="cellIs" dxfId="337" priority="569" operator="lessThan">
      <formula>0</formula>
    </cfRule>
  </conditionalFormatting>
  <conditionalFormatting sqref="Q11:Q24">
    <cfRule type="cellIs" dxfId="336" priority="568" operator="lessThan">
      <formula>0</formula>
    </cfRule>
  </conditionalFormatting>
  <conditionalFormatting sqref="V11:V24">
    <cfRule type="cellIs" dxfId="335" priority="511" operator="lessThan">
      <formula>0</formula>
    </cfRule>
  </conditionalFormatting>
  <conditionalFormatting sqref="W11:W24">
    <cfRule type="cellIs" dxfId="334" priority="510" operator="lessThan">
      <formula>0</formula>
    </cfRule>
  </conditionalFormatting>
  <conditionalFormatting sqref="T11:T24">
    <cfRule type="cellIs" dxfId="333" priority="565" operator="lessThan">
      <formula>0</formula>
    </cfRule>
  </conditionalFormatting>
  <conditionalFormatting sqref="Q25:Q29 Q46:Q48">
    <cfRule type="cellIs" dxfId="332" priority="564" operator="lessThan">
      <formula>0</formula>
    </cfRule>
  </conditionalFormatting>
  <conditionalFormatting sqref="R25:R29 R46:R48">
    <cfRule type="cellIs" dxfId="331" priority="563" operator="lessThan">
      <formula>0</formula>
    </cfRule>
  </conditionalFormatting>
  <conditionalFormatting sqref="S25:S29 S46:S48">
    <cfRule type="cellIs" dxfId="330" priority="562" operator="lessThan">
      <formula>0</formula>
    </cfRule>
  </conditionalFormatting>
  <conditionalFormatting sqref="P25:P29 P46:P48">
    <cfRule type="cellIs" dxfId="329" priority="617" operator="lessThan">
      <formula>0</formula>
    </cfRule>
  </conditionalFormatting>
  <conditionalFormatting sqref="M10:M23">
    <cfRule type="cellIs" dxfId="328" priority="616" operator="lessThan">
      <formula>0</formula>
    </cfRule>
  </conditionalFormatting>
  <conditionalFormatting sqref="N10:N23">
    <cfRule type="cellIs" dxfId="327" priority="615" operator="lessThan">
      <formula>0</formula>
    </cfRule>
  </conditionalFormatting>
  <conditionalFormatting sqref="O10:O23">
    <cfRule type="cellIs" dxfId="326" priority="614" operator="lessThan">
      <formula>0</formula>
    </cfRule>
  </conditionalFormatting>
  <conditionalFormatting sqref="Q24:Q29 Q46:Q48">
    <cfRule type="cellIs" dxfId="325" priority="557" operator="lessThan">
      <formula>0</formula>
    </cfRule>
  </conditionalFormatting>
  <conditionalFormatting sqref="N24:N29 N46:N48">
    <cfRule type="cellIs" dxfId="324" priority="612" operator="lessThan">
      <formula>0</formula>
    </cfRule>
  </conditionalFormatting>
  <conditionalFormatting sqref="O24:O29 O46:O48">
    <cfRule type="cellIs" dxfId="323" priority="611" operator="lessThan">
      <formula>0</formula>
    </cfRule>
  </conditionalFormatting>
  <conditionalFormatting sqref="P10:P23">
    <cfRule type="cellIs" dxfId="322" priority="610" operator="lessThan">
      <formula>0</formula>
    </cfRule>
  </conditionalFormatting>
  <conditionalFormatting sqref="P24:P29 P46:P48">
    <cfRule type="cellIs" dxfId="321" priority="609" operator="lessThan">
      <formula>0</formula>
    </cfRule>
  </conditionalFormatting>
  <conditionalFormatting sqref="K38:K39">
    <cfRule type="cellIs" dxfId="320" priority="660" operator="lessThan">
      <formula>0</formula>
    </cfRule>
  </conditionalFormatting>
  <conditionalFormatting sqref="E40:E45">
    <cfRule type="cellIs" dxfId="319" priority="659" operator="lessThan">
      <formula>0</formula>
    </cfRule>
  </conditionalFormatting>
  <conditionalFormatting sqref="F40:F45">
    <cfRule type="cellIs" dxfId="318" priority="658" operator="lessThan">
      <formula>0</formula>
    </cfRule>
  </conditionalFormatting>
  <conditionalFormatting sqref="G40:G45">
    <cfRule type="cellIs" dxfId="317" priority="657" operator="lessThan">
      <formula>0</formula>
    </cfRule>
  </conditionalFormatting>
  <conditionalFormatting sqref="H40:H45">
    <cfRule type="cellIs" dxfId="316" priority="656" operator="lessThan">
      <formula>0</formula>
    </cfRule>
  </conditionalFormatting>
  <conditionalFormatting sqref="AB30:AB32">
    <cfRule type="cellIs" dxfId="315" priority="429" operator="lessThan">
      <formula>0</formula>
    </cfRule>
  </conditionalFormatting>
  <conditionalFormatting sqref="Y33:Y37">
    <cfRule type="cellIs" dxfId="314" priority="428" operator="lessThan">
      <formula>0</formula>
    </cfRule>
  </conditionalFormatting>
  <conditionalFormatting sqref="Z33:Z37">
    <cfRule type="cellIs" dxfId="313" priority="427" operator="lessThan">
      <formula>0</formula>
    </cfRule>
  </conditionalFormatting>
  <conditionalFormatting sqref="AA33:AA37">
    <cfRule type="cellIs" dxfId="312" priority="426" operator="lessThan">
      <formula>0</formula>
    </cfRule>
  </conditionalFormatting>
  <conditionalFormatting sqref="Y30:Y31">
    <cfRule type="cellIs" dxfId="311" priority="424" operator="lessThan">
      <formula>0</formula>
    </cfRule>
  </conditionalFormatting>
  <conditionalFormatting sqref="Z30:Z31">
    <cfRule type="cellIs" dxfId="310" priority="423" operator="lessThan">
      <formula>0</formula>
    </cfRule>
  </conditionalFormatting>
  <conditionalFormatting sqref="AA30:AA31">
    <cfRule type="cellIs" dxfId="309" priority="422" operator="lessThan">
      <formula>0</formula>
    </cfRule>
  </conditionalFormatting>
  <conditionalFormatting sqref="Y32:Y37">
    <cfRule type="cellIs" dxfId="308" priority="421" operator="lessThan">
      <formula>0</formula>
    </cfRule>
  </conditionalFormatting>
  <conditionalFormatting sqref="Q38:Q40">
    <cfRule type="cellIs" dxfId="307" priority="528" operator="lessThan">
      <formula>0</formula>
    </cfRule>
  </conditionalFormatting>
  <conditionalFormatting sqref="T41:T45">
    <cfRule type="cellIs" dxfId="306" priority="521" operator="lessThan">
      <formula>0</formula>
    </cfRule>
  </conditionalFormatting>
  <conditionalFormatting sqref="Q38:Q39">
    <cfRule type="cellIs" dxfId="305" priority="520" operator="lessThan">
      <formula>0</formula>
    </cfRule>
  </conditionalFormatting>
  <conditionalFormatting sqref="N38:N39">
    <cfRule type="cellIs" dxfId="304" priority="575" operator="lessThan">
      <formula>0</formula>
    </cfRule>
  </conditionalFormatting>
  <conditionalFormatting sqref="O11:O24">
    <cfRule type="cellIs" dxfId="303" priority="622" operator="lessThan">
      <formula>0</formula>
    </cfRule>
  </conditionalFormatting>
  <conditionalFormatting sqref="P11:P24">
    <cfRule type="cellIs" dxfId="302" priority="621" operator="lessThan">
      <formula>0</formula>
    </cfRule>
  </conditionalFormatting>
  <conditionalFormatting sqref="M25:M29 M46:M48">
    <cfRule type="cellIs" dxfId="301" priority="620" operator="lessThan">
      <formula>0</formula>
    </cfRule>
  </conditionalFormatting>
  <conditionalFormatting sqref="N25:N29 N46:N48">
    <cfRule type="cellIs" dxfId="300" priority="619" operator="lessThan">
      <formula>0</formula>
    </cfRule>
  </conditionalFormatting>
  <conditionalFormatting sqref="O25:O29 O46:O48">
    <cfRule type="cellIs" dxfId="299" priority="618" operator="lessThan">
      <formula>0</formula>
    </cfRule>
  </conditionalFormatting>
  <conditionalFormatting sqref="M24:M29 M46:M48">
    <cfRule type="cellIs" dxfId="298" priority="613" operator="lessThan">
      <formula>0</formula>
    </cfRule>
  </conditionalFormatting>
  <conditionalFormatting sqref="N49:N50">
    <cfRule type="cellIs" dxfId="297" priority="607" operator="lessThan">
      <formula>0</formula>
    </cfRule>
  </conditionalFormatting>
  <conditionalFormatting sqref="O49:O50">
    <cfRule type="cellIs" dxfId="296" priority="606" operator="lessThan">
      <formula>0</formula>
    </cfRule>
  </conditionalFormatting>
  <conditionalFormatting sqref="P49:P50">
    <cfRule type="cellIs" dxfId="295" priority="605" operator="lessThan">
      <formula>0</formula>
    </cfRule>
  </conditionalFormatting>
  <conditionalFormatting sqref="M49:M50">
    <cfRule type="cellIs" dxfId="294" priority="604" operator="lessThan">
      <formula>0</formula>
    </cfRule>
  </conditionalFormatting>
  <conditionalFormatting sqref="N30:N32">
    <cfRule type="cellIs" dxfId="293" priority="599" operator="lessThan">
      <formula>0</formula>
    </cfRule>
  </conditionalFormatting>
  <conditionalFormatting sqref="M30:M31">
    <cfRule type="cellIs" dxfId="292" priority="592" operator="lessThan">
      <formula>0</formula>
    </cfRule>
  </conditionalFormatting>
  <conditionalFormatting sqref="M32:M37">
    <cfRule type="cellIs" dxfId="291" priority="589" operator="lessThan">
      <formula>0</formula>
    </cfRule>
  </conditionalFormatting>
  <conditionalFormatting sqref="N32:N37">
    <cfRule type="cellIs" dxfId="290" priority="588" operator="lessThan">
      <formula>0</formula>
    </cfRule>
  </conditionalFormatting>
  <conditionalFormatting sqref="O32:O37">
    <cfRule type="cellIs" dxfId="289" priority="587" operator="lessThan">
      <formula>0</formula>
    </cfRule>
  </conditionalFormatting>
  <conditionalFormatting sqref="P30:P31">
    <cfRule type="cellIs" dxfId="288" priority="586" operator="lessThan">
      <formula>0</formula>
    </cfRule>
  </conditionalFormatting>
  <conditionalFormatting sqref="P32:P37">
    <cfRule type="cellIs" dxfId="287" priority="585" operator="lessThan">
      <formula>0</formula>
    </cfRule>
  </conditionalFormatting>
  <conditionalFormatting sqref="M38:M40">
    <cfRule type="cellIs" dxfId="286" priority="584" operator="lessThan">
      <formula>0</formula>
    </cfRule>
  </conditionalFormatting>
  <conditionalFormatting sqref="N38:N40">
    <cfRule type="cellIs" dxfId="285" priority="583" operator="lessThan">
      <formula>0</formula>
    </cfRule>
  </conditionalFormatting>
  <conditionalFormatting sqref="O38:O40">
    <cfRule type="cellIs" dxfId="284" priority="582" operator="lessThan">
      <formula>0</formula>
    </cfRule>
  </conditionalFormatting>
  <conditionalFormatting sqref="P38:P40">
    <cfRule type="cellIs" dxfId="283" priority="581" operator="lessThan">
      <formula>0</formula>
    </cfRule>
  </conditionalFormatting>
  <conditionalFormatting sqref="M41:M45">
    <cfRule type="cellIs" dxfId="282" priority="580" operator="lessThan">
      <formula>0</formula>
    </cfRule>
  </conditionalFormatting>
  <conditionalFormatting sqref="N41:N45">
    <cfRule type="cellIs" dxfId="281" priority="579" operator="lessThan">
      <formula>0</formula>
    </cfRule>
  </conditionalFormatting>
  <conditionalFormatting sqref="O41:O45">
    <cfRule type="cellIs" dxfId="280" priority="578" operator="lessThan">
      <formula>0</formula>
    </cfRule>
  </conditionalFormatting>
  <conditionalFormatting sqref="P41:P45">
    <cfRule type="cellIs" dxfId="279" priority="577" operator="lessThan">
      <formula>0</formula>
    </cfRule>
  </conditionalFormatting>
  <conditionalFormatting sqref="M38:M39">
    <cfRule type="cellIs" dxfId="278" priority="576" operator="lessThan">
      <formula>0</formula>
    </cfRule>
  </conditionalFormatting>
  <conditionalFormatting sqref="R11:R24">
    <cfRule type="cellIs" dxfId="277" priority="567" operator="lessThan">
      <formula>0</formula>
    </cfRule>
  </conditionalFormatting>
  <conditionalFormatting sqref="S11:S24">
    <cfRule type="cellIs" dxfId="276" priority="566" operator="lessThan">
      <formula>0</formula>
    </cfRule>
  </conditionalFormatting>
  <conditionalFormatting sqref="T25:T29 T46:T48">
    <cfRule type="cellIs" dxfId="275" priority="561" operator="lessThan">
      <formula>0</formula>
    </cfRule>
  </conditionalFormatting>
  <conditionalFormatting sqref="Q10:Q23">
    <cfRule type="cellIs" dxfId="274" priority="560" operator="lessThan">
      <formula>0</formula>
    </cfRule>
  </conditionalFormatting>
  <conditionalFormatting sqref="R10:R23">
    <cfRule type="cellIs" dxfId="273" priority="559" operator="lessThan">
      <formula>0</formula>
    </cfRule>
  </conditionalFormatting>
  <conditionalFormatting sqref="S10:S23">
    <cfRule type="cellIs" dxfId="272" priority="558" operator="lessThan">
      <formula>0</formula>
    </cfRule>
  </conditionalFormatting>
  <conditionalFormatting sqref="Q49:Q50">
    <cfRule type="cellIs" dxfId="271" priority="552" operator="lessThan">
      <formula>0</formula>
    </cfRule>
  </conditionalFormatting>
  <conditionalFormatting sqref="R49:R50">
    <cfRule type="cellIs" dxfId="270" priority="547" operator="lessThan">
      <formula>0</formula>
    </cfRule>
  </conditionalFormatting>
  <conditionalFormatting sqref="S49:S50">
    <cfRule type="cellIs" dxfId="269" priority="546" operator="lessThan">
      <formula>0</formula>
    </cfRule>
  </conditionalFormatting>
  <conditionalFormatting sqref="S30:S32">
    <cfRule type="cellIs" dxfId="268" priority="542" operator="lessThan">
      <formula>0</formula>
    </cfRule>
  </conditionalFormatting>
  <conditionalFormatting sqref="T30:T32">
    <cfRule type="cellIs" dxfId="267" priority="541" operator="lessThan">
      <formula>0</formula>
    </cfRule>
  </conditionalFormatting>
  <conditionalFormatting sqref="Q33:Q37">
    <cfRule type="cellIs" dxfId="266" priority="540" operator="lessThan">
      <formula>0</formula>
    </cfRule>
  </conditionalFormatting>
  <conditionalFormatting sqref="R33:R37">
    <cfRule type="cellIs" dxfId="265" priority="539" operator="lessThan">
      <formula>0</formula>
    </cfRule>
  </conditionalFormatting>
  <conditionalFormatting sqref="S33:S37">
    <cfRule type="cellIs" dxfId="264" priority="538" operator="lessThan">
      <formula>0</formula>
    </cfRule>
  </conditionalFormatting>
  <conditionalFormatting sqref="T33:T37">
    <cfRule type="cellIs" dxfId="263" priority="537" operator="lessThan">
      <formula>0</formula>
    </cfRule>
  </conditionalFormatting>
  <conditionalFormatting sqref="Q30:Q31">
    <cfRule type="cellIs" dxfId="262" priority="536" operator="lessThan">
      <formula>0</formula>
    </cfRule>
  </conditionalFormatting>
  <conditionalFormatting sqref="R30:R31">
    <cfRule type="cellIs" dxfId="261" priority="535" operator="lessThan">
      <formula>0</formula>
    </cfRule>
  </conditionalFormatting>
  <conditionalFormatting sqref="S30:S31">
    <cfRule type="cellIs" dxfId="260" priority="534" operator="lessThan">
      <formula>0</formula>
    </cfRule>
  </conditionalFormatting>
  <conditionalFormatting sqref="Q32:Q37">
    <cfRule type="cellIs" dxfId="259" priority="533" operator="lessThan">
      <formula>0</formula>
    </cfRule>
  </conditionalFormatting>
  <conditionalFormatting sqref="R32:R37">
    <cfRule type="cellIs" dxfId="258" priority="532" operator="lessThan">
      <formula>0</formula>
    </cfRule>
  </conditionalFormatting>
  <conditionalFormatting sqref="S32:S37">
    <cfRule type="cellIs" dxfId="257" priority="531" operator="lessThan">
      <formula>0</formula>
    </cfRule>
  </conditionalFormatting>
  <conditionalFormatting sqref="T30:T31">
    <cfRule type="cellIs" dxfId="256" priority="530" operator="lessThan">
      <formula>0</formula>
    </cfRule>
  </conditionalFormatting>
  <conditionalFormatting sqref="T32:T37">
    <cfRule type="cellIs" dxfId="255" priority="529" operator="lessThan">
      <formula>0</formula>
    </cfRule>
  </conditionalFormatting>
  <conditionalFormatting sqref="R38:R40">
    <cfRule type="cellIs" dxfId="254" priority="527" operator="lessThan">
      <formula>0</formula>
    </cfRule>
  </conditionalFormatting>
  <conditionalFormatting sqref="S38:S40">
    <cfRule type="cellIs" dxfId="253" priority="526" operator="lessThan">
      <formula>0</formula>
    </cfRule>
  </conditionalFormatting>
  <conditionalFormatting sqref="T38:T40">
    <cfRule type="cellIs" dxfId="252" priority="525" operator="lessThan">
      <formula>0</formula>
    </cfRule>
  </conditionalFormatting>
  <conditionalFormatting sqref="Q41:Q45">
    <cfRule type="cellIs" dxfId="251" priority="524" operator="lessThan">
      <formula>0</formula>
    </cfRule>
  </conditionalFormatting>
  <conditionalFormatting sqref="R38:R39">
    <cfRule type="cellIs" dxfId="250" priority="519" operator="lessThan">
      <formula>0</formula>
    </cfRule>
  </conditionalFormatting>
  <conditionalFormatting sqref="T38:T39">
    <cfRule type="cellIs" dxfId="249" priority="514" operator="lessThan">
      <formula>0</formula>
    </cfRule>
  </conditionalFormatting>
  <conditionalFormatting sqref="T40:T45">
    <cfRule type="cellIs" dxfId="248" priority="513" operator="lessThan">
      <formula>0</formula>
    </cfRule>
  </conditionalFormatting>
  <conditionalFormatting sqref="U11:U24">
    <cfRule type="cellIs" dxfId="247" priority="512" operator="lessThan">
      <formula>0</formula>
    </cfRule>
  </conditionalFormatting>
  <conditionalFormatting sqref="X25:X29 X46:X48">
    <cfRule type="cellIs" dxfId="246" priority="505" operator="lessThan">
      <formula>0</formula>
    </cfRule>
  </conditionalFormatting>
  <conditionalFormatting sqref="V24:V29 V46:V48">
    <cfRule type="cellIs" dxfId="245" priority="500" operator="lessThan">
      <formula>0</formula>
    </cfRule>
  </conditionalFormatting>
  <conditionalFormatting sqref="W24:W29 W46:W48">
    <cfRule type="cellIs" dxfId="244" priority="499" operator="lessThan">
      <formula>0</formula>
    </cfRule>
  </conditionalFormatting>
  <conditionalFormatting sqref="X10:X23">
    <cfRule type="cellIs" dxfId="243" priority="498" operator="lessThan">
      <formula>0</formula>
    </cfRule>
  </conditionalFormatting>
  <conditionalFormatting sqref="X24:X29 X46:X48">
    <cfRule type="cellIs" dxfId="242" priority="497" operator="lessThan">
      <formula>0</formula>
    </cfRule>
  </conditionalFormatting>
  <conditionalFormatting sqref="U49:U50">
    <cfRule type="cellIs" dxfId="241" priority="496" operator="lessThan">
      <formula>0</formula>
    </cfRule>
  </conditionalFormatting>
  <conditionalFormatting sqref="V49:V50">
    <cfRule type="cellIs" dxfId="240" priority="495" operator="lessThan">
      <formula>0</formula>
    </cfRule>
  </conditionalFormatting>
  <conditionalFormatting sqref="W49:W50">
    <cfRule type="cellIs" dxfId="239" priority="494" operator="lessThan">
      <formula>0</formula>
    </cfRule>
  </conditionalFormatting>
  <conditionalFormatting sqref="X49:X50">
    <cfRule type="cellIs" dxfId="238" priority="493" operator="lessThan">
      <formula>0</formula>
    </cfRule>
  </conditionalFormatting>
  <conditionalFormatting sqref="U49:U50">
    <cfRule type="cellIs" dxfId="237" priority="492" operator="lessThan">
      <formula>0</formula>
    </cfRule>
  </conditionalFormatting>
  <conditionalFormatting sqref="V49:V50">
    <cfRule type="cellIs" dxfId="236" priority="491" operator="lessThan">
      <formula>0</formula>
    </cfRule>
  </conditionalFormatting>
  <conditionalFormatting sqref="W49:W50">
    <cfRule type="cellIs" dxfId="235" priority="490" operator="lessThan">
      <formula>0</formula>
    </cfRule>
  </conditionalFormatting>
  <conditionalFormatting sqref="X49:X50">
    <cfRule type="cellIs" dxfId="234" priority="489" operator="lessThan">
      <formula>0</formula>
    </cfRule>
  </conditionalFormatting>
  <conditionalFormatting sqref="U30:U32">
    <cfRule type="cellIs" dxfId="233" priority="488" operator="lessThan">
      <formula>0</formula>
    </cfRule>
  </conditionalFormatting>
  <conditionalFormatting sqref="V30:V32">
    <cfRule type="cellIs" dxfId="232" priority="487" operator="lessThan">
      <formula>0</formula>
    </cfRule>
  </conditionalFormatting>
  <conditionalFormatting sqref="W30:W32">
    <cfRule type="cellIs" dxfId="231" priority="486" operator="lessThan">
      <formula>0</formula>
    </cfRule>
  </conditionalFormatting>
  <conditionalFormatting sqref="X30:X32">
    <cfRule type="cellIs" dxfId="230" priority="485" operator="lessThan">
      <formula>0</formula>
    </cfRule>
  </conditionalFormatting>
  <conditionalFormatting sqref="U33:U37">
    <cfRule type="cellIs" dxfId="229" priority="484" operator="lessThan">
      <formula>0</formula>
    </cfRule>
  </conditionalFormatting>
  <conditionalFormatting sqref="V33:V37">
    <cfRule type="cellIs" dxfId="228" priority="483" operator="lessThan">
      <formula>0</formula>
    </cfRule>
  </conditionalFormatting>
  <conditionalFormatting sqref="W33:W37">
    <cfRule type="cellIs" dxfId="227" priority="482" operator="lessThan">
      <formula>0</formula>
    </cfRule>
  </conditionalFormatting>
  <conditionalFormatting sqref="X33:X37">
    <cfRule type="cellIs" dxfId="226" priority="481" operator="lessThan">
      <formula>0</formula>
    </cfRule>
  </conditionalFormatting>
  <conditionalFormatting sqref="Y49:Y50">
    <cfRule type="cellIs" dxfId="225" priority="440" operator="lessThan">
      <formula>0</formula>
    </cfRule>
  </conditionalFormatting>
  <conditionalFormatting sqref="Z49:Z50">
    <cfRule type="cellIs" dxfId="224" priority="439" operator="lessThan">
      <formula>0</formula>
    </cfRule>
  </conditionalFormatting>
  <conditionalFormatting sqref="AA49:AA50">
    <cfRule type="cellIs" dxfId="223" priority="438" operator="lessThan">
      <formula>0</formula>
    </cfRule>
  </conditionalFormatting>
  <conditionalFormatting sqref="AB49:AB50">
    <cfRule type="cellIs" dxfId="222" priority="437" operator="lessThan">
      <formula>0</formula>
    </cfRule>
  </conditionalFormatting>
  <conditionalFormatting sqref="Y49:Y50">
    <cfRule type="cellIs" dxfId="221" priority="436" operator="lessThan">
      <formula>0</formula>
    </cfRule>
  </conditionalFormatting>
  <conditionalFormatting sqref="Z49:Z50">
    <cfRule type="cellIs" dxfId="220" priority="435" operator="lessThan">
      <formula>0</formula>
    </cfRule>
  </conditionalFormatting>
  <conditionalFormatting sqref="AA49:AA50">
    <cfRule type="cellIs" dxfId="219" priority="434" operator="lessThan">
      <formula>0</formula>
    </cfRule>
  </conditionalFormatting>
  <conditionalFormatting sqref="AB49:AB50">
    <cfRule type="cellIs" dxfId="218" priority="433" operator="lessThan">
      <formula>0</formula>
    </cfRule>
  </conditionalFormatting>
  <conditionalFormatting sqref="Y30:Y32">
    <cfRule type="cellIs" dxfId="217" priority="432" operator="lessThan">
      <formula>0</formula>
    </cfRule>
  </conditionalFormatting>
  <conditionalFormatting sqref="Z30:Z32">
    <cfRule type="cellIs" dxfId="216" priority="431" operator="lessThan">
      <formula>0</formula>
    </cfRule>
  </conditionalFormatting>
  <conditionalFormatting sqref="AA30:AA32">
    <cfRule type="cellIs" dxfId="215" priority="430" operator="lessThan">
      <formula>0</formula>
    </cfRule>
  </conditionalFormatting>
  <conditionalFormatting sqref="AB33:AB37">
    <cfRule type="cellIs" dxfId="214" priority="425" operator="lessThan">
      <formula>0</formula>
    </cfRule>
  </conditionalFormatting>
  <conditionalFormatting sqref="Z32:Z37">
    <cfRule type="cellIs" dxfId="213" priority="420" operator="lessThan">
      <formula>0</formula>
    </cfRule>
  </conditionalFormatting>
  <conditionalFormatting sqref="AA32:AA37">
    <cfRule type="cellIs" dxfId="212" priority="419" operator="lessThan">
      <formula>0</formula>
    </cfRule>
  </conditionalFormatting>
  <conditionalFormatting sqref="AB30:AB31">
    <cfRule type="cellIs" dxfId="211" priority="418" operator="lessThan">
      <formula>0</formula>
    </cfRule>
  </conditionalFormatting>
  <conditionalFormatting sqref="AB32:AB37">
    <cfRule type="cellIs" dxfId="210" priority="417" operator="lessThan">
      <formula>0</formula>
    </cfRule>
  </conditionalFormatting>
  <conditionalFormatting sqref="Y38:Y40">
    <cfRule type="cellIs" dxfId="209" priority="416" operator="lessThan">
      <formula>0</formula>
    </cfRule>
  </conditionalFormatting>
  <conditionalFormatting sqref="Z38:Z40">
    <cfRule type="cellIs" dxfId="208" priority="415" operator="lessThan">
      <formula>0</formula>
    </cfRule>
  </conditionalFormatting>
  <conditionalFormatting sqref="AA38:AA40">
    <cfRule type="cellIs" dxfId="207" priority="414" operator="lessThan">
      <formula>0</formula>
    </cfRule>
  </conditionalFormatting>
  <conditionalFormatting sqref="AB38:AB40">
    <cfRule type="cellIs" dxfId="206" priority="413" operator="lessThan">
      <formula>0</formula>
    </cfRule>
  </conditionalFormatting>
  <conditionalFormatting sqref="Y41:Y45">
    <cfRule type="cellIs" dxfId="205" priority="412" operator="lessThan">
      <formula>0</formula>
    </cfRule>
  </conditionalFormatting>
  <conditionalFormatting sqref="Z41:Z45">
    <cfRule type="cellIs" dxfId="204" priority="411" operator="lessThan">
      <formula>0</formula>
    </cfRule>
  </conditionalFormatting>
  <conditionalFormatting sqref="AA41:AA45">
    <cfRule type="cellIs" dxfId="203" priority="410" operator="lessThan">
      <formula>0</formula>
    </cfRule>
  </conditionalFormatting>
  <conditionalFormatting sqref="AB41:AB45">
    <cfRule type="cellIs" dxfId="202" priority="409" operator="lessThan">
      <formula>0</formula>
    </cfRule>
  </conditionalFormatting>
  <conditionalFormatting sqref="Y38:Y39">
    <cfRule type="cellIs" dxfId="201" priority="408" operator="lessThan">
      <formula>0</formula>
    </cfRule>
  </conditionalFormatting>
  <conditionalFormatting sqref="Z38:Z39">
    <cfRule type="cellIs" dxfId="200" priority="407" operator="lessThan">
      <formula>0</formula>
    </cfRule>
  </conditionalFormatting>
  <conditionalFormatting sqref="AA38:AA39">
    <cfRule type="cellIs" dxfId="199" priority="406" operator="lessThan">
      <formula>0</formula>
    </cfRule>
  </conditionalFormatting>
  <conditionalFormatting sqref="Y40:Y45">
    <cfRule type="cellIs" dxfId="198" priority="405" operator="lessThan">
      <formula>0</formula>
    </cfRule>
  </conditionalFormatting>
  <conditionalFormatting sqref="Z40:Z45">
    <cfRule type="cellIs" dxfId="197" priority="404" operator="lessThan">
      <formula>0</formula>
    </cfRule>
  </conditionalFormatting>
  <conditionalFormatting sqref="AA40:AA45">
    <cfRule type="cellIs" dxfId="196" priority="403" operator="lessThan">
      <formula>0</formula>
    </cfRule>
  </conditionalFormatting>
  <conditionalFormatting sqref="AB38:AB39">
    <cfRule type="cellIs" dxfId="195" priority="402" operator="lessThan">
      <formula>0</formula>
    </cfRule>
  </conditionalFormatting>
  <conditionalFormatting sqref="AB40:AB45">
    <cfRule type="cellIs" dxfId="194" priority="401" operator="lessThan">
      <formula>0</formula>
    </cfRule>
  </conditionalFormatting>
  <conditionalFormatting sqref="E51">
    <cfRule type="cellIs" dxfId="193" priority="396" operator="lessThan">
      <formula>0</formula>
    </cfRule>
  </conditionalFormatting>
  <conditionalFormatting sqref="F51">
    <cfRule type="cellIs" dxfId="192" priority="395" operator="lessThan">
      <formula>0</formula>
    </cfRule>
  </conditionalFormatting>
  <conditionalFormatting sqref="E52">
    <cfRule type="cellIs" dxfId="191" priority="354" operator="lessThan">
      <formula>0</formula>
    </cfRule>
  </conditionalFormatting>
  <conditionalFormatting sqref="F52">
    <cfRule type="cellIs" dxfId="190" priority="353" operator="lessThan">
      <formula>0</formula>
    </cfRule>
  </conditionalFormatting>
  <conditionalFormatting sqref="E53">
    <cfRule type="cellIs" dxfId="189" priority="312" operator="lessThan">
      <formula>0</formula>
    </cfRule>
  </conditionalFormatting>
  <conditionalFormatting sqref="F53">
    <cfRule type="cellIs" dxfId="188" priority="311" operator="lessThan">
      <formula>0</formula>
    </cfRule>
  </conditionalFormatting>
  <conditionalFormatting sqref="U59">
    <cfRule type="cellIs" dxfId="187" priority="206" operator="lessThan">
      <formula>0</formula>
    </cfRule>
  </conditionalFormatting>
  <conditionalFormatting sqref="S59">
    <cfRule type="cellIs" dxfId="186" priority="212" operator="lessThan">
      <formula>0</formula>
    </cfRule>
  </conditionalFormatting>
  <conditionalFormatting sqref="T59">
    <cfRule type="cellIs" dxfId="185" priority="211" operator="lessThan">
      <formula>0</formula>
    </cfRule>
  </conditionalFormatting>
  <conditionalFormatting sqref="M59">
    <cfRule type="cellIs" dxfId="184" priority="218" operator="lessThan">
      <formula>0</formula>
    </cfRule>
  </conditionalFormatting>
  <conditionalFormatting sqref="N59">
    <cfRule type="cellIs" dxfId="183" priority="217" operator="lessThan">
      <formula>0</formula>
    </cfRule>
  </conditionalFormatting>
  <conditionalFormatting sqref="V59">
    <cfRule type="cellIs" dxfId="182" priority="205" operator="lessThan">
      <formula>0</formula>
    </cfRule>
  </conditionalFormatting>
  <conditionalFormatting sqref="N59">
    <cfRule type="cellIs" dxfId="181" priority="221" operator="lessThan">
      <formula>0</formula>
    </cfRule>
  </conditionalFormatting>
  <conditionalFormatting sqref="G59">
    <cfRule type="cellIs" dxfId="180" priority="226" operator="lessThan">
      <formula>0</formula>
    </cfRule>
  </conditionalFormatting>
  <conditionalFormatting sqref="H59">
    <cfRule type="cellIs" dxfId="179" priority="225" operator="lessThan">
      <formula>0</formula>
    </cfRule>
  </conditionalFormatting>
  <conditionalFormatting sqref="M59">
    <cfRule type="cellIs" dxfId="178" priority="222" operator="lessThan">
      <formula>0</formula>
    </cfRule>
  </conditionalFormatting>
  <conditionalFormatting sqref="E54:E56">
    <cfRule type="cellIs" dxfId="177" priority="270" operator="lessThan">
      <formula>0</formula>
    </cfRule>
  </conditionalFormatting>
  <conditionalFormatting sqref="F54">
    <cfRule type="cellIs" dxfId="176" priority="269" operator="lessThan">
      <formula>0</formula>
    </cfRule>
  </conditionalFormatting>
  <conditionalFormatting sqref="K53">
    <cfRule type="cellIs" dxfId="175" priority="170" operator="lessThan">
      <formula>0</formula>
    </cfRule>
  </conditionalFormatting>
  <conditionalFormatting sqref="L53">
    <cfRule type="cellIs" dxfId="174" priority="169" operator="lessThan">
      <formula>0</formula>
    </cfRule>
  </conditionalFormatting>
  <conditionalFormatting sqref="X59">
    <cfRule type="cellIs" dxfId="173" priority="199" operator="lessThan">
      <formula>0</formula>
    </cfRule>
  </conditionalFormatting>
  <conditionalFormatting sqref="AA59">
    <cfRule type="cellIs" dxfId="172" priority="196" operator="lessThan">
      <formula>0</formula>
    </cfRule>
  </conditionalFormatting>
  <conditionalFormatting sqref="Y59">
    <cfRule type="cellIs" dxfId="171" priority="194" operator="lessThan">
      <formula>0</formula>
    </cfRule>
  </conditionalFormatting>
  <conditionalFormatting sqref="V59">
    <cfRule type="cellIs" dxfId="170" priority="201" operator="lessThan">
      <formula>0</formula>
    </cfRule>
  </conditionalFormatting>
  <conditionalFormatting sqref="G54">
    <cfRule type="cellIs" dxfId="169" priority="184" operator="lessThan">
      <formula>0</formula>
    </cfRule>
  </conditionalFormatting>
  <conditionalFormatting sqref="Z59">
    <cfRule type="cellIs" dxfId="168" priority="193" operator="lessThan">
      <formula>0</formula>
    </cfRule>
  </conditionalFormatting>
  <conditionalFormatting sqref="H54">
    <cfRule type="cellIs" dxfId="167" priority="183" operator="lessThan">
      <formula>0</formula>
    </cfRule>
  </conditionalFormatting>
  <conditionalFormatting sqref="Y59">
    <cfRule type="cellIs" dxfId="166" priority="198" operator="lessThan">
      <formula>0</formula>
    </cfRule>
  </conditionalFormatting>
  <conditionalFormatting sqref="Z59">
    <cfRule type="cellIs" dxfId="165" priority="197" operator="lessThan">
      <formula>0</formula>
    </cfRule>
  </conditionalFormatting>
  <conditionalFormatting sqref="W59">
    <cfRule type="cellIs" dxfId="164" priority="200" operator="lessThan">
      <formula>0</formula>
    </cfRule>
  </conditionalFormatting>
  <conditionalFormatting sqref="AB59">
    <cfRule type="cellIs" dxfId="163" priority="195" operator="lessThan">
      <formula>0</formula>
    </cfRule>
  </conditionalFormatting>
  <conditionalFormatting sqref="U59">
    <cfRule type="cellIs" dxfId="162" priority="202" operator="lessThan">
      <formula>0</formula>
    </cfRule>
  </conditionalFormatting>
  <conditionalFormatting sqref="S59">
    <cfRule type="cellIs" dxfId="161" priority="208" operator="lessThan">
      <formula>0</formula>
    </cfRule>
  </conditionalFormatting>
  <conditionalFormatting sqref="T59">
    <cfRule type="cellIs" dxfId="160" priority="207" operator="lessThan">
      <formula>0</formula>
    </cfRule>
  </conditionalFormatting>
  <conditionalFormatting sqref="Q59">
    <cfRule type="cellIs" dxfId="159" priority="214" operator="lessThan">
      <formula>0</formula>
    </cfRule>
  </conditionalFormatting>
  <conditionalFormatting sqref="R59">
    <cfRule type="cellIs" dxfId="158" priority="213" operator="lessThan">
      <formula>0</formula>
    </cfRule>
  </conditionalFormatting>
  <conditionalFormatting sqref="W59">
    <cfRule type="cellIs" dxfId="157" priority="204" operator="lessThan">
      <formula>0</formula>
    </cfRule>
  </conditionalFormatting>
  <conditionalFormatting sqref="X59">
    <cfRule type="cellIs" dxfId="156" priority="203" operator="lessThan">
      <formula>0</formula>
    </cfRule>
  </conditionalFormatting>
  <conditionalFormatting sqref="Q59">
    <cfRule type="cellIs" dxfId="155" priority="210" operator="lessThan">
      <formula>0</formula>
    </cfRule>
  </conditionalFormatting>
  <conditionalFormatting sqref="R59">
    <cfRule type="cellIs" dxfId="154" priority="209" operator="lessThan">
      <formula>0</formula>
    </cfRule>
  </conditionalFormatting>
  <conditionalFormatting sqref="O59">
    <cfRule type="cellIs" dxfId="153" priority="216" operator="lessThan">
      <formula>0</formula>
    </cfRule>
  </conditionalFormatting>
  <conditionalFormatting sqref="P59">
    <cfRule type="cellIs" dxfId="152" priority="215" operator="lessThan">
      <formula>0</formula>
    </cfRule>
  </conditionalFormatting>
  <conditionalFormatting sqref="E59">
    <cfRule type="cellIs" dxfId="151" priority="228" operator="lessThan">
      <formula>0</formula>
    </cfRule>
  </conditionalFormatting>
  <conditionalFormatting sqref="F59">
    <cfRule type="cellIs" dxfId="150" priority="227" operator="lessThan">
      <formula>0</formula>
    </cfRule>
  </conditionalFormatting>
  <conditionalFormatting sqref="G59">
    <cfRule type="cellIs" dxfId="149" priority="232" operator="lessThan">
      <formula>0</formula>
    </cfRule>
  </conditionalFormatting>
  <conditionalFormatting sqref="H59">
    <cfRule type="cellIs" dxfId="148" priority="231" operator="lessThan">
      <formula>0</formula>
    </cfRule>
  </conditionalFormatting>
  <conditionalFormatting sqref="K59">
    <cfRule type="cellIs" dxfId="147" priority="230" operator="lessThan">
      <formula>0</formula>
    </cfRule>
  </conditionalFormatting>
  <conditionalFormatting sqref="L59">
    <cfRule type="cellIs" dxfId="146" priority="229" operator="lessThan">
      <formula>0</formula>
    </cfRule>
  </conditionalFormatting>
  <conditionalFormatting sqref="K59">
    <cfRule type="cellIs" dxfId="145" priority="224" operator="lessThan">
      <formula>0</formula>
    </cfRule>
  </conditionalFormatting>
  <conditionalFormatting sqref="L59">
    <cfRule type="cellIs" dxfId="144" priority="223" operator="lessThan">
      <formula>0</formula>
    </cfRule>
  </conditionalFormatting>
  <conditionalFormatting sqref="O59">
    <cfRule type="cellIs" dxfId="143" priority="220" operator="lessThan">
      <formula>0</formula>
    </cfRule>
  </conditionalFormatting>
  <conditionalFormatting sqref="P59">
    <cfRule type="cellIs" dxfId="142" priority="219" operator="lessThan">
      <formula>0</formula>
    </cfRule>
  </conditionalFormatting>
  <conditionalFormatting sqref="AA59">
    <cfRule type="cellIs" dxfId="141" priority="192" operator="lessThan">
      <formula>0</formula>
    </cfRule>
  </conditionalFormatting>
  <conditionalFormatting sqref="AB59">
    <cfRule type="cellIs" dxfId="140" priority="191" operator="lessThan">
      <formula>0</formula>
    </cfRule>
  </conditionalFormatting>
  <conditionalFormatting sqref="G51">
    <cfRule type="cellIs" dxfId="139" priority="190" operator="lessThan">
      <formula>0</formula>
    </cfRule>
  </conditionalFormatting>
  <conditionalFormatting sqref="H51">
    <cfRule type="cellIs" dxfId="138" priority="189" operator="lessThan">
      <formula>0</formula>
    </cfRule>
  </conditionalFormatting>
  <conditionalFormatting sqref="G52">
    <cfRule type="cellIs" dxfId="137" priority="188" operator="lessThan">
      <formula>0</formula>
    </cfRule>
  </conditionalFormatting>
  <conditionalFormatting sqref="H52">
    <cfRule type="cellIs" dxfId="136" priority="187" operator="lessThan">
      <formula>0</formula>
    </cfRule>
  </conditionalFormatting>
  <conditionalFormatting sqref="G53">
    <cfRule type="cellIs" dxfId="135" priority="186" operator="lessThan">
      <formula>0</formula>
    </cfRule>
  </conditionalFormatting>
  <conditionalFormatting sqref="H53">
    <cfRule type="cellIs" dxfId="134" priority="185" operator="lessThan">
      <formula>0</formula>
    </cfRule>
  </conditionalFormatting>
  <conditionalFormatting sqref="AA51">
    <cfRule type="cellIs" dxfId="133" priority="94" operator="lessThan">
      <formula>0</formula>
    </cfRule>
  </conditionalFormatting>
  <conditionalFormatting sqref="AB51">
    <cfRule type="cellIs" dxfId="132" priority="93" operator="lessThan">
      <formula>0</formula>
    </cfRule>
  </conditionalFormatting>
  <conditionalFormatting sqref="AA52">
    <cfRule type="cellIs" dxfId="131" priority="92" operator="lessThan">
      <formula>0</formula>
    </cfRule>
  </conditionalFormatting>
  <conditionalFormatting sqref="AB52">
    <cfRule type="cellIs" dxfId="130" priority="91" operator="lessThan">
      <formula>0</formula>
    </cfRule>
  </conditionalFormatting>
  <conditionalFormatting sqref="AA53">
    <cfRule type="cellIs" dxfId="129" priority="90" operator="lessThan">
      <formula>0</formula>
    </cfRule>
  </conditionalFormatting>
  <conditionalFormatting sqref="AB53">
    <cfRule type="cellIs" dxfId="128" priority="89" operator="lessThan">
      <formula>0</formula>
    </cfRule>
  </conditionalFormatting>
  <conditionalFormatting sqref="AA54">
    <cfRule type="cellIs" dxfId="127" priority="88" operator="lessThan">
      <formula>0</formula>
    </cfRule>
  </conditionalFormatting>
  <conditionalFormatting sqref="AB54">
    <cfRule type="cellIs" dxfId="126" priority="87" operator="lessThan">
      <formula>0</formula>
    </cfRule>
  </conditionalFormatting>
  <conditionalFormatting sqref="K51">
    <cfRule type="cellIs" dxfId="125" priority="174" operator="lessThan">
      <formula>0</formula>
    </cfRule>
  </conditionalFormatting>
  <conditionalFormatting sqref="L51">
    <cfRule type="cellIs" dxfId="124" priority="173" operator="lessThan">
      <formula>0</formula>
    </cfRule>
  </conditionalFormatting>
  <conditionalFormatting sqref="K52">
    <cfRule type="cellIs" dxfId="123" priority="172" operator="lessThan">
      <formula>0</formula>
    </cfRule>
  </conditionalFormatting>
  <conditionalFormatting sqref="L52">
    <cfRule type="cellIs" dxfId="122" priority="171" operator="lessThan">
      <formula>0</formula>
    </cfRule>
  </conditionalFormatting>
  <conditionalFormatting sqref="K54">
    <cfRule type="cellIs" dxfId="121" priority="168" operator="lessThan">
      <formula>0</formula>
    </cfRule>
  </conditionalFormatting>
  <conditionalFormatting sqref="L54">
    <cfRule type="cellIs" dxfId="120" priority="167" operator="lessThan">
      <formula>0</formula>
    </cfRule>
  </conditionalFormatting>
  <conditionalFormatting sqref="M51">
    <cfRule type="cellIs" dxfId="119" priority="158" operator="lessThan">
      <formula>0</formula>
    </cfRule>
  </conditionalFormatting>
  <conditionalFormatting sqref="N51">
    <cfRule type="cellIs" dxfId="118" priority="157" operator="lessThan">
      <formula>0</formula>
    </cfRule>
  </conditionalFormatting>
  <conditionalFormatting sqref="M52">
    <cfRule type="cellIs" dxfId="117" priority="156" operator="lessThan">
      <formula>0</formula>
    </cfRule>
  </conditionalFormatting>
  <conditionalFormatting sqref="N52">
    <cfRule type="cellIs" dxfId="116" priority="155" operator="lessThan">
      <formula>0</formula>
    </cfRule>
  </conditionalFormatting>
  <conditionalFormatting sqref="M53">
    <cfRule type="cellIs" dxfId="115" priority="154" operator="lessThan">
      <formula>0</formula>
    </cfRule>
  </conditionalFormatting>
  <conditionalFormatting sqref="N53">
    <cfRule type="cellIs" dxfId="114" priority="153" operator="lessThan">
      <formula>0</formula>
    </cfRule>
  </conditionalFormatting>
  <conditionalFormatting sqref="M54">
    <cfRule type="cellIs" dxfId="113" priority="152" operator="lessThan">
      <formula>0</formula>
    </cfRule>
  </conditionalFormatting>
  <conditionalFormatting sqref="N54">
    <cfRule type="cellIs" dxfId="112" priority="151" operator="lessThan">
      <formula>0</formula>
    </cfRule>
  </conditionalFormatting>
  <conditionalFormatting sqref="O51">
    <cfRule type="cellIs" dxfId="111" priority="150" operator="lessThan">
      <formula>0</formula>
    </cfRule>
  </conditionalFormatting>
  <conditionalFormatting sqref="P51">
    <cfRule type="cellIs" dxfId="110" priority="149" operator="lessThan">
      <formula>0</formula>
    </cfRule>
  </conditionalFormatting>
  <conditionalFormatting sqref="O52">
    <cfRule type="cellIs" dxfId="109" priority="148" operator="lessThan">
      <formula>0</formula>
    </cfRule>
  </conditionalFormatting>
  <conditionalFormatting sqref="P52">
    <cfRule type="cellIs" dxfId="108" priority="147" operator="lessThan">
      <formula>0</formula>
    </cfRule>
  </conditionalFormatting>
  <conditionalFormatting sqref="O53">
    <cfRule type="cellIs" dxfId="107" priority="146" operator="lessThan">
      <formula>0</formula>
    </cfRule>
  </conditionalFormatting>
  <conditionalFormatting sqref="P53">
    <cfRule type="cellIs" dxfId="106" priority="145" operator="lessThan">
      <formula>0</formula>
    </cfRule>
  </conditionalFormatting>
  <conditionalFormatting sqref="O54">
    <cfRule type="cellIs" dxfId="105" priority="144" operator="lessThan">
      <formula>0</formula>
    </cfRule>
  </conditionalFormatting>
  <conditionalFormatting sqref="P54">
    <cfRule type="cellIs" dxfId="104" priority="143" operator="lessThan">
      <formula>0</formula>
    </cfRule>
  </conditionalFormatting>
  <conditionalFormatting sqref="Q51">
    <cfRule type="cellIs" dxfId="103" priority="142" operator="lessThan">
      <formula>0</formula>
    </cfRule>
  </conditionalFormatting>
  <conditionalFormatting sqref="R51">
    <cfRule type="cellIs" dxfId="102" priority="141" operator="lessThan">
      <formula>0</formula>
    </cfRule>
  </conditionalFormatting>
  <conditionalFormatting sqref="Q52">
    <cfRule type="cellIs" dxfId="101" priority="140" operator="lessThan">
      <formula>0</formula>
    </cfRule>
  </conditionalFormatting>
  <conditionalFormatting sqref="R52">
    <cfRule type="cellIs" dxfId="100" priority="139" operator="lessThan">
      <formula>0</formula>
    </cfRule>
  </conditionalFormatting>
  <conditionalFormatting sqref="Q53">
    <cfRule type="cellIs" dxfId="99" priority="138" operator="lessThan">
      <formula>0</formula>
    </cfRule>
  </conditionalFormatting>
  <conditionalFormatting sqref="R53">
    <cfRule type="cellIs" dxfId="98" priority="137" operator="lessThan">
      <formula>0</formula>
    </cfRule>
  </conditionalFormatting>
  <conditionalFormatting sqref="Q54">
    <cfRule type="cellIs" dxfId="97" priority="136" operator="lessThan">
      <formula>0</formula>
    </cfRule>
  </conditionalFormatting>
  <conditionalFormatting sqref="R54">
    <cfRule type="cellIs" dxfId="96" priority="135" operator="lessThan">
      <formula>0</formula>
    </cfRule>
  </conditionalFormatting>
  <conditionalFormatting sqref="S51">
    <cfRule type="cellIs" dxfId="95" priority="134" operator="lessThan">
      <formula>0</formula>
    </cfRule>
  </conditionalFormatting>
  <conditionalFormatting sqref="T51">
    <cfRule type="cellIs" dxfId="94" priority="133" operator="lessThan">
      <formula>0</formula>
    </cfRule>
  </conditionalFormatting>
  <conditionalFormatting sqref="S52">
    <cfRule type="cellIs" dxfId="93" priority="132" operator="lessThan">
      <formula>0</formula>
    </cfRule>
  </conditionalFormatting>
  <conditionalFormatting sqref="T52">
    <cfRule type="cellIs" dxfId="92" priority="131" operator="lessThan">
      <formula>0</formula>
    </cfRule>
  </conditionalFormatting>
  <conditionalFormatting sqref="S53">
    <cfRule type="cellIs" dxfId="91" priority="130" operator="lessThan">
      <formula>0</formula>
    </cfRule>
  </conditionalFormatting>
  <conditionalFormatting sqref="T53">
    <cfRule type="cellIs" dxfId="90" priority="129" operator="lessThan">
      <formula>0</formula>
    </cfRule>
  </conditionalFormatting>
  <conditionalFormatting sqref="S54">
    <cfRule type="cellIs" dxfId="89" priority="128" operator="lessThan">
      <formula>0</formula>
    </cfRule>
  </conditionalFormatting>
  <conditionalFormatting sqref="T54">
    <cfRule type="cellIs" dxfId="88" priority="127" operator="lessThan">
      <formula>0</formula>
    </cfRule>
  </conditionalFormatting>
  <conditionalFormatting sqref="U51">
    <cfRule type="cellIs" dxfId="87" priority="126" operator="lessThan">
      <formula>0</formula>
    </cfRule>
  </conditionalFormatting>
  <conditionalFormatting sqref="V51">
    <cfRule type="cellIs" dxfId="86" priority="125" operator="lessThan">
      <formula>0</formula>
    </cfRule>
  </conditionalFormatting>
  <conditionalFormatting sqref="U52">
    <cfRule type="cellIs" dxfId="85" priority="124" operator="lessThan">
      <formula>0</formula>
    </cfRule>
  </conditionalFormatting>
  <conditionalFormatting sqref="V52">
    <cfRule type="cellIs" dxfId="84" priority="123" operator="lessThan">
      <formula>0</formula>
    </cfRule>
  </conditionalFormatting>
  <conditionalFormatting sqref="U53">
    <cfRule type="cellIs" dxfId="83" priority="122" operator="lessThan">
      <formula>0</formula>
    </cfRule>
  </conditionalFormatting>
  <conditionalFormatting sqref="V53">
    <cfRule type="cellIs" dxfId="82" priority="121" operator="lessThan">
      <formula>0</formula>
    </cfRule>
  </conditionalFormatting>
  <conditionalFormatting sqref="U54">
    <cfRule type="cellIs" dxfId="81" priority="120" operator="lessThan">
      <formula>0</formula>
    </cfRule>
  </conditionalFormatting>
  <conditionalFormatting sqref="V54">
    <cfRule type="cellIs" dxfId="80" priority="119" operator="lessThan">
      <formula>0</formula>
    </cfRule>
  </conditionalFormatting>
  <conditionalFormatting sqref="W51">
    <cfRule type="cellIs" dxfId="79" priority="118" operator="lessThan">
      <formula>0</formula>
    </cfRule>
  </conditionalFormatting>
  <conditionalFormatting sqref="X51">
    <cfRule type="cellIs" dxfId="78" priority="117" operator="lessThan">
      <formula>0</formula>
    </cfRule>
  </conditionalFormatting>
  <conditionalFormatting sqref="W52">
    <cfRule type="cellIs" dxfId="77" priority="116" operator="lessThan">
      <formula>0</formula>
    </cfRule>
  </conditionalFormatting>
  <conditionalFormatting sqref="X52">
    <cfRule type="cellIs" dxfId="76" priority="115" operator="lessThan">
      <formula>0</formula>
    </cfRule>
  </conditionalFormatting>
  <conditionalFormatting sqref="W53">
    <cfRule type="cellIs" dxfId="75" priority="114" operator="lessThan">
      <formula>0</formula>
    </cfRule>
  </conditionalFormatting>
  <conditionalFormatting sqref="X53">
    <cfRule type="cellIs" dxfId="74" priority="113" operator="lessThan">
      <formula>0</formula>
    </cfRule>
  </conditionalFormatting>
  <conditionalFormatting sqref="W54">
    <cfRule type="cellIs" dxfId="73" priority="112" operator="lessThan">
      <formula>0</formula>
    </cfRule>
  </conditionalFormatting>
  <conditionalFormatting sqref="X54">
    <cfRule type="cellIs" dxfId="72" priority="111" operator="lessThan">
      <formula>0</formula>
    </cfRule>
  </conditionalFormatting>
  <conditionalFormatting sqref="Y51">
    <cfRule type="cellIs" dxfId="71" priority="110" operator="lessThan">
      <formula>0</formula>
    </cfRule>
  </conditionalFormatting>
  <conditionalFormatting sqref="Z51">
    <cfRule type="cellIs" dxfId="70" priority="109" operator="lessThan">
      <formula>0</formula>
    </cfRule>
  </conditionalFormatting>
  <conditionalFormatting sqref="Y52">
    <cfRule type="cellIs" dxfId="69" priority="108" operator="lessThan">
      <formula>0</formula>
    </cfRule>
  </conditionalFormatting>
  <conditionalFormatting sqref="Z52">
    <cfRule type="cellIs" dxfId="68" priority="107" operator="lessThan">
      <formula>0</formula>
    </cfRule>
  </conditionalFormatting>
  <conditionalFormatting sqref="Y53">
    <cfRule type="cellIs" dxfId="67" priority="106" operator="lessThan">
      <formula>0</formula>
    </cfRule>
  </conditionalFormatting>
  <conditionalFormatting sqref="Z53">
    <cfRule type="cellIs" dxfId="66" priority="105" operator="lessThan">
      <formula>0</formula>
    </cfRule>
  </conditionalFormatting>
  <conditionalFormatting sqref="Y54">
    <cfRule type="cellIs" dxfId="65" priority="104" operator="lessThan">
      <formula>0</formula>
    </cfRule>
  </conditionalFormatting>
  <conditionalFormatting sqref="Z54">
    <cfRule type="cellIs" dxfId="64" priority="103" operator="lessThan">
      <formula>0</formula>
    </cfRule>
  </conditionalFormatting>
  <conditionalFormatting sqref="I11:I24">
    <cfRule type="cellIs" dxfId="63" priority="86" operator="lessThan">
      <formula>0</formula>
    </cfRule>
  </conditionalFormatting>
  <conditionalFormatting sqref="J11:J24">
    <cfRule type="cellIs" dxfId="62" priority="85" operator="lessThan">
      <formula>0</formula>
    </cfRule>
  </conditionalFormatting>
  <conditionalFormatting sqref="I25:I29 I46:I48">
    <cfRule type="cellIs" dxfId="61" priority="84" operator="lessThan">
      <formula>0</formula>
    </cfRule>
  </conditionalFormatting>
  <conditionalFormatting sqref="J25:J29 J46:J48">
    <cfRule type="cellIs" dxfId="60" priority="83" operator="lessThan">
      <formula>0</formula>
    </cfRule>
  </conditionalFormatting>
  <conditionalFormatting sqref="I38:I40">
    <cfRule type="cellIs" dxfId="59" priority="66" operator="lessThan">
      <formula>0</formula>
    </cfRule>
  </conditionalFormatting>
  <conditionalFormatting sqref="J38:J40">
    <cfRule type="cellIs" dxfId="58" priority="65" operator="lessThan">
      <formula>0</formula>
    </cfRule>
  </conditionalFormatting>
  <conditionalFormatting sqref="I49:I50">
    <cfRule type="cellIs" dxfId="57" priority="76" operator="lessThan">
      <formula>0</formula>
    </cfRule>
  </conditionalFormatting>
  <conditionalFormatting sqref="I10:I23">
    <cfRule type="cellIs" dxfId="56" priority="82" operator="lessThan">
      <formula>0</formula>
    </cfRule>
  </conditionalFormatting>
  <conditionalFormatting sqref="J10:J23">
    <cfRule type="cellIs" dxfId="55" priority="81" operator="lessThan">
      <formula>0</formula>
    </cfRule>
  </conditionalFormatting>
  <conditionalFormatting sqref="I24:I29 I46:I48">
    <cfRule type="cellIs" dxfId="54" priority="80" operator="lessThan">
      <formula>0</formula>
    </cfRule>
  </conditionalFormatting>
  <conditionalFormatting sqref="J24:J29 J46:J48">
    <cfRule type="cellIs" dxfId="53" priority="79" operator="lessThan">
      <formula>0</formula>
    </cfRule>
  </conditionalFormatting>
  <conditionalFormatting sqref="I38:I39">
    <cfRule type="cellIs" dxfId="52" priority="62" operator="lessThan">
      <formula>0</formula>
    </cfRule>
  </conditionalFormatting>
  <conditionalFormatting sqref="J38:J39">
    <cfRule type="cellIs" dxfId="51" priority="61" operator="lessThan">
      <formula>0</formula>
    </cfRule>
  </conditionalFormatting>
  <conditionalFormatting sqref="I49:I50">
    <cfRule type="cellIs" dxfId="50" priority="78" operator="lessThan">
      <formula>0</formula>
    </cfRule>
  </conditionalFormatting>
  <conditionalFormatting sqref="J49:J50">
    <cfRule type="cellIs" dxfId="49" priority="77" operator="lessThan">
      <formula>0</formula>
    </cfRule>
  </conditionalFormatting>
  <conditionalFormatting sqref="I41:I45">
    <cfRule type="cellIs" dxfId="48" priority="64" operator="lessThan">
      <formula>0</formula>
    </cfRule>
  </conditionalFormatting>
  <conditionalFormatting sqref="J41:J45">
    <cfRule type="cellIs" dxfId="47" priority="63" operator="lessThan">
      <formula>0</formula>
    </cfRule>
  </conditionalFormatting>
  <conditionalFormatting sqref="J49:J50">
    <cfRule type="cellIs" dxfId="46" priority="75" operator="lessThan">
      <formula>0</formula>
    </cfRule>
  </conditionalFormatting>
  <conditionalFormatting sqref="I30:I32">
    <cfRule type="cellIs" dxfId="45" priority="74" operator="lessThan">
      <formula>0</formula>
    </cfRule>
  </conditionalFormatting>
  <conditionalFormatting sqref="J30:J32">
    <cfRule type="cellIs" dxfId="44" priority="73" operator="lessThan">
      <formula>0</formula>
    </cfRule>
  </conditionalFormatting>
  <conditionalFormatting sqref="I33:I37">
    <cfRule type="cellIs" dxfId="43" priority="72" operator="lessThan">
      <formula>0</formula>
    </cfRule>
  </conditionalFormatting>
  <conditionalFormatting sqref="J33:J37">
    <cfRule type="cellIs" dxfId="42" priority="71" operator="lessThan">
      <formula>0</formula>
    </cfRule>
  </conditionalFormatting>
  <conditionalFormatting sqref="I30:I31">
    <cfRule type="cellIs" dxfId="41" priority="70" operator="lessThan">
      <formula>0</formula>
    </cfRule>
  </conditionalFormatting>
  <conditionalFormatting sqref="J30:J31">
    <cfRule type="cellIs" dxfId="40" priority="69" operator="lessThan">
      <formula>0</formula>
    </cfRule>
  </conditionalFormatting>
  <conditionalFormatting sqref="I32:I37">
    <cfRule type="cellIs" dxfId="39" priority="68" operator="lessThan">
      <formula>0</formula>
    </cfRule>
  </conditionalFormatting>
  <conditionalFormatting sqref="J32:J37">
    <cfRule type="cellIs" dxfId="38" priority="67" operator="lessThan">
      <formula>0</formula>
    </cfRule>
  </conditionalFormatting>
  <conditionalFormatting sqref="I40:I45">
    <cfRule type="cellIs" dxfId="37" priority="60" operator="lessThan">
      <formula>0</formula>
    </cfRule>
  </conditionalFormatting>
  <conditionalFormatting sqref="J40:J45">
    <cfRule type="cellIs" dxfId="36" priority="59" operator="lessThan">
      <formula>0</formula>
    </cfRule>
  </conditionalFormatting>
  <conditionalFormatting sqref="I59">
    <cfRule type="cellIs" dxfId="35" priority="56" operator="lessThan">
      <formula>0</formula>
    </cfRule>
  </conditionalFormatting>
  <conditionalFormatting sqref="J59">
    <cfRule type="cellIs" dxfId="34" priority="55" operator="lessThan">
      <formula>0</formula>
    </cfRule>
  </conditionalFormatting>
  <conditionalFormatting sqref="I54">
    <cfRule type="cellIs" dxfId="33" priority="48" operator="lessThan">
      <formula>0</formula>
    </cfRule>
  </conditionalFormatting>
  <conditionalFormatting sqref="J54">
    <cfRule type="cellIs" dxfId="32" priority="47" operator="lessThan">
      <formula>0</formula>
    </cfRule>
  </conditionalFormatting>
  <conditionalFormatting sqref="I59">
    <cfRule type="cellIs" dxfId="31" priority="58" operator="lessThan">
      <formula>0</formula>
    </cfRule>
  </conditionalFormatting>
  <conditionalFormatting sqref="J59">
    <cfRule type="cellIs" dxfId="30" priority="57" operator="lessThan">
      <formula>0</formula>
    </cfRule>
  </conditionalFormatting>
  <conditionalFormatting sqref="I51">
    <cfRule type="cellIs" dxfId="29" priority="54" operator="lessThan">
      <formula>0</formula>
    </cfRule>
  </conditionalFormatting>
  <conditionalFormatting sqref="J51">
    <cfRule type="cellIs" dxfId="28" priority="53" operator="lessThan">
      <formula>0</formula>
    </cfRule>
  </conditionalFormatting>
  <conditionalFormatting sqref="I52">
    <cfRule type="cellIs" dxfId="27" priority="52" operator="lessThan">
      <formula>0</formula>
    </cfRule>
  </conditionalFormatting>
  <conditionalFormatting sqref="J52">
    <cfRule type="cellIs" dxfId="26" priority="51" operator="lessThan">
      <formula>0</formula>
    </cfRule>
  </conditionalFormatting>
  <conditionalFormatting sqref="I53">
    <cfRule type="cellIs" dxfId="25" priority="50" operator="lessThan">
      <formula>0</formula>
    </cfRule>
  </conditionalFormatting>
  <conditionalFormatting sqref="J53">
    <cfRule type="cellIs" dxfId="24" priority="49" operator="lessThan">
      <formula>0</formula>
    </cfRule>
  </conditionalFormatting>
  <conditionalFormatting sqref="H55">
    <cfRule type="cellIs" dxfId="23" priority="46" operator="lessThan">
      <formula>0</formula>
    </cfRule>
  </conditionalFormatting>
  <conditionalFormatting sqref="G55">
    <cfRule type="cellIs" dxfId="22" priority="45" operator="lessThan">
      <formula>0</formula>
    </cfRule>
  </conditionalFormatting>
  <conditionalFormatting sqref="J55">
    <cfRule type="cellIs" dxfId="21" priority="44" operator="lessThan">
      <formula>0</formula>
    </cfRule>
  </conditionalFormatting>
  <conditionalFormatting sqref="I55">
    <cfRule type="cellIs" dxfId="20" priority="43" operator="lessThan">
      <formula>0</formula>
    </cfRule>
  </conditionalFormatting>
  <conditionalFormatting sqref="L55">
    <cfRule type="cellIs" dxfId="19" priority="42" operator="lessThan">
      <formula>0</formula>
    </cfRule>
  </conditionalFormatting>
  <conditionalFormatting sqref="K55">
    <cfRule type="cellIs" dxfId="18" priority="41" operator="lessThan">
      <formula>0</formula>
    </cfRule>
  </conditionalFormatting>
  <conditionalFormatting sqref="N55">
    <cfRule type="cellIs" dxfId="17" priority="40" operator="lessThan">
      <formula>0</formula>
    </cfRule>
  </conditionalFormatting>
  <conditionalFormatting sqref="M55">
    <cfRule type="cellIs" dxfId="16" priority="39" operator="lessThan">
      <formula>0</formula>
    </cfRule>
  </conditionalFormatting>
  <conditionalFormatting sqref="P55">
    <cfRule type="cellIs" dxfId="15" priority="38" operator="lessThan">
      <formula>0</formula>
    </cfRule>
  </conditionalFormatting>
  <conditionalFormatting sqref="O55">
    <cfRule type="cellIs" dxfId="14" priority="37" operator="lessThan">
      <formula>0</formula>
    </cfRule>
  </conditionalFormatting>
  <conditionalFormatting sqref="R55">
    <cfRule type="cellIs" dxfId="13" priority="36" operator="lessThan">
      <formula>0</formula>
    </cfRule>
  </conditionalFormatting>
  <conditionalFormatting sqref="Q55">
    <cfRule type="cellIs" dxfId="12" priority="35" operator="lessThan">
      <formula>0</formula>
    </cfRule>
  </conditionalFormatting>
  <conditionalFormatting sqref="T55">
    <cfRule type="cellIs" dxfId="11" priority="34" operator="lessThan">
      <formula>0</formula>
    </cfRule>
  </conditionalFormatting>
  <conditionalFormatting sqref="S55">
    <cfRule type="cellIs" dxfId="10" priority="33" operator="lessThan">
      <formula>0</formula>
    </cfRule>
  </conditionalFormatting>
  <conditionalFormatting sqref="V55">
    <cfRule type="cellIs" dxfId="9" priority="32" operator="lessThan">
      <formula>0</formula>
    </cfRule>
  </conditionalFormatting>
  <conditionalFormatting sqref="U55">
    <cfRule type="cellIs" dxfId="8" priority="31" operator="lessThan">
      <formula>0</formula>
    </cfRule>
  </conditionalFormatting>
  <conditionalFormatting sqref="X55">
    <cfRule type="cellIs" dxfId="7" priority="30" operator="lessThan">
      <formula>0</formula>
    </cfRule>
  </conditionalFormatting>
  <conditionalFormatting sqref="W55">
    <cfRule type="cellIs" dxfId="6" priority="29" operator="lessThan">
      <formula>0</formula>
    </cfRule>
  </conditionalFormatting>
  <conditionalFormatting sqref="Z55">
    <cfRule type="cellIs" dxfId="5" priority="28" operator="lessThan">
      <formula>0</formula>
    </cfRule>
  </conditionalFormatting>
  <conditionalFormatting sqref="Y55">
    <cfRule type="cellIs" dxfId="4" priority="27" operator="lessThan">
      <formula>0</formula>
    </cfRule>
  </conditionalFormatting>
  <conditionalFormatting sqref="AB55">
    <cfRule type="cellIs" dxfId="3" priority="26" operator="lessThan">
      <formula>0</formula>
    </cfRule>
  </conditionalFormatting>
  <conditionalFormatting sqref="AA55">
    <cfRule type="cellIs" dxfId="2" priority="25" operator="lessThan">
      <formula>0</formula>
    </cfRule>
  </conditionalFormatting>
  <conditionalFormatting sqref="H56 J56 L56 N56 P56 R56 T56 V56 X56 Z56 AB56">
    <cfRule type="cellIs" dxfId="1" priority="2" operator="lessThan">
      <formula>0</formula>
    </cfRule>
  </conditionalFormatting>
  <conditionalFormatting sqref="G56 I56 K56 M56 O56 Q56 S56 U56 W56 Y56 AA56">
    <cfRule type="cellIs" dxfId="0" priority="1" operator="lessThan">
      <formula>0</formula>
    </cfRule>
  </conditionalFormatting>
  <printOptions horizontalCentered="1"/>
  <pageMargins left="0" right="0.5" top="0" bottom="0" header="0" footer="0"/>
  <pageSetup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B3:AN131"/>
  <sheetViews>
    <sheetView showGridLines="0" showZeros="0" zoomScale="10" zoomScaleNormal="10" workbookViewId="0">
      <selection activeCell="C129" sqref="C129"/>
    </sheetView>
  </sheetViews>
  <sheetFormatPr baseColWidth="10" defaultRowHeight="27" customHeight="1" x14ac:dyDescent="0.3"/>
  <cols>
    <col min="1" max="1" width="11" style="22" customWidth="1"/>
    <col min="2" max="2" width="9.75" style="22" customWidth="1"/>
    <col min="3" max="3" width="42" style="22" customWidth="1"/>
    <col min="4" max="4" width="23.125" style="22" customWidth="1"/>
    <col min="5" max="5" width="31" style="22" customWidth="1"/>
    <col min="6" max="6" width="31.125" style="22" customWidth="1"/>
    <col min="7" max="7" width="25.875" style="22" customWidth="1"/>
    <col min="8" max="8" width="26.625" style="22" customWidth="1"/>
    <col min="9" max="9" width="29.25" style="22" customWidth="1"/>
    <col min="10" max="10" width="18.625" style="22" customWidth="1"/>
    <col min="11" max="11" width="20.375" style="22" customWidth="1"/>
    <col min="12" max="12" width="25.25" style="22" customWidth="1"/>
    <col min="13" max="13" width="37.625" style="22" customWidth="1"/>
    <col min="14" max="14" width="28.75" style="22" customWidth="1"/>
    <col min="15" max="15" width="33.125" style="22" customWidth="1"/>
    <col min="16" max="16" width="26.875" style="22" customWidth="1"/>
    <col min="17" max="17" width="20.75" style="22" customWidth="1"/>
    <col min="18" max="18" width="19.875" style="22" customWidth="1"/>
    <col min="19" max="19" width="18.25" style="22" customWidth="1"/>
    <col min="20" max="20" width="19" style="22" customWidth="1"/>
    <col min="21" max="21" width="19.875" style="22" customWidth="1"/>
    <col min="22" max="22" width="19.75" style="22" customWidth="1"/>
    <col min="23" max="23" width="18.875" style="22" customWidth="1"/>
    <col min="24" max="24" width="21.125" style="22" customWidth="1"/>
    <col min="25" max="25" width="23.125" style="22" customWidth="1"/>
    <col min="26" max="26" width="26.125" style="22" customWidth="1"/>
    <col min="27" max="27" width="19.25" style="22" customWidth="1"/>
    <col min="28" max="28" width="21" style="22" customWidth="1"/>
    <col min="29" max="29" width="19.625" style="22" customWidth="1"/>
    <col min="30" max="30" width="20" style="22" customWidth="1"/>
    <col min="31" max="31" width="16.5" style="22" customWidth="1"/>
    <col min="32" max="32" width="18.625" style="22" customWidth="1"/>
    <col min="33" max="33" width="20.5" style="22" customWidth="1"/>
    <col min="34" max="34" width="18.5" style="22" customWidth="1"/>
    <col min="35" max="35" width="20.5" style="22" customWidth="1"/>
    <col min="36" max="36" width="20" style="22" customWidth="1"/>
    <col min="37" max="37" width="23.125" style="22" customWidth="1"/>
    <col min="38" max="38" width="24.5" style="22" customWidth="1"/>
    <col min="39" max="39" width="17.875" style="22" customWidth="1"/>
    <col min="40" max="40" width="16.625" style="22" customWidth="1"/>
    <col min="41" max="16384" width="11" style="22"/>
  </cols>
  <sheetData>
    <row r="3" spans="3:40" ht="90" customHeight="1" x14ac:dyDescent="0.3">
      <c r="C3" s="178" t="s">
        <v>264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</row>
    <row r="4" spans="3:40" ht="62.25" customHeight="1" x14ac:dyDescent="0.3">
      <c r="C4" s="179" t="str">
        <f>TEXT(Historical!H2," mmmm dd, aaaa")</f>
        <v xml:space="preserve"> November 13, Monday</v>
      </c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</row>
    <row r="5" spans="3:40" ht="5.25" customHeight="1" x14ac:dyDescent="0.3"/>
    <row r="6" spans="3:40" ht="12.75" customHeight="1" x14ac:dyDescent="0.3"/>
    <row r="7" spans="3:40" ht="11.25" customHeight="1" x14ac:dyDescent="0.3">
      <c r="F7" s="45"/>
    </row>
    <row r="8" spans="3:40" ht="10.5" customHeight="1" x14ac:dyDescent="0.3"/>
    <row r="9" spans="3:40" ht="16.5" customHeight="1" x14ac:dyDescent="0.8">
      <c r="D9" s="46"/>
      <c r="E9" s="47"/>
    </row>
    <row r="10" spans="3:40" ht="19.5" hidden="1" customHeight="1" x14ac:dyDescent="0.8">
      <c r="D10" s="46"/>
      <c r="E10" s="47"/>
    </row>
    <row r="11" spans="3:40" ht="66" customHeight="1" x14ac:dyDescent="0.8">
      <c r="D11" s="48" t="s">
        <v>62</v>
      </c>
      <c r="E11" s="49"/>
      <c r="O11" s="50"/>
      <c r="P11" s="50"/>
      <c r="Q11" s="50"/>
      <c r="R11" s="50"/>
      <c r="S11" s="50"/>
      <c r="T11" s="50"/>
    </row>
    <row r="12" spans="3:40" ht="51" customHeight="1" x14ac:dyDescent="0.3">
      <c r="C12" s="174" t="s">
        <v>112</v>
      </c>
      <c r="D12" s="174"/>
      <c r="E12" s="174"/>
      <c r="F12" s="174"/>
      <c r="G12" s="174"/>
      <c r="H12" s="174"/>
      <c r="I12" s="174"/>
      <c r="J12" s="50"/>
      <c r="L12" s="174" t="s">
        <v>267</v>
      </c>
      <c r="M12" s="174"/>
      <c r="N12" s="174"/>
      <c r="O12" s="174"/>
      <c r="P12" s="174"/>
      <c r="Q12" s="174"/>
      <c r="R12" s="174"/>
    </row>
    <row r="13" spans="3:40" ht="41.25" customHeight="1" x14ac:dyDescent="0.3">
      <c r="E13" s="50"/>
      <c r="F13" s="50"/>
      <c r="G13" s="50"/>
      <c r="H13" s="50"/>
      <c r="I13" s="50"/>
      <c r="M13" s="51"/>
      <c r="N13" s="52"/>
      <c r="O13" s="52"/>
    </row>
    <row r="14" spans="3:40" ht="35.25" customHeight="1" x14ac:dyDescent="0.4">
      <c r="C14" s="53"/>
      <c r="D14" s="54" t="s">
        <v>70</v>
      </c>
      <c r="E14" s="54" t="s">
        <v>75</v>
      </c>
      <c r="F14" s="54" t="s">
        <v>5</v>
      </c>
      <c r="G14" s="54" t="s">
        <v>168</v>
      </c>
      <c r="H14" s="54" t="s">
        <v>6</v>
      </c>
      <c r="I14" s="54" t="s">
        <v>21</v>
      </c>
      <c r="L14" s="55" t="s">
        <v>85</v>
      </c>
      <c r="M14" s="55" t="s">
        <v>86</v>
      </c>
      <c r="N14" s="55" t="s">
        <v>70</v>
      </c>
      <c r="O14" s="55" t="s">
        <v>6</v>
      </c>
      <c r="P14" s="55" t="s">
        <v>71</v>
      </c>
      <c r="Q14" s="55" t="s">
        <v>21</v>
      </c>
      <c r="R14" s="55" t="s">
        <v>72</v>
      </c>
      <c r="V14" s="56"/>
    </row>
    <row r="15" spans="3:40" ht="35.25" customHeight="1" x14ac:dyDescent="0.5">
      <c r="C15" s="57" t="s">
        <v>95</v>
      </c>
      <c r="D15" s="58">
        <f>SUMIFS(Dataset!AK:AK,Dataset!F:F,'retorno absoluto'!D11,Dataset!AH:AH,"deposito", Dataset!T:T,"$")</f>
        <v>0.24146291649612595</v>
      </c>
      <c r="E15" s="59">
        <f>SUMIFS(Dataset!V:V,Dataset!F:F,'retorno absoluto'!D11,Dataset!AH:AH,"deposito", Dataset!T:T,"$")/1000000</f>
        <v>2281.4075029999999</v>
      </c>
      <c r="F15" s="60">
        <f>SUMIFS(Dataset!H:H,Dataset!F:F,'retorno absoluto'!D11,Dataset!AH:AH,"deposito", Dataset!T:T,"$")</f>
        <v>7.5870052654101044E-2</v>
      </c>
      <c r="G15" s="58">
        <f>SUMIFS(Dataset!AQ:AQ,Dataset!F:F,'retorno absoluto'!D11,Dataset!AH:AH,"deposito", Dataset!T:T,"$")</f>
        <v>6.9443782343241514E-3</v>
      </c>
      <c r="H15" s="58">
        <f>SUMIFS(Dataset!I:I,Dataset!F:F,'retorno absoluto'!D11,Dataset!AH:AH,"deposito", Dataset!T:T,"$")</f>
        <v>1.1691057781086617E-4</v>
      </c>
      <c r="I15" s="58">
        <f>SUMIFS(Dataset!AA:AA,Dataset!F:F,'retorno absoluto'!D11,Dataset!AH:AH,"deposito", Dataset!T:T,"$")</f>
        <v>1.1576954724032093E-2</v>
      </c>
      <c r="L15" s="61">
        <v>1</v>
      </c>
      <c r="M15" s="58" t="str">
        <f>IFERROR(INDEX(Dataset!G:G,MATCH(_xlfn.AGGREGATE(14,6,Dataset!AK:AK/(Dataset!F:F=$D$11),L15),Dataset!AK:AK,0),1),"-")</f>
        <v>BTP0450321</v>
      </c>
      <c r="N15" s="58">
        <f>IFERROR(INDEX(Dataset!AK:AK,MATCH(_xlfn.AGGREGATE(14,6,Dataset!AK:AK/(Dataset!F:F=$D$11),L15),Dataset!AK:AK,0),1),"-")</f>
        <v>0.43061860931852453</v>
      </c>
      <c r="O15" s="58">
        <f>IFERROR(INDEX(Dataset!I:I,MATCH(_xlfn.AGGREGATE(14,6,Dataset!AK:AK/(Dataset!F:F=$D$11),L15),Dataset!AK:AK,0),1),"-")</f>
        <v>3.5687047133015552E-3</v>
      </c>
      <c r="P15" s="58">
        <f>IFERROR(INDEX(Dataset!R:R,MATCH(_xlfn.AGGREGATE(14,6,Dataset!AK:AK/(Dataset!F:F=$D$11),L15),Dataset!AK:AK,0),1),"-")/100</f>
        <v>8.2873908281604663E-5</v>
      </c>
      <c r="Q15" s="58">
        <f>IFERROR(INDEX(Dataset!AA:AA,MATCH(_xlfn.AGGREGATE(14,6,Dataset!AK:AK/(Dataset!F:F=$D$11),L15),Dataset!AK:AK,0),1),"-")</f>
        <v>0.35338746641188923</v>
      </c>
      <c r="R15" s="60">
        <f>IFERROR(INDEX(Dataset!J:J,MATCH(_xlfn.AGGREGATE(14,6,Dataset!AK:AK/(Dataset!F:F=$D$11),L15),Dataset!AK:AK,0),1),"-")</f>
        <v>3.08</v>
      </c>
      <c r="Y15" s="62"/>
    </row>
    <row r="16" spans="3:40" ht="35.25" customHeight="1" x14ac:dyDescent="0.5">
      <c r="C16" s="57" t="s">
        <v>64</v>
      </c>
      <c r="D16" s="58">
        <f>SUMIFS(Dataset!AK:AK,Dataset!F:F,'retorno absoluto'!D11,Dataset!AH:AH,"deposito", Dataset!T:T,"uf")</f>
        <v>1.4063961953218742E-2</v>
      </c>
      <c r="E16" s="59">
        <f>SUMIFS(Dataset!V:V,Dataset!F:F,'retorno absoluto'!D11,Dataset!AH:AH,"deposito", Dataset!T:T,"uf")/1000000</f>
        <v>132.88014899999999</v>
      </c>
      <c r="F16" s="60">
        <f>SUMIFS(Dataset!H:H,Dataset!F:F,'retorno absoluto'!D11,Dataset!AH:AH,"deposito", Dataset!T:T,"uf")</f>
        <v>3.2347112492403106E-3</v>
      </c>
      <c r="G16" s="58">
        <f>SUMIFS(Dataset!AQ:AQ,Dataset!F:F,'retorno absoluto'!D11,Dataset!AH:AH,"deposito", Dataset!T:T,"uf")</f>
        <v>1.1686463867953299E-3</v>
      </c>
      <c r="H16" s="58">
        <f>SUMIFS(Dataset!I:I,Dataset!F:F,'retorno absoluto'!D11,Dataset!AH:AH,"deposito", Dataset!T:T,"uf")</f>
        <v>-2.3250835906004533E-5</v>
      </c>
      <c r="I16" s="58">
        <f>SUMIFS(Dataset!AA:AA,Dataset!F:F,'retorno absoluto'!D11,Dataset!AH:AH,"deposito", Dataset!T:T,"uf")</f>
        <v>-2.3023911062622082E-3</v>
      </c>
      <c r="L16" s="61">
        <v>2</v>
      </c>
      <c r="M16" s="58" t="str">
        <f>IFERROR(INDEX(Dataset!G:G,MATCH(_xlfn.AGGREGATE(14,6,Dataset!AK:AK/(Dataset!F:F=$D$11),L16),Dataset!AK:AK,0),1),"-")</f>
        <v>BTU0150321</v>
      </c>
      <c r="N16" s="58">
        <f>IFERROR(INDEX(Dataset!AK:AK,MATCH(_xlfn.AGGREGATE(14,6,Dataset!AK:AK/(Dataset!F:F=$D$11),L16),Dataset!AK:AK,0),1),"-")</f>
        <v>0.10033832578420028</v>
      </c>
      <c r="O16" s="58">
        <f>IFERROR(INDEX(Dataset!I:I,MATCH(_xlfn.AGGREGATE(14,6,Dataset!AK:AK/(Dataset!F:F=$D$11),L16),Dataset!AK:AK,0),1),"-")</f>
        <v>1.8019708115554209E-3</v>
      </c>
      <c r="P16" s="58">
        <f>IFERROR(INDEX(Dataset!R:R,MATCH(_xlfn.AGGREGATE(14,6,Dataset!AK:AK/(Dataset!F:F=$D$11),L16),Dataset!AK:AK,0),1),"-")/100</f>
        <v>1.7958948362672075E-4</v>
      </c>
      <c r="Q16" s="58">
        <f>IFERROR(INDEX(Dataset!AA:AA,MATCH(_xlfn.AGGREGATE(14,6,Dataset!AK:AK/(Dataset!F:F=$D$11),L16),Dataset!AK:AK,0),1),"-")</f>
        <v>0.17843838333562259</v>
      </c>
      <c r="R16" s="60">
        <f>IFERROR(INDEX(Dataset!J:J,MATCH(_xlfn.AGGREGATE(14,6,Dataset!AK:AK/(Dataset!F:F=$D$11),L16),Dataset!AK:AK,0),1),"-")</f>
        <v>3.22</v>
      </c>
    </row>
    <row r="17" spans="3:24" ht="35.25" customHeight="1" x14ac:dyDescent="0.5">
      <c r="C17" s="57" t="s">
        <v>96</v>
      </c>
      <c r="D17" s="58">
        <f>SUMIFS(Dataset!AK:AK,Dataset!F:F,'retorno absoluto'!D11,Dataset!AH:AH,"bono de gobierno", Dataset!T:T,"$")</f>
        <v>0.52798730778220493</v>
      </c>
      <c r="E17" s="59">
        <f>SUMIFS(Dataset!V:V,Dataset!F:F,'retorno absoluto'!D11,Dataset!AH:AH,"bono de gobierno", Dataset!T:T,"$")/1000000</f>
        <v>4988.5681119999999</v>
      </c>
      <c r="F17" s="60">
        <f>SUMIFS(Dataset!H:H,Dataset!F:F,'retorno absoluto'!D11,Dataset!AH:AH,"bono de gobierno", Dataset!T:T,"$")</f>
        <v>1.9894708992127241</v>
      </c>
      <c r="G17" s="58">
        <f>SUMIFS(Dataset!AQ:AQ,Dataset!F:F,'retorno absoluto'!D11,Dataset!AH:AH,"bono de gobierno", Dataset!T:T,"$")</f>
        <v>1.996667073615473E-2</v>
      </c>
      <c r="H17" s="58">
        <f>SUMIFS(Dataset!I:I,Dataset!F:F,'retorno absoluto'!D11,Dataset!AH:AH,"bono de gobierno", Dataset!T:T,"$")</f>
        <v>5.4652633551746455E-3</v>
      </c>
      <c r="I17" s="58">
        <f>SUMIFS(Dataset!AA:AA,Dataset!F:F,'retorno absoluto'!D11,Dataset!AH:AH,"bono de gobierno", Dataset!T:T,"$")</f>
        <v>0.54119231640550414</v>
      </c>
      <c r="L17" s="61">
        <v>3</v>
      </c>
      <c r="M17" s="58" t="str">
        <f>IFERROR(INDEX(Dataset!G:G,MATCH(_xlfn.AGGREGATE(14,6,Dataset!AK:AK/(Dataset!F:F=$D$11),L17),Dataset!AK:AK,0),1),"-")</f>
        <v>FWDCLUS51518</v>
      </c>
      <c r="N17" s="58">
        <f>IFERROR(INDEX(Dataset!AK:AK,MATCH(_xlfn.AGGREGATE(14,6,Dataset!AK:AK/(Dataset!F:F=$D$11),L17),Dataset!AK:AK,0),1),"-")</f>
        <v>6.910786920741771E-2</v>
      </c>
      <c r="O17" s="58">
        <f>IFERROR(INDEX(Dataset!I:I,MATCH(_xlfn.AGGREGATE(14,6,Dataset!AK:AK/(Dataset!F:F=$D$11),L17),Dataset!AK:AK,0),1),"-")</f>
        <v>0</v>
      </c>
      <c r="P17" s="58">
        <f>IFERROR(INDEX(Dataset!R:R,MATCH(_xlfn.AGGREGATE(14,6,Dataset!AK:AK/(Dataset!F:F=$D$11),L17),Dataset!AK:AK,0),1),"-")/100</f>
        <v>0</v>
      </c>
      <c r="Q17" s="58">
        <f>IFERROR(INDEX(Dataset!AA:AA,MATCH(_xlfn.AGGREGATE(14,6,Dataset!AK:AK/(Dataset!F:F=$D$11),L17),Dataset!AK:AK,0),1),"-")</f>
        <v>0</v>
      </c>
      <c r="R17" s="60">
        <f>IFERROR(INDEX(Dataset!J:J,MATCH(_xlfn.AGGREGATE(14,6,Dataset!AK:AK/(Dataset!F:F=$D$11),L17),Dataset!AK:AK,0),1),"-")</f>
        <v>0</v>
      </c>
      <c r="W17" s="52"/>
      <c r="X17" s="63"/>
    </row>
    <row r="18" spans="3:24" ht="35.25" customHeight="1" x14ac:dyDescent="0.5">
      <c r="C18" s="57" t="s">
        <v>67</v>
      </c>
      <c r="D18" s="58">
        <f>SUMIFS(Dataset!AK:AK,Dataset!F:F,'retorno absoluto'!D11,Dataset!AH:AH,"bono de gobierno", Dataset!T:T,"uf")</f>
        <v>0.20648111723491458</v>
      </c>
      <c r="E18" s="59">
        <f>SUMIFS(Dataset!V:V,Dataset!F:F,'retorno absoluto'!D11,Dataset!AH:AH,"bono de gobierno", Dataset!T:T,"uf")/1000000</f>
        <v>1950.889921</v>
      </c>
      <c r="F18" s="60">
        <f>SUMIFS(Dataset!H:H,Dataset!F:F,'retorno absoluto'!D11,Dataset!AH:AH,"bono de gobierno", Dataset!T:T,"uf")</f>
        <v>1.1565655263050143</v>
      </c>
      <c r="G18" s="58">
        <f>SUMIFS(Dataset!AQ:AQ,Dataset!F:F,'retorno absoluto'!D11,Dataset!AH:AH,"bono de gobierno", Dataset!T:T,"uf")</f>
        <v>1.7772060621727495E-2</v>
      </c>
      <c r="H18" s="58">
        <f>SUMIFS(Dataset!I:I,Dataset!F:F,'retorno absoluto'!D11,Dataset!AH:AH,"bono de gobierno", Dataset!T:T,"uf")</f>
        <v>4.5503358983657594E-3</v>
      </c>
      <c r="I18" s="58">
        <f>SUMIFS(Dataset!AA:AA,Dataset!F:F,'retorno absoluto'!D11,Dataset!AH:AH,"bono de gobierno", Dataset!T:T,"uf")</f>
        <v>0.45059252687759854</v>
      </c>
      <c r="L18" s="61">
        <v>4</v>
      </c>
      <c r="M18" s="58" t="str">
        <f>IFERROR(INDEX(Dataset!G:G,MATCH(_xlfn.AGGREGATE(14,6,Dataset!AK:AK/(Dataset!F:F=$D$11),L18),Dataset!AK:AK,0),1),"-")</f>
        <v>FWDCLUS51718</v>
      </c>
      <c r="N18" s="58">
        <f>IFERROR(INDEX(Dataset!AK:AK,MATCH(_xlfn.AGGREGATE(14,6,Dataset!AK:AK/(Dataset!F:F=$D$11),L18),Dataset!AK:AK,0),1),"-")</f>
        <v>6.8266445575900794E-2</v>
      </c>
      <c r="O18" s="58">
        <f>IFERROR(INDEX(Dataset!I:I,MATCH(_xlfn.AGGREGATE(14,6,Dataset!AK:AK/(Dataset!F:F=$D$11),L18),Dataset!AK:AK,0),1),"-")</f>
        <v>0</v>
      </c>
      <c r="P18" s="58">
        <f>IFERROR(INDEX(Dataset!R:R,MATCH(_xlfn.AGGREGATE(14,6,Dataset!AK:AK/(Dataset!F:F=$D$11),L18),Dataset!AK:AK,0),1),"-")/100</f>
        <v>0</v>
      </c>
      <c r="Q18" s="58">
        <f>IFERROR(INDEX(Dataset!AA:AA,MATCH(_xlfn.AGGREGATE(14,6,Dataset!AK:AK/(Dataset!F:F=$D$11),L18),Dataset!AK:AK,0),1),"-")</f>
        <v>0</v>
      </c>
      <c r="R18" s="60">
        <f>IFERROR(INDEX(Dataset!J:J,MATCH(_xlfn.AGGREGATE(14,6,Dataset!AK:AK/(Dataset!F:F=$D$11),L18),Dataset!AK:AK,0),1),"-")</f>
        <v>0</v>
      </c>
    </row>
    <row r="19" spans="3:24" ht="35.25" customHeight="1" x14ac:dyDescent="0.5">
      <c r="C19" s="57" t="s">
        <v>91</v>
      </c>
      <c r="D19" s="58">
        <f>SUMIFS(Dataset!AK:AK,Dataset!F:F,'retorno absoluto'!D11,Dataset!AH:AH,"bono de gobierno", Dataset!T:T,"eu")</f>
        <v>0</v>
      </c>
      <c r="E19" s="59">
        <f>SUMIFS(Dataset!V:V,Dataset!F:F,'retorno absoluto'!D11,Dataset!AH:AH,"bono de gobierno", Dataset!T:T,"eu")/1000000</f>
        <v>0</v>
      </c>
      <c r="F19" s="60">
        <f>SUMIFS(Dataset!H:H,Dataset!F:F,'retorno absoluto'!D11,Dataset!AH:AH,"bono de gobierno", Dataset!T:T,"eu")</f>
        <v>0</v>
      </c>
      <c r="G19" s="58">
        <f>SUMIFS(Dataset!AQ:AQ,Dataset!F:F,'retorno absoluto'!D11,Dataset!AH:AH,"bono de gobierno", Dataset!T:T,"eu")</f>
        <v>0</v>
      </c>
      <c r="H19" s="58">
        <f>SUMIFS(Dataset!I:I,Dataset!F:F,'retorno absoluto'!D11,Dataset!AH:AH,"bono de gobierno", Dataset!T:T,"eu")</f>
        <v>0</v>
      </c>
      <c r="I19" s="58">
        <f>SUMIFS(Dataset!AA:AA,Dataset!F:F,'retorno absoluto'!D11,Dataset!AH:AH,"bono de gobierno", Dataset!T:T,"eu")</f>
        <v>0</v>
      </c>
      <c r="L19" s="61">
        <v>5</v>
      </c>
      <c r="M19" s="58" t="str">
        <f>IFERROR(INDEX(Dataset!G:G,MATCH(_xlfn.AGGREGATE(14,6,Dataset!AK:AK/(Dataset!F:F=$D$11),L19),Dataset!AK:AK,0),1),"-")</f>
        <v>BTU0150326</v>
      </c>
      <c r="N19" s="58">
        <f>IFERROR(INDEX(Dataset!AK:AK,MATCH(_xlfn.AGGREGATE(14,6,Dataset!AK:AK/(Dataset!F:F=$D$11),L19),Dataset!AK:AK,0),1),"-")</f>
        <v>6.7018375027363616E-2</v>
      </c>
      <c r="O19" s="58">
        <f>IFERROR(INDEX(Dataset!I:I,MATCH(_xlfn.AGGREGATE(14,6,Dataset!AK:AK/(Dataset!F:F=$D$11),L19),Dataset!AK:AK,0),1),"-")</f>
        <v>1.1639981037612341E-3</v>
      </c>
      <c r="P19" s="58">
        <f>IFERROR(INDEX(Dataset!R:R,MATCH(_xlfn.AGGREGATE(14,6,Dataset!AK:AK/(Dataset!F:F=$D$11),L19),Dataset!AK:AK,0),1),"-")/100</f>
        <v>1.7368342686404636E-4</v>
      </c>
      <c r="Q19" s="58">
        <f>IFERROR(INDEX(Dataset!AA:AA,MATCH(_xlfn.AGGREGATE(14,6,Dataset!AK:AK/(Dataset!F:F=$D$11),L19),Dataset!AK:AK,0),1),"-")</f>
        <v>0.11526376482291698</v>
      </c>
      <c r="R19" s="60">
        <f>IFERROR(INDEX(Dataset!J:J,MATCH(_xlfn.AGGREGATE(14,6,Dataset!AK:AK/(Dataset!F:F=$D$11),L19),Dataset!AK:AK,0),1),"-")</f>
        <v>7.81</v>
      </c>
    </row>
    <row r="20" spans="3:24" ht="35.25" customHeight="1" x14ac:dyDescent="0.5">
      <c r="C20" s="57" t="s">
        <v>166</v>
      </c>
      <c r="D20" s="58">
        <f>SUMIFS(Dataset!AK:AK,Dataset!F:F,'retorno absoluto'!D11,Dataset!AH:AH,"bono de gobierno", Dataset!T:T,"mx")</f>
        <v>0</v>
      </c>
      <c r="E20" s="59">
        <f>SUMIFS(Dataset!V:V,Dataset!F:F,'retorno absoluto'!D11,Dataset!AH:AH,"bono de gobierno", Dataset!T:T,"mx")/1000000</f>
        <v>0</v>
      </c>
      <c r="F20" s="60">
        <f>SUMIFS(Dataset!H:H,Dataset!F:F,'retorno absoluto'!D11,Dataset!AH:AH,"bono de gobierno", Dataset!T:T,"mx")</f>
        <v>0</v>
      </c>
      <c r="G20" s="58">
        <f>SUMIFS(Dataset!AQ:AQ,Dataset!F:F,'retorno absoluto'!D11,Dataset!AH:AH,"bono de gobierno", Dataset!T:T,"mx")</f>
        <v>0</v>
      </c>
      <c r="H20" s="58">
        <f>SUMIFS(Dataset!I:I,Dataset!F:F,'retorno absoluto'!D11,Dataset!AH:AH,"bono de gobierno", Dataset!T:T,"mx")</f>
        <v>0</v>
      </c>
      <c r="I20" s="58">
        <f>SUMIFS(Dataset!AA:AA,Dataset!F:F,'retorno absoluto'!D11,Dataset!AH:AH,"bono de gobierno", Dataset!T:T,"mx")</f>
        <v>0</v>
      </c>
      <c r="L20" s="61">
        <v>6</v>
      </c>
      <c r="M20" s="58" t="str">
        <f>IFERROR(INDEX(Dataset!G:G,MATCH(_xlfn.AGGREGATE(14,6,Dataset!AK:AK/(Dataset!F:F=$D$11),L20),Dataset!AK:AK,0),1),"-")</f>
        <v>FWDUSCL51618</v>
      </c>
      <c r="N20" s="58">
        <f>IFERROR(INDEX(Dataset!AK:AK,MATCH(_xlfn.AGGREGATE(14,6,Dataset!AK:AK/(Dataset!F:F=$D$11),L20),Dataset!AK:AK,0),1),"-")</f>
        <v>6.6743415883129917E-2</v>
      </c>
      <c r="O20" s="58">
        <f>IFERROR(INDEX(Dataset!I:I,MATCH(_xlfn.AGGREGATE(14,6,Dataset!AK:AK/(Dataset!F:F=$D$11),L20),Dataset!AK:AK,0),1),"-")</f>
        <v>1.7797073378405601E-4</v>
      </c>
      <c r="P20" s="58">
        <f>IFERROR(INDEX(Dataset!R:R,MATCH(_xlfn.AGGREGATE(14,6,Dataset!AK:AK/(Dataset!F:F=$D$11),L20),Dataset!AK:AK,0),1),"-")/100</f>
        <v>2.6664912400601294E-5</v>
      </c>
      <c r="Q20" s="58">
        <f>IFERROR(INDEX(Dataset!AA:AA,MATCH(_xlfn.AGGREGATE(14,6,Dataset!AK:AK/(Dataset!F:F=$D$11),L20),Dataset!AK:AK,0),1),"-")</f>
        <v>1.7623376479705383E-2</v>
      </c>
      <c r="R20" s="60">
        <f>IFERROR(INDEX(Dataset!J:J,MATCH(_xlfn.AGGREGATE(14,6,Dataset!AK:AK/(Dataset!F:F=$D$11),L20),Dataset!AK:AK,0),1),"-")</f>
        <v>0</v>
      </c>
    </row>
    <row r="21" spans="3:24" ht="35.25" customHeight="1" x14ac:dyDescent="0.5">
      <c r="C21" s="57" t="s">
        <v>171</v>
      </c>
      <c r="D21" s="58">
        <f>SUMIFS(Dataset!AK:AK,Dataset!F:F,'retorno absoluto'!D11,Dataset!AH:AH,"bono de gobierno", Dataset!T:T,"rea")</f>
        <v>0</v>
      </c>
      <c r="E21" s="59">
        <f>SUMIFS(Dataset!V:V,Dataset!F:F,'retorno absoluto'!D11,Dataset!AH:AH,"bono de gobierno", Dataset!T:T,"rea")/1000000</f>
        <v>0</v>
      </c>
      <c r="F21" s="60">
        <f>SUMIFS(Dataset!H:H,Dataset!F:F,'retorno absoluto'!D11,Dataset!AH:AH,"bono de gobierno", Dataset!T:T,"rea")</f>
        <v>0</v>
      </c>
      <c r="G21" s="58">
        <f>SUMIFS(Dataset!AQ:AQ,Dataset!F:F,'retorno absoluto'!D11,Dataset!AH:AH,"bono de gobierno", Dataset!T:T,"rea")</f>
        <v>0</v>
      </c>
      <c r="H21" s="58">
        <f>SUMIFS(Dataset!I:I,Dataset!F:F,'retorno absoluto'!D11,Dataset!AH:AH,"bono de gobierno", Dataset!T:T,"rea")</f>
        <v>0</v>
      </c>
      <c r="I21" s="58">
        <f>SUMIFS(Dataset!AA:AA,Dataset!F:F,'retorno absoluto'!D11,Dataset!AH:AH,"bono de gobierno", Dataset!T:T,"rea")</f>
        <v>0</v>
      </c>
      <c r="L21" s="61">
        <v>7</v>
      </c>
      <c r="M21" s="58" t="str">
        <f>IFERROR(INDEX(Dataset!G:G,MATCH(_xlfn.AGGREGATE(14,6,Dataset!AK:AK/(Dataset!F:F=$D$11),L21),Dataset!AK:AK,0),1),"-")</f>
        <v>FWDUSCL51618</v>
      </c>
      <c r="N21" s="58">
        <f>IFERROR(INDEX(Dataset!AK:AK,MATCH(_xlfn.AGGREGATE(14,6,Dataset!AK:AK/(Dataset!F:F=$D$11),L21),Dataset!AK:AK,0),1),"-")</f>
        <v>6.6743415883129917E-2</v>
      </c>
      <c r="O21" s="58">
        <f>IFERROR(INDEX(Dataset!I:I,MATCH(_xlfn.AGGREGATE(14,6,Dataset!AK:AK/(Dataset!F:F=$D$11),L21),Dataset!AK:AK,0),1),"-")</f>
        <v>1.7797073378405601E-4</v>
      </c>
      <c r="P21" s="58">
        <f>IFERROR(INDEX(Dataset!R:R,MATCH(_xlfn.AGGREGATE(14,6,Dataset!AK:AK/(Dataset!F:F=$D$11),L21),Dataset!AK:AK,0),1),"-")/100</f>
        <v>2.6664912400601294E-5</v>
      </c>
      <c r="Q21" s="58">
        <f>IFERROR(INDEX(Dataset!AA:AA,MATCH(_xlfn.AGGREGATE(14,6,Dataset!AK:AK/(Dataset!F:F=$D$11),L21),Dataset!AK:AK,0),1),"-")</f>
        <v>1.7623376479705383E-2</v>
      </c>
      <c r="R21" s="60">
        <f>IFERROR(INDEX(Dataset!J:J,MATCH(_xlfn.AGGREGATE(14,6,Dataset!AK:AK/(Dataset!F:F=$D$11),L21),Dataset!AK:AK,0),1),"-")</f>
        <v>0</v>
      </c>
    </row>
    <row r="22" spans="3:24" ht="35.25" customHeight="1" x14ac:dyDescent="0.5">
      <c r="C22" s="57" t="s">
        <v>222</v>
      </c>
      <c r="D22" s="58">
        <f>SUMIFS(Dataset!AK:AK,Dataset!F:F,'retorno absoluto'!D11,Dataset!AH:AH,"bono de gobierno", Dataset!T:T,"sol")</f>
        <v>0</v>
      </c>
      <c r="E22" s="59">
        <f>SUMIFS(Dataset!V:V,Dataset!F:F,'retorno absoluto'!D11,Dataset!AH:AH,"bono de gobierno", Dataset!T:T,"sol")/1000000</f>
        <v>0</v>
      </c>
      <c r="F22" s="60">
        <f>SUMIFS(Dataset!H:H,Dataset!F:F,'retorno absoluto'!D11,Dataset!AH:AH,"bono de gobierno", Dataset!T:T,"sol")</f>
        <v>0</v>
      </c>
      <c r="G22" s="58">
        <f>SUMIFS(Dataset!AQ:AQ,Dataset!F:F,'retorno absoluto'!D11,Dataset!AH:AH,"bono de gobierno", Dataset!T:T,"sol")</f>
        <v>0</v>
      </c>
      <c r="H22" s="58">
        <f>SUMIFS(Dataset!I:I,Dataset!F:F,'retorno absoluto'!D11,Dataset!AH:AH,"bono de gobierno", Dataset!T:T,"sol")</f>
        <v>0</v>
      </c>
      <c r="I22" s="58">
        <f>SUMIFS(Dataset!AA:AA,Dataset!F:F,'retorno absoluto'!D11,Dataset!AH:AH,"bono de gobierno", Dataset!T:T,"sol")</f>
        <v>0</v>
      </c>
      <c r="L22" s="61">
        <v>8</v>
      </c>
      <c r="M22" s="58" t="str">
        <f>IFERROR(INDEX(Dataset!G:G,MATCH(_xlfn.AGGREGATE(14,6,Dataset!AK:AK/(Dataset!F:F=$D$11),L22),Dataset!AK:AK,0),1),"-")</f>
        <v>BCP0600322</v>
      </c>
      <c r="N22" s="58">
        <f>IFERROR(INDEX(Dataset!AK:AK,MATCH(_xlfn.AGGREGATE(14,6,Dataset!AK:AK/(Dataset!F:F=$D$11),L22),Dataset!AK:AK,0),1),"-")</f>
        <v>6.0535771129191465E-2</v>
      </c>
      <c r="O22" s="58">
        <f>IFERROR(INDEX(Dataset!I:I,MATCH(_xlfn.AGGREGATE(14,6,Dataset!AK:AK/(Dataset!F:F=$D$11),L22),Dataset!AK:AK,0),1),"-")</f>
        <v>7.0345904566046491E-4</v>
      </c>
      <c r="P22" s="58">
        <f>IFERROR(INDEX(Dataset!R:R,MATCH(_xlfn.AGGREGATE(14,6,Dataset!AK:AK/(Dataset!F:F=$D$11),L22),Dataset!AK:AK,0),1),"-")/100</f>
        <v>1.1620551494407973E-4</v>
      </c>
      <c r="Q22" s="58">
        <f>IFERROR(INDEX(Dataset!AA:AA,MATCH(_xlfn.AGGREGATE(14,6,Dataset!AK:AK/(Dataset!F:F=$D$11),L22),Dataset!AK:AK,0),1),"-")</f>
        <v>6.9659338567267734E-2</v>
      </c>
      <c r="R22" s="60">
        <f>IFERROR(INDEX(Dataset!J:J,MATCH(_xlfn.AGGREGATE(14,6,Dataset!AK:AK/(Dataset!F:F=$D$11),L22),Dataset!AK:AK,0),1),"-")</f>
        <v>3.83</v>
      </c>
    </row>
    <row r="23" spans="3:24" ht="35.25" customHeight="1" x14ac:dyDescent="0.5">
      <c r="C23" s="57" t="s">
        <v>98</v>
      </c>
      <c r="D23" s="58">
        <f>SUMIFS(Dataset!AK:AK,Dataset!F:F,'retorno absoluto'!D11,Dataset!AH:AH,"bono corporativo", Dataset!T:T,"$")</f>
        <v>0</v>
      </c>
      <c r="E23" s="59">
        <f>SUMIFS(Dataset!V:V,Dataset!F:F,'retorno absoluto'!D11,Dataset!AH:AH,"bono corporativo", Dataset!T:T,"$")/1000000</f>
        <v>0</v>
      </c>
      <c r="F23" s="60">
        <f>SUMIFS(Dataset!H:H,Dataset!F:F,'retorno absoluto'!D11,Dataset!AH:AH,"bono corporativo", Dataset!T:T,"$")</f>
        <v>0</v>
      </c>
      <c r="G23" s="58">
        <f>SUMIFS(Dataset!AQ:AQ,Dataset!F:F,'retorno absoluto'!D11,Dataset!AH:AH,"bono corporativo", Dataset!T:T,"$")</f>
        <v>0</v>
      </c>
      <c r="H23" s="58">
        <f>SUMIFS(Dataset!I:I,Dataset!F:F,'retorno absoluto'!D11,Dataset!AH:AH,"bono corporativo", Dataset!T:T,"$")</f>
        <v>0</v>
      </c>
      <c r="I23" s="58">
        <f>SUMIFS(Dataset!AA:AA,Dataset!F:F,'retorno absoluto'!D11,Dataset!AH:AH,"bono corporativo", Dataset!T:T,"$")</f>
        <v>0</v>
      </c>
      <c r="L23" s="61">
        <v>9</v>
      </c>
      <c r="M23" s="58" t="str">
        <f>IFERROR(INDEX(Dataset!G:G,MATCH(_xlfn.AGGREGATE(14,6,Dataset!AK:AK/(Dataset!F:F=$D$11),L23),Dataset!AK:AK,0),1),"-")</f>
        <v>PAGARE NR</v>
      </c>
      <c r="N23" s="58">
        <f>IFERROR(INDEX(Dataset!AK:AK,MATCH(_xlfn.AGGREGATE(14,6,Dataset!AK:AK/(Dataset!F:F=$D$11),L23),Dataset!AK:AK,0),1),"-")</f>
        <v>4.260558030816728E-2</v>
      </c>
      <c r="O23" s="58">
        <f>IFERROR(INDEX(Dataset!I:I,MATCH(_xlfn.AGGREGATE(14,6,Dataset!AK:AK/(Dataset!F:F=$D$11),L23),Dataset!AK:AK,0),1),"-")</f>
        <v>9.6986244149227853E-6</v>
      </c>
      <c r="P23" s="58">
        <f>IFERROR(INDEX(Dataset!R:R,MATCH(_xlfn.AGGREGATE(14,6,Dataset!AK:AK/(Dataset!F:F=$D$11),L23),Dataset!AK:AK,0),1),"-")/100</f>
        <v>2.2763742084422702E-6</v>
      </c>
      <c r="Q23" s="58">
        <f>IFERROR(INDEX(Dataset!AA:AA,MATCH(_xlfn.AGGREGATE(14,6,Dataset!AK:AK/(Dataset!F:F=$D$11),L23),Dataset!AK:AK,0),1),"-")</f>
        <v>9.6039672234446416E-4</v>
      </c>
      <c r="R23" s="60">
        <f>IFERROR(INDEX(Dataset!J:J,MATCH(_xlfn.AGGREGATE(14,6,Dataset!AK:AK/(Dataset!F:F=$D$11),L23),Dataset!AK:AK,0),1),"-")</f>
        <v>0.04</v>
      </c>
    </row>
    <row r="24" spans="3:24" ht="35.25" customHeight="1" x14ac:dyDescent="0.5">
      <c r="C24" s="57" t="s">
        <v>73</v>
      </c>
      <c r="D24" s="58">
        <f>SUMIFS(Dataset!AK:AK,Dataset!F:F,'retorno absoluto'!D11,Dataset!AH:AH,"bono corporativo", Dataset!T:T,"uf")</f>
        <v>0</v>
      </c>
      <c r="E24" s="59">
        <f>SUMIFS(Dataset!V:V,Dataset!F:F,'retorno absoluto'!D11,Dataset!AH:AH,"bono corporativo", Dataset!T:T,"uf")/1000000</f>
        <v>0</v>
      </c>
      <c r="F24" s="60">
        <f>SUMIFS(Dataset!H:H,Dataset!F:F,'retorno absoluto'!D11,Dataset!AH:AH,"bono corporativo", Dataset!T:T,"uf")</f>
        <v>0</v>
      </c>
      <c r="G24" s="58">
        <f>SUMIFS(Dataset!AQ:AQ,Dataset!F:F,'retorno absoluto'!D11,Dataset!AH:AH,"bono corporativo", Dataset!T:T,"uf")</f>
        <v>0</v>
      </c>
      <c r="H24" s="58">
        <f>SUMIFS(Dataset!I:I,Dataset!F:F,'retorno absoluto'!D11,Dataset!AH:AH,"bono corporativo", Dataset!T:T,"uf")</f>
        <v>0</v>
      </c>
      <c r="I24" s="58">
        <f>SUMIFS(Dataset!AA:AA,Dataset!F:F,'retorno absoluto'!D11,Dataset!AH:AH,"bono corporativo", Dataset!T:T,"uf")</f>
        <v>0</v>
      </c>
      <c r="L24" s="61">
        <v>10</v>
      </c>
      <c r="M24" s="58" t="str">
        <f>IFERROR(INDEX(Dataset!G:G,MATCH(_xlfn.AGGREGATE(14,6,Dataset!AK:AK/(Dataset!F:F=$D$11),L24),Dataset!AK:AK,0),1),"-")</f>
        <v>BTP0500335</v>
      </c>
      <c r="N24" s="58">
        <f>IFERROR(INDEX(Dataset!AK:AK,MATCH(_xlfn.AGGREGATE(14,6,Dataset!AK:AK/(Dataset!F:F=$D$11),L24),Dataset!AK:AK,0),1),"-")</f>
        <v>3.683292733448891E-2</v>
      </c>
      <c r="O24" s="58">
        <f>IFERROR(INDEX(Dataset!I:I,MATCH(_xlfn.AGGREGATE(14,6,Dataset!AK:AK/(Dataset!F:F=$D$11),L24),Dataset!AK:AK,0),1),"-")</f>
        <v>1.1930995962126257E-3</v>
      </c>
      <c r="P24" s="58">
        <f>IFERROR(INDEX(Dataset!R:R,MATCH(_xlfn.AGGREGATE(14,6,Dataset!AK:AK/(Dataset!F:F=$D$11),L24),Dataset!AK:AK,0),1),"-")/100</f>
        <v>3.2392201287119904E-4</v>
      </c>
      <c r="Q24" s="58">
        <f>IFERROR(INDEX(Dataset!AA:AA,MATCH(_xlfn.AGGREGATE(14,6,Dataset!AK:AK/(Dataset!F:F=$D$11),L24),Dataset!AK:AK,0),1),"-")</f>
        <v>0.11814551142634716</v>
      </c>
      <c r="R24" s="60">
        <f>IFERROR(INDEX(Dataset!J:J,MATCH(_xlfn.AGGREGATE(14,6,Dataset!AK:AK/(Dataset!F:F=$D$11),L24),Dataset!AK:AK,0),1),"-")</f>
        <v>11.71</v>
      </c>
    </row>
    <row r="25" spans="3:24" ht="35.25" customHeight="1" x14ac:dyDescent="0.5">
      <c r="C25" s="57" t="s">
        <v>65</v>
      </c>
      <c r="D25" s="58">
        <f>SUMIFS(Dataset!AK:AK,Dataset!F:F,'retorno absoluto'!D11,Dataset!AH:AH,"factura")</f>
        <v>0</v>
      </c>
      <c r="E25" s="59">
        <f>SUMIFS(Dataset!V:V,Dataset!F:F,'retorno absoluto'!D11,Dataset!AH:AH,"factura")/1000000</f>
        <v>0</v>
      </c>
      <c r="F25" s="60">
        <f>SUMIFS(Dataset!H:H,Dataset!F:F,'retorno absoluto'!D11,Dataset!AH:AH,"factura")</f>
        <v>0</v>
      </c>
      <c r="G25" s="58">
        <f>SUMIFS(Dataset!AQ:AQ,Dataset!F:F,'retorno absoluto'!D11,Dataset!AH:AH,"factura")</f>
        <v>0</v>
      </c>
      <c r="H25" s="58">
        <f>SUMIFS(Dataset!I:I,Dataset!F:F,'retorno absoluto'!D11,Dataset!AH:AH,"factura")</f>
        <v>0</v>
      </c>
      <c r="I25" s="58">
        <f>SUMIFS(Dataset!AA:AA,Dataset!F:F,'retorno absoluto'!D11,Dataset!AH:AH,"factura")</f>
        <v>0</v>
      </c>
      <c r="M25" s="64"/>
      <c r="N25" s="64"/>
    </row>
    <row r="26" spans="3:24" ht="35.25" customHeight="1" x14ac:dyDescent="0.5">
      <c r="C26" s="57" t="s">
        <v>99</v>
      </c>
      <c r="D26" s="58">
        <f>SUMIFS(Dataset!AK:AK,Dataset!F:F,'retorno absoluto'!D11,Dataset!AH:AH,"fx forward", Dataset!T:T,"$")</f>
        <v>6.5578987182983162E-3</v>
      </c>
      <c r="E26" s="59">
        <f>SUMIFS(Dataset!V:V,Dataset!F:F,'retorno absoluto'!D11,Dataset!AH:AH,"fx forward", Dataset!T:T,"$")/1000000</f>
        <v>61.960816000000001</v>
      </c>
      <c r="F26" s="60">
        <f>SUMIFS(Dataset!H:H,Dataset!F:F,'retorno absoluto'!D11,Dataset!AH:AH,"fx forward", Dataset!T:T,"$")</f>
        <v>0</v>
      </c>
      <c r="G26" s="58">
        <f>SUMIFS(Dataset!AQ:AQ,Dataset!F:F,'retorno absoluto'!D11,Dataset!AH:AH,"fx forward", Dataset!T:T,"$")</f>
        <v>0</v>
      </c>
      <c r="H26" s="58">
        <f>SUMIFS(Dataset!I:I,Dataset!F:F,'retorno absoluto'!D11,Dataset!AH:AH,"fx forward", Dataset!T:T,"$")</f>
        <v>0</v>
      </c>
      <c r="I26" s="58">
        <f>SUMIFS(Dataset!AA:AA,Dataset!F:F,'retorno absoluto'!D11,Dataset!AH:AH,"fx forward", Dataset!T:T,"$")</f>
        <v>0</v>
      </c>
      <c r="N26" s="64"/>
    </row>
    <row r="27" spans="3:24" ht="44.25" customHeight="1" x14ac:dyDescent="0.5">
      <c r="C27" s="57" t="s">
        <v>119</v>
      </c>
      <c r="D27" s="58">
        <f>SUMIFS(Dataset!AK:AK,Dataset!F:F,'retorno absoluto'!D11,Dataset!AH:AH,"fx forward", Dataset!T:T,"UF")</f>
        <v>0</v>
      </c>
      <c r="E27" s="59">
        <f>SUMIFS(Dataset!V:V,Dataset!F:F,'retorno absoluto'!D11,Dataset!AH:AH,"fx forward", Dataset!T:T,"UF")/1000000</f>
        <v>0</v>
      </c>
      <c r="F27" s="60">
        <f>SUMIFS(Dataset!H:H,Dataset!F:F,'retorno absoluto'!D11,Dataset!AH:AH,"fx forward", Dataset!T:T,"UF")</f>
        <v>0</v>
      </c>
      <c r="G27" s="58">
        <f>SUMIFS(Dataset!AQ:AQ,Dataset!F:F,'retorno absoluto'!D11,Dataset!AH:AH,"fx forward", Dataset!T:T,"UF")</f>
        <v>0</v>
      </c>
      <c r="H27" s="58">
        <f>SUMIFS(Dataset!I:I,Dataset!F:F,'retorno absoluto'!D11,Dataset!AH:AH,"fx forward", Dataset!T:T,"UF")</f>
        <v>0</v>
      </c>
      <c r="I27" s="58">
        <f>SUMIFS(Dataset!AA:AA,Dataset!F:F,'retorno absoluto'!D11,Dataset!AH:AH,"fx forward", Dataset!T:T,"UF")</f>
        <v>0</v>
      </c>
    </row>
    <row r="28" spans="3:24" ht="35.25" customHeight="1" x14ac:dyDescent="0.5">
      <c r="C28" s="57" t="s">
        <v>100</v>
      </c>
      <c r="D28" s="58">
        <f>SUMIFS(Dataset!AK:AK,Dataset!F:F,'retorno absoluto'!D11,Dataset!AH:AH,"fx forward", Dataset!T:T,"us$")</f>
        <v>-5.3394732706504022E-3</v>
      </c>
      <c r="E28" s="59">
        <f>SUMIFS(Dataset!V:V,Dataset!F:F,'retorno absoluto'!D11,Dataset!AH:AH,"fx forward", Dataset!T:T,"us$")/1000000</f>
        <v>-50.448799999999999</v>
      </c>
      <c r="F28" s="60">
        <f>SUMIFS(Dataset!H:H,Dataset!F:F,'retorno absoluto'!D11,Dataset!AH:AH,"fx forward", Dataset!T:T,"us$")</f>
        <v>0</v>
      </c>
      <c r="G28" s="58">
        <f>SUMIFS(Dataset!AQ:AQ,Dataset!F:F,'retorno absoluto'!D11,Dataset!AH:AH,"fx forward", Dataset!T:T,"us$")</f>
        <v>0</v>
      </c>
      <c r="H28" s="58">
        <f>SUMIFS(Dataset!I:I,Dataset!F:F,'retorno absoluto'!D11,Dataset!AH:AH,"fx forward", Dataset!T:T,"us$")</f>
        <v>-1.4237658702724479E-5</v>
      </c>
      <c r="I28" s="58">
        <f>SUMIFS(Dataset!AA:AA,Dataset!F:F,'retorno absoluto'!D11,Dataset!AH:AH,"fx forward", Dataset!T:T,"us$")</f>
        <v>-1.4098701183764273E-3</v>
      </c>
    </row>
    <row r="29" spans="3:24" ht="48" customHeight="1" x14ac:dyDescent="0.5">
      <c r="C29" s="57" t="s">
        <v>92</v>
      </c>
      <c r="D29" s="58">
        <f>SUMIFS(Dataset!AK:AK,Dataset!F:F,'retorno absoluto'!D11,Dataset!AH:AH,"fx forward", Dataset!T:T,"eu")</f>
        <v>0</v>
      </c>
      <c r="E29" s="59">
        <f>SUMIFS(Dataset!V:V,Dataset!F:F,'retorno absoluto'!D11,Dataset!AH:AH,"fx forward", Dataset!T:T,"eu")/1000000</f>
        <v>0</v>
      </c>
      <c r="F29" s="60">
        <f>SUMIFS(Dataset!H:H,Dataset!F:F,'retorno absoluto'!D11,Dataset!AH:AH,"fx forward", Dataset!T:T,"eu")</f>
        <v>0</v>
      </c>
      <c r="G29" s="58">
        <f>SUMIFS(Dataset!AQ:AQ,Dataset!F:F,'retorno absoluto'!D11,Dataset!AH:AH,"fx forward", Dataset!T:T,"eu")</f>
        <v>0</v>
      </c>
      <c r="H29" s="58">
        <f>SUMIFS(Dataset!I:I,Dataset!F:F,'retorno absoluto'!D11,Dataset!AH:AH,"fx forward", Dataset!T:T,"eu")</f>
        <v>0</v>
      </c>
      <c r="I29" s="58">
        <f>SUMIFS(Dataset!AA:AA,Dataset!F:F,'retorno absoluto'!D11,Dataset!AH:AH,"fx forward", Dataset!T:T,"eu")</f>
        <v>0</v>
      </c>
      <c r="L29" s="174" t="s">
        <v>268</v>
      </c>
      <c r="M29" s="174"/>
      <c r="N29" s="174"/>
      <c r="O29" s="174"/>
      <c r="P29" s="174"/>
      <c r="Q29" s="174"/>
      <c r="R29" s="174"/>
    </row>
    <row r="30" spans="3:24" ht="48" customHeight="1" x14ac:dyDescent="0.5">
      <c r="C30" s="57" t="s">
        <v>101</v>
      </c>
      <c r="D30" s="58">
        <f>SUMIFS(Dataset!AK:AK,Dataset!F:F,'retorno absoluto'!D11,Dataset!AH:AH,"fx", Dataset!T:T,"$")</f>
        <v>7.4937276469640521E-3</v>
      </c>
      <c r="E30" s="59">
        <f>SUMIFS(Dataset!V:V,Dataset!F:F,'retorno absoluto'!D11,Dataset!AH:AH,"fx", Dataset!T:T,"$")/1000000</f>
        <v>70.802783000000005</v>
      </c>
      <c r="F30" s="60">
        <f>SUMIFS(Dataset!H:H,Dataset!F:F,'retorno absoluto'!D11,Dataset!AH:AH,"fx", Dataset!T:T,"$")</f>
        <v>0</v>
      </c>
      <c r="G30" s="58">
        <f>SUMIFS(Dataset!AQ:AQ,Dataset!F:F,'retorno absoluto'!D11,Dataset!AH:AH,"fx", Dataset!T:T,"$")</f>
        <v>0</v>
      </c>
      <c r="H30" s="58">
        <f>SUMIFS(Dataset!I:I,Dataset!F:F,'retorno absoluto'!D11,Dataset!AH:AH,"fx", Dataset!T:T,"$")</f>
        <v>0</v>
      </c>
      <c r="I30" s="58">
        <f>SUMIFS(Dataset!AA:AA,Dataset!F:F,'retorno absoluto'!D11,Dataset!AH:AH,"fx", Dataset!T:T,"$")</f>
        <v>0</v>
      </c>
    </row>
    <row r="31" spans="3:24" ht="33" customHeight="1" x14ac:dyDescent="0.5">
      <c r="C31" s="57" t="s">
        <v>102</v>
      </c>
      <c r="D31" s="58">
        <f>SUMIFS(Dataset!AK:AK,Dataset!F:F,'retorno absoluto'!D11,Dataset!AH:AH,"fx", Dataset!T:T,"us$")</f>
        <v>1.2789181972630952E-3</v>
      </c>
      <c r="E31" s="59">
        <f>SUMIFS(Dataset!V:V,Dataset!F:F,'retorno absoluto'!D11,Dataset!AH:AH,"fx", Dataset!T:T,"us$")/1000000</f>
        <v>12.083568</v>
      </c>
      <c r="F31" s="60">
        <f>SUMIFS(Dataset!H:H,Dataset!F:F,'retorno absoluto'!D11,Dataset!AH:AH,"fx", Dataset!T:T,"us$")</f>
        <v>0</v>
      </c>
      <c r="G31" s="58">
        <f>SUMIFS(Dataset!AQ:AQ,Dataset!F:F,'retorno absoluto'!D11,Dataset!AH:AH,"fx", Dataset!T:T,"us$")</f>
        <v>0</v>
      </c>
      <c r="H31" s="58">
        <f>SUMIFS(Dataset!I:I,Dataset!F:F,'retorno absoluto'!D11,Dataset!AH:AH,"fx", Dataset!T:T,"us$")</f>
        <v>3.4102241697555359E-6</v>
      </c>
      <c r="I31" s="58">
        <f>SUMIFS(Dataset!AA:AA,Dataset!F:F,'retorno absoluto'!D11,Dataset!AH:AH,"fx", Dataset!T:T,"us$")</f>
        <v>3.3769408680820259E-4</v>
      </c>
      <c r="L31" s="55" t="s">
        <v>85</v>
      </c>
      <c r="M31" s="55" t="s">
        <v>86</v>
      </c>
      <c r="N31" s="55" t="s">
        <v>70</v>
      </c>
      <c r="O31" s="55" t="s">
        <v>6</v>
      </c>
      <c r="P31" s="55" t="s">
        <v>71</v>
      </c>
      <c r="Q31" s="55" t="s">
        <v>21</v>
      </c>
      <c r="R31" s="55" t="s">
        <v>72</v>
      </c>
    </row>
    <row r="32" spans="3:24" ht="42.75" customHeight="1" x14ac:dyDescent="0.5">
      <c r="C32" s="57" t="s">
        <v>93</v>
      </c>
      <c r="D32" s="58">
        <f>SUMIFS(Dataset!AK:AK,Dataset!F:F,'retorno absoluto'!D11,Dataset!AH:AH,"fx", Dataset!T:T,"eu")</f>
        <v>1.362524166079626E-5</v>
      </c>
      <c r="E32" s="59">
        <f>SUMIFS(Dataset!V:V,Dataset!F:F,'retorno absoluto'!D11,Dataset!AH:AH,"fx", Dataset!T:T,"eu")/1000000</f>
        <v>0.12873499999999999</v>
      </c>
      <c r="F32" s="60">
        <f>SUMIFS(Dataset!H:H,Dataset!F:F,'retorno absoluto'!D11,Dataset!AH:AH,"fx", Dataset!T:T,"eu")</f>
        <v>0</v>
      </c>
      <c r="G32" s="58">
        <f>SUMIFS(Dataset!AQ:AQ,Dataset!F:F,'retorno absoluto'!D11,Dataset!AH:AH,"fx", Dataset!T:T,"eu")</f>
        <v>0</v>
      </c>
      <c r="H32" s="58">
        <f>SUMIFS(Dataset!I:I,Dataset!F:F,'retorno absoluto'!D11,Dataset!AH:AH,"fx", Dataset!T:T,"eu")</f>
        <v>1.289498389975945E-7</v>
      </c>
      <c r="I32" s="58">
        <f>SUMIFS(Dataset!AA:AA,Dataset!F:F,'retorno absoluto'!D11,Dataset!AH:AH,"fx", Dataset!T:T,"eu")</f>
        <v>1.2769130695440184E-5</v>
      </c>
      <c r="L32" s="61">
        <v>1</v>
      </c>
      <c r="M32" s="58" t="str">
        <f>IFERROR(INDEX(Dataset!G:G,MATCH(_xlfn.AGGREGATE(14,6,Dataset!I:I/(Dataset!F:F=$D$11),L32),Dataset!I:I,0),1),"-")</f>
        <v>BTP0450321</v>
      </c>
      <c r="N32" s="58">
        <f>IFERROR(INDEX(Dataset!AK:AK,MATCH(_xlfn.AGGREGATE(14,6,Dataset!I:I/(Dataset!F:F=$D$11),L32),Dataset!I:I,0),1),"-")</f>
        <v>0.43061860931852453</v>
      </c>
      <c r="O32" s="58">
        <f>IFERROR(INDEX(Dataset!I:I,MATCH(_xlfn.AGGREGATE(14,6,Dataset!I:I/(Dataset!F:F=$D$11),L32),Dataset!I:I,0),1),"-")</f>
        <v>3.5687047133015552E-3</v>
      </c>
      <c r="P32" s="58">
        <f>IFERROR(INDEX(Dataset!R:R,MATCH(_xlfn.AGGREGATE(14,6,Dataset!I:I/(Dataset!F:F=$D$11),L32),Dataset!I:I,0),1),"-")/100</f>
        <v>8.2873908281604663E-5</v>
      </c>
      <c r="Q32" s="58">
        <f>IFERROR(INDEX(Dataset!AA:AA,MATCH(_xlfn.AGGREGATE(14,6,Dataset!I:I/(Dataset!F:F=$D$11),L32),Dataset!I:I,0),1),"-")</f>
        <v>0.35338746641188923</v>
      </c>
      <c r="R32" s="60">
        <f>IFERROR(INDEX(Dataset!J:J,MATCH(_xlfn.AGGREGATE(14,6,Dataset!I:I/(Dataset!F:F=$D$11),L32),Dataset!I:I,0),1),"-")</f>
        <v>3.08</v>
      </c>
    </row>
    <row r="33" spans="3:25" ht="30" customHeight="1" x14ac:dyDescent="0.5">
      <c r="C33" s="57" t="s">
        <v>227</v>
      </c>
      <c r="D33" s="58">
        <f>SUMIFS(Dataset!AK:AK,Dataset!F:F,'retorno absoluto'!D11,Dataset!AH:AH,"Leverage")</f>
        <v>0</v>
      </c>
      <c r="E33" s="59">
        <f>SUMIFS(Dataset!V:V,Dataset!F:F,'retorno absoluto'!D11, Dataset!AH:AH,"Leverage")/1000000</f>
        <v>0</v>
      </c>
      <c r="F33" s="60">
        <f>SUMIFS(Dataset!H:H,Dataset!F:F,'retorno absoluto'!D11, Dataset!AH:AH,"Leverage")</f>
        <v>0</v>
      </c>
      <c r="G33" s="58">
        <f>SUMIFS(Dataset!AQ:AQ,Dataset!F:F,'retorno absoluto'!D11, Dataset!AH:AH,"Leverage")</f>
        <v>0</v>
      </c>
      <c r="H33" s="58">
        <f>SUMIFS(Dataset!I:I,Dataset!F:F,'retorno absoluto'!D11, Dataset!AH:AH,"Leverage")</f>
        <v>0</v>
      </c>
      <c r="I33" s="58">
        <f>SUMIFS(Dataset!AA:AA,Dataset!F:F,'retorno absoluto'!D11, Dataset!AH:AH,"Leverage")</f>
        <v>0</v>
      </c>
      <c r="L33" s="61">
        <v>2</v>
      </c>
      <c r="M33" s="58" t="str">
        <f>IFERROR(INDEX(Dataset!G:G,MATCH(_xlfn.AGGREGATE(14,6,Dataset!I:I/(Dataset!F:F=$D$11),L33),Dataset!I:I,0),1),"-")</f>
        <v>BTU0150321</v>
      </c>
      <c r="N33" s="58">
        <f>IFERROR(INDEX(Dataset!AK:AK,MATCH(_xlfn.AGGREGATE(14,6,Dataset!I:I/(Dataset!F:F=$D$11),L33),Dataset!I:I,0),1),"-")</f>
        <v>0.10033832578420028</v>
      </c>
      <c r="O33" s="58">
        <f>IFERROR(INDEX(Dataset!I:I,MATCH(_xlfn.AGGREGATE(14,6,Dataset!I:I/(Dataset!F:F=$D$11),L33),Dataset!I:I,0),1),"-")</f>
        <v>1.8019708115554209E-3</v>
      </c>
      <c r="P33" s="58">
        <f>IFERROR(INDEX(Dataset!R:R,MATCH(_xlfn.AGGREGATE(14,6,Dataset!I:I/(Dataset!F:F=$D$11),L33),Dataset!I:I,0),1),"-")/100</f>
        <v>1.7958948362672075E-4</v>
      </c>
      <c r="Q33" s="58">
        <f>IFERROR(INDEX(Dataset!AA:AA,MATCH(_xlfn.AGGREGATE(14,6,Dataset!I:I/(Dataset!F:F=$D$11),L33),Dataset!I:I,0),1),"-")</f>
        <v>0.17843838333562259</v>
      </c>
      <c r="R33" s="60">
        <f>IFERROR(INDEX(Dataset!J:J,MATCH(_xlfn.AGGREGATE(14,6,Dataset!I:I/(Dataset!F:F=$D$11),L33),Dataset!I:I,0),1),"-")</f>
        <v>3.22</v>
      </c>
    </row>
    <row r="34" spans="3:25" ht="42" customHeight="1" x14ac:dyDescent="0.5">
      <c r="C34" s="57" t="s">
        <v>37</v>
      </c>
      <c r="D34" s="58">
        <f>SUMIFS(Dataset!AK:AK,Dataset!F:F,'retorno absoluto'!D11,Dataset!AH:AH,"&lt;&gt;deposito",Dataset!AH:AH,"&lt;&gt;bono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E34" s="59">
        <f>SUMIFS(Dataset!V:V,Dataset!F:F,'retorno absoluto'!D11,Dataset!AH:AH,"&lt;&gt;deposito",Dataset!AH:AH,"&lt;&gt;bono de gobierno",Dataset!AH:AH,"&lt;&gt;bono corporativo",Dataset!AH:AH,"&lt;&gt;factura",Dataset!AH:AH,"&lt;&gt;fx",Dataset!AH:AH,"&lt;&gt;fx forward",Dataset!AH:AH,"&lt;&gt;Leverage")/1000000</f>
        <v>0</v>
      </c>
      <c r="F34" s="60">
        <f>SUMIFS(Dataset!H:H,Dataset!F:F,'retorno absoluto'!D11,Dataset!AH:AH,"&lt;&gt;deposito",Dataset!AH:AH,"&lt;&gt;bono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G34" s="58">
        <f>SUMIFS(Dataset!AQ:AQ,Dataset!F:F,'retorno absoluto'!D11,Dataset!AH:AH,"&lt;&gt;deposito",Dataset!AH:AH,"&lt;&gt;bono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H34" s="58">
        <f>SUMIFS(Dataset!I:I,Dataset!F:F,'retorno absoluto'!D11,Dataset!AH:AH,"&lt;&gt;deposito",Dataset!AH:AH,"&lt;&gt;bono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I34" s="58">
        <f>SUMIFS(Dataset!AA:AA,Dataset!F:F,'retorno absoluto'!D11,Dataset!AH:AH,"&lt;&gt;deposito",Dataset!AH:AH,"&lt;&gt;bono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L34" s="61">
        <v>3</v>
      </c>
      <c r="M34" s="58" t="str">
        <f>IFERROR(INDEX(Dataset!G:G,MATCH(_xlfn.AGGREGATE(14,6,Dataset!I:I/(Dataset!F:F=$D$11),L34),Dataset!I:I,0),1),"-")</f>
        <v>BTU0200335</v>
      </c>
      <c r="N34" s="58">
        <f>IFERROR(INDEX(Dataset!AK:AK,MATCH(_xlfn.AGGREGATE(14,6,Dataset!I:I/(Dataset!F:F=$D$11),L34),Dataset!I:I,0),1),"-")</f>
        <v>1.8240565221309797E-2</v>
      </c>
      <c r="O34" s="58">
        <f>IFERROR(INDEX(Dataset!I:I,MATCH(_xlfn.AGGREGATE(14,6,Dataset!I:I/(Dataset!F:F=$D$11),L34),Dataset!I:I,0),1),"-")</f>
        <v>1.3964016980950833E-3</v>
      </c>
      <c r="P34" s="58">
        <f>IFERROR(INDEX(Dataset!R:R,MATCH(_xlfn.AGGREGATE(14,6,Dataset!I:I/(Dataset!F:F=$D$11),L34),Dataset!I:I,0),1),"-")/100</f>
        <v>7.6554738362148852E-4</v>
      </c>
      <c r="Q34" s="58">
        <f>IFERROR(INDEX(Dataset!AA:AA,MATCH(_xlfn.AGGREGATE(14,6,Dataset!I:I/(Dataset!F:F=$D$11),L34),Dataset!I:I,0),1),"-")</f>
        <v>0.1382773016617985</v>
      </c>
      <c r="R34" s="60">
        <f>IFERROR(INDEX(Dataset!J:J,MATCH(_xlfn.AGGREGATE(14,6,Dataset!I:I/(Dataset!F:F=$D$11),L34),Dataset!I:I,0),1),"-")</f>
        <v>14.64</v>
      </c>
    </row>
    <row r="35" spans="3:25" ht="45.75" customHeight="1" x14ac:dyDescent="0.5">
      <c r="C35" s="65" t="s">
        <v>66</v>
      </c>
      <c r="D35" s="66">
        <f t="shared" ref="D35:I35" si="0">SUM(D15:D34)</f>
        <v>1</v>
      </c>
      <c r="E35" s="67">
        <f t="shared" si="0"/>
        <v>9448.2727869999999</v>
      </c>
      <c r="F35" s="68">
        <f t="shared" si="0"/>
        <v>3.22514118942108</v>
      </c>
      <c r="G35" s="66">
        <f t="shared" si="0"/>
        <v>4.5851755979001707E-2</v>
      </c>
      <c r="H35" s="66">
        <f t="shared" si="0"/>
        <v>1.0098560510751297E-2</v>
      </c>
      <c r="I35" s="66">
        <f t="shared" si="0"/>
        <v>0.99999999999999989</v>
      </c>
      <c r="L35" s="61">
        <v>4</v>
      </c>
      <c r="M35" s="58" t="str">
        <f>IFERROR(INDEX(Dataset!G:G,MATCH(_xlfn.AGGREGATE(14,6,Dataset!I:I/(Dataset!F:F=$D$11),L35),Dataset!I:I,0),1),"-")</f>
        <v>BTP0500335</v>
      </c>
      <c r="N35" s="58">
        <f>IFERROR(INDEX(Dataset!AK:AK,MATCH(_xlfn.AGGREGATE(14,6,Dataset!I:I/(Dataset!F:F=$D$11),L35),Dataset!I:I,0),1),"-")</f>
        <v>3.683292733448891E-2</v>
      </c>
      <c r="O35" s="58">
        <f>IFERROR(INDEX(Dataset!I:I,MATCH(_xlfn.AGGREGATE(14,6,Dataset!I:I/(Dataset!F:F=$D$11),L35),Dataset!I:I,0),1),"-")</f>
        <v>1.1930995962126257E-3</v>
      </c>
      <c r="P35" s="58">
        <f>IFERROR(INDEX(Dataset!R:R,MATCH(_xlfn.AGGREGATE(14,6,Dataset!I:I/(Dataset!F:F=$D$11),L35),Dataset!I:I,0),1),"-")/100</f>
        <v>3.2392201287119904E-4</v>
      </c>
      <c r="Q35" s="58">
        <f>IFERROR(INDEX(Dataset!AA:AA,MATCH(_xlfn.AGGREGATE(14,6,Dataset!I:I/(Dataset!F:F=$D$11),L35),Dataset!I:I,0),1),"-")</f>
        <v>0.11814551142634716</v>
      </c>
      <c r="R35" s="60">
        <f>IFERROR(INDEX(Dataset!J:J,MATCH(_xlfn.AGGREGATE(14,6,Dataset!I:I/(Dataset!F:F=$D$11),L35),Dataset!I:I,0),1),"-")</f>
        <v>11.71</v>
      </c>
    </row>
    <row r="36" spans="3:25" ht="36" customHeight="1" x14ac:dyDescent="0.5">
      <c r="L36" s="61">
        <v>5</v>
      </c>
      <c r="M36" s="58" t="str">
        <f>IFERROR(INDEX(Dataset!G:G,MATCH(_xlfn.AGGREGATE(14,6,Dataset!I:I/(Dataset!F:F=$D$11),L36),Dataset!I:I,0),1),"-")</f>
        <v>BTU0150326</v>
      </c>
      <c r="N36" s="58">
        <f>IFERROR(INDEX(Dataset!AK:AK,MATCH(_xlfn.AGGREGATE(14,6,Dataset!I:I/(Dataset!F:F=$D$11),L36),Dataset!I:I,0),1),"-")</f>
        <v>6.7018375027363616E-2</v>
      </c>
      <c r="O36" s="58">
        <f>IFERROR(INDEX(Dataset!I:I,MATCH(_xlfn.AGGREGATE(14,6,Dataset!I:I/(Dataset!F:F=$D$11),L36),Dataset!I:I,0),1),"-")</f>
        <v>1.1639981037612341E-3</v>
      </c>
      <c r="P36" s="58">
        <f>IFERROR(INDEX(Dataset!R:R,MATCH(_xlfn.AGGREGATE(14,6,Dataset!I:I/(Dataset!F:F=$D$11),L36),Dataset!I:I,0),1),"-")/100</f>
        <v>1.7368342686404636E-4</v>
      </c>
      <c r="Q36" s="58">
        <f>IFERROR(INDEX(Dataset!AA:AA,MATCH(_xlfn.AGGREGATE(14,6,Dataset!I:I/(Dataset!F:F=$D$11),L36),Dataset!I:I,0),1),"-")</f>
        <v>0.11526376482291698</v>
      </c>
      <c r="R36" s="60">
        <f>IFERROR(INDEX(Dataset!J:J,MATCH(_xlfn.AGGREGATE(14,6,Dataset!I:I/(Dataset!F:F=$D$11),L36),Dataset!I:I,0),1),"-")</f>
        <v>7.81</v>
      </c>
    </row>
    <row r="37" spans="3:25" ht="33" customHeight="1" x14ac:dyDescent="0.5">
      <c r="C37" s="174" t="s">
        <v>266</v>
      </c>
      <c r="D37" s="174"/>
      <c r="E37" s="174"/>
      <c r="F37" s="174"/>
      <c r="G37" s="174"/>
      <c r="L37" s="61">
        <v>6</v>
      </c>
      <c r="M37" s="58" t="str">
        <f>IFERROR(INDEX(Dataset!G:G,MATCH(_xlfn.AGGREGATE(14,6,Dataset!I:I/(Dataset!F:F=$D$11),L37),Dataset!I:I,0),1),"-")</f>
        <v>BCP0600322</v>
      </c>
      <c r="N37" s="58">
        <f>IFERROR(INDEX(Dataset!AK:AK,MATCH(_xlfn.AGGREGATE(14,6,Dataset!I:I/(Dataset!F:F=$D$11),L37),Dataset!I:I,0),1),"-")</f>
        <v>6.0535771129191465E-2</v>
      </c>
      <c r="O37" s="58">
        <f>IFERROR(INDEX(Dataset!I:I,MATCH(_xlfn.AGGREGATE(14,6,Dataset!I:I/(Dataset!F:F=$D$11),L37),Dataset!I:I,0),1),"-")</f>
        <v>7.0345904566046491E-4</v>
      </c>
      <c r="P37" s="58">
        <f>IFERROR(INDEX(Dataset!R:R,MATCH(_xlfn.AGGREGATE(14,6,Dataset!I:I/(Dataset!F:F=$D$11),L37),Dataset!I:I,0),1),"-")/100</f>
        <v>1.1620551494407973E-4</v>
      </c>
      <c r="Q37" s="58">
        <f>IFERROR(INDEX(Dataset!AA:AA,MATCH(_xlfn.AGGREGATE(14,6,Dataset!I:I/(Dataset!F:F=$D$11),L37),Dataset!I:I,0),1),"-")</f>
        <v>6.9659338567267734E-2</v>
      </c>
      <c r="R37" s="60">
        <f>IFERROR(INDEX(Dataset!J:J,MATCH(_xlfn.AGGREGATE(14,6,Dataset!I:I/(Dataset!F:F=$D$11),L37),Dataset!I:I,0),1),"-")</f>
        <v>3.83</v>
      </c>
    </row>
    <row r="38" spans="3:25" ht="33" customHeight="1" x14ac:dyDescent="0.5">
      <c r="L38" s="61">
        <v>7</v>
      </c>
      <c r="M38" s="58" t="str">
        <f>IFERROR(INDEX(Dataset!G:G,MATCH(_xlfn.AGGREGATE(14,6,Dataset!I:I/(Dataset!F:F=$D$11),L38),Dataset!I:I,0),1),"-")</f>
        <v>BTU0300120</v>
      </c>
      <c r="N38" s="58">
        <f>IFERROR(INDEX(Dataset!AK:AK,MATCH(_xlfn.AGGREGATE(14,6,Dataset!I:I/(Dataset!F:F=$D$11),L38),Dataset!I:I,0),1),"-")</f>
        <v>2.0883851202040872E-2</v>
      </c>
      <c r="O38" s="58">
        <f>IFERROR(INDEX(Dataset!I:I,MATCH(_xlfn.AGGREGATE(14,6,Dataset!I:I/(Dataset!F:F=$D$11),L38),Dataset!I:I,0),1),"-")</f>
        <v>1.8796528495402111E-4</v>
      </c>
      <c r="P38" s="58">
        <f>IFERROR(INDEX(Dataset!R:R,MATCH(_xlfn.AGGREGATE(14,6,Dataset!I:I/(Dataset!F:F=$D$11),L38),Dataset!I:I,0),1),"-")/100</f>
        <v>9.0005087249258047E-5</v>
      </c>
      <c r="Q38" s="58">
        <f>IFERROR(INDEX(Dataset!AA:AA,MATCH(_xlfn.AGGREGATE(14,6,Dataset!I:I/(Dataset!F:F=$D$11),L38),Dataset!I:I,0),1),"-")</f>
        <v>1.8613077057260424E-2</v>
      </c>
      <c r="R38" s="60">
        <f>IFERROR(INDEX(Dataset!J:J,MATCH(_xlfn.AGGREGATE(14,6,Dataset!I:I/(Dataset!F:F=$D$11),L38),Dataset!I:I,0),1),"-")</f>
        <v>2.06</v>
      </c>
    </row>
    <row r="39" spans="3:25" ht="33" customHeight="1" x14ac:dyDescent="0.5">
      <c r="C39" s="53"/>
      <c r="D39" s="54" t="s">
        <v>70</v>
      </c>
      <c r="E39" s="54" t="s">
        <v>75</v>
      </c>
      <c r="F39" s="54" t="s">
        <v>6</v>
      </c>
      <c r="G39" s="54" t="s">
        <v>21</v>
      </c>
      <c r="L39" s="61">
        <v>8</v>
      </c>
      <c r="M39" s="58" t="str">
        <f>IFERROR(INDEX(Dataset!G:G,MATCH(_xlfn.AGGREGATE(14,6,Dataset!I:I/(Dataset!F:F=$D$11),L39),Dataset!I:I,0),1),"-")</f>
        <v>FWDUSCL51618</v>
      </c>
      <c r="N39" s="58">
        <f>IFERROR(INDEX(Dataset!AK:AK,MATCH(_xlfn.AGGREGATE(14,6,Dataset!I:I/(Dataset!F:F=$D$11),L39),Dataset!I:I,0),1),"-")</f>
        <v>6.6743415883129917E-2</v>
      </c>
      <c r="O39" s="58">
        <f>IFERROR(INDEX(Dataset!I:I,MATCH(_xlfn.AGGREGATE(14,6,Dataset!I:I/(Dataset!F:F=$D$11),L39),Dataset!I:I,0),1),"-")</f>
        <v>1.7797073378405601E-4</v>
      </c>
      <c r="P39" s="58">
        <f>IFERROR(INDEX(Dataset!R:R,MATCH(_xlfn.AGGREGATE(14,6,Dataset!I:I/(Dataset!F:F=$D$11),L39),Dataset!I:I,0),1),"-")/100</f>
        <v>2.6664912400601294E-5</v>
      </c>
      <c r="Q39" s="58">
        <f>IFERROR(INDEX(Dataset!AA:AA,MATCH(_xlfn.AGGREGATE(14,6,Dataset!I:I/(Dataset!F:F=$D$11),L39),Dataset!I:I,0),1),"-")</f>
        <v>1.7623376479705383E-2</v>
      </c>
      <c r="R39" s="60">
        <f>IFERROR(INDEX(Dataset!J:J,MATCH(_xlfn.AGGREGATE(14,6,Dataset!I:I/(Dataset!F:F=$D$11),L39),Dataset!I:I,0),1),"-")</f>
        <v>0</v>
      </c>
    </row>
    <row r="40" spans="3:25" ht="45" customHeight="1" x14ac:dyDescent="0.5">
      <c r="C40" s="57" t="s">
        <v>39</v>
      </c>
      <c r="D40" s="58">
        <f>SUMIFS(Dataset!AK:AK,Dataset!F:F,'retorno absoluto'!$D$11,Dataset!T:T,$C40)</f>
        <v>0.78350185064359346</v>
      </c>
      <c r="E40" s="59">
        <f>SUMIFS(Dataset!V:V,Dataset!F:F,'retorno absoluto'!$D$11,Dataset!T:T,$C40)/1000000</f>
        <v>7402.7392140000002</v>
      </c>
      <c r="F40" s="58">
        <f>SUMIFS(Dataset!I:I,Dataset!F:F,'retorno absoluto'!$D$11,Dataset!T:T,$C40)</f>
        <v>5.5821739329855111E-3</v>
      </c>
      <c r="G40" s="58">
        <f>SUMIFS(Dataset!AA:AA,Dataset!F:F,'retorno absoluto'!$D$11,Dataset!T:T,$C40)</f>
        <v>0.55276927112953633</v>
      </c>
      <c r="I40" s="52"/>
      <c r="J40" s="52"/>
      <c r="L40" s="61">
        <v>9</v>
      </c>
      <c r="M40" s="58" t="str">
        <f>IFERROR(INDEX(Dataset!G:G,MATCH(_xlfn.AGGREGATE(14,6,Dataset!I:I/(Dataset!F:F=$D$11),L40),Dataset!I:I,0),1),"-")</f>
        <v>FWDUSCL51618</v>
      </c>
      <c r="N40" s="58">
        <f>IFERROR(INDEX(Dataset!AK:AK,MATCH(_xlfn.AGGREGATE(14,6,Dataset!I:I/(Dataset!F:F=$D$11),L40),Dataset!I:I,0),1),"-")</f>
        <v>6.6743415883129917E-2</v>
      </c>
      <c r="O40" s="58">
        <f>IFERROR(INDEX(Dataset!I:I,MATCH(_xlfn.AGGREGATE(14,6,Dataset!I:I/(Dataset!F:F=$D$11),L40),Dataset!I:I,0),1),"-")</f>
        <v>1.7797073378405601E-4</v>
      </c>
      <c r="P40" s="58">
        <f>IFERROR(INDEX(Dataset!R:R,MATCH(_xlfn.AGGREGATE(14,6,Dataset!I:I/(Dataset!F:F=$D$11),L40),Dataset!I:I,0),1),"-")/100</f>
        <v>2.6664912400601294E-5</v>
      </c>
      <c r="Q40" s="58">
        <f>IFERROR(INDEX(Dataset!AA:AA,MATCH(_xlfn.AGGREGATE(14,6,Dataset!I:I/(Dataset!F:F=$D$11),L40),Dataset!I:I,0),1),"-")</f>
        <v>1.7623376479705383E-2</v>
      </c>
      <c r="R40" s="60">
        <f>IFERROR(INDEX(Dataset!J:J,MATCH(_xlfn.AGGREGATE(14,6,Dataset!I:I/(Dataset!F:F=$D$11),L40),Dataset!I:I,0),1),"-")</f>
        <v>0</v>
      </c>
      <c r="T40" s="52"/>
      <c r="U40" s="52"/>
      <c r="V40" s="52"/>
      <c r="W40" s="52"/>
      <c r="X40" s="52"/>
      <c r="Y40" s="52"/>
    </row>
    <row r="41" spans="3:25" ht="36" customHeight="1" x14ac:dyDescent="0.5">
      <c r="C41" s="57" t="s">
        <v>32</v>
      </c>
      <c r="D41" s="58">
        <f>SUMIFS(Dataset!AK:AK,Dataset!F:F,'retorno absoluto'!$D$11,Dataset!T:T,$C41)</f>
        <v>0.22054507918813332</v>
      </c>
      <c r="E41" s="59">
        <f>SUMIFS(Dataset!V:V,Dataset!F:F,'retorno absoluto'!$D$11,Dataset!T:T,$C41)/1000000</f>
        <v>2083.77007</v>
      </c>
      <c r="F41" s="58">
        <f>SUMIFS(Dataset!I:I,Dataset!F:F,'retorno absoluto'!$D$11,Dataset!T:T,$C41)</f>
        <v>4.5270850624597545E-3</v>
      </c>
      <c r="G41" s="58">
        <f>SUMIFS(Dataset!AA:AA,Dataset!F:F,'retorno absoluto'!$D$11,Dataset!T:T,$C41)</f>
        <v>0.44829013577133636</v>
      </c>
      <c r="I41" s="52"/>
      <c r="J41" s="52"/>
      <c r="L41" s="61">
        <v>10</v>
      </c>
      <c r="M41" s="58" t="str">
        <f>IFERROR(INDEX(Dataset!G:G,MATCH(_xlfn.AGGREGATE(14,6,Dataset!I:I/(Dataset!F:F=$D$11),L41),Dataset!I:I,0),1),"-")</f>
        <v>PAGARE NR</v>
      </c>
      <c r="N41" s="58">
        <f>IFERROR(INDEX(Dataset!AK:AK,MATCH(_xlfn.AGGREGATE(14,6,Dataset!I:I/(Dataset!F:F=$D$11),L41),Dataset!I:I,0),1),"-")</f>
        <v>3.1341677010790991E-2</v>
      </c>
      <c r="O41" s="58">
        <f>IFERROR(INDEX(Dataset!I:I,MATCH(_xlfn.AGGREGATE(14,6,Dataset!I:I/(Dataset!F:F=$D$11),L41),Dataset!I:I,0),1),"-")</f>
        <v>1.7666553576976803E-5</v>
      </c>
      <c r="P41" s="58">
        <f>IFERROR(INDEX(Dataset!R:R,MATCH(_xlfn.AGGREGATE(14,6,Dataset!I:I/(Dataset!F:F=$D$11),L41),Dataset!I:I,0),1),"-")/100</f>
        <v>5.6367607805077501E-6</v>
      </c>
      <c r="Q41" s="58">
        <f>IFERROR(INDEX(Dataset!AA:AA,MATCH(_xlfn.AGGREGATE(14,6,Dataset!I:I/(Dataset!F:F=$D$11),L41),Dataset!I:I,0),1),"-")</f>
        <v>1.7494130532929265E-3</v>
      </c>
      <c r="R41" s="60">
        <f>IFERROR(INDEX(Dataset!J:J,MATCH(_xlfn.AGGREGATE(14,6,Dataset!I:I/(Dataset!F:F=$D$11),L41),Dataset!I:I,0),1),"-")</f>
        <v>0.41</v>
      </c>
      <c r="T41" s="52"/>
      <c r="U41" s="52"/>
      <c r="V41" s="52"/>
      <c r="W41" s="52"/>
      <c r="X41" s="52"/>
      <c r="Y41" s="52"/>
    </row>
    <row r="42" spans="3:25" ht="41.25" customHeight="1" x14ac:dyDescent="0.5">
      <c r="C42" s="57" t="s">
        <v>30</v>
      </c>
      <c r="D42" s="58">
        <f>SUMIFS(Dataset!AK:AK,Dataset!F:F,'retorno absoluto'!$D$11,Dataset!T:T,$C42)</f>
        <v>-4.0605550733873071E-3</v>
      </c>
      <c r="E42" s="59">
        <f>SUMIFS(Dataset!V:V,Dataset!F:F,'retorno absoluto'!$D$11,Dataset!T:T,$C42)/1000000</f>
        <v>-38.365231999999999</v>
      </c>
      <c r="F42" s="58">
        <f>SUMIFS(Dataset!I:I,Dataset!F:F,'retorno absoluto'!$D$11,Dataset!T:T,$C42)</f>
        <v>-1.0827434532968943E-5</v>
      </c>
      <c r="G42" s="58">
        <f>SUMIFS(Dataset!AA:AA,Dataset!F:F,'retorno absoluto'!$D$11,Dataset!T:T,$C42)</f>
        <v>-1.0721760315682248E-3</v>
      </c>
    </row>
    <row r="43" spans="3:25" ht="39.75" customHeight="1" x14ac:dyDescent="0.5">
      <c r="C43" s="57" t="s">
        <v>49</v>
      </c>
      <c r="D43" s="58">
        <f>SUMIFS(Dataset!AK:AK,Dataset!F:F,'retorno absoluto'!$D$11,Dataset!T:T,$C43)</f>
        <v>1.362524166079626E-5</v>
      </c>
      <c r="E43" s="59">
        <f>SUMIFS(Dataset!V:V,Dataset!F:F,'retorno absoluto'!$D$11,Dataset!T:T,$C43)/1000000</f>
        <v>0.12873499999999999</v>
      </c>
      <c r="F43" s="58">
        <f>SUMIFS(Dataset!I:I,Dataset!F:F,'retorno absoluto'!$D$11,Dataset!T:T,$C43)</f>
        <v>1.289498389975945E-7</v>
      </c>
      <c r="G43" s="58">
        <f>SUMIFS(Dataset!AA:AA,Dataset!F:F,'retorno absoluto'!$D$11,Dataset!T:T,$C43)</f>
        <v>1.2769130695440184E-5</v>
      </c>
    </row>
    <row r="44" spans="3:25" ht="30.75" customHeight="1" x14ac:dyDescent="0.5">
      <c r="C44" s="57" t="s">
        <v>145</v>
      </c>
      <c r="D44" s="58">
        <f>SUMIFS(Dataset!AK:AK,Dataset!F:F,'retorno absoluto'!$D$11,Dataset!T:T,$C44)</f>
        <v>0</v>
      </c>
      <c r="E44" s="59">
        <f>SUMIFS(Dataset!V:V,Dataset!F:F,'retorno absoluto'!$D$11,Dataset!T:T,$C44)/1000000</f>
        <v>0</v>
      </c>
      <c r="F44" s="58">
        <f>SUMIFS(Dataset!I:I,Dataset!F:F,'retorno absoluto'!$D$11,Dataset!T:T,$C44)</f>
        <v>0</v>
      </c>
      <c r="G44" s="58">
        <f>SUMIFS(Dataset!AA:AA,Dataset!F:F,'retorno absoluto'!$D$11,Dataset!T:T,$C44)</f>
        <v>0</v>
      </c>
    </row>
    <row r="45" spans="3:25" ht="34.5" customHeight="1" x14ac:dyDescent="0.5">
      <c r="C45" s="57" t="s">
        <v>172</v>
      </c>
      <c r="D45" s="58">
        <f>SUMIFS(Dataset!AK:AK,Dataset!F:F,'retorno absoluto'!$D$11,Dataset!T:T,$C45)</f>
        <v>0</v>
      </c>
      <c r="E45" s="59">
        <f>SUMIFS(Dataset!V:V,Dataset!F:F,'retorno absoluto'!$D$11,Dataset!T:T,$C45)/1000000</f>
        <v>0</v>
      </c>
      <c r="F45" s="58">
        <f>SUMIFS(Dataset!I:I,Dataset!F:F,'retorno absoluto'!$D$11,Dataset!T:T,$C45)</f>
        <v>0</v>
      </c>
      <c r="G45" s="58">
        <f>SUMIFS(Dataset!AA:AA,Dataset!F:F,'retorno absoluto'!$D$11,Dataset!T:T,$C45)</f>
        <v>0</v>
      </c>
    </row>
    <row r="46" spans="3:25" ht="43.5" customHeight="1" x14ac:dyDescent="0.5">
      <c r="C46" s="57" t="s">
        <v>221</v>
      </c>
      <c r="D46" s="58">
        <f>SUMIFS(Dataset!AK:AK,Dataset!F:F,'retorno absoluto'!$D$11,Dataset!T:T,$C46)</f>
        <v>0</v>
      </c>
      <c r="E46" s="59">
        <f>SUMIFS(Dataset!V:V,Dataset!F:F,'retorno absoluto'!$D$11,Dataset!T:T,$C46)/1000000</f>
        <v>0</v>
      </c>
      <c r="F46" s="58">
        <f>SUMIFS(Dataset!I:I,Dataset!F:F,'retorno absoluto'!$D$11,Dataset!T:T,$C46)</f>
        <v>0</v>
      </c>
      <c r="G46" s="58">
        <f>SUMIFS(Dataset!AA:AA,Dataset!F:F,'retorno absoluto'!$D$11,Dataset!T:T,$C46)</f>
        <v>0</v>
      </c>
    </row>
    <row r="47" spans="3:25" ht="39.75" customHeight="1" x14ac:dyDescent="0.5">
      <c r="C47" s="57" t="s">
        <v>227</v>
      </c>
      <c r="D47" s="58">
        <f>SUMIFS(Dataset!AK:AK,Dataset!F:F,'retorno absoluto'!$D$11,Dataset!T:T,$C47)</f>
        <v>0</v>
      </c>
      <c r="E47" s="59">
        <f>SUMIFS(Dataset!V:V,Dataset!F:F,'retorno absoluto'!$D$11,Dataset!T:T,$C47)/1000000</f>
        <v>0</v>
      </c>
      <c r="F47" s="58">
        <f>SUMIFS(Dataset!I:I,Dataset!F:F,'retorno absoluto'!$D$11,Dataset!T:T,$C47)</f>
        <v>0</v>
      </c>
      <c r="G47" s="58">
        <f>SUMIFS(Dataset!AA:AA,Dataset!F:F,'retorno absoluto'!$D$11,Dataset!T:T,$C47)</f>
        <v>0</v>
      </c>
    </row>
    <row r="48" spans="3:25" ht="48" customHeight="1" x14ac:dyDescent="0.3">
      <c r="C48" s="65" t="s">
        <v>66</v>
      </c>
      <c r="D48" s="66">
        <f>SUM(D40:D47)</f>
        <v>1.0000000000000002</v>
      </c>
      <c r="E48" s="67">
        <f t="shared" ref="E48:G48" si="1">SUM(E40:E47)</f>
        <v>9448.2727869999999</v>
      </c>
      <c r="F48" s="66">
        <f t="shared" si="1"/>
        <v>1.0098560510751295E-2</v>
      </c>
      <c r="G48" s="66">
        <f t="shared" si="1"/>
        <v>1</v>
      </c>
    </row>
    <row r="49" spans="3:35" ht="15" customHeight="1" x14ac:dyDescent="0.3"/>
    <row r="50" spans="3:35" ht="48" customHeight="1" x14ac:dyDescent="0.3">
      <c r="E50" s="174" t="s">
        <v>269</v>
      </c>
      <c r="F50" s="174"/>
      <c r="G50" s="174"/>
      <c r="H50" s="174"/>
      <c r="I50" s="174"/>
      <c r="J50" s="174"/>
      <c r="K50" s="174"/>
      <c r="L50" s="174"/>
      <c r="N50" s="174" t="s">
        <v>270</v>
      </c>
      <c r="O50" s="174"/>
      <c r="P50" s="174"/>
      <c r="Q50" s="174"/>
      <c r="R50" s="174"/>
      <c r="S50" s="174"/>
      <c r="T50" s="174"/>
      <c r="U50" s="174"/>
      <c r="W50" s="174" t="s">
        <v>271</v>
      </c>
      <c r="X50" s="174"/>
      <c r="Y50" s="174"/>
      <c r="Z50" s="174"/>
      <c r="AA50" s="174"/>
      <c r="AB50" s="174"/>
      <c r="AC50" s="174"/>
      <c r="AD50" s="174"/>
    </row>
    <row r="51" spans="3:35" ht="15" customHeight="1" x14ac:dyDescent="0.3">
      <c r="O51" s="69"/>
      <c r="P51" s="69"/>
      <c r="Q51" s="69"/>
      <c r="R51" s="69"/>
      <c r="S51" s="69"/>
      <c r="T51" s="69"/>
      <c r="U51" s="69"/>
      <c r="V51" s="70"/>
    </row>
    <row r="52" spans="3:35" ht="42" customHeight="1" x14ac:dyDescent="0.3">
      <c r="C52" s="180" t="s">
        <v>72</v>
      </c>
      <c r="D52" s="180"/>
      <c r="E52" s="71" t="s">
        <v>52</v>
      </c>
      <c r="F52" s="71" t="s">
        <v>42</v>
      </c>
      <c r="G52" s="71" t="s">
        <v>36</v>
      </c>
      <c r="H52" s="71" t="s">
        <v>33</v>
      </c>
      <c r="I52" s="71" t="s">
        <v>34</v>
      </c>
      <c r="J52" s="71" t="s">
        <v>55</v>
      </c>
      <c r="K52" s="71" t="s">
        <v>54</v>
      </c>
      <c r="L52" s="71" t="s">
        <v>83</v>
      </c>
      <c r="M52" s="71"/>
      <c r="N52" s="71" t="s">
        <v>52</v>
      </c>
      <c r="O52" s="71" t="s">
        <v>42</v>
      </c>
      <c r="P52" s="71" t="s">
        <v>36</v>
      </c>
      <c r="Q52" s="71" t="s">
        <v>33</v>
      </c>
      <c r="R52" s="71" t="s">
        <v>34</v>
      </c>
      <c r="S52" s="71" t="s">
        <v>55</v>
      </c>
      <c r="T52" s="71" t="s">
        <v>54</v>
      </c>
      <c r="U52" s="71" t="s">
        <v>83</v>
      </c>
      <c r="V52" s="71"/>
      <c r="W52" s="71" t="s">
        <v>52</v>
      </c>
      <c r="X52" s="71" t="s">
        <v>42</v>
      </c>
      <c r="Y52" s="71" t="s">
        <v>36</v>
      </c>
      <c r="Z52" s="71" t="s">
        <v>33</v>
      </c>
      <c r="AA52" s="71" t="s">
        <v>34</v>
      </c>
      <c r="AB52" s="71" t="s">
        <v>55</v>
      </c>
      <c r="AC52" s="71" t="s">
        <v>54</v>
      </c>
      <c r="AD52" s="71" t="s">
        <v>83</v>
      </c>
      <c r="AE52" s="71"/>
    </row>
    <row r="53" spans="3:35" ht="27" customHeight="1" x14ac:dyDescent="0.3">
      <c r="C53" s="72">
        <v>0</v>
      </c>
      <c r="D53" s="73">
        <v>0.5</v>
      </c>
      <c r="E53" s="74">
        <f>SUMIFS(Dataset!$AK:$AK,Dataset!$F:$F,'retorno absoluto'!$D$11,Dataset!$AC:$AC,E$52,Dataset!$J:$J,"&lt;"&amp;$D53,Dataset!J:J,"&gt;="&amp;$C53)</f>
        <v>0.17719996000788626</v>
      </c>
      <c r="F53" s="75">
        <f>SUMIFS(Dataset!$AK:$AK,Dataset!$F:$F,'retorno absoluto'!$D$11,Dataset!$AC:$AC,F$52,Dataset!$J:$J,"&lt;"&amp;$D53,Dataset!J:J,"&gt;="&amp;$C53)</f>
        <v>0</v>
      </c>
      <c r="G53" s="75">
        <f>SUMIFS(Dataset!$AK:$AK,Dataset!$F:$F,'retorno absoluto'!$D$11,Dataset!$AC:$AC,G$52,Dataset!$J:$J,"&lt;"&amp;$D53,Dataset!J:J,"&gt;="&amp;$C53)</f>
        <v>0</v>
      </c>
      <c r="H53" s="75">
        <f>SUMIFS(Dataset!$AK:$AK,Dataset!$F:$F,'retorno absoluto'!$D$11,Dataset!$AC:$AC,H$52,Dataset!$J:$J,"&lt;"&amp;$D53,Dataset!J:J,"&gt;="&amp;$C53)</f>
        <v>2.6193734196637352E-2</v>
      </c>
      <c r="I53" s="75">
        <f>SUMIFS(Dataset!$AK:$AK,Dataset!$F:$F,'retorno absoluto'!$D$11,Dataset!$AC:$AC,I$52,Dataset!$J:$J,"&lt;"&amp;$D53,Dataset!J:J,"&gt;="&amp;$C53)</f>
        <v>0</v>
      </c>
      <c r="J53" s="75">
        <f>SUMIFS(Dataset!$AK:$AK,Dataset!$F:$F,'retorno absoluto'!$D$11,Dataset!$AC:$AC,"A",Dataset!$J:$J,"&lt;"&amp;$D53,Dataset!$J:$J,"&gt;="&amp;$C53)+SUMIFS(Dataset!$AK:$AK,Dataset!$F:$F,'retorno absoluto'!$D$11,Dataset!$AC:$AC,"A-",Dataset!$J:$J,"&lt;"&amp;$D53,Dataset!$J:$J,"&gt;="&amp;$C53)+SUMIFS(Dataset!$AK:$AK,Dataset!$F:$F,'retorno absoluto'!$D$11,Dataset!$AC:$AC,"A+",Dataset!$J:$J,"&lt;"&amp;$D53,Dataset!$J:$J,"&gt;="&amp;$C53)</f>
        <v>0</v>
      </c>
      <c r="K53" s="75">
        <f>SUMIFS(Dataset!$AK:$AK,Dataset!$F:$F,'retorno absoluto'!$D$11,Dataset!$AC:$AC,"BBB",Dataset!$J:$J,"&lt;"&amp;$D53,Dataset!$J:$J,"&gt;="&amp;$C53)+SUMIFS(Dataset!$AK:$AK,Dataset!$F:$F,'retorno absoluto'!$D$11,Dataset!$AC:$AC,"BBB-",Dataset!$J:$J,"&lt;"&amp;$D53,Dataset!$J:$J,"&gt;="&amp;$C53)+SUMIFS(Dataset!$AK:$AK,Dataset!$F:$F,'retorno absoluto'!$D$11,Dataset!$AC:$AC,"BBB+",Dataset!$J:$J,"&lt;"&amp;$D53,Dataset!$J:$J,"&gt;="&amp;$C53)</f>
        <v>0</v>
      </c>
      <c r="L53" s="75">
        <f>SUMIFS(Dataset!$AK:$AK,Dataset!$F:$F,'retorno absoluto'!$D$11,Dataset!$J:$J,"&lt;"&amp;$D53,Dataset!$J:$J,"&gt;="&amp;$C53,Dataset!$AC:$AC,"&lt;&gt;N-1+",Dataset!$AC:$AC,"&lt;&gt;*AA*",Dataset!$AC:$AC,"&lt;&gt;*AAA*",Dataset!$AC:$AC,"&lt;&gt;A",Dataset!$AC:$AC,"&lt;&gt;A-",Dataset!$AC:$AC,"&lt;&gt;A+",Dataset!$AC:$AC,"&lt;&gt;*BBB*")</f>
        <v>4.1415386158028797E-2</v>
      </c>
      <c r="M53" s="76">
        <f t="shared" ref="M53:M69" si="2">SUM(E53:L53)</f>
        <v>0.24480908036255239</v>
      </c>
      <c r="N53" s="74">
        <f>SUMIFS(Dataset!$AA:$AA,Dataset!$F:$F,'retorno absoluto'!$D$11,Dataset!$AC:$AC,N$52,Dataset!$J:$J,"&lt;"&amp;$D53,Dataset!$J:$J,"&gt;="&amp;$C53)</f>
        <v>4.5197894911670426E-3</v>
      </c>
      <c r="O53" s="75">
        <f>SUMIFS(Dataset!$AA:$AA,Dataset!$F:$F,'retorno absoluto'!$D$11,Dataset!$AC:$AC,O$52,Dataset!$J:$J,"&lt;"&amp;$D53,Dataset!$J:$J,"&gt;="&amp;$C53)</f>
        <v>0</v>
      </c>
      <c r="P53" s="75">
        <f>SUMIFS(Dataset!$AA:$AA,Dataset!$F:$F,'retorno absoluto'!$D$11,Dataset!$AC:$AC,P$52,Dataset!$J:$J,"&lt;"&amp;$D53,Dataset!$J:$J,"&gt;="&amp;$C53)</f>
        <v>0</v>
      </c>
      <c r="Q53" s="75">
        <f>SUMIFS(Dataset!$AA:$AA,Dataset!$F:$F,'retorno absoluto'!$D$11,Dataset!$AC:$AC,Q$52,Dataset!$J:$J,"&lt;"&amp;$D53,Dataset!$J:$J,"&gt;="&amp;$C53)</f>
        <v>1.4620679200511677E-3</v>
      </c>
      <c r="R53" s="75">
        <f>SUMIFS(Dataset!$AA:$AA,Dataset!$F:$F,'retorno absoluto'!$D$11,Dataset!$AC:$AC,R$52,Dataset!$J:$J,"&lt;"&amp;$D53,Dataset!$J:$J,"&gt;="&amp;$C53)</f>
        <v>0</v>
      </c>
      <c r="S53" s="75">
        <f>SUMIFS(Dataset!$AA:$AA,Dataset!$F:$F,'retorno absoluto'!$D$11,Dataset!$AC:$AC,"A",Dataset!$J:$J,"&lt;"&amp;$D53,Dataset!$J:$J,"&gt;="&amp;$C53)+SUMIFS(Dataset!$AA:$AA,Dataset!$F:$F,'retorno absoluto'!$D$11,Dataset!$AC:$AC,"A-",Dataset!$J:$J,"&lt;"&amp;$D53,Dataset!$J:$J,"&gt;="&amp;$C53)+SUMIFS(Dataset!$AA:$AA,Dataset!$F:$F,'retorno absoluto'!$D$11,Dataset!$AC:$AC,"A+",Dataset!$J:$J,"&lt;"&amp;$D53,Dataset!$J:$J,"&gt;="&amp;$C53)</f>
        <v>0</v>
      </c>
      <c r="T53" s="75">
        <f>SUMIFS(Dataset!$AA:$AA,Dataset!$F:$F,'retorno absoluto'!$D$11,Dataset!$AC:$AC,"BBB-",Dataset!$J:$J,"&lt;"&amp;$D53,Dataset!$J:$J,"&gt;="&amp;$C53)+SUMIFS(Dataset!$AA:$AA,Dataset!$F:$F,'retorno absoluto'!$D$11,Dataset!$AC:$AC,"BBB",Dataset!$J:$J,"&lt;"&amp;$D53,Dataset!$J:$J,"&gt;="&amp;$C53)+SUMIFS(Dataset!$AA:$AA,Dataset!$F:$F,'retorno absoluto'!$D$11,Dataset!$AC:$AC,"BBB+",Dataset!$J:$J,"&lt;"&amp;$D53,Dataset!$J:$J,"&gt;="&amp;$C53)</f>
        <v>0</v>
      </c>
      <c r="U53" s="75">
        <f>SUMIFS(Dataset!$AA:$AA,Dataset!$F:$F,'retorno absoluto'!$D$11,Dataset!$J:$J,"&lt;"&amp;$D53,Dataset!$J:$J,"&gt;="&amp;$C53,Dataset!$AC:$AC,"&lt;&gt;N-1+",Dataset!$AC:$AC,"&lt;&gt;*AA*",Dataset!$AC:$AC,"&lt;&gt;*AAA*",Dataset!$AC:$AC,"&lt;&gt;A",Dataset!$AC:$AC,"&lt;&gt;A-",Dataset!$AC:$AC,"&lt;&gt;A+",Dataset!$AC:$AC,"&lt;&gt;*BBB*")</f>
        <v>6.9385826177633531E-4</v>
      </c>
      <c r="V53" s="76">
        <f t="shared" ref="V53:V68" si="3">SUM(N53:U53)</f>
        <v>6.675715672994546E-3</v>
      </c>
      <c r="W53" s="77">
        <f>10*SUMIFS(Dataset!$H:$H,Dataset!$F:$F,'retorno absoluto'!$D$11,Dataset!$AC:$AC,W$52,Dataset!$J:$J,"&lt;"&amp;$D53,Dataset!J:J,"&gt;="&amp;$C53)</f>
        <v>0.44642836992424356</v>
      </c>
      <c r="X53" s="78">
        <f>10*SUMIFS(Dataset!$H:$H,Dataset!$F:$F,'retorno absoluto'!$D$11,Dataset!$AC:$AC,X$52,Dataset!$J:$J,"&lt;"&amp;$D53,Dataset!J:J,"&gt;="&amp;$C53)</f>
        <v>0</v>
      </c>
      <c r="Y53" s="78">
        <f>10*SUMIFS(Dataset!$H:$H,Dataset!$F:$F,'retorno absoluto'!$D$11,Dataset!$AC:$AC,Y$52,Dataset!$J:$J,"&lt;"&amp;$D53,Dataset!J:J,"&gt;="&amp;$C53)</f>
        <v>0</v>
      </c>
      <c r="Z53" s="78">
        <f>10*SUMIFS(Dataset!$H:$H,Dataset!$F:$F,'retorno absoluto'!$D$11,Dataset!$AC:$AC,Z$52,Dataset!$J:$J,"&lt;"&amp;$D53,Dataset!J:J,"&gt;="&amp;$C53)</f>
        <v>9.1678069688230723E-2</v>
      </c>
      <c r="AA53" s="78">
        <f>10*SUMIFS(Dataset!$H:$H,Dataset!$F:$F,'retorno absoluto'!$D$11,Dataset!$AC:$AC,AA$52,Dataset!$J:$J,"&lt;"&amp;$D53,Dataset!J:J,"&gt;="&amp;$C53)</f>
        <v>0</v>
      </c>
      <c r="AB53" s="78">
        <f>10*SUMIFS(Dataset!$H:$H,Dataset!$F:$F,'retorno absoluto'!$D$11,Dataset!$AC:$AC,"A",Dataset!$J:$J,"&lt;"&amp;$D53,Dataset!$J:$J,"&gt;="&amp;$C53)+10*SUMIFS(Dataset!$H:$H,Dataset!$F:$F,'retorno absoluto'!$D$11,Dataset!$AC:$AC,"A-",Dataset!$J:$J,"&lt;"&amp;$D53,Dataset!$J:$J,"&gt;="&amp;$C53)+10*SUMIFS(Dataset!$H:$H,Dataset!$F:$F,'retorno absoluto'!$D$11,Dataset!$AC:$AC,"A+",Dataset!$J:$J,"&lt;"&amp;$D53,Dataset!$J:$J,"&gt;="&amp;$C53)</f>
        <v>0</v>
      </c>
      <c r="AC53" s="78">
        <f>10*SUMIFS(Dataset!$H:$H,Dataset!$F:$F,'retorno absoluto'!$D$11,Dataset!$AC:$AC,"BBB",Dataset!$J:$J,"&lt;"&amp;$D53,Dataset!$J:$J,"&gt;="&amp;$C53)+10*SUMIFS(Dataset!$H:$H,Dataset!$F:$F,'retorno absoluto'!$D$11,Dataset!$AC:$AC,"BBB-",Dataset!$J:$J,"&lt;"&amp;$D53,Dataset!$J:$J,"&gt;="&amp;$C53)+10*SUMIFS(Dataset!$H:$H,Dataset!$F:$F,'retorno absoluto'!$D$11,Dataset!$AC:$AC,"BBB+",Dataset!$J:$J,"&lt;"&amp;$D53,Dataset!$J:$J,"&gt;="&amp;$C53)</f>
        <v>0</v>
      </c>
      <c r="AD53" s="78">
        <f>10*SUMIFS(Dataset!$H:$H,Dataset!$F:$F,'retorno absoluto'!$D$11,Dataset!$J:$J,"&lt;"&amp;$D53,Dataset!$J:$J,"&gt;="&amp;$C53,Dataset!$AC:$AC,"&lt;&gt;N-1+",Dataset!$AC:$AC,"&lt;&gt;*AA*",Dataset!$AC:$AC,"&lt;&gt;*AAA*",Dataset!$AC:$AC,"&lt;&gt;A",Dataset!$AC:$AC,"&lt;&gt;A-",Dataset!$AC:$AC,"&lt;&gt;A+",Dataset!$AC:$AC,"&lt;&gt;*BBB*")</f>
        <v>0.11202823600270803</v>
      </c>
      <c r="AE53" s="79">
        <f t="shared" ref="AE53:AE69" si="4">SUM(W53:AD53)</f>
        <v>0.65013467561518234</v>
      </c>
      <c r="AI53" s="80"/>
    </row>
    <row r="54" spans="3:35" ht="27" customHeight="1" x14ac:dyDescent="0.3">
      <c r="C54" s="61">
        <v>0.5</v>
      </c>
      <c r="D54" s="81">
        <v>1.5</v>
      </c>
      <c r="E54" s="82">
        <f>SUMIFS(Dataset!$AK:$AK,Dataset!$F:$F,'retorno absoluto'!$D$11,Dataset!$AC:$AC,E$52,Dataset!$J:$J,"&lt;"&amp;$D54,Dataset!J:J,"&gt;="&amp;$C54)</f>
        <v>2.0722494620328113E-2</v>
      </c>
      <c r="F54" s="83">
        <f>SUMIFS(Dataset!$AK:$AK,Dataset!$F:$F,'retorno absoluto'!$D$11,Dataset!$AC:$AC,F$52,Dataset!$J:$J,"&lt;"&amp;$D54,Dataset!J:J,"&gt;="&amp;$C54)</f>
        <v>0</v>
      </c>
      <c r="G54" s="83">
        <f>SUMIFS(Dataset!$AK:$AK,Dataset!$F:$F,'retorno absoluto'!$D$11,Dataset!$AC:$AC,G$52,Dataset!$J:$J,"&lt;"&amp;$D54,Dataset!J:J,"&gt;="&amp;$C54)</f>
        <v>0</v>
      </c>
      <c r="H54" s="83">
        <f>SUMIFS(Dataset!$AK:$AK,Dataset!$F:$F,'retorno absoluto'!$D$11,Dataset!$AC:$AC,H$52,Dataset!$J:$J,"&lt;"&amp;$D54,Dataset!J:J,"&gt;="&amp;$C54)</f>
        <v>0</v>
      </c>
      <c r="I54" s="83">
        <f>SUMIFS(Dataset!$AK:$AK,Dataset!$F:$F,'retorno absoluto'!$D$11,Dataset!$AC:$AC,I$52,Dataset!$J:$J,"&lt;"&amp;$D54,Dataset!J:J,"&gt;="&amp;$C54)</f>
        <v>0</v>
      </c>
      <c r="J54" s="83">
        <f>SUMIFS(Dataset!$AK:$AK,Dataset!$F:$F,'retorno absoluto'!$D$11,Dataset!$AC:$AC,"A",Dataset!$J:$J,"&lt;"&amp;$D54,Dataset!$J:$J,"&gt;="&amp;$C54)+SUMIFS(Dataset!$AK:$AK,Dataset!$F:$F,'retorno absoluto'!$D$11,Dataset!$AC:$AC,"A-",Dataset!$J:$J,"&lt;"&amp;$D54,Dataset!$J:$J,"&gt;="&amp;$C54)+SUMIFS(Dataset!$AK:$AK,Dataset!$F:$F,'retorno absoluto'!$D$11,Dataset!$AC:$AC,"A+",Dataset!$J:$J,"&lt;"&amp;$D54,Dataset!$J:$J,"&gt;="&amp;$C54)</f>
        <v>0</v>
      </c>
      <c r="K54" s="83">
        <f>SUMIFS(Dataset!$AK:$AK,Dataset!$F:$F,'retorno absoluto'!$D$11,Dataset!$AC:$AC,"BBB",Dataset!$J:$J,"&lt;"&amp;$D54,Dataset!$J:$J,"&gt;="&amp;$C54)+SUMIFS(Dataset!$AK:$AK,Dataset!$F:$F,'retorno absoluto'!$D$11,Dataset!$AC:$AC,"BBB-",Dataset!$J:$J,"&lt;"&amp;$D54,Dataset!$J:$J,"&gt;="&amp;$C54)+SUMIFS(Dataset!$AK:$AK,Dataset!$F:$F,'retorno absoluto'!$D$11,Dataset!$AC:$AC,"BBB+",Dataset!$J:$J,"&lt;"&amp;$D54,Dataset!$J:$J,"&gt;="&amp;$C54)</f>
        <v>0</v>
      </c>
      <c r="L54" s="83">
        <f>SUMIFS(Dataset!$AK:$AK,Dataset!$F:$F,'retorno absoluto'!$D$11,Dataset!$J:$J,"&lt;"&amp;$D54,Dataset!$J:$J,"&gt;="&amp;$C54,Dataset!$AC:$AC,"&lt;&gt;N-1+",Dataset!$AC:$AC,"&lt;&gt;*AA*",Dataset!$AC:$AC,"&lt;&gt;*AAA*",Dataset!$AC:$AC,"&lt;&gt;A",Dataset!$AC:$AC,"&lt;&gt;A-",Dataset!$AC:$AC,"&lt;&gt;A+",Dataset!$AC:$AC,"&lt;&gt;*BBB*")</f>
        <v>0</v>
      </c>
      <c r="M54" s="84">
        <f t="shared" si="2"/>
        <v>2.0722494620328113E-2</v>
      </c>
      <c r="N54" s="82">
        <f>SUMIFS(Dataset!$AA:$AA,Dataset!$F:$F,'retorno absoluto'!$D$11,Dataset!$AC:$AC,N$52,Dataset!$J:$J,"&lt;"&amp;$D54,Dataset!$J:$J,"&gt;="&amp;$C54)</f>
        <v>1.5394410439025536E-3</v>
      </c>
      <c r="O54" s="83">
        <f>SUMIFS(Dataset!$AA:$AA,Dataset!$F:$F,'retorno absoluto'!$D$11,Dataset!$AC:$AC,O$52,Dataset!$J:$J,"&lt;"&amp;$D54,Dataset!$J:$J,"&gt;="&amp;$C54)</f>
        <v>0</v>
      </c>
      <c r="P54" s="83">
        <f>SUMIFS(Dataset!$AA:$AA,Dataset!$F:$F,'retorno absoluto'!$D$11,Dataset!$AC:$AC,P$52,Dataset!$J:$J,"&lt;"&amp;$D54,Dataset!$J:$J,"&gt;="&amp;$C54)</f>
        <v>0</v>
      </c>
      <c r="Q54" s="83">
        <f>SUMIFS(Dataset!$AA:$AA,Dataset!$F:$F,'retorno absoluto'!$D$11,Dataset!$AC:$AC,Q$52,Dataset!$J:$J,"&lt;"&amp;$D54,Dataset!$J:$J,"&gt;="&amp;$C54)</f>
        <v>0</v>
      </c>
      <c r="R54" s="83">
        <f>SUMIFS(Dataset!$AA:$AA,Dataset!$F:$F,'retorno absoluto'!$D$11,Dataset!$AC:$AC,R$52,Dataset!$J:$J,"&lt;"&amp;$D54,Dataset!$J:$J,"&gt;="&amp;$C54)</f>
        <v>0</v>
      </c>
      <c r="S54" s="83">
        <f>SUMIFS(Dataset!$AA:$AA,Dataset!$F:$F,'retorno absoluto'!$D$11,Dataset!$AC:$AC,"A",Dataset!$J:$J,"&lt;"&amp;$D54,Dataset!$J:$J,"&gt;="&amp;$C54)+SUMIFS(Dataset!$AA:$AA,Dataset!$F:$F,'retorno absoluto'!$D$11,Dataset!$AC:$AC,"A-",Dataset!$J:$J,"&lt;"&amp;$D54,Dataset!$J:$J,"&gt;="&amp;$C54)+SUMIFS(Dataset!$AA:$AA,Dataset!$F:$F,'retorno absoluto'!$D$11,Dataset!$AC:$AC,"A+",Dataset!$J:$J,"&lt;"&amp;$D54,Dataset!$J:$J,"&gt;="&amp;$C54)</f>
        <v>0</v>
      </c>
      <c r="T54" s="83">
        <f>SUMIFS(Dataset!$AA:$AA,Dataset!$F:$F,'retorno absoluto'!$D$11,Dataset!$AC:$AC,"BBB-",Dataset!$J:$J,"&lt;"&amp;$D54,Dataset!$J:$J,"&gt;="&amp;$C54)+SUMIFS(Dataset!$AA:$AA,Dataset!$F:$F,'retorno absoluto'!$D$11,Dataset!$AC:$AC,"BBB",Dataset!$J:$J,"&lt;"&amp;$D54,Dataset!$J:$J,"&gt;="&amp;$C54)+SUMIFS(Dataset!$AA:$AA,Dataset!$F:$F,'retorno absoluto'!$D$11,Dataset!$AC:$AC,"BBB+",Dataset!$J:$J,"&lt;"&amp;$D54,Dataset!$J:$J,"&gt;="&amp;$C54)</f>
        <v>0</v>
      </c>
      <c r="U54" s="83">
        <f>SUMIFS(Dataset!$AA:$AA,Dataset!$F:$F,'retorno absoluto'!$D$11,Dataset!$J:$J,"&lt;"&amp;$D54,Dataset!$J:$J,"&gt;="&amp;$C54,Dataset!$AC:$AC,"&lt;&gt;N-1+",Dataset!$AC:$AC,"&lt;&gt;*AA*",Dataset!$AC:$AC,"&lt;&gt;*AAA*",Dataset!$AC:$AC,"&lt;&gt;A",Dataset!$AC:$AC,"&lt;&gt;A-",Dataset!$AC:$AC,"&lt;&gt;A+",Dataset!$AC:$AC,"&lt;&gt;*BBB*")</f>
        <v>0</v>
      </c>
      <c r="V54" s="84">
        <f t="shared" si="3"/>
        <v>1.5394410439025536E-3</v>
      </c>
      <c r="W54" s="85">
        <f>10*SUMIFS(Dataset!$H:$H,Dataset!$F:$F,'retorno absoluto'!$D$11,Dataset!$AC:$AC,W$52,Dataset!$J:$J,"&lt;"&amp;$D54,Dataset!J:J,"&gt;="&amp;$C54)</f>
        <v>0.14091296341823117</v>
      </c>
      <c r="X54" s="86">
        <f>10*SUMIFS(Dataset!$H:$H,Dataset!$F:$F,'retorno absoluto'!$D$11,Dataset!$AC:$AC,X$52,Dataset!$J:$J,"&lt;"&amp;$D54,Dataset!J:J,"&gt;="&amp;$C54)</f>
        <v>0</v>
      </c>
      <c r="Y54" s="86">
        <f>10*SUMIFS(Dataset!$H:$H,Dataset!$F:$F,'retorno absoluto'!$D$11,Dataset!$AC:$AC,Y$52,Dataset!$J:$J,"&lt;"&amp;$D54,Dataset!J:J,"&gt;="&amp;$C54)</f>
        <v>0</v>
      </c>
      <c r="Z54" s="86">
        <f>10*SUMIFS(Dataset!$H:$H,Dataset!$F:$F,'retorno absoluto'!$D$11,Dataset!$AC:$AC,Z$52,Dataset!$J:$J,"&lt;"&amp;$D54,Dataset!J:J,"&gt;="&amp;$C54)</f>
        <v>0</v>
      </c>
      <c r="AA54" s="86">
        <f>10*SUMIFS(Dataset!$H:$H,Dataset!$F:$F,'retorno absoluto'!$D$11,Dataset!$AC:$AC,AA$52,Dataset!$J:$J,"&lt;"&amp;$D54,Dataset!J:J,"&gt;="&amp;$C54)</f>
        <v>0</v>
      </c>
      <c r="AB54" s="86">
        <f>10*SUMIFS(Dataset!$H:$H,Dataset!$F:$F,'retorno absoluto'!$D$11,Dataset!$AC:$AC,"A",Dataset!$J:$J,"&lt;"&amp;$D54,Dataset!$J:$J,"&gt;="&amp;$C54)+10*SUMIFS(Dataset!$H:$H,Dataset!$F:$F,'retorno absoluto'!$D$11,Dataset!$AC:$AC,"A-",Dataset!$J:$J,"&lt;"&amp;$D54,Dataset!$J:$J,"&gt;="&amp;$C54)+10*SUMIFS(Dataset!$H:$H,Dataset!$F:$F,'retorno absoluto'!$D$11,Dataset!$AC:$AC,"A+",Dataset!$J:$J,"&lt;"&amp;$D54,Dataset!$J:$J,"&gt;="&amp;$C54)</f>
        <v>0</v>
      </c>
      <c r="AC54" s="86">
        <f>10*SUMIFS(Dataset!$H:$H,Dataset!$F:$F,'retorno absoluto'!$D$11,Dataset!$AC:$AC,"BBB",Dataset!$J:$J,"&lt;"&amp;$D54,Dataset!$J:$J,"&gt;="&amp;$C54)+10*SUMIFS(Dataset!$H:$H,Dataset!$F:$F,'retorno absoluto'!$D$11,Dataset!$AC:$AC,"BBB-",Dataset!$J:$J,"&lt;"&amp;$D54,Dataset!$J:$J,"&gt;="&amp;$C54)+10*SUMIFS(Dataset!$H:$H,Dataset!$F:$F,'retorno absoluto'!$D$11,Dataset!$AC:$AC,"BBB+",Dataset!$J:$J,"&lt;"&amp;$D54,Dataset!$J:$J,"&gt;="&amp;$C54)</f>
        <v>0</v>
      </c>
      <c r="AD54" s="86">
        <f>10*SUMIFS(Dataset!$H:$H,Dataset!$F:$F,'retorno absoluto'!$D$11,Dataset!$J:$J,"&lt;"&amp;$D54,Dataset!$J:$J,"&gt;="&amp;$C54,Dataset!$AC:$AC,"&lt;&gt;N-1+",Dataset!$AC:$AC,"&lt;&gt;*AA*",Dataset!$AC:$AC,"&lt;&gt;*AAA*",Dataset!$AC:$AC,"&lt;&gt;A",Dataset!$AC:$AC,"&lt;&gt;A-",Dataset!$AC:$AC,"&lt;&gt;A+",Dataset!$AC:$AC,"&lt;&gt;*BBB*")</f>
        <v>0</v>
      </c>
      <c r="AE54" s="87">
        <f t="shared" si="4"/>
        <v>0.14091296341823117</v>
      </c>
    </row>
    <row r="55" spans="3:35" ht="39" customHeight="1" x14ac:dyDescent="0.3">
      <c r="C55" s="61">
        <v>1.5</v>
      </c>
      <c r="D55" s="81">
        <v>2.5</v>
      </c>
      <c r="E55" s="82">
        <f>SUMIFS(Dataset!$AK:$AK,Dataset!$F:$F,'retorno absoluto'!$D$11,Dataset!$AC:$AC,E$52,Dataset!$J:$J,"&lt;"&amp;$D55,Dataset!J:J,"&gt;="&amp;$C55)</f>
        <v>0</v>
      </c>
      <c r="F55" s="83">
        <f>SUMIFS(Dataset!$AK:$AK,Dataset!$F:$F,'retorno absoluto'!$D$11,Dataset!$AC:$AC,F$52,Dataset!$J:$J,"&lt;"&amp;$D55,Dataset!J:J,"&gt;="&amp;$C55)</f>
        <v>2.0883851202040872E-2</v>
      </c>
      <c r="G55" s="83">
        <f>SUMIFS(Dataset!$AK:$AK,Dataset!$F:$F,'retorno absoluto'!$D$11,Dataset!$AC:$AC,G$52,Dataset!$J:$J,"&lt;"&amp;$D55,Dataset!J:J,"&gt;="&amp;$C55)</f>
        <v>0</v>
      </c>
      <c r="H55" s="83">
        <f>SUMIFS(Dataset!$AK:$AK,Dataset!$F:$F,'retorno absoluto'!$D$11,Dataset!$AC:$AC,H$52,Dataset!$J:$J,"&lt;"&amp;$D55,Dataset!J:J,"&gt;="&amp;$C55)</f>
        <v>0</v>
      </c>
      <c r="I55" s="83">
        <f>SUMIFS(Dataset!$AK:$AK,Dataset!$F:$F,'retorno absoluto'!$D$11,Dataset!$AC:$AC,I$52,Dataset!$J:$J,"&lt;"&amp;$D55,Dataset!J:J,"&gt;="&amp;$C55)</f>
        <v>0</v>
      </c>
      <c r="J55" s="83">
        <f>SUMIFS(Dataset!$AK:$AK,Dataset!$F:$F,'retorno absoluto'!$D$11,Dataset!$AC:$AC,"A",Dataset!$J:$J,"&lt;"&amp;$D55,Dataset!$J:$J,"&gt;="&amp;$C55)+SUMIFS(Dataset!$AK:$AK,Dataset!$F:$F,'retorno absoluto'!$D$11,Dataset!$AC:$AC,"A-",Dataset!$J:$J,"&lt;"&amp;$D55,Dataset!$J:$J,"&gt;="&amp;$C55)+SUMIFS(Dataset!$AK:$AK,Dataset!$F:$F,'retorno absoluto'!$D$11,Dataset!$AC:$AC,"A+",Dataset!$J:$J,"&lt;"&amp;$D55,Dataset!$J:$J,"&gt;="&amp;$C55)</f>
        <v>0</v>
      </c>
      <c r="K55" s="83">
        <f>SUMIFS(Dataset!$AK:$AK,Dataset!$F:$F,'retorno absoluto'!$D$11,Dataset!$AC:$AC,"BBB",Dataset!$J:$J,"&lt;"&amp;$D55,Dataset!$J:$J,"&gt;="&amp;$C55)+SUMIFS(Dataset!$AK:$AK,Dataset!$F:$F,'retorno absoluto'!$D$11,Dataset!$AC:$AC,"BBB-",Dataset!$J:$J,"&lt;"&amp;$D55,Dataset!$J:$J,"&gt;="&amp;$C55)+SUMIFS(Dataset!$AK:$AK,Dataset!$F:$F,'retorno absoluto'!$D$11,Dataset!$AC:$AC,"BBB+",Dataset!$J:$J,"&lt;"&amp;$D55,Dataset!$J:$J,"&gt;="&amp;$C55)</f>
        <v>0</v>
      </c>
      <c r="L55" s="83">
        <f>SUMIFS(Dataset!$AK:$AK,Dataset!$F:$F,'retorno absoluto'!$D$11,Dataset!$J:$J,"&lt;"&amp;$D55,Dataset!$J:$J,"&gt;="&amp;$C55,Dataset!$AC:$AC,"&lt;&gt;N-1+",Dataset!$AC:$AC,"&lt;&gt;*AA*",Dataset!$AC:$AC,"&lt;&gt;*AAA*",Dataset!$AC:$AC,"&lt;&gt;A",Dataset!$AC:$AC,"&lt;&gt;A-",Dataset!$AC:$AC,"&lt;&gt;A+",Dataset!$AC:$AC,"&lt;&gt;*BBB*")</f>
        <v>0</v>
      </c>
      <c r="M55" s="84">
        <f t="shared" si="2"/>
        <v>2.0883851202040872E-2</v>
      </c>
      <c r="N55" s="82">
        <f>SUMIFS(Dataset!$AA:$AA,Dataset!$F:$F,'retorno absoluto'!$D$11,Dataset!$AC:$AC,N$52,Dataset!$J:$J,"&lt;"&amp;$D55,Dataset!$J:$J,"&gt;="&amp;$C55)</f>
        <v>0</v>
      </c>
      <c r="O55" s="83">
        <f>SUMIFS(Dataset!$AA:$AA,Dataset!$F:$F,'retorno absoluto'!$D$11,Dataset!$AC:$AC,O$52,Dataset!$J:$J,"&lt;"&amp;$D55,Dataset!$J:$J,"&gt;="&amp;$C55)</f>
        <v>1.8613077057260424E-2</v>
      </c>
      <c r="P55" s="83">
        <f>SUMIFS(Dataset!$AA:$AA,Dataset!$F:$F,'retorno absoluto'!$D$11,Dataset!$AC:$AC,P$52,Dataset!$J:$J,"&lt;"&amp;$D55,Dataset!$J:$J,"&gt;="&amp;$C55)</f>
        <v>0</v>
      </c>
      <c r="Q55" s="83">
        <f>SUMIFS(Dataset!$AA:$AA,Dataset!$F:$F,'retorno absoluto'!$D$11,Dataset!$AC:$AC,Q$52,Dataset!$J:$J,"&lt;"&amp;$D55,Dataset!$J:$J,"&gt;="&amp;$C55)</f>
        <v>0</v>
      </c>
      <c r="R55" s="83">
        <f>SUMIFS(Dataset!$AA:$AA,Dataset!$F:$F,'retorno absoluto'!$D$11,Dataset!$AC:$AC,R$52,Dataset!$J:$J,"&lt;"&amp;$D55,Dataset!$J:$J,"&gt;="&amp;$C55)</f>
        <v>0</v>
      </c>
      <c r="S55" s="83">
        <f>SUMIFS(Dataset!$AA:$AA,Dataset!$F:$F,'retorno absoluto'!$D$11,Dataset!$AC:$AC,"A",Dataset!$J:$J,"&lt;"&amp;$D55,Dataset!$J:$J,"&gt;="&amp;$C55)+SUMIFS(Dataset!$AA:$AA,Dataset!$F:$F,'retorno absoluto'!$D$11,Dataset!$AC:$AC,"A-",Dataset!$J:$J,"&lt;"&amp;$D55,Dataset!$J:$J,"&gt;="&amp;$C55)+SUMIFS(Dataset!$AA:$AA,Dataset!$F:$F,'retorno absoluto'!$D$11,Dataset!$AC:$AC,"A+",Dataset!$J:$J,"&lt;"&amp;$D55,Dataset!$J:$J,"&gt;="&amp;$C55)</f>
        <v>0</v>
      </c>
      <c r="T55" s="83">
        <f>SUMIFS(Dataset!$AA:$AA,Dataset!$F:$F,'retorno absoluto'!$D$11,Dataset!$AC:$AC,"BBB-",Dataset!$J:$J,"&lt;"&amp;$D55,Dataset!$J:$J,"&gt;="&amp;$C55)+SUMIFS(Dataset!$AA:$AA,Dataset!$F:$F,'retorno absoluto'!$D$11,Dataset!$AC:$AC,"BBB",Dataset!$J:$J,"&lt;"&amp;$D55,Dataset!$J:$J,"&gt;="&amp;$C55)+SUMIFS(Dataset!$AA:$AA,Dataset!$F:$F,'retorno absoluto'!$D$11,Dataset!$AC:$AC,"BBB+",Dataset!$J:$J,"&lt;"&amp;$D55,Dataset!$J:$J,"&gt;="&amp;$C55)</f>
        <v>0</v>
      </c>
      <c r="U55" s="83">
        <f>SUMIFS(Dataset!$AA:$AA,Dataset!$F:$F,'retorno absoluto'!$D$11,Dataset!$J:$J,"&lt;"&amp;$D55,Dataset!$J:$J,"&gt;="&amp;$C55,Dataset!$AC:$AC,"&lt;&gt;N-1+",Dataset!$AC:$AC,"&lt;&gt;*AA*",Dataset!$AC:$AC,"&lt;&gt;*AAA*",Dataset!$AC:$AC,"&lt;&gt;A",Dataset!$AC:$AC,"&lt;&gt;A-",Dataset!$AC:$AC,"&lt;&gt;A+",Dataset!$AC:$AC,"&lt;&gt;*BBB*")</f>
        <v>0</v>
      </c>
      <c r="V55" s="84">
        <f t="shared" si="3"/>
        <v>1.8613077057260424E-2</v>
      </c>
      <c r="W55" s="85">
        <f>10*SUMIFS(Dataset!$H:$H,Dataset!$F:$F,'retorno absoluto'!$D$11,Dataset!$AC:$AC,W$52,Dataset!$J:$J,"&lt;"&amp;$D55,Dataset!J:J,"&gt;="&amp;$C55)</f>
        <v>0</v>
      </c>
      <c r="X55" s="86">
        <f>10*SUMIFS(Dataset!$H:$H,Dataset!$F:$F,'retorno absoluto'!$D$11,Dataset!$AC:$AC,X$52,Dataset!$J:$J,"&lt;"&amp;$D55,Dataset!J:J,"&gt;="&amp;$C55)</f>
        <v>0.43020733476204198</v>
      </c>
      <c r="Y55" s="86">
        <f>10*SUMIFS(Dataset!$H:$H,Dataset!$F:$F,'retorno absoluto'!$D$11,Dataset!$AC:$AC,Y$52,Dataset!$J:$J,"&lt;"&amp;$D55,Dataset!J:J,"&gt;="&amp;$C55)</f>
        <v>0</v>
      </c>
      <c r="Z55" s="86">
        <f>10*SUMIFS(Dataset!$H:$H,Dataset!$F:$F,'retorno absoluto'!$D$11,Dataset!$AC:$AC,Z$52,Dataset!$J:$J,"&lt;"&amp;$D55,Dataset!J:J,"&gt;="&amp;$C55)</f>
        <v>0</v>
      </c>
      <c r="AA55" s="86">
        <f>10*SUMIFS(Dataset!$H:$H,Dataset!$F:$F,'retorno absoluto'!$D$11,Dataset!$AC:$AC,AA$52,Dataset!$J:$J,"&lt;"&amp;$D55,Dataset!J:J,"&gt;="&amp;$C55)</f>
        <v>0</v>
      </c>
      <c r="AB55" s="86">
        <f>10*SUMIFS(Dataset!$H:$H,Dataset!$F:$F,'retorno absoluto'!$D$11,Dataset!$AC:$AC,"A",Dataset!$J:$J,"&lt;"&amp;$D55,Dataset!$J:$J,"&gt;="&amp;$C55)+10*SUMIFS(Dataset!$H:$H,Dataset!$F:$F,'retorno absoluto'!$D$11,Dataset!$AC:$AC,"A-",Dataset!$J:$J,"&lt;"&amp;$D55,Dataset!$J:$J,"&gt;="&amp;$C55)+10*SUMIFS(Dataset!$H:$H,Dataset!$F:$F,'retorno absoluto'!$D$11,Dataset!$AC:$AC,"A+",Dataset!$J:$J,"&lt;"&amp;$D55,Dataset!$J:$J,"&gt;="&amp;$C55)</f>
        <v>0</v>
      </c>
      <c r="AC55" s="86">
        <f>10*SUMIFS(Dataset!$H:$H,Dataset!$F:$F,'retorno absoluto'!$D$11,Dataset!$AC:$AC,"BBB",Dataset!$J:$J,"&lt;"&amp;$D55,Dataset!$J:$J,"&gt;="&amp;$C55)+10*SUMIFS(Dataset!$H:$H,Dataset!$F:$F,'retorno absoluto'!$D$11,Dataset!$AC:$AC,"BBB-",Dataset!$J:$J,"&lt;"&amp;$D55,Dataset!$J:$J,"&gt;="&amp;$C55)+10*SUMIFS(Dataset!$H:$H,Dataset!$F:$F,'retorno absoluto'!$D$11,Dataset!$AC:$AC,"BBB+",Dataset!$J:$J,"&lt;"&amp;$D55,Dataset!$J:$J,"&gt;="&amp;$C55)</f>
        <v>0</v>
      </c>
      <c r="AD55" s="86">
        <f>10*SUMIFS(Dataset!$H:$H,Dataset!$F:$F,'retorno absoluto'!$D$11,Dataset!$J:$J,"&lt;"&amp;$D55,Dataset!$J:$J,"&gt;="&amp;$C55,Dataset!$AC:$AC,"&lt;&gt;N-1+",Dataset!$AC:$AC,"&lt;&gt;*AA*",Dataset!$AC:$AC,"&lt;&gt;*AAA*",Dataset!$AC:$AC,"&lt;&gt;A",Dataset!$AC:$AC,"&lt;&gt;A-",Dataset!$AC:$AC,"&lt;&gt;A+",Dataset!$AC:$AC,"&lt;&gt;*BBB*")</f>
        <v>0</v>
      </c>
      <c r="AE55" s="87">
        <f t="shared" si="4"/>
        <v>0.43020733476204198</v>
      </c>
    </row>
    <row r="56" spans="3:35" ht="35.25" customHeight="1" x14ac:dyDescent="0.3">
      <c r="C56" s="61">
        <v>2.5</v>
      </c>
      <c r="D56" s="81">
        <v>3.5</v>
      </c>
      <c r="E56" s="82">
        <f>SUMIFS(Dataset!$AK:$AK,Dataset!$F:$F,'retorno absoluto'!$D$11,Dataset!$AC:$AC,E$52,Dataset!$J:$J,"&lt;"&amp;$D56,Dataset!J:J,"&gt;="&amp;$C56)</f>
        <v>0</v>
      </c>
      <c r="F56" s="83">
        <f>SUMIFS(Dataset!$AK:$AK,Dataset!$F:$F,'retorno absoluto'!$D$11,Dataset!$AC:$AC,F$52,Dataset!$J:$J,"&lt;"&amp;$D56,Dataset!J:J,"&gt;="&amp;$C56)</f>
        <v>0.53095693510272479</v>
      </c>
      <c r="G56" s="83">
        <f>SUMIFS(Dataset!$AK:$AK,Dataset!$F:$F,'retorno absoluto'!$D$11,Dataset!$AC:$AC,G$52,Dataset!$J:$J,"&lt;"&amp;$D56,Dataset!J:J,"&gt;="&amp;$C56)</f>
        <v>0</v>
      </c>
      <c r="H56" s="83">
        <f>SUMIFS(Dataset!$AK:$AK,Dataset!$F:$F,'retorno absoluto'!$D$11,Dataset!$AC:$AC,H$52,Dataset!$J:$J,"&lt;"&amp;$D56,Dataset!J:J,"&gt;="&amp;$C56)</f>
        <v>0</v>
      </c>
      <c r="I56" s="83">
        <f>SUMIFS(Dataset!$AK:$AK,Dataset!$F:$F,'retorno absoluto'!$D$11,Dataset!$AC:$AC,I$52,Dataset!$J:$J,"&lt;"&amp;$D56,Dataset!J:J,"&gt;="&amp;$C56)</f>
        <v>0</v>
      </c>
      <c r="J56" s="83">
        <f>SUMIFS(Dataset!$AK:$AK,Dataset!$F:$F,'retorno absoluto'!$D$11,Dataset!$AC:$AC,"A",Dataset!$J:$J,"&lt;"&amp;$D56,Dataset!$J:$J,"&gt;="&amp;$C56)+SUMIFS(Dataset!$AK:$AK,Dataset!$F:$F,'retorno absoluto'!$D$11,Dataset!$AC:$AC,"A-",Dataset!$J:$J,"&lt;"&amp;$D56,Dataset!$J:$J,"&gt;="&amp;$C56)+SUMIFS(Dataset!$AK:$AK,Dataset!$F:$F,'retorno absoluto'!$D$11,Dataset!$AC:$AC,"A+",Dataset!$J:$J,"&lt;"&amp;$D56,Dataset!$J:$J,"&gt;="&amp;$C56)</f>
        <v>0</v>
      </c>
      <c r="K56" s="83">
        <f>SUMIFS(Dataset!$AK:$AK,Dataset!$F:$F,'retorno absoluto'!$D$11,Dataset!$AC:$AC,"BBB",Dataset!$J:$J,"&lt;"&amp;$D56,Dataset!$J:$J,"&gt;="&amp;$C56)+SUMIFS(Dataset!$AK:$AK,Dataset!$F:$F,'retorno absoluto'!$D$11,Dataset!$AC:$AC,"BBB-",Dataset!$J:$J,"&lt;"&amp;$D56,Dataset!$J:$J,"&gt;="&amp;$C56)+SUMIFS(Dataset!$AK:$AK,Dataset!$F:$F,'retorno absoluto'!$D$11,Dataset!$AC:$AC,"BBB+",Dataset!$J:$J,"&lt;"&amp;$D56,Dataset!$J:$J,"&gt;="&amp;$C56)</f>
        <v>0</v>
      </c>
      <c r="L56" s="83">
        <f>SUMIFS(Dataset!$AK:$AK,Dataset!$F:$F,'retorno absoluto'!$D$11,Dataset!$J:$J,"&lt;"&amp;$D56,Dataset!$J:$J,"&gt;="&amp;$C56,Dataset!$AC:$AC,"&lt;&gt;N-1+",Dataset!$AC:$AC,"&lt;&gt;*AA*",Dataset!$AC:$AC,"&lt;&gt;*AAA*",Dataset!$AC:$AC,"&lt;&gt;A",Dataset!$AC:$AC,"&lt;&gt;A-",Dataset!$AC:$AC,"&lt;&gt;A+",Dataset!$AC:$AC,"&lt;&gt;*BBB*")</f>
        <v>0</v>
      </c>
      <c r="M56" s="84">
        <f t="shared" si="2"/>
        <v>0.53095693510272479</v>
      </c>
      <c r="N56" s="82">
        <f>SUMIFS(Dataset!$AA:$AA,Dataset!$F:$F,'retorno absoluto'!$D$11,Dataset!$AC:$AC,N$52,Dataset!$J:$J,"&lt;"&amp;$D56,Dataset!$J:$J,"&gt;="&amp;$C56)</f>
        <v>0</v>
      </c>
      <c r="O56" s="83">
        <f>SUMIFS(Dataset!$AA:$AA,Dataset!$F:$F,'retorno absoluto'!$D$11,Dataset!$AC:$AC,O$52,Dataset!$J:$J,"&lt;"&amp;$D56,Dataset!$J:$J,"&gt;="&amp;$C56)</f>
        <v>0.53182584974751179</v>
      </c>
      <c r="P56" s="83">
        <f>SUMIFS(Dataset!$AA:$AA,Dataset!$F:$F,'retorno absoluto'!$D$11,Dataset!$AC:$AC,P$52,Dataset!$J:$J,"&lt;"&amp;$D56,Dataset!$J:$J,"&gt;="&amp;$C56)</f>
        <v>0</v>
      </c>
      <c r="Q56" s="83">
        <f>SUMIFS(Dataset!$AA:$AA,Dataset!$F:$F,'retorno absoluto'!$D$11,Dataset!$AC:$AC,Q$52,Dataset!$J:$J,"&lt;"&amp;$D56,Dataset!$J:$J,"&gt;="&amp;$C56)</f>
        <v>0</v>
      </c>
      <c r="R56" s="83">
        <f>SUMIFS(Dataset!$AA:$AA,Dataset!$F:$F,'retorno absoluto'!$D$11,Dataset!$AC:$AC,R$52,Dataset!$J:$J,"&lt;"&amp;$D56,Dataset!$J:$J,"&gt;="&amp;$C56)</f>
        <v>0</v>
      </c>
      <c r="S56" s="83">
        <f>SUMIFS(Dataset!$AA:$AA,Dataset!$F:$F,'retorno absoluto'!$D$11,Dataset!$AC:$AC,"A",Dataset!$J:$J,"&lt;"&amp;$D56,Dataset!$J:$J,"&gt;="&amp;$C56)+SUMIFS(Dataset!$AA:$AA,Dataset!$F:$F,'retorno absoluto'!$D$11,Dataset!$AC:$AC,"A-",Dataset!$J:$J,"&lt;"&amp;$D56,Dataset!$J:$J,"&gt;="&amp;$C56)+SUMIFS(Dataset!$AA:$AA,Dataset!$F:$F,'retorno absoluto'!$D$11,Dataset!$AC:$AC,"A+",Dataset!$J:$J,"&lt;"&amp;$D56,Dataset!$J:$J,"&gt;="&amp;$C56)</f>
        <v>0</v>
      </c>
      <c r="T56" s="83">
        <f>SUMIFS(Dataset!$AA:$AA,Dataset!$F:$F,'retorno absoluto'!$D$11,Dataset!$AC:$AC,"BBB-",Dataset!$J:$J,"&lt;"&amp;$D56,Dataset!$J:$J,"&gt;="&amp;$C56)+SUMIFS(Dataset!$AA:$AA,Dataset!$F:$F,'retorno absoluto'!$D$11,Dataset!$AC:$AC,"BBB",Dataset!$J:$J,"&lt;"&amp;$D56,Dataset!$J:$J,"&gt;="&amp;$C56)+SUMIFS(Dataset!$AA:$AA,Dataset!$F:$F,'retorno absoluto'!$D$11,Dataset!$AC:$AC,"BBB+",Dataset!$J:$J,"&lt;"&amp;$D56,Dataset!$J:$J,"&gt;="&amp;$C56)</f>
        <v>0</v>
      </c>
      <c r="U56" s="83">
        <f>SUMIFS(Dataset!$AA:$AA,Dataset!$F:$F,'retorno absoluto'!$D$11,Dataset!$J:$J,"&lt;"&amp;$D56,Dataset!$J:$J,"&gt;="&amp;$C56,Dataset!$AC:$AC,"&lt;&gt;N-1+",Dataset!$AC:$AC,"&lt;&gt;*AA*",Dataset!$AC:$AC,"&lt;&gt;*AAA*",Dataset!$AC:$AC,"&lt;&gt;A",Dataset!$AC:$AC,"&lt;&gt;A-",Dataset!$AC:$AC,"&lt;&gt;A+",Dataset!$AC:$AC,"&lt;&gt;*BBB*")</f>
        <v>0</v>
      </c>
      <c r="V56" s="84">
        <f t="shared" si="3"/>
        <v>0.53182584974751179</v>
      </c>
      <c r="W56" s="85">
        <f>10*SUMIFS(Dataset!$H:$H,Dataset!$F:$F,'retorno absoluto'!$D$11,Dataset!$AC:$AC,W$52,Dataset!$J:$J,"&lt;"&amp;$D56,Dataset!J:J,"&gt;="&amp;$C56)</f>
        <v>0</v>
      </c>
      <c r="X56" s="86">
        <f>10*SUMIFS(Dataset!$H:$H,Dataset!$F:$F,'retorno absoluto'!$D$11,Dataset!$AC:$AC,X$52,Dataset!$J:$J,"&lt;"&amp;$D56,Dataset!J:J,"&gt;="&amp;$C56)</f>
        <v>16.493947257261805</v>
      </c>
      <c r="Y56" s="86">
        <f>10*SUMIFS(Dataset!$H:$H,Dataset!$F:$F,'retorno absoluto'!$D$11,Dataset!$AC:$AC,Y$52,Dataset!$J:$J,"&lt;"&amp;$D56,Dataset!J:J,"&gt;="&amp;$C56)</f>
        <v>0</v>
      </c>
      <c r="Z56" s="86">
        <f>10*SUMIFS(Dataset!$H:$H,Dataset!$F:$F,'retorno absoluto'!$D$11,Dataset!$AC:$AC,Z$52,Dataset!$J:$J,"&lt;"&amp;$D56,Dataset!J:J,"&gt;="&amp;$C56)</f>
        <v>0</v>
      </c>
      <c r="AA56" s="86">
        <f>10*SUMIFS(Dataset!$H:$H,Dataset!$F:$F,'retorno absoluto'!$D$11,Dataset!$AC:$AC,AA$52,Dataset!$J:$J,"&lt;"&amp;$D56,Dataset!J:J,"&gt;="&amp;$C56)</f>
        <v>0</v>
      </c>
      <c r="AB56" s="86">
        <f>10*SUMIFS(Dataset!$H:$H,Dataset!$F:$F,'retorno absoluto'!$D$11,Dataset!$AC:$AC,"A",Dataset!$J:$J,"&lt;"&amp;$D56,Dataset!$J:$J,"&gt;="&amp;$C56)+10*SUMIFS(Dataset!$H:$H,Dataset!$F:$F,'retorno absoluto'!$D$11,Dataset!$AC:$AC,"A-",Dataset!$J:$J,"&lt;"&amp;$D56,Dataset!$J:$J,"&gt;="&amp;$C56)+10*SUMIFS(Dataset!$H:$H,Dataset!$F:$F,'retorno absoluto'!$D$11,Dataset!$AC:$AC,"A+",Dataset!$J:$J,"&lt;"&amp;$D56,Dataset!$J:$J,"&gt;="&amp;$C56)</f>
        <v>0</v>
      </c>
      <c r="AC56" s="86">
        <f>10*SUMIFS(Dataset!$H:$H,Dataset!$F:$F,'retorno absoluto'!$D$11,Dataset!$AC:$AC,"BBB",Dataset!$J:$J,"&lt;"&amp;$D56,Dataset!$J:$J,"&gt;="&amp;$C56)+10*SUMIFS(Dataset!$H:$H,Dataset!$F:$F,'retorno absoluto'!$D$11,Dataset!$AC:$AC,"BBB-",Dataset!$J:$J,"&lt;"&amp;$D56,Dataset!$J:$J,"&gt;="&amp;$C56)+10*SUMIFS(Dataset!$H:$H,Dataset!$F:$F,'retorno absoluto'!$D$11,Dataset!$AC:$AC,"BBB+",Dataset!$J:$J,"&lt;"&amp;$D56,Dataset!$J:$J,"&gt;="&amp;$C56)</f>
        <v>0</v>
      </c>
      <c r="AD56" s="86">
        <f>10*SUMIFS(Dataset!$H:$H,Dataset!$F:$F,'retorno absoluto'!$D$11,Dataset!$J:$J,"&lt;"&amp;$D56,Dataset!$J:$J,"&gt;="&amp;$C56,Dataset!$AC:$AC,"&lt;&gt;N-1+",Dataset!$AC:$AC,"&lt;&gt;*AA*",Dataset!$AC:$AC,"&lt;&gt;*AAA*",Dataset!$AC:$AC,"&lt;&gt;A",Dataset!$AC:$AC,"&lt;&gt;A-",Dataset!$AC:$AC,"&lt;&gt;A+",Dataset!$AC:$AC,"&lt;&gt;*BBB*")</f>
        <v>0</v>
      </c>
      <c r="AE56" s="87">
        <f t="shared" si="4"/>
        <v>16.493947257261805</v>
      </c>
    </row>
    <row r="57" spans="3:35" ht="27" customHeight="1" x14ac:dyDescent="0.3">
      <c r="C57" s="61">
        <v>3.5</v>
      </c>
      <c r="D57" s="81">
        <v>4.5</v>
      </c>
      <c r="E57" s="82">
        <f>SUMIFS(Dataset!$AK:$AK,Dataset!$F:$F,'retorno absoluto'!$D$11,Dataset!$AC:$AC,E$52,Dataset!$J:$J,"&lt;"&amp;$D57,Dataset!J:J,"&gt;="&amp;$C57)</f>
        <v>0</v>
      </c>
      <c r="F57" s="83">
        <f>SUMIFS(Dataset!$AK:$AK,Dataset!$F:$F,'retorno absoluto'!$D$11,Dataset!$AC:$AC,F$52,Dataset!$J:$J,"&lt;"&amp;$D57,Dataset!J:J,"&gt;="&amp;$C57)</f>
        <v>6.0535771129191465E-2</v>
      </c>
      <c r="G57" s="83">
        <f>SUMIFS(Dataset!$AK:$AK,Dataset!$F:$F,'retorno absoluto'!$D$11,Dataset!$AC:$AC,G$52,Dataset!$J:$J,"&lt;"&amp;$D57,Dataset!J:J,"&gt;="&amp;$C57)</f>
        <v>0</v>
      </c>
      <c r="H57" s="83">
        <f>SUMIFS(Dataset!$AK:$AK,Dataset!$F:$F,'retorno absoluto'!$D$11,Dataset!$AC:$AC,H$52,Dataset!$J:$J,"&lt;"&amp;$D57,Dataset!J:J,"&gt;="&amp;$C57)</f>
        <v>0</v>
      </c>
      <c r="I57" s="83">
        <f>SUMIFS(Dataset!$AK:$AK,Dataset!$F:$F,'retorno absoluto'!$D$11,Dataset!$AC:$AC,I$52,Dataset!$J:$J,"&lt;"&amp;$D57,Dataset!J:J,"&gt;="&amp;$C57)</f>
        <v>0</v>
      </c>
      <c r="J57" s="83">
        <f>SUMIFS(Dataset!$AK:$AK,Dataset!$F:$F,'retorno absoluto'!$D$11,Dataset!$AC:$AC,"A",Dataset!$J:$J,"&lt;"&amp;$D57,Dataset!$J:$J,"&gt;="&amp;$C57)+SUMIFS(Dataset!$AK:$AK,Dataset!$F:$F,'retorno absoluto'!$D$11,Dataset!$AC:$AC,"A-",Dataset!$J:$J,"&lt;"&amp;$D57,Dataset!$J:$J,"&gt;="&amp;$C57)+SUMIFS(Dataset!$AK:$AK,Dataset!$F:$F,'retorno absoluto'!$D$11,Dataset!$AC:$AC,"A+",Dataset!$J:$J,"&lt;"&amp;$D57,Dataset!$J:$J,"&gt;="&amp;$C57)</f>
        <v>0</v>
      </c>
      <c r="K57" s="83">
        <f>SUMIFS(Dataset!$AK:$AK,Dataset!$F:$F,'retorno absoluto'!$D$11,Dataset!$AC:$AC,"BBB",Dataset!$J:$J,"&lt;"&amp;$D57,Dataset!$J:$J,"&gt;="&amp;$C57)+SUMIFS(Dataset!$AK:$AK,Dataset!$F:$F,'retorno absoluto'!$D$11,Dataset!$AC:$AC,"BBB-",Dataset!$J:$J,"&lt;"&amp;$D57,Dataset!$J:$J,"&gt;="&amp;$C57)+SUMIFS(Dataset!$AK:$AK,Dataset!$F:$F,'retorno absoluto'!$D$11,Dataset!$AC:$AC,"BBB+",Dataset!$J:$J,"&lt;"&amp;$D57,Dataset!$J:$J,"&gt;="&amp;$C57)</f>
        <v>0</v>
      </c>
      <c r="L57" s="83">
        <f>SUMIFS(Dataset!$AK:$AK,Dataset!$F:$F,'retorno absoluto'!$D$11,Dataset!$J:$J,"&lt;"&amp;$D57,Dataset!$J:$J,"&gt;="&amp;$C57,Dataset!$AC:$AC,"&lt;&gt;N-1+",Dataset!$AC:$AC,"&lt;&gt;*AA*",Dataset!$AC:$AC,"&lt;&gt;*AAA*",Dataset!$AC:$AC,"&lt;&gt;A",Dataset!$AC:$AC,"&lt;&gt;A-",Dataset!$AC:$AC,"&lt;&gt;A+",Dataset!$AC:$AC,"&lt;&gt;*BBB*")</f>
        <v>0</v>
      </c>
      <c r="M57" s="84">
        <f t="shared" si="2"/>
        <v>6.0535771129191465E-2</v>
      </c>
      <c r="N57" s="82">
        <f>SUMIFS(Dataset!$AA:$AA,Dataset!$F:$F,'retorno absoluto'!$D$11,Dataset!$AC:$AC,N$52,Dataset!$J:$J,"&lt;"&amp;$D57,Dataset!$J:$J,"&gt;="&amp;$C57)</f>
        <v>0</v>
      </c>
      <c r="O57" s="83">
        <f>SUMIFS(Dataset!$AA:$AA,Dataset!$F:$F,'retorno absoluto'!$D$11,Dataset!$AC:$AC,O$52,Dataset!$J:$J,"&lt;"&amp;$D57,Dataset!$J:$J,"&gt;="&amp;$C57)</f>
        <v>6.9659338567267734E-2</v>
      </c>
      <c r="P57" s="83">
        <f>SUMIFS(Dataset!$AA:$AA,Dataset!$F:$F,'retorno absoluto'!$D$11,Dataset!$AC:$AC,P$52,Dataset!$J:$J,"&lt;"&amp;$D57,Dataset!$J:$J,"&gt;="&amp;$C57)</f>
        <v>0</v>
      </c>
      <c r="Q57" s="83">
        <f>SUMIFS(Dataset!$AA:$AA,Dataset!$F:$F,'retorno absoluto'!$D$11,Dataset!$AC:$AC,Q$52,Dataset!$J:$J,"&lt;"&amp;$D57,Dataset!$J:$J,"&gt;="&amp;$C57)</f>
        <v>0</v>
      </c>
      <c r="R57" s="83">
        <f>SUMIFS(Dataset!$AA:$AA,Dataset!$F:$F,'retorno absoluto'!$D$11,Dataset!$AC:$AC,R$52,Dataset!$J:$J,"&lt;"&amp;$D57,Dataset!$J:$J,"&gt;="&amp;$C57)</f>
        <v>0</v>
      </c>
      <c r="S57" s="83">
        <f>SUMIFS(Dataset!$AA:$AA,Dataset!$F:$F,'retorno absoluto'!$D$11,Dataset!$AC:$AC,"A",Dataset!$J:$J,"&lt;"&amp;$D57,Dataset!$J:$J,"&gt;="&amp;$C57)+SUMIFS(Dataset!$AA:$AA,Dataset!$F:$F,'retorno absoluto'!$D$11,Dataset!$AC:$AC,"A-",Dataset!$J:$J,"&lt;"&amp;$D57,Dataset!$J:$J,"&gt;="&amp;$C57)+SUMIFS(Dataset!$AA:$AA,Dataset!$F:$F,'retorno absoluto'!$D$11,Dataset!$AC:$AC,"A+",Dataset!$J:$J,"&lt;"&amp;$D57,Dataset!$J:$J,"&gt;="&amp;$C57)</f>
        <v>0</v>
      </c>
      <c r="T57" s="83">
        <f>SUMIFS(Dataset!$AA:$AA,Dataset!$F:$F,'retorno absoluto'!$D$11,Dataset!$AC:$AC,"BBB-",Dataset!$J:$J,"&lt;"&amp;$D57,Dataset!$J:$J,"&gt;="&amp;$C57)+SUMIFS(Dataset!$AA:$AA,Dataset!$F:$F,'retorno absoluto'!$D$11,Dataset!$AC:$AC,"BBB",Dataset!$J:$J,"&lt;"&amp;$D57,Dataset!$J:$J,"&gt;="&amp;$C57)+SUMIFS(Dataset!$AA:$AA,Dataset!$F:$F,'retorno absoluto'!$D$11,Dataset!$AC:$AC,"BBB+",Dataset!$J:$J,"&lt;"&amp;$D57,Dataset!$J:$J,"&gt;="&amp;$C57)</f>
        <v>0</v>
      </c>
      <c r="U57" s="83">
        <f>SUMIFS(Dataset!$AA:$AA,Dataset!$F:$F,'retorno absoluto'!$D$11,Dataset!$J:$J,"&lt;"&amp;$D57,Dataset!$J:$J,"&gt;="&amp;$C57,Dataset!$AC:$AC,"&lt;&gt;N-1+",Dataset!$AC:$AC,"&lt;&gt;*AA*",Dataset!$AC:$AC,"&lt;&gt;*AAA*",Dataset!$AC:$AC,"&lt;&gt;A",Dataset!$AC:$AC,"&lt;&gt;A-",Dataset!$AC:$AC,"&lt;&gt;A+",Dataset!$AC:$AC,"&lt;&gt;*BBB*")</f>
        <v>0</v>
      </c>
      <c r="V57" s="84">
        <f t="shared" si="3"/>
        <v>6.9659338567267734E-2</v>
      </c>
      <c r="W57" s="85">
        <f>10*SUMIFS(Dataset!$H:$H,Dataset!$F:$F,'retorno absoluto'!$D$11,Dataset!$AC:$AC,W$52,Dataset!$J:$J,"&lt;"&amp;$D57,Dataset!J:J,"&gt;="&amp;$C57)</f>
        <v>0</v>
      </c>
      <c r="X57" s="86">
        <f>10*SUMIFS(Dataset!$H:$H,Dataset!$F:$F,'retorno absoluto'!$D$11,Dataset!$AC:$AC,X$52,Dataset!$J:$J,"&lt;"&amp;$D57,Dataset!J:J,"&gt;="&amp;$C57)</f>
        <v>2.3185200342480332</v>
      </c>
      <c r="Y57" s="86">
        <f>10*SUMIFS(Dataset!$H:$H,Dataset!$F:$F,'retorno absoluto'!$D$11,Dataset!$AC:$AC,Y$52,Dataset!$J:$J,"&lt;"&amp;$D57,Dataset!J:J,"&gt;="&amp;$C57)</f>
        <v>0</v>
      </c>
      <c r="Z57" s="86">
        <f>10*SUMIFS(Dataset!$H:$H,Dataset!$F:$F,'retorno absoluto'!$D$11,Dataset!$AC:$AC,Z$52,Dataset!$J:$J,"&lt;"&amp;$D57,Dataset!J:J,"&gt;="&amp;$C57)</f>
        <v>0</v>
      </c>
      <c r="AA57" s="86">
        <f>10*SUMIFS(Dataset!$H:$H,Dataset!$F:$F,'retorno absoluto'!$D$11,Dataset!$AC:$AC,AA$52,Dataset!$J:$J,"&lt;"&amp;$D57,Dataset!J:J,"&gt;="&amp;$C57)</f>
        <v>0</v>
      </c>
      <c r="AB57" s="86">
        <f>10*SUMIFS(Dataset!$H:$H,Dataset!$F:$F,'retorno absoluto'!$D$11,Dataset!$AC:$AC,"A",Dataset!$J:$J,"&lt;"&amp;$D57,Dataset!$J:$J,"&gt;="&amp;$C57)+10*SUMIFS(Dataset!$H:$H,Dataset!$F:$F,'retorno absoluto'!$D$11,Dataset!$AC:$AC,"A-",Dataset!$J:$J,"&lt;"&amp;$D57,Dataset!$J:$J,"&gt;="&amp;$C57)+10*SUMIFS(Dataset!$H:$H,Dataset!$F:$F,'retorno absoluto'!$D$11,Dataset!$AC:$AC,"A+",Dataset!$J:$J,"&lt;"&amp;$D57,Dataset!$J:$J,"&gt;="&amp;$C57)</f>
        <v>0</v>
      </c>
      <c r="AC57" s="86">
        <f>10*SUMIFS(Dataset!$H:$H,Dataset!$F:$F,'retorno absoluto'!$D$11,Dataset!$AC:$AC,"BBB",Dataset!$J:$J,"&lt;"&amp;$D57,Dataset!$J:$J,"&gt;="&amp;$C57)+10*SUMIFS(Dataset!$H:$H,Dataset!$F:$F,'retorno absoluto'!$D$11,Dataset!$AC:$AC,"BBB-",Dataset!$J:$J,"&lt;"&amp;$D57,Dataset!$J:$J,"&gt;="&amp;$C57)+10*SUMIFS(Dataset!$H:$H,Dataset!$F:$F,'retorno absoluto'!$D$11,Dataset!$AC:$AC,"BBB+",Dataset!$J:$J,"&lt;"&amp;$D57,Dataset!$J:$J,"&gt;="&amp;$C57)</f>
        <v>0</v>
      </c>
      <c r="AD57" s="86">
        <f>10*SUMIFS(Dataset!$H:$H,Dataset!$F:$F,'retorno absoluto'!$D$11,Dataset!$J:$J,"&lt;"&amp;$D57,Dataset!$J:$J,"&gt;="&amp;$C57,Dataset!$AC:$AC,"&lt;&gt;N-1+",Dataset!$AC:$AC,"&lt;&gt;*AA*",Dataset!$AC:$AC,"&lt;&gt;*AAA*",Dataset!$AC:$AC,"&lt;&gt;A",Dataset!$AC:$AC,"&lt;&gt;A-",Dataset!$AC:$AC,"&lt;&gt;A+",Dataset!$AC:$AC,"&lt;&gt;*BBB*")</f>
        <v>0</v>
      </c>
      <c r="AE57" s="87">
        <f t="shared" si="4"/>
        <v>2.3185200342480332</v>
      </c>
    </row>
    <row r="58" spans="3:35" ht="33" customHeight="1" x14ac:dyDescent="0.3">
      <c r="C58" s="61">
        <v>4.5</v>
      </c>
      <c r="D58" s="81">
        <v>5.5</v>
      </c>
      <c r="E58" s="82">
        <f>SUMIFS(Dataset!$AK:$AK,Dataset!$F:$F,'retorno absoluto'!$D$11,Dataset!$AC:$AC,E$52,Dataset!$J:$J,"&lt;"&amp;$D58,Dataset!J:J,"&gt;="&amp;$C58)</f>
        <v>0</v>
      </c>
      <c r="F58" s="83">
        <f>SUMIFS(Dataset!$AK:$AK,Dataset!$F:$F,'retorno absoluto'!$D$11,Dataset!$AC:$AC,F$52,Dataset!$J:$J,"&lt;"&amp;$D58,Dataset!J:J,"&gt;="&amp;$C58)</f>
        <v>0</v>
      </c>
      <c r="G58" s="83">
        <f>SUMIFS(Dataset!$AK:$AK,Dataset!$F:$F,'retorno absoluto'!$D$11,Dataset!$AC:$AC,G$52,Dataset!$J:$J,"&lt;"&amp;$D58,Dataset!J:J,"&gt;="&amp;$C58)</f>
        <v>0</v>
      </c>
      <c r="H58" s="83">
        <f>SUMIFS(Dataset!$AK:$AK,Dataset!$F:$F,'retorno absoluto'!$D$11,Dataset!$AC:$AC,H$52,Dataset!$J:$J,"&lt;"&amp;$D58,Dataset!J:J,"&gt;="&amp;$C58)</f>
        <v>0</v>
      </c>
      <c r="I58" s="83">
        <f>SUMIFS(Dataset!$AK:$AK,Dataset!$F:$F,'retorno absoluto'!$D$11,Dataset!$AC:$AC,I$52,Dataset!$J:$J,"&lt;"&amp;$D58,Dataset!J:J,"&gt;="&amp;$C58)</f>
        <v>0</v>
      </c>
      <c r="J58" s="83">
        <f>SUMIFS(Dataset!$AK:$AK,Dataset!$F:$F,'retorno absoluto'!$D$11,Dataset!$AC:$AC,"A",Dataset!$J:$J,"&lt;"&amp;$D58,Dataset!$J:$J,"&gt;="&amp;$C58)+SUMIFS(Dataset!$AK:$AK,Dataset!$F:$F,'retorno absoluto'!$D$11,Dataset!$AC:$AC,"A-",Dataset!$J:$J,"&lt;"&amp;$D58,Dataset!$J:$J,"&gt;="&amp;$C58)+SUMIFS(Dataset!$AK:$AK,Dataset!$F:$F,'retorno absoluto'!$D$11,Dataset!$AC:$AC,"A+",Dataset!$J:$J,"&lt;"&amp;$D58,Dataset!$J:$J,"&gt;="&amp;$C58)</f>
        <v>0</v>
      </c>
      <c r="K58" s="83">
        <f>SUMIFS(Dataset!$AK:$AK,Dataset!$F:$F,'retorno absoluto'!$D$11,Dataset!$AC:$AC,"BBB",Dataset!$J:$J,"&lt;"&amp;$D58,Dataset!$J:$J,"&gt;="&amp;$C58)+SUMIFS(Dataset!$AK:$AK,Dataset!$F:$F,'retorno absoluto'!$D$11,Dataset!$AC:$AC,"BBB-",Dataset!$J:$J,"&lt;"&amp;$D58,Dataset!$J:$J,"&gt;="&amp;$C58)+SUMIFS(Dataset!$AK:$AK,Dataset!$F:$F,'retorno absoluto'!$D$11,Dataset!$AC:$AC,"BBB+",Dataset!$J:$J,"&lt;"&amp;$D58,Dataset!$J:$J,"&gt;="&amp;$C58)</f>
        <v>0</v>
      </c>
      <c r="L58" s="83">
        <f>SUMIFS(Dataset!$AK:$AK,Dataset!$F:$F,'retorno absoluto'!$D$11,Dataset!$J:$J,"&lt;"&amp;$D58,Dataset!$J:$J,"&gt;="&amp;$C58,Dataset!$AC:$AC,"&lt;&gt;N-1+",Dataset!$AC:$AC,"&lt;&gt;*AA*",Dataset!$AC:$AC,"&lt;&gt;*AAA*",Dataset!$AC:$AC,"&lt;&gt;A",Dataset!$AC:$AC,"&lt;&gt;A-",Dataset!$AC:$AC,"&lt;&gt;A+",Dataset!$AC:$AC,"&lt;&gt;*BBB*")</f>
        <v>0</v>
      </c>
      <c r="M58" s="84">
        <f t="shared" si="2"/>
        <v>0</v>
      </c>
      <c r="N58" s="82">
        <f>SUMIFS(Dataset!$AA:$AA,Dataset!$F:$F,'retorno absoluto'!$D$11,Dataset!$AC:$AC,N$52,Dataset!$J:$J,"&lt;"&amp;$D58,Dataset!$J:$J,"&gt;="&amp;$C58)</f>
        <v>0</v>
      </c>
      <c r="O58" s="83">
        <f>SUMIFS(Dataset!$AA:$AA,Dataset!$F:$F,'retorno absoluto'!$D$11,Dataset!$AC:$AC,O$52,Dataset!$J:$J,"&lt;"&amp;$D58,Dataset!$J:$J,"&gt;="&amp;$C58)</f>
        <v>0</v>
      </c>
      <c r="P58" s="83">
        <f>SUMIFS(Dataset!$AA:$AA,Dataset!$F:$F,'retorno absoluto'!$D$11,Dataset!$AC:$AC,P$52,Dataset!$J:$J,"&lt;"&amp;$D58,Dataset!$J:$J,"&gt;="&amp;$C58)</f>
        <v>0</v>
      </c>
      <c r="Q58" s="83">
        <f>SUMIFS(Dataset!$AA:$AA,Dataset!$F:$F,'retorno absoluto'!$D$11,Dataset!$AC:$AC,Q$52,Dataset!$J:$J,"&lt;"&amp;$D58,Dataset!$J:$J,"&gt;="&amp;$C58)</f>
        <v>0</v>
      </c>
      <c r="R58" s="83">
        <f>SUMIFS(Dataset!$AA:$AA,Dataset!$F:$F,'retorno absoluto'!$D$11,Dataset!$AC:$AC,R$52,Dataset!$J:$J,"&lt;"&amp;$D58,Dataset!$J:$J,"&gt;="&amp;$C58)</f>
        <v>0</v>
      </c>
      <c r="S58" s="83">
        <f>SUMIFS(Dataset!$AA:$AA,Dataset!$F:$F,'retorno absoluto'!$D$11,Dataset!$AC:$AC,"A",Dataset!$J:$J,"&lt;"&amp;$D58,Dataset!$J:$J,"&gt;="&amp;$C58)+SUMIFS(Dataset!$AA:$AA,Dataset!$F:$F,'retorno absoluto'!$D$11,Dataset!$AC:$AC,"A-",Dataset!$J:$J,"&lt;"&amp;$D58,Dataset!$J:$J,"&gt;="&amp;$C58)+SUMIFS(Dataset!$AA:$AA,Dataset!$F:$F,'retorno absoluto'!$D$11,Dataset!$AC:$AC,"A+",Dataset!$J:$J,"&lt;"&amp;$D58,Dataset!$J:$J,"&gt;="&amp;$C58)</f>
        <v>0</v>
      </c>
      <c r="T58" s="83">
        <f>SUMIFS(Dataset!$AA:$AA,Dataset!$F:$F,'retorno absoluto'!$D$11,Dataset!$AC:$AC,"BBB-",Dataset!$J:$J,"&lt;"&amp;$D58,Dataset!$J:$J,"&gt;="&amp;$C58)+SUMIFS(Dataset!$AA:$AA,Dataset!$F:$F,'retorno absoluto'!$D$11,Dataset!$AC:$AC,"BBB",Dataset!$J:$J,"&lt;"&amp;$D58,Dataset!$J:$J,"&gt;="&amp;$C58)+SUMIFS(Dataset!$AA:$AA,Dataset!$F:$F,'retorno absoluto'!$D$11,Dataset!$AC:$AC,"BBB+",Dataset!$J:$J,"&lt;"&amp;$D58,Dataset!$J:$J,"&gt;="&amp;$C58)</f>
        <v>0</v>
      </c>
      <c r="U58" s="83">
        <f>SUMIFS(Dataset!$AA:$AA,Dataset!$F:$F,'retorno absoluto'!$D$11,Dataset!$J:$J,"&lt;"&amp;$D58,Dataset!$J:$J,"&gt;="&amp;$C58,Dataset!$AC:$AC,"&lt;&gt;N-1+",Dataset!$AC:$AC,"&lt;&gt;*AA*",Dataset!$AC:$AC,"&lt;&gt;*AAA*",Dataset!$AC:$AC,"&lt;&gt;A",Dataset!$AC:$AC,"&lt;&gt;A-",Dataset!$AC:$AC,"&lt;&gt;A+",Dataset!$AC:$AC,"&lt;&gt;*BBB*")</f>
        <v>0</v>
      </c>
      <c r="V58" s="84">
        <f t="shared" si="3"/>
        <v>0</v>
      </c>
      <c r="W58" s="85">
        <f>10*SUMIFS(Dataset!$H:$H,Dataset!$F:$F,'retorno absoluto'!$D$11,Dataset!$AC:$AC,W$52,Dataset!$J:$J,"&lt;"&amp;$D58,Dataset!J:J,"&gt;="&amp;$C58)</f>
        <v>0</v>
      </c>
      <c r="X58" s="86">
        <f>10*SUMIFS(Dataset!$H:$H,Dataset!$F:$F,'retorno absoluto'!$D$11,Dataset!$AC:$AC,X$52,Dataset!$J:$J,"&lt;"&amp;$D58,Dataset!J:J,"&gt;="&amp;$C58)</f>
        <v>0</v>
      </c>
      <c r="Y58" s="86">
        <f>10*SUMIFS(Dataset!$H:$H,Dataset!$F:$F,'retorno absoluto'!$D$11,Dataset!$AC:$AC,Y$52,Dataset!$J:$J,"&lt;"&amp;$D58,Dataset!J:J,"&gt;="&amp;$C58)</f>
        <v>0</v>
      </c>
      <c r="Z58" s="86">
        <f>10*SUMIFS(Dataset!$H:$H,Dataset!$F:$F,'retorno absoluto'!$D$11,Dataset!$AC:$AC,Z$52,Dataset!$J:$J,"&lt;"&amp;$D58,Dataset!J:J,"&gt;="&amp;$C58)</f>
        <v>0</v>
      </c>
      <c r="AA58" s="86">
        <f>10*SUMIFS(Dataset!$H:$H,Dataset!$F:$F,'retorno absoluto'!$D$11,Dataset!$AC:$AC,AA$52,Dataset!$J:$J,"&lt;"&amp;$D58,Dataset!J:J,"&gt;="&amp;$C58)</f>
        <v>0</v>
      </c>
      <c r="AB58" s="86">
        <f>10*SUMIFS(Dataset!$H:$H,Dataset!$F:$F,'retorno absoluto'!$D$11,Dataset!$AC:$AC,"A",Dataset!$J:$J,"&lt;"&amp;$D58,Dataset!$J:$J,"&gt;="&amp;$C58)+10*SUMIFS(Dataset!$H:$H,Dataset!$F:$F,'retorno absoluto'!$D$11,Dataset!$AC:$AC,"A-",Dataset!$J:$J,"&lt;"&amp;$D58,Dataset!$J:$J,"&gt;="&amp;$C58)+10*SUMIFS(Dataset!$H:$H,Dataset!$F:$F,'retorno absoluto'!$D$11,Dataset!$AC:$AC,"A+",Dataset!$J:$J,"&lt;"&amp;$D58,Dataset!$J:$J,"&gt;="&amp;$C58)</f>
        <v>0</v>
      </c>
      <c r="AC58" s="86">
        <f>10*SUMIFS(Dataset!$H:$H,Dataset!$F:$F,'retorno absoluto'!$D$11,Dataset!$AC:$AC,"BBB",Dataset!$J:$J,"&lt;"&amp;$D58,Dataset!$J:$J,"&gt;="&amp;$C58)+10*SUMIFS(Dataset!$H:$H,Dataset!$F:$F,'retorno absoluto'!$D$11,Dataset!$AC:$AC,"BBB-",Dataset!$J:$J,"&lt;"&amp;$D58,Dataset!$J:$J,"&gt;="&amp;$C58)+10*SUMIFS(Dataset!$H:$H,Dataset!$F:$F,'retorno absoluto'!$D$11,Dataset!$AC:$AC,"BBB+",Dataset!$J:$J,"&lt;"&amp;$D58,Dataset!$J:$J,"&gt;="&amp;$C58)</f>
        <v>0</v>
      </c>
      <c r="AD58" s="86">
        <f>10*SUMIFS(Dataset!$H:$H,Dataset!$F:$F,'retorno absoluto'!$D$11,Dataset!$J:$J,"&lt;"&amp;$D58,Dataset!$J:$J,"&gt;="&amp;$C58,Dataset!$AC:$AC,"&lt;&gt;N-1+",Dataset!$AC:$AC,"&lt;&gt;*AA*",Dataset!$AC:$AC,"&lt;&gt;*AAA*",Dataset!$AC:$AC,"&lt;&gt;A",Dataset!$AC:$AC,"&lt;&gt;A-",Dataset!$AC:$AC,"&lt;&gt;A+",Dataset!$AC:$AC,"&lt;&gt;*BBB*")</f>
        <v>0</v>
      </c>
      <c r="AE58" s="87">
        <f t="shared" si="4"/>
        <v>0</v>
      </c>
    </row>
    <row r="59" spans="3:35" ht="33" customHeight="1" x14ac:dyDescent="0.3">
      <c r="C59" s="61">
        <v>5.5</v>
      </c>
      <c r="D59" s="81">
        <v>6.5</v>
      </c>
      <c r="E59" s="82">
        <f>SUMIFS(Dataset!$AK:$AK,Dataset!$F:$F,'retorno absoluto'!$D$11,Dataset!$AC:$AC,E$52,Dataset!$J:$J,"&lt;"&amp;$D59,Dataset!J:J,"&gt;="&amp;$C59)</f>
        <v>0</v>
      </c>
      <c r="F59" s="83">
        <f>SUMIFS(Dataset!$AK:$AK,Dataset!$F:$F,'retorno absoluto'!$D$11,Dataset!$AC:$AC,F$52,Dataset!$J:$J,"&lt;"&amp;$D59,Dataset!J:J,"&gt;="&amp;$C59)</f>
        <v>0</v>
      </c>
      <c r="G59" s="83">
        <f>SUMIFS(Dataset!$AK:$AK,Dataset!$F:$F,'retorno absoluto'!$D$11,Dataset!$AC:$AC,G$52,Dataset!$J:$J,"&lt;"&amp;$D59,Dataset!J:J,"&gt;="&amp;$C59)</f>
        <v>0</v>
      </c>
      <c r="H59" s="83">
        <f>SUMIFS(Dataset!$AK:$AK,Dataset!$F:$F,'retorno absoluto'!$D$11,Dataset!$AC:$AC,H$52,Dataset!$J:$J,"&lt;"&amp;$D59,Dataset!J:J,"&gt;="&amp;$C59)</f>
        <v>0</v>
      </c>
      <c r="I59" s="83">
        <f>SUMIFS(Dataset!$AK:$AK,Dataset!$F:$F,'retorno absoluto'!$D$11,Dataset!$AC:$AC,I$52,Dataset!$J:$J,"&lt;"&amp;$D59,Dataset!J:J,"&gt;="&amp;$C59)</f>
        <v>0</v>
      </c>
      <c r="J59" s="83">
        <f>SUMIFS(Dataset!$AK:$AK,Dataset!$F:$F,'retorno absoluto'!$D$11,Dataset!$AC:$AC,"A",Dataset!$J:$J,"&lt;"&amp;$D59,Dataset!$J:$J,"&gt;="&amp;$C59)+SUMIFS(Dataset!$AK:$AK,Dataset!$F:$F,'retorno absoluto'!$D$11,Dataset!$AC:$AC,"A-",Dataset!$J:$J,"&lt;"&amp;$D59,Dataset!$J:$J,"&gt;="&amp;$C59)+SUMIFS(Dataset!$AK:$AK,Dataset!$F:$F,'retorno absoluto'!$D$11,Dataset!$AC:$AC,"A+",Dataset!$J:$J,"&lt;"&amp;$D59,Dataset!$J:$J,"&gt;="&amp;$C59)</f>
        <v>0</v>
      </c>
      <c r="K59" s="83">
        <f>SUMIFS(Dataset!$AK:$AK,Dataset!$F:$F,'retorno absoluto'!$D$11,Dataset!$AC:$AC,"BBB",Dataset!$J:$J,"&lt;"&amp;$D59,Dataset!$J:$J,"&gt;="&amp;$C59)+SUMIFS(Dataset!$AK:$AK,Dataset!$F:$F,'retorno absoluto'!$D$11,Dataset!$AC:$AC,"BBB-",Dataset!$J:$J,"&lt;"&amp;$D59,Dataset!$J:$J,"&gt;="&amp;$C59)+SUMIFS(Dataset!$AK:$AK,Dataset!$F:$F,'retorno absoluto'!$D$11,Dataset!$AC:$AC,"BBB+",Dataset!$J:$J,"&lt;"&amp;$D59,Dataset!$J:$J,"&gt;="&amp;$C59)</f>
        <v>0</v>
      </c>
      <c r="L59" s="83">
        <f>SUMIFS(Dataset!$AK:$AK,Dataset!$F:$F,'retorno absoluto'!$D$11,Dataset!$J:$J,"&lt;"&amp;$D59,Dataset!$J:$J,"&gt;="&amp;$C59,Dataset!$AC:$AC,"&lt;&gt;N-1+",Dataset!$AC:$AC,"&lt;&gt;*AA*",Dataset!$AC:$AC,"&lt;&gt;*AAA*",Dataset!$AC:$AC,"&lt;&gt;A",Dataset!$AC:$AC,"&lt;&gt;A-",Dataset!$AC:$AC,"&lt;&gt;A+",Dataset!$AC:$AC,"&lt;&gt;*BBB*")</f>
        <v>0</v>
      </c>
      <c r="M59" s="84">
        <f t="shared" si="2"/>
        <v>0</v>
      </c>
      <c r="N59" s="82">
        <f>SUMIFS(Dataset!$AA:$AA,Dataset!$F:$F,'retorno absoluto'!$D$11,Dataset!$AC:$AC,N$52,Dataset!$J:$J,"&lt;"&amp;$D59,Dataset!$J:$J,"&gt;="&amp;$C59)</f>
        <v>0</v>
      </c>
      <c r="O59" s="83">
        <f>SUMIFS(Dataset!$AA:$AA,Dataset!$F:$F,'retorno absoluto'!$D$11,Dataset!$AC:$AC,O$52,Dataset!$J:$J,"&lt;"&amp;$D59,Dataset!$J:$J,"&gt;="&amp;$C59)</f>
        <v>0</v>
      </c>
      <c r="P59" s="83">
        <f>SUMIFS(Dataset!$AA:$AA,Dataset!$F:$F,'retorno absoluto'!$D$11,Dataset!$AC:$AC,P$52,Dataset!$J:$J,"&lt;"&amp;$D59,Dataset!$J:$J,"&gt;="&amp;$C59)</f>
        <v>0</v>
      </c>
      <c r="Q59" s="83">
        <f>SUMIFS(Dataset!$AA:$AA,Dataset!$F:$F,'retorno absoluto'!$D$11,Dataset!$AC:$AC,Q$52,Dataset!$J:$J,"&lt;"&amp;$D59,Dataset!$J:$J,"&gt;="&amp;$C59)</f>
        <v>0</v>
      </c>
      <c r="R59" s="83">
        <f>SUMIFS(Dataset!$AA:$AA,Dataset!$F:$F,'retorno absoluto'!$D$11,Dataset!$AC:$AC,R$52,Dataset!$J:$J,"&lt;"&amp;$D59,Dataset!$J:$J,"&gt;="&amp;$C59)</f>
        <v>0</v>
      </c>
      <c r="S59" s="83">
        <f>SUMIFS(Dataset!$AA:$AA,Dataset!$F:$F,'retorno absoluto'!$D$11,Dataset!$AC:$AC,"A",Dataset!$J:$J,"&lt;"&amp;$D59,Dataset!$J:$J,"&gt;="&amp;$C59)+SUMIFS(Dataset!$AA:$AA,Dataset!$F:$F,'retorno absoluto'!$D$11,Dataset!$AC:$AC,"A-",Dataset!$J:$J,"&lt;"&amp;$D59,Dataset!$J:$J,"&gt;="&amp;$C59)+SUMIFS(Dataset!$AA:$AA,Dataset!$F:$F,'retorno absoluto'!$D$11,Dataset!$AC:$AC,"A+",Dataset!$J:$J,"&lt;"&amp;$D59,Dataset!$J:$J,"&gt;="&amp;$C59)</f>
        <v>0</v>
      </c>
      <c r="T59" s="83">
        <f>SUMIFS(Dataset!$AA:$AA,Dataset!$F:$F,'retorno absoluto'!$D$11,Dataset!$AC:$AC,"BBB-",Dataset!$J:$J,"&lt;"&amp;$D59,Dataset!$J:$J,"&gt;="&amp;$C59)+SUMIFS(Dataset!$AA:$AA,Dataset!$F:$F,'retorno absoluto'!$D$11,Dataset!$AC:$AC,"BBB",Dataset!$J:$J,"&lt;"&amp;$D59,Dataset!$J:$J,"&gt;="&amp;$C59)+SUMIFS(Dataset!$AA:$AA,Dataset!$F:$F,'retorno absoluto'!$D$11,Dataset!$AC:$AC,"BBB+",Dataset!$J:$J,"&lt;"&amp;$D59,Dataset!$J:$J,"&gt;="&amp;$C59)</f>
        <v>0</v>
      </c>
      <c r="U59" s="83">
        <f>SUMIFS(Dataset!$AA:$AA,Dataset!$F:$F,'retorno absoluto'!$D$11,Dataset!$J:$J,"&lt;"&amp;$D59,Dataset!$J:$J,"&gt;="&amp;$C59,Dataset!$AC:$AC,"&lt;&gt;N-1+",Dataset!$AC:$AC,"&lt;&gt;*AA*",Dataset!$AC:$AC,"&lt;&gt;*AAA*",Dataset!$AC:$AC,"&lt;&gt;A",Dataset!$AC:$AC,"&lt;&gt;A-",Dataset!$AC:$AC,"&lt;&gt;A+",Dataset!$AC:$AC,"&lt;&gt;*BBB*")</f>
        <v>0</v>
      </c>
      <c r="V59" s="84">
        <f t="shared" si="3"/>
        <v>0</v>
      </c>
      <c r="W59" s="85">
        <f>10*SUMIFS(Dataset!$H:$H,Dataset!$F:$F,'retorno absoluto'!$D$11,Dataset!$AC:$AC,W$52,Dataset!$J:$J,"&lt;"&amp;$D59,Dataset!J:J,"&gt;="&amp;$C59)</f>
        <v>0</v>
      </c>
      <c r="X59" s="86">
        <f>10*SUMIFS(Dataset!$H:$H,Dataset!$F:$F,'retorno absoluto'!$D$11,Dataset!$AC:$AC,X$52,Dataset!$J:$J,"&lt;"&amp;$D59,Dataset!J:J,"&gt;="&amp;$C59)</f>
        <v>0</v>
      </c>
      <c r="Y59" s="86">
        <f>10*SUMIFS(Dataset!$H:$H,Dataset!$F:$F,'retorno absoluto'!$D$11,Dataset!$AC:$AC,Y$52,Dataset!$J:$J,"&lt;"&amp;$D59,Dataset!J:J,"&gt;="&amp;$C59)</f>
        <v>0</v>
      </c>
      <c r="Z59" s="86">
        <f>10*SUMIFS(Dataset!$H:$H,Dataset!$F:$F,'retorno absoluto'!$D$11,Dataset!$AC:$AC,Z$52,Dataset!$J:$J,"&lt;"&amp;$D59,Dataset!J:J,"&gt;="&amp;$C59)</f>
        <v>0</v>
      </c>
      <c r="AA59" s="86">
        <f>10*SUMIFS(Dataset!$H:$H,Dataset!$F:$F,'retorno absoluto'!$D$11,Dataset!$AC:$AC,AA$52,Dataset!$J:$J,"&lt;"&amp;$D59,Dataset!J:J,"&gt;="&amp;$C59)</f>
        <v>0</v>
      </c>
      <c r="AB59" s="86">
        <f>10*SUMIFS(Dataset!$H:$H,Dataset!$F:$F,'retorno absoluto'!$D$11,Dataset!$AC:$AC,"A",Dataset!$J:$J,"&lt;"&amp;$D59,Dataset!$J:$J,"&gt;="&amp;$C59)+10*SUMIFS(Dataset!$H:$H,Dataset!$F:$F,'retorno absoluto'!$D$11,Dataset!$AC:$AC,"A-",Dataset!$J:$J,"&lt;"&amp;$D59,Dataset!$J:$J,"&gt;="&amp;$C59)+10*SUMIFS(Dataset!$H:$H,Dataset!$F:$F,'retorno absoluto'!$D$11,Dataset!$AC:$AC,"A+",Dataset!$J:$J,"&lt;"&amp;$D59,Dataset!$J:$J,"&gt;="&amp;$C59)</f>
        <v>0</v>
      </c>
      <c r="AC59" s="86">
        <f>10*SUMIFS(Dataset!$H:$H,Dataset!$F:$F,'retorno absoluto'!$D$11,Dataset!$AC:$AC,"BBB",Dataset!$J:$J,"&lt;"&amp;$D59,Dataset!$J:$J,"&gt;="&amp;$C59)+10*SUMIFS(Dataset!$H:$H,Dataset!$F:$F,'retorno absoluto'!$D$11,Dataset!$AC:$AC,"BBB-",Dataset!$J:$J,"&lt;"&amp;$D59,Dataset!$J:$J,"&gt;="&amp;$C59)+10*SUMIFS(Dataset!$H:$H,Dataset!$F:$F,'retorno absoluto'!$D$11,Dataset!$AC:$AC,"BBB+",Dataset!$J:$J,"&lt;"&amp;$D59,Dataset!$J:$J,"&gt;="&amp;$C59)</f>
        <v>0</v>
      </c>
      <c r="AD59" s="86">
        <f>10*SUMIFS(Dataset!$H:$H,Dataset!$F:$F,'retorno absoluto'!$D$11,Dataset!$J:$J,"&lt;"&amp;$D59,Dataset!$J:$J,"&gt;="&amp;$C59,Dataset!$AC:$AC,"&lt;&gt;N-1+",Dataset!$AC:$AC,"&lt;&gt;*AA*",Dataset!$AC:$AC,"&lt;&gt;*AAA*",Dataset!$AC:$AC,"&lt;&gt;A",Dataset!$AC:$AC,"&lt;&gt;A-",Dataset!$AC:$AC,"&lt;&gt;A+",Dataset!$AC:$AC,"&lt;&gt;*BBB*")</f>
        <v>0</v>
      </c>
      <c r="AE59" s="87">
        <f t="shared" si="4"/>
        <v>0</v>
      </c>
    </row>
    <row r="60" spans="3:35" ht="33" customHeight="1" x14ac:dyDescent="0.3">
      <c r="C60" s="61">
        <v>6.5</v>
      </c>
      <c r="D60" s="81">
        <v>7.5</v>
      </c>
      <c r="E60" s="82">
        <f>SUMIFS(Dataset!$AK:$AK,Dataset!$F:$F,'retorno absoluto'!$D$11,Dataset!$AC:$AC,E$52,Dataset!$J:$J,"&lt;"&amp;$D60,Dataset!J:J,"&gt;="&amp;$C60)</f>
        <v>0</v>
      </c>
      <c r="F60" s="83">
        <f>SUMIFS(Dataset!$AK:$AK,Dataset!$F:$F,'retorno absoluto'!$D$11,Dataset!$AC:$AC,F$52,Dataset!$J:$J,"&lt;"&amp;$D60,Dataset!J:J,"&gt;="&amp;$C60)</f>
        <v>0</v>
      </c>
      <c r="G60" s="83">
        <f>SUMIFS(Dataset!$AK:$AK,Dataset!$F:$F,'retorno absoluto'!$D$11,Dataset!$AC:$AC,G$52,Dataset!$J:$J,"&lt;"&amp;$D60,Dataset!J:J,"&gt;="&amp;$C60)</f>
        <v>0</v>
      </c>
      <c r="H60" s="83">
        <f>SUMIFS(Dataset!$AK:$AK,Dataset!$F:$F,'retorno absoluto'!$D$11,Dataset!$AC:$AC,H$52,Dataset!$J:$J,"&lt;"&amp;$D60,Dataset!J:J,"&gt;="&amp;$C60)</f>
        <v>0</v>
      </c>
      <c r="I60" s="83">
        <f>SUMIFS(Dataset!$AK:$AK,Dataset!$F:$F,'retorno absoluto'!$D$11,Dataset!$AC:$AC,I$52,Dataset!$J:$J,"&lt;"&amp;$D60,Dataset!J:J,"&gt;="&amp;$C60)</f>
        <v>0</v>
      </c>
      <c r="J60" s="83">
        <f>SUMIFS(Dataset!$AK:$AK,Dataset!$F:$F,'retorno absoluto'!$D$11,Dataset!$AC:$AC,"A",Dataset!$J:$J,"&lt;"&amp;$D60,Dataset!$J:$J,"&gt;="&amp;$C60)+SUMIFS(Dataset!$AK:$AK,Dataset!$F:$F,'retorno absoluto'!$D$11,Dataset!$AC:$AC,"A-",Dataset!$J:$J,"&lt;"&amp;$D60,Dataset!$J:$J,"&gt;="&amp;$C60)+SUMIFS(Dataset!$AK:$AK,Dataset!$F:$F,'retorno absoluto'!$D$11,Dataset!$AC:$AC,"A+",Dataset!$J:$J,"&lt;"&amp;$D60,Dataset!$J:$J,"&gt;="&amp;$C60)</f>
        <v>0</v>
      </c>
      <c r="K60" s="83">
        <f>SUMIFS(Dataset!$AK:$AK,Dataset!$F:$F,'retorno absoluto'!$D$11,Dataset!$AC:$AC,"BBB",Dataset!$J:$J,"&lt;"&amp;$D60,Dataset!$J:$J,"&gt;="&amp;$C60)+SUMIFS(Dataset!$AK:$AK,Dataset!$F:$F,'retorno absoluto'!$D$11,Dataset!$AC:$AC,"BBB-",Dataset!$J:$J,"&lt;"&amp;$D60,Dataset!$J:$J,"&gt;="&amp;$C60)+SUMIFS(Dataset!$AK:$AK,Dataset!$F:$F,'retorno absoluto'!$D$11,Dataset!$AC:$AC,"BBB+",Dataset!$J:$J,"&lt;"&amp;$D60,Dataset!$J:$J,"&gt;="&amp;$C60)</f>
        <v>0</v>
      </c>
      <c r="L60" s="83">
        <f>SUMIFS(Dataset!$AK:$AK,Dataset!$F:$F,'retorno absoluto'!$D$11,Dataset!$J:$J,"&lt;"&amp;$D60,Dataset!$J:$J,"&gt;="&amp;$C60,Dataset!$AC:$AC,"&lt;&gt;N-1+",Dataset!$AC:$AC,"&lt;&gt;*AA*",Dataset!$AC:$AC,"&lt;&gt;*AAA*",Dataset!$AC:$AC,"&lt;&gt;A",Dataset!$AC:$AC,"&lt;&gt;A-",Dataset!$AC:$AC,"&lt;&gt;A+",Dataset!$AC:$AC,"&lt;&gt;*BBB*")</f>
        <v>0</v>
      </c>
      <c r="M60" s="84">
        <f t="shared" si="2"/>
        <v>0</v>
      </c>
      <c r="N60" s="82">
        <f>SUMIFS(Dataset!$AA:$AA,Dataset!$F:$F,'retorno absoluto'!$D$11,Dataset!$AC:$AC,N$52,Dataset!$J:$J,"&lt;"&amp;$D60,Dataset!$J:$J,"&gt;="&amp;$C60)</f>
        <v>0</v>
      </c>
      <c r="O60" s="83">
        <f>SUMIFS(Dataset!$AA:$AA,Dataset!$F:$F,'retorno absoluto'!$D$11,Dataset!$AC:$AC,O$52,Dataset!$J:$J,"&lt;"&amp;$D60,Dataset!$J:$J,"&gt;="&amp;$C60)</f>
        <v>0</v>
      </c>
      <c r="P60" s="83">
        <f>SUMIFS(Dataset!$AA:$AA,Dataset!$F:$F,'retorno absoluto'!$D$11,Dataset!$AC:$AC,P$52,Dataset!$J:$J,"&lt;"&amp;$D60,Dataset!$J:$J,"&gt;="&amp;$C60)</f>
        <v>0</v>
      </c>
      <c r="Q60" s="83">
        <f>SUMIFS(Dataset!$AA:$AA,Dataset!$F:$F,'retorno absoluto'!$D$11,Dataset!$AC:$AC,Q$52,Dataset!$J:$J,"&lt;"&amp;$D60,Dataset!$J:$J,"&gt;="&amp;$C60)</f>
        <v>0</v>
      </c>
      <c r="R60" s="83">
        <f>SUMIFS(Dataset!$AA:$AA,Dataset!$F:$F,'retorno absoluto'!$D$11,Dataset!$AC:$AC,R$52,Dataset!$J:$J,"&lt;"&amp;$D60,Dataset!$J:$J,"&gt;="&amp;$C60)</f>
        <v>0</v>
      </c>
      <c r="S60" s="83">
        <f>SUMIFS(Dataset!$AA:$AA,Dataset!$F:$F,'retorno absoluto'!$D$11,Dataset!$AC:$AC,"A",Dataset!$J:$J,"&lt;"&amp;$D60,Dataset!$J:$J,"&gt;="&amp;$C60)+SUMIFS(Dataset!$AA:$AA,Dataset!$F:$F,'retorno absoluto'!$D$11,Dataset!$AC:$AC,"A-",Dataset!$J:$J,"&lt;"&amp;$D60,Dataset!$J:$J,"&gt;="&amp;$C60)+SUMIFS(Dataset!$AA:$AA,Dataset!$F:$F,'retorno absoluto'!$D$11,Dataset!$AC:$AC,"A+",Dataset!$J:$J,"&lt;"&amp;$D60,Dataset!$J:$J,"&gt;="&amp;$C60)</f>
        <v>0</v>
      </c>
      <c r="T60" s="83">
        <f>SUMIFS(Dataset!$AA:$AA,Dataset!$F:$F,'retorno absoluto'!$D$11,Dataset!$AC:$AC,"BBB-",Dataset!$J:$J,"&lt;"&amp;$D60,Dataset!$J:$J,"&gt;="&amp;$C60)+SUMIFS(Dataset!$AA:$AA,Dataset!$F:$F,'retorno absoluto'!$D$11,Dataset!$AC:$AC,"BBB",Dataset!$J:$J,"&lt;"&amp;$D60,Dataset!$J:$J,"&gt;="&amp;$C60)+SUMIFS(Dataset!$AA:$AA,Dataset!$F:$F,'retorno absoluto'!$D$11,Dataset!$AC:$AC,"BBB+",Dataset!$J:$J,"&lt;"&amp;$D60,Dataset!$J:$J,"&gt;="&amp;$C60)</f>
        <v>0</v>
      </c>
      <c r="U60" s="83">
        <f>SUMIFS(Dataset!$AA:$AA,Dataset!$F:$F,'retorno absoluto'!$D$11,Dataset!$J:$J,"&lt;"&amp;$D60,Dataset!$J:$J,"&gt;="&amp;$C60,Dataset!$AC:$AC,"&lt;&gt;N-1+",Dataset!$AC:$AC,"&lt;&gt;*AA*",Dataset!$AC:$AC,"&lt;&gt;*AAA*",Dataset!$AC:$AC,"&lt;&gt;A",Dataset!$AC:$AC,"&lt;&gt;A-",Dataset!$AC:$AC,"&lt;&gt;A+",Dataset!$AC:$AC,"&lt;&gt;*BBB*")</f>
        <v>0</v>
      </c>
      <c r="V60" s="84">
        <f t="shared" si="3"/>
        <v>0</v>
      </c>
      <c r="W60" s="85">
        <f>10*SUMIFS(Dataset!$H:$H,Dataset!$F:$F,'retorno absoluto'!$D$11,Dataset!$AC:$AC,W$52,Dataset!$J:$J,"&lt;"&amp;$D60,Dataset!J:J,"&gt;="&amp;$C60)</f>
        <v>0</v>
      </c>
      <c r="X60" s="86">
        <f>10*SUMIFS(Dataset!$H:$H,Dataset!$F:$F,'retorno absoluto'!$D$11,Dataset!$AC:$AC,X$52,Dataset!$J:$J,"&lt;"&amp;$D60,Dataset!J:J,"&gt;="&amp;$C60)</f>
        <v>0</v>
      </c>
      <c r="Y60" s="86">
        <f>10*SUMIFS(Dataset!$H:$H,Dataset!$F:$F,'retorno absoluto'!$D$11,Dataset!$AC:$AC,Y$52,Dataset!$J:$J,"&lt;"&amp;$D60,Dataset!J:J,"&gt;="&amp;$C60)</f>
        <v>0</v>
      </c>
      <c r="Z60" s="86">
        <f>10*SUMIFS(Dataset!$H:$H,Dataset!$F:$F,'retorno absoluto'!$D$11,Dataset!$AC:$AC,Z$52,Dataset!$J:$J,"&lt;"&amp;$D60,Dataset!J:J,"&gt;="&amp;$C60)</f>
        <v>0</v>
      </c>
      <c r="AA60" s="86">
        <f>10*SUMIFS(Dataset!$H:$H,Dataset!$F:$F,'retorno absoluto'!$D$11,Dataset!$AC:$AC,AA$52,Dataset!$J:$J,"&lt;"&amp;$D60,Dataset!J:J,"&gt;="&amp;$C60)</f>
        <v>0</v>
      </c>
      <c r="AB60" s="86">
        <f>10*SUMIFS(Dataset!$H:$H,Dataset!$F:$F,'retorno absoluto'!$D$11,Dataset!$AC:$AC,"A",Dataset!$J:$J,"&lt;"&amp;$D60,Dataset!$J:$J,"&gt;="&amp;$C60)+10*SUMIFS(Dataset!$H:$H,Dataset!$F:$F,'retorno absoluto'!$D$11,Dataset!$AC:$AC,"A-",Dataset!$J:$J,"&lt;"&amp;$D60,Dataset!$J:$J,"&gt;="&amp;$C60)+10*SUMIFS(Dataset!$H:$H,Dataset!$F:$F,'retorno absoluto'!$D$11,Dataset!$AC:$AC,"A+",Dataset!$J:$J,"&lt;"&amp;$D60,Dataset!$J:$J,"&gt;="&amp;$C60)</f>
        <v>0</v>
      </c>
      <c r="AC60" s="86">
        <f>10*SUMIFS(Dataset!$H:$H,Dataset!$F:$F,'retorno absoluto'!$D$11,Dataset!$AC:$AC,"BBB",Dataset!$J:$J,"&lt;"&amp;$D60,Dataset!$J:$J,"&gt;="&amp;$C60)+10*SUMIFS(Dataset!$H:$H,Dataset!$F:$F,'retorno absoluto'!$D$11,Dataset!$AC:$AC,"BBB-",Dataset!$J:$J,"&lt;"&amp;$D60,Dataset!$J:$J,"&gt;="&amp;$C60)+10*SUMIFS(Dataset!$H:$H,Dataset!$F:$F,'retorno absoluto'!$D$11,Dataset!$AC:$AC,"BBB+",Dataset!$J:$J,"&lt;"&amp;$D60,Dataset!$J:$J,"&gt;="&amp;$C60)</f>
        <v>0</v>
      </c>
      <c r="AD60" s="86">
        <f>10*SUMIFS(Dataset!$H:$H,Dataset!$F:$F,'retorno absoluto'!$D$11,Dataset!$J:$J,"&lt;"&amp;$D60,Dataset!$J:$J,"&gt;="&amp;$C60,Dataset!$AC:$AC,"&lt;&gt;N-1+",Dataset!$AC:$AC,"&lt;&gt;*AA*",Dataset!$AC:$AC,"&lt;&gt;*AAA*",Dataset!$AC:$AC,"&lt;&gt;A",Dataset!$AC:$AC,"&lt;&gt;A-",Dataset!$AC:$AC,"&lt;&gt;A+",Dataset!$AC:$AC,"&lt;&gt;*BBB*")</f>
        <v>0</v>
      </c>
      <c r="AE60" s="87">
        <f t="shared" si="4"/>
        <v>0</v>
      </c>
    </row>
    <row r="61" spans="3:35" ht="33" customHeight="1" x14ac:dyDescent="0.3">
      <c r="C61" s="61">
        <v>7.5</v>
      </c>
      <c r="D61" s="81">
        <v>8.5</v>
      </c>
      <c r="E61" s="82">
        <f>SUMIFS(Dataset!$AK:$AK,Dataset!$F:$F,'retorno absoluto'!$D$11,Dataset!$AC:$AC,E$52,Dataset!$J:$J,"&lt;"&amp;$D61,Dataset!J:J,"&gt;="&amp;$C61)</f>
        <v>0</v>
      </c>
      <c r="F61" s="83">
        <f>SUMIFS(Dataset!$AK:$AK,Dataset!$F:$F,'retorno absoluto'!$D$11,Dataset!$AC:$AC,F$52,Dataset!$J:$J,"&lt;"&amp;$D61,Dataset!J:J,"&gt;="&amp;$C61)</f>
        <v>6.7018375027363616E-2</v>
      </c>
      <c r="G61" s="83">
        <f>SUMIFS(Dataset!$AK:$AK,Dataset!$F:$F,'retorno absoluto'!$D$11,Dataset!$AC:$AC,G$52,Dataset!$J:$J,"&lt;"&amp;$D61,Dataset!J:J,"&gt;="&amp;$C61)</f>
        <v>0</v>
      </c>
      <c r="H61" s="83">
        <f>SUMIFS(Dataset!$AK:$AK,Dataset!$F:$F,'retorno absoluto'!$D$11,Dataset!$AC:$AC,H$52,Dataset!$J:$J,"&lt;"&amp;$D61,Dataset!J:J,"&gt;="&amp;$C61)</f>
        <v>0</v>
      </c>
      <c r="I61" s="83">
        <f>SUMIFS(Dataset!$AK:$AK,Dataset!$F:$F,'retorno absoluto'!$D$11,Dataset!$AC:$AC,I$52,Dataset!$J:$J,"&lt;"&amp;$D61,Dataset!J:J,"&gt;="&amp;$C61)</f>
        <v>0</v>
      </c>
      <c r="J61" s="83">
        <f>SUMIFS(Dataset!$AK:$AK,Dataset!$F:$F,'retorno absoluto'!$D$11,Dataset!$AC:$AC,"A",Dataset!$J:$J,"&lt;"&amp;$D61,Dataset!$J:$J,"&gt;="&amp;$C61)+SUMIFS(Dataset!$AK:$AK,Dataset!$F:$F,'retorno absoluto'!$D$11,Dataset!$AC:$AC,"A-",Dataset!$J:$J,"&lt;"&amp;$D61,Dataset!$J:$J,"&gt;="&amp;$C61)+SUMIFS(Dataset!$AK:$AK,Dataset!$F:$F,'retorno absoluto'!$D$11,Dataset!$AC:$AC,"A+",Dataset!$J:$J,"&lt;"&amp;$D61,Dataset!$J:$J,"&gt;="&amp;$C61)</f>
        <v>0</v>
      </c>
      <c r="K61" s="83">
        <f>SUMIFS(Dataset!$AK:$AK,Dataset!$F:$F,'retorno absoluto'!$D$11,Dataset!$AC:$AC,"BBB",Dataset!$J:$J,"&lt;"&amp;$D61,Dataset!$J:$J,"&gt;="&amp;$C61)+SUMIFS(Dataset!$AK:$AK,Dataset!$F:$F,'retorno absoluto'!$D$11,Dataset!$AC:$AC,"BBB-",Dataset!$J:$J,"&lt;"&amp;$D61,Dataset!$J:$J,"&gt;="&amp;$C61)+SUMIFS(Dataset!$AK:$AK,Dataset!$F:$F,'retorno absoluto'!$D$11,Dataset!$AC:$AC,"BBB+",Dataset!$J:$J,"&lt;"&amp;$D61,Dataset!$J:$J,"&gt;="&amp;$C61)</f>
        <v>0</v>
      </c>
      <c r="L61" s="83">
        <f>SUMIFS(Dataset!$AK:$AK,Dataset!$F:$F,'retorno absoluto'!$D$11,Dataset!$J:$J,"&lt;"&amp;$D61,Dataset!$J:$J,"&gt;="&amp;$C61,Dataset!$AC:$AC,"&lt;&gt;N-1+",Dataset!$AC:$AC,"&lt;&gt;*AA*",Dataset!$AC:$AC,"&lt;&gt;*AAA*",Dataset!$AC:$AC,"&lt;&gt;A",Dataset!$AC:$AC,"&lt;&gt;A-",Dataset!$AC:$AC,"&lt;&gt;A+",Dataset!$AC:$AC,"&lt;&gt;*BBB*")</f>
        <v>0</v>
      </c>
      <c r="M61" s="84">
        <f t="shared" si="2"/>
        <v>6.7018375027363616E-2</v>
      </c>
      <c r="N61" s="82">
        <f>SUMIFS(Dataset!$AA:$AA,Dataset!$F:$F,'retorno absoluto'!$D$11,Dataset!$AC:$AC,N$52,Dataset!$J:$J,"&lt;"&amp;$D61,Dataset!$J:$J,"&gt;="&amp;$C61)</f>
        <v>0</v>
      </c>
      <c r="O61" s="83">
        <f>SUMIFS(Dataset!$AA:$AA,Dataset!$F:$F,'retorno absoluto'!$D$11,Dataset!$AC:$AC,O$52,Dataset!$J:$J,"&lt;"&amp;$D61,Dataset!$J:$J,"&gt;="&amp;$C61)</f>
        <v>0.11526376482291698</v>
      </c>
      <c r="P61" s="83">
        <f>SUMIFS(Dataset!$AA:$AA,Dataset!$F:$F,'retorno absoluto'!$D$11,Dataset!$AC:$AC,P$52,Dataset!$J:$J,"&lt;"&amp;$D61,Dataset!$J:$J,"&gt;="&amp;$C61)</f>
        <v>0</v>
      </c>
      <c r="Q61" s="83">
        <f>SUMIFS(Dataset!$AA:$AA,Dataset!$F:$F,'retorno absoluto'!$D$11,Dataset!$AC:$AC,Q$52,Dataset!$J:$J,"&lt;"&amp;$D61,Dataset!$J:$J,"&gt;="&amp;$C61)</f>
        <v>0</v>
      </c>
      <c r="R61" s="83">
        <f>SUMIFS(Dataset!$AA:$AA,Dataset!$F:$F,'retorno absoluto'!$D$11,Dataset!$AC:$AC,R$52,Dataset!$J:$J,"&lt;"&amp;$D61,Dataset!$J:$J,"&gt;="&amp;$C61)</f>
        <v>0</v>
      </c>
      <c r="S61" s="83">
        <f>SUMIFS(Dataset!$AA:$AA,Dataset!$F:$F,'retorno absoluto'!$D$11,Dataset!$AC:$AC,"A",Dataset!$J:$J,"&lt;"&amp;$D61,Dataset!$J:$J,"&gt;="&amp;$C61)+SUMIFS(Dataset!$AA:$AA,Dataset!$F:$F,'retorno absoluto'!$D$11,Dataset!$AC:$AC,"A-",Dataset!$J:$J,"&lt;"&amp;$D61,Dataset!$J:$J,"&gt;="&amp;$C61)+SUMIFS(Dataset!$AA:$AA,Dataset!$F:$F,'retorno absoluto'!$D$11,Dataset!$AC:$AC,"A+",Dataset!$J:$J,"&lt;"&amp;$D61,Dataset!$J:$J,"&gt;="&amp;$C61)</f>
        <v>0</v>
      </c>
      <c r="T61" s="83">
        <f>SUMIFS(Dataset!$AA:$AA,Dataset!$F:$F,'retorno absoluto'!$D$11,Dataset!$AC:$AC,"BBB-",Dataset!$J:$J,"&lt;"&amp;$D61,Dataset!$J:$J,"&gt;="&amp;$C61)+SUMIFS(Dataset!$AA:$AA,Dataset!$F:$F,'retorno absoluto'!$D$11,Dataset!$AC:$AC,"BBB",Dataset!$J:$J,"&lt;"&amp;$D61,Dataset!$J:$J,"&gt;="&amp;$C61)+SUMIFS(Dataset!$AA:$AA,Dataset!$F:$F,'retorno absoluto'!$D$11,Dataset!$AC:$AC,"BBB+",Dataset!$J:$J,"&lt;"&amp;$D61,Dataset!$J:$J,"&gt;="&amp;$C61)</f>
        <v>0</v>
      </c>
      <c r="U61" s="83">
        <f>SUMIFS(Dataset!$AA:$AA,Dataset!$F:$F,'retorno absoluto'!$D$11,Dataset!$J:$J,"&lt;"&amp;$D61,Dataset!$J:$J,"&gt;="&amp;$C61,Dataset!$AC:$AC,"&lt;&gt;N-1+",Dataset!$AC:$AC,"&lt;&gt;*AA*",Dataset!$AC:$AC,"&lt;&gt;*AAA*",Dataset!$AC:$AC,"&lt;&gt;A",Dataset!$AC:$AC,"&lt;&gt;A-",Dataset!$AC:$AC,"&lt;&gt;A+",Dataset!$AC:$AC,"&lt;&gt;*BBB*")</f>
        <v>0</v>
      </c>
      <c r="V61" s="84">
        <f t="shared" si="3"/>
        <v>0.11526376482291698</v>
      </c>
      <c r="W61" s="85">
        <f>10*SUMIFS(Dataset!$H:$H,Dataset!$F:$F,'retorno absoluto'!$D$11,Dataset!$AC:$AC,W$52,Dataset!$J:$J,"&lt;"&amp;$D61,Dataset!J:J,"&gt;="&amp;$C61)</f>
        <v>0</v>
      </c>
      <c r="X61" s="86">
        <f>10*SUMIFS(Dataset!$H:$H,Dataset!$F:$F,'retorno absoluto'!$D$11,Dataset!$AC:$AC,X$52,Dataset!$J:$J,"&lt;"&amp;$D61,Dataset!J:J,"&gt;="&amp;$C61)</f>
        <v>5.2341350896370988</v>
      </c>
      <c r="Y61" s="86">
        <f>10*SUMIFS(Dataset!$H:$H,Dataset!$F:$F,'retorno absoluto'!$D$11,Dataset!$AC:$AC,Y$52,Dataset!$J:$J,"&lt;"&amp;$D61,Dataset!J:J,"&gt;="&amp;$C61)</f>
        <v>0</v>
      </c>
      <c r="Z61" s="86">
        <f>10*SUMIFS(Dataset!$H:$H,Dataset!$F:$F,'retorno absoluto'!$D$11,Dataset!$AC:$AC,Z$52,Dataset!$J:$J,"&lt;"&amp;$D61,Dataset!J:J,"&gt;="&amp;$C61)</f>
        <v>0</v>
      </c>
      <c r="AA61" s="86">
        <f>10*SUMIFS(Dataset!$H:$H,Dataset!$F:$F,'retorno absoluto'!$D$11,Dataset!$AC:$AC,AA$52,Dataset!$J:$J,"&lt;"&amp;$D61,Dataset!J:J,"&gt;="&amp;$C61)</f>
        <v>0</v>
      </c>
      <c r="AB61" s="86">
        <f>10*SUMIFS(Dataset!$H:$H,Dataset!$F:$F,'retorno absoluto'!$D$11,Dataset!$AC:$AC,"A",Dataset!$J:$J,"&lt;"&amp;$D61,Dataset!$J:$J,"&gt;="&amp;$C61)+10*SUMIFS(Dataset!$H:$H,Dataset!$F:$F,'retorno absoluto'!$D$11,Dataset!$AC:$AC,"A-",Dataset!$J:$J,"&lt;"&amp;$D61,Dataset!$J:$J,"&gt;="&amp;$C61)+10*SUMIFS(Dataset!$H:$H,Dataset!$F:$F,'retorno absoluto'!$D$11,Dataset!$AC:$AC,"A+",Dataset!$J:$J,"&lt;"&amp;$D61,Dataset!$J:$J,"&gt;="&amp;$C61)</f>
        <v>0</v>
      </c>
      <c r="AC61" s="86">
        <f>10*SUMIFS(Dataset!$H:$H,Dataset!$F:$F,'retorno absoluto'!$D$11,Dataset!$AC:$AC,"BBB",Dataset!$J:$J,"&lt;"&amp;$D61,Dataset!$J:$J,"&gt;="&amp;$C61)+10*SUMIFS(Dataset!$H:$H,Dataset!$F:$F,'retorno absoluto'!$D$11,Dataset!$AC:$AC,"BBB-",Dataset!$J:$J,"&lt;"&amp;$D61,Dataset!$J:$J,"&gt;="&amp;$C61)+10*SUMIFS(Dataset!$H:$H,Dataset!$F:$F,'retorno absoluto'!$D$11,Dataset!$AC:$AC,"BBB+",Dataset!$J:$J,"&lt;"&amp;$D61,Dataset!$J:$J,"&gt;="&amp;$C61)</f>
        <v>0</v>
      </c>
      <c r="AD61" s="86">
        <f>10*SUMIFS(Dataset!$H:$H,Dataset!$F:$F,'retorno absoluto'!$D$11,Dataset!$J:$J,"&lt;"&amp;$D61,Dataset!$J:$J,"&gt;="&amp;$C61,Dataset!$AC:$AC,"&lt;&gt;N-1+",Dataset!$AC:$AC,"&lt;&gt;*AA*",Dataset!$AC:$AC,"&lt;&gt;*AAA*",Dataset!$AC:$AC,"&lt;&gt;A",Dataset!$AC:$AC,"&lt;&gt;A-",Dataset!$AC:$AC,"&lt;&gt;A+",Dataset!$AC:$AC,"&lt;&gt;*BBB*")</f>
        <v>0</v>
      </c>
      <c r="AE61" s="87">
        <f t="shared" si="4"/>
        <v>5.2341350896370988</v>
      </c>
    </row>
    <row r="62" spans="3:35" ht="33" customHeight="1" x14ac:dyDescent="0.3">
      <c r="C62" s="61">
        <v>8.5</v>
      </c>
      <c r="D62" s="81">
        <v>9.5</v>
      </c>
      <c r="E62" s="82">
        <f>SUMIFS(Dataset!$AK:$AK,Dataset!$F:$F,'retorno absoluto'!$D$11,Dataset!$AC:$AC,E$52,Dataset!$J:$J,"&lt;"&amp;$D62,Dataset!J:J,"&gt;="&amp;$C62)</f>
        <v>0</v>
      </c>
      <c r="F62" s="83">
        <f>SUMIFS(Dataset!$AK:$AK,Dataset!$F:$F,'retorno absoluto'!$D$11,Dataset!$AC:$AC,F$52,Dataset!$J:$J,"&lt;"&amp;$D62,Dataset!J:J,"&gt;="&amp;$C62)</f>
        <v>0</v>
      </c>
      <c r="G62" s="83">
        <f>SUMIFS(Dataset!$AK:$AK,Dataset!$F:$F,'retorno absoluto'!$D$11,Dataset!$AC:$AC,G$52,Dataset!$J:$J,"&lt;"&amp;$D62,Dataset!J:J,"&gt;="&amp;$C62)</f>
        <v>0</v>
      </c>
      <c r="H62" s="83">
        <f>SUMIFS(Dataset!$AK:$AK,Dataset!$F:$F,'retorno absoluto'!$D$11,Dataset!$AC:$AC,H$52,Dataset!$J:$J,"&lt;"&amp;$D62,Dataset!J:J,"&gt;="&amp;$C62)</f>
        <v>0</v>
      </c>
      <c r="I62" s="83">
        <f>SUMIFS(Dataset!$AK:$AK,Dataset!$F:$F,'retorno absoluto'!$D$11,Dataset!$AC:$AC,I$52,Dataset!$J:$J,"&lt;"&amp;$D62,Dataset!J:J,"&gt;="&amp;$C62)</f>
        <v>0</v>
      </c>
      <c r="J62" s="83">
        <f>SUMIFS(Dataset!$AK:$AK,Dataset!$F:$F,'retorno absoluto'!$D$11,Dataset!$AC:$AC,"A",Dataset!$J:$J,"&lt;"&amp;$D62,Dataset!$J:$J,"&gt;="&amp;$C62)+SUMIFS(Dataset!$AK:$AK,Dataset!$F:$F,'retorno absoluto'!$D$11,Dataset!$AC:$AC,"A-",Dataset!$J:$J,"&lt;"&amp;$D62,Dataset!$J:$J,"&gt;="&amp;$C62)+SUMIFS(Dataset!$AK:$AK,Dataset!$F:$F,'retorno absoluto'!$D$11,Dataset!$AC:$AC,"A+",Dataset!$J:$J,"&lt;"&amp;$D62,Dataset!$J:$J,"&gt;="&amp;$C62)</f>
        <v>0</v>
      </c>
      <c r="K62" s="83">
        <f>SUMIFS(Dataset!$AK:$AK,Dataset!$F:$F,'retorno absoluto'!$D$11,Dataset!$AC:$AC,"BBB",Dataset!$J:$J,"&lt;"&amp;$D62,Dataset!$J:$J,"&gt;="&amp;$C62)+SUMIFS(Dataset!$AK:$AK,Dataset!$F:$F,'retorno absoluto'!$D$11,Dataset!$AC:$AC,"BBB-",Dataset!$J:$J,"&lt;"&amp;$D62,Dataset!$J:$J,"&gt;="&amp;$C62)+SUMIFS(Dataset!$AK:$AK,Dataset!$F:$F,'retorno absoluto'!$D$11,Dataset!$AC:$AC,"BBB+",Dataset!$J:$J,"&lt;"&amp;$D62,Dataset!$J:$J,"&gt;="&amp;$C62)</f>
        <v>0</v>
      </c>
      <c r="L62" s="83">
        <f>SUMIFS(Dataset!$AK:$AK,Dataset!$F:$F,'retorno absoluto'!$D$11,Dataset!$J:$J,"&lt;"&amp;$D62,Dataset!$J:$J,"&gt;="&amp;$C62,Dataset!$AC:$AC,"&lt;&gt;N-1+",Dataset!$AC:$AC,"&lt;&gt;*AA*",Dataset!$AC:$AC,"&lt;&gt;*AAA*",Dataset!$AC:$AC,"&lt;&gt;A",Dataset!$AC:$AC,"&lt;&gt;A-",Dataset!$AC:$AC,"&lt;&gt;A+",Dataset!$AC:$AC,"&lt;&gt;*BBB*")</f>
        <v>0</v>
      </c>
      <c r="M62" s="84">
        <f t="shared" si="2"/>
        <v>0</v>
      </c>
      <c r="N62" s="82">
        <f>SUMIFS(Dataset!$AA:$AA,Dataset!$F:$F,'retorno absoluto'!$D$11,Dataset!$AC:$AC,N$52,Dataset!$J:$J,"&lt;"&amp;$D62,Dataset!$J:$J,"&gt;="&amp;$C62)</f>
        <v>0</v>
      </c>
      <c r="O62" s="83">
        <f>SUMIFS(Dataset!$AA:$AA,Dataset!$F:$F,'retorno absoluto'!$D$11,Dataset!$AC:$AC,O$52,Dataset!$J:$J,"&lt;"&amp;$D62,Dataset!$J:$J,"&gt;="&amp;$C62)</f>
        <v>0</v>
      </c>
      <c r="P62" s="83">
        <f>SUMIFS(Dataset!$AA:$AA,Dataset!$F:$F,'retorno absoluto'!$D$11,Dataset!$AC:$AC,P$52,Dataset!$J:$J,"&lt;"&amp;$D62,Dataset!$J:$J,"&gt;="&amp;$C62)</f>
        <v>0</v>
      </c>
      <c r="Q62" s="83">
        <f>SUMIFS(Dataset!$AA:$AA,Dataset!$F:$F,'retorno absoluto'!$D$11,Dataset!$AC:$AC,Q$52,Dataset!$J:$J,"&lt;"&amp;$D62,Dataset!$J:$J,"&gt;="&amp;$C62)</f>
        <v>0</v>
      </c>
      <c r="R62" s="83">
        <f>SUMIFS(Dataset!$AA:$AA,Dataset!$F:$F,'retorno absoluto'!$D$11,Dataset!$AC:$AC,R$52,Dataset!$J:$J,"&lt;"&amp;$D62,Dataset!$J:$J,"&gt;="&amp;$C62)</f>
        <v>0</v>
      </c>
      <c r="S62" s="83">
        <f>SUMIFS(Dataset!$AA:$AA,Dataset!$F:$F,'retorno absoluto'!$D$11,Dataset!$AC:$AC,"A",Dataset!$J:$J,"&lt;"&amp;$D62,Dataset!$J:$J,"&gt;="&amp;$C62)+SUMIFS(Dataset!$AA:$AA,Dataset!$F:$F,'retorno absoluto'!$D$11,Dataset!$AC:$AC,"A-",Dataset!$J:$J,"&lt;"&amp;$D62,Dataset!$J:$J,"&gt;="&amp;$C62)+SUMIFS(Dataset!$AA:$AA,Dataset!$F:$F,'retorno absoluto'!$D$11,Dataset!$AC:$AC,"A+",Dataset!$J:$J,"&lt;"&amp;$D62,Dataset!$J:$J,"&gt;="&amp;$C62)</f>
        <v>0</v>
      </c>
      <c r="T62" s="83">
        <f>SUMIFS(Dataset!$AA:$AA,Dataset!$F:$F,'retorno absoluto'!$D$11,Dataset!$AC:$AC,"BBB-",Dataset!$J:$J,"&lt;"&amp;$D62,Dataset!$J:$J,"&gt;="&amp;$C62)+SUMIFS(Dataset!$AA:$AA,Dataset!$F:$F,'retorno absoluto'!$D$11,Dataset!$AC:$AC,"BBB",Dataset!$J:$J,"&lt;"&amp;$D62,Dataset!$J:$J,"&gt;="&amp;$C62)+SUMIFS(Dataset!$AA:$AA,Dataset!$F:$F,'retorno absoluto'!$D$11,Dataset!$AC:$AC,"BBB+",Dataset!$J:$J,"&lt;"&amp;$D62,Dataset!$J:$J,"&gt;="&amp;$C62)</f>
        <v>0</v>
      </c>
      <c r="U62" s="83">
        <f>SUMIFS(Dataset!$AA:$AA,Dataset!$F:$F,'retorno absoluto'!$D$11,Dataset!$J:$J,"&lt;"&amp;$D62,Dataset!$J:$J,"&gt;="&amp;$C62,Dataset!$AC:$AC,"&lt;&gt;N-1+",Dataset!$AC:$AC,"&lt;&gt;*AA*",Dataset!$AC:$AC,"&lt;&gt;*AAA*",Dataset!$AC:$AC,"&lt;&gt;A",Dataset!$AC:$AC,"&lt;&gt;A-",Dataset!$AC:$AC,"&lt;&gt;A+",Dataset!$AC:$AC,"&lt;&gt;*BBB*")</f>
        <v>0</v>
      </c>
      <c r="V62" s="84">
        <f t="shared" si="3"/>
        <v>0</v>
      </c>
      <c r="W62" s="85">
        <f>10*SUMIFS(Dataset!$H:$H,Dataset!$F:$F,'retorno absoluto'!$D$11,Dataset!$AC:$AC,W$52,Dataset!$J:$J,"&lt;"&amp;$D62,Dataset!J:J,"&gt;="&amp;$C62)</f>
        <v>0</v>
      </c>
      <c r="X62" s="86">
        <f>10*SUMIFS(Dataset!$H:$H,Dataset!$F:$F,'retorno absoluto'!$D$11,Dataset!$AC:$AC,X$52,Dataset!$J:$J,"&lt;"&amp;$D62,Dataset!J:J,"&gt;="&amp;$C62)</f>
        <v>0</v>
      </c>
      <c r="Y62" s="86">
        <f>10*SUMIFS(Dataset!$H:$H,Dataset!$F:$F,'retorno absoluto'!$D$11,Dataset!$AC:$AC,Y$52,Dataset!$J:$J,"&lt;"&amp;$D62,Dataset!J:J,"&gt;="&amp;$C62)</f>
        <v>0</v>
      </c>
      <c r="Z62" s="86">
        <f>10*SUMIFS(Dataset!$H:$H,Dataset!$F:$F,'retorno absoluto'!$D$11,Dataset!$AC:$AC,Z$52,Dataset!$J:$J,"&lt;"&amp;$D62,Dataset!J:J,"&gt;="&amp;$C62)</f>
        <v>0</v>
      </c>
      <c r="AA62" s="86">
        <f>10*SUMIFS(Dataset!$H:$H,Dataset!$F:$F,'retorno absoluto'!$D$11,Dataset!$AC:$AC,AA$52,Dataset!$J:$J,"&lt;"&amp;$D62,Dataset!J:J,"&gt;="&amp;$C62)</f>
        <v>0</v>
      </c>
      <c r="AB62" s="86">
        <f>10*SUMIFS(Dataset!$H:$H,Dataset!$F:$F,'retorno absoluto'!$D$11,Dataset!$AC:$AC,"A",Dataset!$J:$J,"&lt;"&amp;$D62,Dataset!$J:$J,"&gt;="&amp;$C62)+10*SUMIFS(Dataset!$H:$H,Dataset!$F:$F,'retorno absoluto'!$D$11,Dataset!$AC:$AC,"A-",Dataset!$J:$J,"&lt;"&amp;$D62,Dataset!$J:$J,"&gt;="&amp;$C62)+10*SUMIFS(Dataset!$H:$H,Dataset!$F:$F,'retorno absoluto'!$D$11,Dataset!$AC:$AC,"A+",Dataset!$J:$J,"&lt;"&amp;$D62,Dataset!$J:$J,"&gt;="&amp;$C62)</f>
        <v>0</v>
      </c>
      <c r="AC62" s="86">
        <f>10*SUMIFS(Dataset!$H:$H,Dataset!$F:$F,'retorno absoluto'!$D$11,Dataset!$AC:$AC,"BBB",Dataset!$J:$J,"&lt;"&amp;$D62,Dataset!$J:$J,"&gt;="&amp;$C62)+10*SUMIFS(Dataset!$H:$H,Dataset!$F:$F,'retorno absoluto'!$D$11,Dataset!$AC:$AC,"BBB-",Dataset!$J:$J,"&lt;"&amp;$D62,Dataset!$J:$J,"&gt;="&amp;$C62)+10*SUMIFS(Dataset!$H:$H,Dataset!$F:$F,'retorno absoluto'!$D$11,Dataset!$AC:$AC,"BBB+",Dataset!$J:$J,"&lt;"&amp;$D62,Dataset!$J:$J,"&gt;="&amp;$C62)</f>
        <v>0</v>
      </c>
      <c r="AD62" s="86">
        <f>10*SUMIFS(Dataset!$H:$H,Dataset!$F:$F,'retorno absoluto'!$D$11,Dataset!$J:$J,"&lt;"&amp;$D62,Dataset!$J:$J,"&gt;="&amp;$C62,Dataset!$AC:$AC,"&lt;&gt;N-1+",Dataset!$AC:$AC,"&lt;&gt;*AA*",Dataset!$AC:$AC,"&lt;&gt;*AAA*",Dataset!$AC:$AC,"&lt;&gt;A",Dataset!$AC:$AC,"&lt;&gt;A-",Dataset!$AC:$AC,"&lt;&gt;A+",Dataset!$AC:$AC,"&lt;&gt;*BBB*")</f>
        <v>0</v>
      </c>
      <c r="AE62" s="87">
        <f t="shared" si="4"/>
        <v>0</v>
      </c>
    </row>
    <row r="63" spans="3:35" ht="33" customHeight="1" x14ac:dyDescent="0.3">
      <c r="C63" s="61">
        <v>9.5</v>
      </c>
      <c r="D63" s="81">
        <v>10.5</v>
      </c>
      <c r="E63" s="82">
        <f>SUMIFS(Dataset!$AK:$AK,Dataset!$F:$F,'retorno absoluto'!$D$11,Dataset!$AC:$AC,E$52,Dataset!$J:$J,"&lt;"&amp;$D63,Dataset!J:J,"&gt;="&amp;$C63)</f>
        <v>0</v>
      </c>
      <c r="F63" s="83">
        <f>SUMIFS(Dataset!$AK:$AK,Dataset!$F:$F,'retorno absoluto'!$D$11,Dataset!$AC:$AC,F$52,Dataset!$J:$J,"&lt;"&amp;$D63,Dataset!J:J,"&gt;="&amp;$C63)</f>
        <v>0</v>
      </c>
      <c r="G63" s="83">
        <f>SUMIFS(Dataset!$AK:$AK,Dataset!$F:$F,'retorno absoluto'!$D$11,Dataset!$AC:$AC,G$52,Dataset!$J:$J,"&lt;"&amp;$D63,Dataset!J:J,"&gt;="&amp;$C63)</f>
        <v>0</v>
      </c>
      <c r="H63" s="83">
        <f>SUMIFS(Dataset!$AK:$AK,Dataset!$F:$F,'retorno absoluto'!$D$11,Dataset!$AC:$AC,H$52,Dataset!$J:$J,"&lt;"&amp;$D63,Dataset!J:J,"&gt;="&amp;$C63)</f>
        <v>0</v>
      </c>
      <c r="I63" s="83">
        <f>SUMIFS(Dataset!$AK:$AK,Dataset!$F:$F,'retorno absoluto'!$D$11,Dataset!$AC:$AC,I$52,Dataset!$J:$J,"&lt;"&amp;$D63,Dataset!J:J,"&gt;="&amp;$C63)</f>
        <v>0</v>
      </c>
      <c r="J63" s="83">
        <f>SUMIFS(Dataset!$AK:$AK,Dataset!$F:$F,'retorno absoluto'!$D$11,Dataset!$AC:$AC,"A",Dataset!$J:$J,"&lt;"&amp;$D63,Dataset!$J:$J,"&gt;="&amp;$C63)+SUMIFS(Dataset!$AK:$AK,Dataset!$F:$F,'retorno absoluto'!$D$11,Dataset!$AC:$AC,"A-",Dataset!$J:$J,"&lt;"&amp;$D63,Dataset!$J:$J,"&gt;="&amp;$C63)+SUMIFS(Dataset!$AK:$AK,Dataset!$F:$F,'retorno absoluto'!$D$11,Dataset!$AC:$AC,"A+",Dataset!$J:$J,"&lt;"&amp;$D63,Dataset!$J:$J,"&gt;="&amp;$C63)</f>
        <v>0</v>
      </c>
      <c r="K63" s="83">
        <f>SUMIFS(Dataset!$AK:$AK,Dataset!$F:$F,'retorno absoluto'!$D$11,Dataset!$AC:$AC,"BBB",Dataset!$J:$J,"&lt;"&amp;$D63,Dataset!$J:$J,"&gt;="&amp;$C63)+SUMIFS(Dataset!$AK:$AK,Dataset!$F:$F,'retorno absoluto'!$D$11,Dataset!$AC:$AC,"BBB-",Dataset!$J:$J,"&lt;"&amp;$D63,Dataset!$J:$J,"&gt;="&amp;$C63)+SUMIFS(Dataset!$AK:$AK,Dataset!$F:$F,'retorno absoluto'!$D$11,Dataset!$AC:$AC,"BBB+",Dataset!$J:$J,"&lt;"&amp;$D63,Dataset!$J:$J,"&gt;="&amp;$C63)</f>
        <v>0</v>
      </c>
      <c r="L63" s="83">
        <f>SUMIFS(Dataset!$AK:$AK,Dataset!$F:$F,'retorno absoluto'!$D$11,Dataset!$J:$J,"&lt;"&amp;$D63,Dataset!$J:$J,"&gt;="&amp;$C63,Dataset!$AC:$AC,"&lt;&gt;N-1+",Dataset!$AC:$AC,"&lt;&gt;*AA*",Dataset!$AC:$AC,"&lt;&gt;*AAA*",Dataset!$AC:$AC,"&lt;&gt;A",Dataset!$AC:$AC,"&lt;&gt;A-",Dataset!$AC:$AC,"&lt;&gt;A+",Dataset!$AC:$AC,"&lt;&gt;*BBB*")</f>
        <v>0</v>
      </c>
      <c r="M63" s="84">
        <f t="shared" si="2"/>
        <v>0</v>
      </c>
      <c r="N63" s="82">
        <f>SUMIFS(Dataset!$AA:$AA,Dataset!$F:$F,'retorno absoluto'!$D$11,Dataset!$AC:$AC,N$52,Dataset!$J:$J,"&lt;"&amp;$D63,Dataset!$J:$J,"&gt;="&amp;$C63)</f>
        <v>0</v>
      </c>
      <c r="O63" s="83">
        <f>SUMIFS(Dataset!$AA:$AA,Dataset!$F:$F,'retorno absoluto'!$D$11,Dataset!$AC:$AC,O$52,Dataset!$J:$J,"&lt;"&amp;$D63,Dataset!$J:$J,"&gt;="&amp;$C63)</f>
        <v>0</v>
      </c>
      <c r="P63" s="83">
        <f>SUMIFS(Dataset!$AA:$AA,Dataset!$F:$F,'retorno absoluto'!$D$11,Dataset!$AC:$AC,P$52,Dataset!$J:$J,"&lt;"&amp;$D63,Dataset!$J:$J,"&gt;="&amp;$C63)</f>
        <v>0</v>
      </c>
      <c r="Q63" s="83">
        <f>SUMIFS(Dataset!$AA:$AA,Dataset!$F:$F,'retorno absoluto'!$D$11,Dataset!$AC:$AC,Q$52,Dataset!$J:$J,"&lt;"&amp;$D63,Dataset!$J:$J,"&gt;="&amp;$C63)</f>
        <v>0</v>
      </c>
      <c r="R63" s="83">
        <f>SUMIFS(Dataset!$AA:$AA,Dataset!$F:$F,'retorno absoluto'!$D$11,Dataset!$AC:$AC,R$52,Dataset!$J:$J,"&lt;"&amp;$D63,Dataset!$J:$J,"&gt;="&amp;$C63)</f>
        <v>0</v>
      </c>
      <c r="S63" s="83">
        <f>SUMIFS(Dataset!$AA:$AA,Dataset!$F:$F,'retorno absoluto'!$D$11,Dataset!$AC:$AC,"A",Dataset!$J:$J,"&lt;"&amp;$D63,Dataset!$J:$J,"&gt;="&amp;$C63)+SUMIFS(Dataset!$AA:$AA,Dataset!$F:$F,'retorno absoluto'!$D$11,Dataset!$AC:$AC,"A-",Dataset!$J:$J,"&lt;"&amp;$D63,Dataset!$J:$J,"&gt;="&amp;$C63)+SUMIFS(Dataset!$AA:$AA,Dataset!$F:$F,'retorno absoluto'!$D$11,Dataset!$AC:$AC,"A+",Dataset!$J:$J,"&lt;"&amp;$D63,Dataset!$J:$J,"&gt;="&amp;$C63)</f>
        <v>0</v>
      </c>
      <c r="T63" s="83">
        <f>SUMIFS(Dataset!$AA:$AA,Dataset!$F:$F,'retorno absoluto'!$D$11,Dataset!$AC:$AC,"BBB-",Dataset!$J:$J,"&lt;"&amp;$D63,Dataset!$J:$J,"&gt;="&amp;$C63)+SUMIFS(Dataset!$AA:$AA,Dataset!$F:$F,'retorno absoluto'!$D$11,Dataset!$AC:$AC,"BBB",Dataset!$J:$J,"&lt;"&amp;$D63,Dataset!$J:$J,"&gt;="&amp;$C63)+SUMIFS(Dataset!$AA:$AA,Dataset!$F:$F,'retorno absoluto'!$D$11,Dataset!$AC:$AC,"BBB+",Dataset!$J:$J,"&lt;"&amp;$D63,Dataset!$J:$J,"&gt;="&amp;$C63)</f>
        <v>0</v>
      </c>
      <c r="U63" s="83">
        <f>SUMIFS(Dataset!$AA:$AA,Dataset!$F:$F,'retorno absoluto'!$D$11,Dataset!$J:$J,"&lt;"&amp;$D63,Dataset!$J:$J,"&gt;="&amp;$C63,Dataset!$AC:$AC,"&lt;&gt;N-1+",Dataset!$AC:$AC,"&lt;&gt;*AA*",Dataset!$AC:$AC,"&lt;&gt;*AAA*",Dataset!$AC:$AC,"&lt;&gt;A",Dataset!$AC:$AC,"&lt;&gt;A-",Dataset!$AC:$AC,"&lt;&gt;A+",Dataset!$AC:$AC,"&lt;&gt;*BBB*")</f>
        <v>0</v>
      </c>
      <c r="V63" s="84">
        <f t="shared" si="3"/>
        <v>0</v>
      </c>
      <c r="W63" s="85">
        <f>10*SUMIFS(Dataset!$H:$H,Dataset!$F:$F,'retorno absoluto'!$D$11,Dataset!$AC:$AC,W$52,Dataset!$J:$J,"&lt;"&amp;$D63,Dataset!J:J,"&gt;="&amp;$C63)</f>
        <v>0</v>
      </c>
      <c r="X63" s="86">
        <f>10*SUMIFS(Dataset!$H:$H,Dataset!$F:$F,'retorno absoluto'!$D$11,Dataset!$AC:$AC,X$52,Dataset!$J:$J,"&lt;"&amp;$D63,Dataset!J:J,"&gt;="&amp;$C63)</f>
        <v>0</v>
      </c>
      <c r="Y63" s="86">
        <f>10*SUMIFS(Dataset!$H:$H,Dataset!$F:$F,'retorno absoluto'!$D$11,Dataset!$AC:$AC,Y$52,Dataset!$J:$J,"&lt;"&amp;$D63,Dataset!J:J,"&gt;="&amp;$C63)</f>
        <v>0</v>
      </c>
      <c r="Z63" s="86">
        <f>10*SUMIFS(Dataset!$H:$H,Dataset!$F:$F,'retorno absoluto'!$D$11,Dataset!$AC:$AC,Z$52,Dataset!$J:$J,"&lt;"&amp;$D63,Dataset!J:J,"&gt;="&amp;$C63)</f>
        <v>0</v>
      </c>
      <c r="AA63" s="86">
        <f>10*SUMIFS(Dataset!$H:$H,Dataset!$F:$F,'retorno absoluto'!$D$11,Dataset!$AC:$AC,AA$52,Dataset!$J:$J,"&lt;"&amp;$D63,Dataset!J:J,"&gt;="&amp;$C63)</f>
        <v>0</v>
      </c>
      <c r="AB63" s="86">
        <f>10*SUMIFS(Dataset!$H:$H,Dataset!$F:$F,'retorno absoluto'!$D$11,Dataset!$AC:$AC,"A",Dataset!$J:$J,"&lt;"&amp;$D63,Dataset!$J:$J,"&gt;="&amp;$C63)+10*SUMIFS(Dataset!$H:$H,Dataset!$F:$F,'retorno absoluto'!$D$11,Dataset!$AC:$AC,"A-",Dataset!$J:$J,"&lt;"&amp;$D63,Dataset!$J:$J,"&gt;="&amp;$C63)+10*SUMIFS(Dataset!$H:$H,Dataset!$F:$F,'retorno absoluto'!$D$11,Dataset!$AC:$AC,"A+",Dataset!$J:$J,"&lt;"&amp;$D63,Dataset!$J:$J,"&gt;="&amp;$C63)</f>
        <v>0</v>
      </c>
      <c r="AC63" s="86">
        <f>10*SUMIFS(Dataset!$H:$H,Dataset!$F:$F,'retorno absoluto'!$D$11,Dataset!$AC:$AC,"BBB",Dataset!$J:$J,"&lt;"&amp;$D63,Dataset!$J:$J,"&gt;="&amp;$C63)+10*SUMIFS(Dataset!$H:$H,Dataset!$F:$F,'retorno absoluto'!$D$11,Dataset!$AC:$AC,"BBB-",Dataset!$J:$J,"&lt;"&amp;$D63,Dataset!$J:$J,"&gt;="&amp;$C63)+10*SUMIFS(Dataset!$H:$H,Dataset!$F:$F,'retorno absoluto'!$D$11,Dataset!$AC:$AC,"BBB+",Dataset!$J:$J,"&lt;"&amp;$D63,Dataset!$J:$J,"&gt;="&amp;$C63)</f>
        <v>0</v>
      </c>
      <c r="AD63" s="86">
        <f>10*SUMIFS(Dataset!$H:$H,Dataset!$F:$F,'retorno absoluto'!$D$11,Dataset!$J:$J,"&lt;"&amp;$D63,Dataset!$J:$J,"&gt;="&amp;$C63,Dataset!$AC:$AC,"&lt;&gt;N-1+",Dataset!$AC:$AC,"&lt;&gt;*AA*",Dataset!$AC:$AC,"&lt;&gt;*AAA*",Dataset!$AC:$AC,"&lt;&gt;A",Dataset!$AC:$AC,"&lt;&gt;A-",Dataset!$AC:$AC,"&lt;&gt;A+",Dataset!$AC:$AC,"&lt;&gt;*BBB*")</f>
        <v>0</v>
      </c>
      <c r="AE63" s="87">
        <f t="shared" si="4"/>
        <v>0</v>
      </c>
    </row>
    <row r="64" spans="3:35" ht="33" customHeight="1" x14ac:dyDescent="0.3">
      <c r="C64" s="61">
        <v>10.5</v>
      </c>
      <c r="D64" s="81">
        <v>11.5</v>
      </c>
      <c r="E64" s="82">
        <f>SUMIFS(Dataset!$AK:$AK,Dataset!$F:$F,'retorno absoluto'!$D$11,Dataset!$AC:$AC,E$52,Dataset!$J:$J,"&lt;"&amp;$D64,Dataset!J:J,"&gt;="&amp;$C64)</f>
        <v>0</v>
      </c>
      <c r="F64" s="83">
        <f>SUMIFS(Dataset!$AK:$AK,Dataset!$F:$F,'retorno absoluto'!$D$11,Dataset!$AC:$AC,F$52,Dataset!$J:$J,"&lt;"&amp;$D64,Dataset!J:J,"&gt;="&amp;$C64)</f>
        <v>0</v>
      </c>
      <c r="G64" s="83">
        <f>SUMIFS(Dataset!$AK:$AK,Dataset!$F:$F,'retorno absoluto'!$D$11,Dataset!$AC:$AC,G$52,Dataset!$J:$J,"&lt;"&amp;$D64,Dataset!J:J,"&gt;="&amp;$C64)</f>
        <v>0</v>
      </c>
      <c r="H64" s="83">
        <f>SUMIFS(Dataset!$AK:$AK,Dataset!$F:$F,'retorno absoluto'!$D$11,Dataset!$AC:$AC,H$52,Dataset!$J:$J,"&lt;"&amp;$D64,Dataset!J:J,"&gt;="&amp;$C64)</f>
        <v>0</v>
      </c>
      <c r="I64" s="83">
        <f>SUMIFS(Dataset!$AK:$AK,Dataset!$F:$F,'retorno absoluto'!$D$11,Dataset!$AC:$AC,I$52,Dataset!$J:$J,"&lt;"&amp;$D64,Dataset!J:J,"&gt;="&amp;$C64)</f>
        <v>0</v>
      </c>
      <c r="J64" s="83">
        <f>SUMIFS(Dataset!$AK:$AK,Dataset!$F:$F,'retorno absoluto'!$D$11,Dataset!$AC:$AC,"A",Dataset!$J:$J,"&lt;"&amp;$D64,Dataset!$J:$J,"&gt;="&amp;$C64)+SUMIFS(Dataset!$AK:$AK,Dataset!$F:$F,'retorno absoluto'!$D$11,Dataset!$AC:$AC,"A-",Dataset!$J:$J,"&lt;"&amp;$D64,Dataset!$J:$J,"&gt;="&amp;$C64)+SUMIFS(Dataset!$AK:$AK,Dataset!$F:$F,'retorno absoluto'!$D$11,Dataset!$AC:$AC,"A+",Dataset!$J:$J,"&lt;"&amp;$D64,Dataset!$J:$J,"&gt;="&amp;$C64)</f>
        <v>0</v>
      </c>
      <c r="K64" s="83">
        <f>SUMIFS(Dataset!$AK:$AK,Dataset!$F:$F,'retorno absoluto'!$D$11,Dataset!$AC:$AC,"BBB",Dataset!$J:$J,"&lt;"&amp;$D64,Dataset!$J:$J,"&gt;="&amp;$C64)+SUMIFS(Dataset!$AK:$AK,Dataset!$F:$F,'retorno absoluto'!$D$11,Dataset!$AC:$AC,"BBB-",Dataset!$J:$J,"&lt;"&amp;$D64,Dataset!$J:$J,"&gt;="&amp;$C64)+SUMIFS(Dataset!$AK:$AK,Dataset!$F:$F,'retorno absoluto'!$D$11,Dataset!$AC:$AC,"BBB+",Dataset!$J:$J,"&lt;"&amp;$D64,Dataset!$J:$J,"&gt;="&amp;$C64)</f>
        <v>0</v>
      </c>
      <c r="L64" s="83">
        <f>SUMIFS(Dataset!$AK:$AK,Dataset!$F:$F,'retorno absoluto'!$D$11,Dataset!$J:$J,"&lt;"&amp;$D64,Dataset!$J:$J,"&gt;="&amp;$C64,Dataset!$AC:$AC,"&lt;&gt;N-1+",Dataset!$AC:$AC,"&lt;&gt;*AA*",Dataset!$AC:$AC,"&lt;&gt;*AAA*",Dataset!$AC:$AC,"&lt;&gt;A",Dataset!$AC:$AC,"&lt;&gt;A-",Dataset!$AC:$AC,"&lt;&gt;A+",Dataset!$AC:$AC,"&lt;&gt;*BBB*")</f>
        <v>0</v>
      </c>
      <c r="M64" s="84">
        <f t="shared" si="2"/>
        <v>0</v>
      </c>
      <c r="N64" s="82">
        <f>SUMIFS(Dataset!$AA:$AA,Dataset!$F:$F,'retorno absoluto'!$D$11,Dataset!$AC:$AC,N$52,Dataset!$J:$J,"&lt;"&amp;$D64,Dataset!$J:$J,"&gt;="&amp;$C64)</f>
        <v>0</v>
      </c>
      <c r="O64" s="83">
        <f>SUMIFS(Dataset!$AA:$AA,Dataset!$F:$F,'retorno absoluto'!$D$11,Dataset!$AC:$AC,O$52,Dataset!$J:$J,"&lt;"&amp;$D64,Dataset!$J:$J,"&gt;="&amp;$C64)</f>
        <v>0</v>
      </c>
      <c r="P64" s="83">
        <f>SUMIFS(Dataset!$AA:$AA,Dataset!$F:$F,'retorno absoluto'!$D$11,Dataset!$AC:$AC,P$52,Dataset!$J:$J,"&lt;"&amp;$D64,Dataset!$J:$J,"&gt;="&amp;$C64)</f>
        <v>0</v>
      </c>
      <c r="Q64" s="83">
        <f>SUMIFS(Dataset!$AA:$AA,Dataset!$F:$F,'retorno absoluto'!$D$11,Dataset!$AC:$AC,Q$52,Dataset!$J:$J,"&lt;"&amp;$D64,Dataset!$J:$J,"&gt;="&amp;$C64)</f>
        <v>0</v>
      </c>
      <c r="R64" s="83">
        <f>SUMIFS(Dataset!$AA:$AA,Dataset!$F:$F,'retorno absoluto'!$D$11,Dataset!$AC:$AC,R$52,Dataset!$J:$J,"&lt;"&amp;$D64,Dataset!$J:$J,"&gt;="&amp;$C64)</f>
        <v>0</v>
      </c>
      <c r="S64" s="83">
        <f>SUMIFS(Dataset!$AA:$AA,Dataset!$F:$F,'retorno absoluto'!$D$11,Dataset!$AC:$AC,"A",Dataset!$J:$J,"&lt;"&amp;$D64,Dataset!$J:$J,"&gt;="&amp;$C64)+SUMIFS(Dataset!$AA:$AA,Dataset!$F:$F,'retorno absoluto'!$D$11,Dataset!$AC:$AC,"A-",Dataset!$J:$J,"&lt;"&amp;$D64,Dataset!$J:$J,"&gt;="&amp;$C64)+SUMIFS(Dataset!$AA:$AA,Dataset!$F:$F,'retorno absoluto'!$D$11,Dataset!$AC:$AC,"A+",Dataset!$J:$J,"&lt;"&amp;$D64,Dataset!$J:$J,"&gt;="&amp;$C64)</f>
        <v>0</v>
      </c>
      <c r="T64" s="83">
        <f>SUMIFS(Dataset!$AA:$AA,Dataset!$F:$F,'retorno absoluto'!$D$11,Dataset!$AC:$AC,"BBB-",Dataset!$J:$J,"&lt;"&amp;$D64,Dataset!$J:$J,"&gt;="&amp;$C64)+SUMIFS(Dataset!$AA:$AA,Dataset!$F:$F,'retorno absoluto'!$D$11,Dataset!$AC:$AC,"BBB",Dataset!$J:$J,"&lt;"&amp;$D64,Dataset!$J:$J,"&gt;="&amp;$C64)+SUMIFS(Dataset!$AA:$AA,Dataset!$F:$F,'retorno absoluto'!$D$11,Dataset!$AC:$AC,"BBB+",Dataset!$J:$J,"&lt;"&amp;$D64,Dataset!$J:$J,"&gt;="&amp;$C64)</f>
        <v>0</v>
      </c>
      <c r="U64" s="83">
        <f>SUMIFS(Dataset!$AA:$AA,Dataset!$F:$F,'retorno absoluto'!$D$11,Dataset!$J:$J,"&lt;"&amp;$D64,Dataset!$J:$J,"&gt;="&amp;$C64,Dataset!$AC:$AC,"&lt;&gt;N-1+",Dataset!$AC:$AC,"&lt;&gt;*AA*",Dataset!$AC:$AC,"&lt;&gt;*AAA*",Dataset!$AC:$AC,"&lt;&gt;A",Dataset!$AC:$AC,"&lt;&gt;A-",Dataset!$AC:$AC,"&lt;&gt;A+",Dataset!$AC:$AC,"&lt;&gt;*BBB*")</f>
        <v>0</v>
      </c>
      <c r="V64" s="84">
        <f t="shared" si="3"/>
        <v>0</v>
      </c>
      <c r="W64" s="85">
        <f>10*SUMIFS(Dataset!$H:$H,Dataset!$F:$F,'retorno absoluto'!$D$11,Dataset!$AC:$AC,W$52,Dataset!$J:$J,"&lt;"&amp;$D64,Dataset!J:J,"&gt;="&amp;$C64)</f>
        <v>0</v>
      </c>
      <c r="X64" s="86">
        <f>10*SUMIFS(Dataset!$H:$H,Dataset!$F:$F,'retorno absoluto'!$D$11,Dataset!$AC:$AC,X$52,Dataset!$J:$J,"&lt;"&amp;$D64,Dataset!J:J,"&gt;="&amp;$C64)</f>
        <v>0</v>
      </c>
      <c r="Y64" s="86">
        <f>10*SUMIFS(Dataset!$H:$H,Dataset!$F:$F,'retorno absoluto'!$D$11,Dataset!$AC:$AC,Y$52,Dataset!$J:$J,"&lt;"&amp;$D64,Dataset!J:J,"&gt;="&amp;$C64)</f>
        <v>0</v>
      </c>
      <c r="Z64" s="86">
        <f>10*SUMIFS(Dataset!$H:$H,Dataset!$F:$F,'retorno absoluto'!$D$11,Dataset!$AC:$AC,Z$52,Dataset!$J:$J,"&lt;"&amp;$D64,Dataset!J:J,"&gt;="&amp;$C64)</f>
        <v>0</v>
      </c>
      <c r="AA64" s="86">
        <f>10*SUMIFS(Dataset!$H:$H,Dataset!$F:$F,'retorno absoluto'!$D$11,Dataset!$AC:$AC,AA$52,Dataset!$J:$J,"&lt;"&amp;$D64,Dataset!J:J,"&gt;="&amp;$C64)</f>
        <v>0</v>
      </c>
      <c r="AB64" s="86">
        <f>10*SUMIFS(Dataset!$H:$H,Dataset!$F:$F,'retorno absoluto'!$D$11,Dataset!$AC:$AC,"A",Dataset!$J:$J,"&lt;"&amp;$D64,Dataset!$J:$J,"&gt;="&amp;$C64)+10*SUMIFS(Dataset!$H:$H,Dataset!$F:$F,'retorno absoluto'!$D$11,Dataset!$AC:$AC,"A-",Dataset!$J:$J,"&lt;"&amp;$D64,Dataset!$J:$J,"&gt;="&amp;$C64)+10*SUMIFS(Dataset!$H:$H,Dataset!$F:$F,'retorno absoluto'!$D$11,Dataset!$AC:$AC,"A+",Dataset!$J:$J,"&lt;"&amp;$D64,Dataset!$J:$J,"&gt;="&amp;$C64)</f>
        <v>0</v>
      </c>
      <c r="AC64" s="86">
        <f>10*SUMIFS(Dataset!$H:$H,Dataset!$F:$F,'retorno absoluto'!$D$11,Dataset!$AC:$AC,"BBB",Dataset!$J:$J,"&lt;"&amp;$D64,Dataset!$J:$J,"&gt;="&amp;$C64)+10*SUMIFS(Dataset!$H:$H,Dataset!$F:$F,'retorno absoluto'!$D$11,Dataset!$AC:$AC,"BBB-",Dataset!$J:$J,"&lt;"&amp;$D64,Dataset!$J:$J,"&gt;="&amp;$C64)+10*SUMIFS(Dataset!$H:$H,Dataset!$F:$F,'retorno absoluto'!$D$11,Dataset!$AC:$AC,"BBB+",Dataset!$J:$J,"&lt;"&amp;$D64,Dataset!$J:$J,"&gt;="&amp;$C64)</f>
        <v>0</v>
      </c>
      <c r="AD64" s="86">
        <f>10*SUMIFS(Dataset!$H:$H,Dataset!$F:$F,'retorno absoluto'!$D$11,Dataset!$J:$J,"&lt;"&amp;$D64,Dataset!$J:$J,"&gt;="&amp;$C64,Dataset!$AC:$AC,"&lt;&gt;N-1+",Dataset!$AC:$AC,"&lt;&gt;*AA*",Dataset!$AC:$AC,"&lt;&gt;*AAA*",Dataset!$AC:$AC,"&lt;&gt;A",Dataset!$AC:$AC,"&lt;&gt;A-",Dataset!$AC:$AC,"&lt;&gt;A+",Dataset!$AC:$AC,"&lt;&gt;*BBB*")</f>
        <v>0</v>
      </c>
      <c r="AE64" s="87">
        <f t="shared" si="4"/>
        <v>0</v>
      </c>
    </row>
    <row r="65" spans="2:40" ht="33" customHeight="1" x14ac:dyDescent="0.3">
      <c r="C65" s="61">
        <v>11.5</v>
      </c>
      <c r="D65" s="81">
        <v>12.5</v>
      </c>
      <c r="E65" s="82">
        <f>SUMIFS(Dataset!$AK:$AK,Dataset!$F:$F,'retorno absoluto'!$D$11,Dataset!$AC:$AC,E$52,Dataset!$J:$J,"&lt;"&amp;$D65,Dataset!J:J,"&gt;="&amp;$C65)</f>
        <v>0</v>
      </c>
      <c r="F65" s="83">
        <f>SUMIFS(Dataset!$AK:$AK,Dataset!$F:$F,'retorno absoluto'!$D$11,Dataset!$AC:$AC,F$52,Dataset!$J:$J,"&lt;"&amp;$D65,Dataset!J:J,"&gt;="&amp;$C65)</f>
        <v>3.683292733448891E-2</v>
      </c>
      <c r="G65" s="83">
        <f>SUMIFS(Dataset!$AK:$AK,Dataset!$F:$F,'retorno absoluto'!$D$11,Dataset!$AC:$AC,G$52,Dataset!$J:$J,"&lt;"&amp;$D65,Dataset!J:J,"&gt;="&amp;$C65)</f>
        <v>0</v>
      </c>
      <c r="H65" s="83">
        <f>SUMIFS(Dataset!$AK:$AK,Dataset!$F:$F,'retorno absoluto'!$D$11,Dataset!$AC:$AC,H$52,Dataset!$J:$J,"&lt;"&amp;$D65,Dataset!J:J,"&gt;="&amp;$C65)</f>
        <v>0</v>
      </c>
      <c r="I65" s="83">
        <f>SUMIFS(Dataset!$AK:$AK,Dataset!$F:$F,'retorno absoluto'!$D$11,Dataset!$AC:$AC,I$52,Dataset!$J:$J,"&lt;"&amp;$D65,Dataset!J:J,"&gt;="&amp;$C65)</f>
        <v>0</v>
      </c>
      <c r="J65" s="83">
        <f>SUMIFS(Dataset!$AK:$AK,Dataset!$F:$F,'retorno absoluto'!$D$11,Dataset!$AC:$AC,"A",Dataset!$J:$J,"&lt;"&amp;$D65,Dataset!$J:$J,"&gt;="&amp;$C65)+SUMIFS(Dataset!$AK:$AK,Dataset!$F:$F,'retorno absoluto'!$D$11,Dataset!$AC:$AC,"A-",Dataset!$J:$J,"&lt;"&amp;$D65,Dataset!$J:$J,"&gt;="&amp;$C65)+SUMIFS(Dataset!$AK:$AK,Dataset!$F:$F,'retorno absoluto'!$D$11,Dataset!$AC:$AC,"A+",Dataset!$J:$J,"&lt;"&amp;$D65,Dataset!$J:$J,"&gt;="&amp;$C65)</f>
        <v>0</v>
      </c>
      <c r="K65" s="83">
        <f>SUMIFS(Dataset!$AK:$AK,Dataset!$F:$F,'retorno absoluto'!$D$11,Dataset!$AC:$AC,"BBB",Dataset!$J:$J,"&lt;"&amp;$D65,Dataset!$J:$J,"&gt;="&amp;$C65)+SUMIFS(Dataset!$AK:$AK,Dataset!$F:$F,'retorno absoluto'!$D$11,Dataset!$AC:$AC,"BBB-",Dataset!$J:$J,"&lt;"&amp;$D65,Dataset!$J:$J,"&gt;="&amp;$C65)+SUMIFS(Dataset!$AK:$AK,Dataset!$F:$F,'retorno absoluto'!$D$11,Dataset!$AC:$AC,"BBB+",Dataset!$J:$J,"&lt;"&amp;$D65,Dataset!$J:$J,"&gt;="&amp;$C65)</f>
        <v>0</v>
      </c>
      <c r="L65" s="83">
        <f>SUMIFS(Dataset!$AK:$AK,Dataset!$F:$F,'retorno absoluto'!$D$11,Dataset!$J:$J,"&lt;"&amp;$D65,Dataset!$J:$J,"&gt;="&amp;$C65,Dataset!$AC:$AC,"&lt;&gt;N-1+",Dataset!$AC:$AC,"&lt;&gt;*AA*",Dataset!$AC:$AC,"&lt;&gt;*AAA*",Dataset!$AC:$AC,"&lt;&gt;A",Dataset!$AC:$AC,"&lt;&gt;A-",Dataset!$AC:$AC,"&lt;&gt;A+",Dataset!$AC:$AC,"&lt;&gt;*BBB*")</f>
        <v>0</v>
      </c>
      <c r="M65" s="84">
        <f t="shared" si="2"/>
        <v>3.683292733448891E-2</v>
      </c>
      <c r="N65" s="82">
        <f>SUMIFS(Dataset!$AA:$AA,Dataset!$F:$F,'retorno absoluto'!$D$11,Dataset!$AC:$AC,N$52,Dataset!$J:$J,"&lt;"&amp;$D65,Dataset!$J:$J,"&gt;="&amp;$C65)</f>
        <v>0</v>
      </c>
      <c r="O65" s="83">
        <f>SUMIFS(Dataset!$AA:$AA,Dataset!$F:$F,'retorno absoluto'!$D$11,Dataset!$AC:$AC,O$52,Dataset!$J:$J,"&lt;"&amp;$D65,Dataset!$J:$J,"&gt;="&amp;$C65)</f>
        <v>0.11814551142634716</v>
      </c>
      <c r="P65" s="83">
        <f>SUMIFS(Dataset!$AA:$AA,Dataset!$F:$F,'retorno absoluto'!$D$11,Dataset!$AC:$AC,P$52,Dataset!$J:$J,"&lt;"&amp;$D65,Dataset!$J:$J,"&gt;="&amp;$C65)</f>
        <v>0</v>
      </c>
      <c r="Q65" s="83">
        <f>SUMIFS(Dataset!$AA:$AA,Dataset!$F:$F,'retorno absoluto'!$D$11,Dataset!$AC:$AC,Q$52,Dataset!$J:$J,"&lt;"&amp;$D65,Dataset!$J:$J,"&gt;="&amp;$C65)</f>
        <v>0</v>
      </c>
      <c r="R65" s="83">
        <f>SUMIFS(Dataset!$AA:$AA,Dataset!$F:$F,'retorno absoluto'!$D$11,Dataset!$AC:$AC,R$52,Dataset!$J:$J,"&lt;"&amp;$D65,Dataset!$J:$J,"&gt;="&amp;$C65)</f>
        <v>0</v>
      </c>
      <c r="S65" s="83">
        <f>SUMIFS(Dataset!$AA:$AA,Dataset!$F:$F,'retorno absoluto'!$D$11,Dataset!$AC:$AC,"A",Dataset!$J:$J,"&lt;"&amp;$D65,Dataset!$J:$J,"&gt;="&amp;$C65)+SUMIFS(Dataset!$AA:$AA,Dataset!$F:$F,'retorno absoluto'!$D$11,Dataset!$AC:$AC,"A-",Dataset!$J:$J,"&lt;"&amp;$D65,Dataset!$J:$J,"&gt;="&amp;$C65)+SUMIFS(Dataset!$AA:$AA,Dataset!$F:$F,'retorno absoluto'!$D$11,Dataset!$AC:$AC,"A+",Dataset!$J:$J,"&lt;"&amp;$D65,Dataset!$J:$J,"&gt;="&amp;$C65)</f>
        <v>0</v>
      </c>
      <c r="T65" s="83">
        <f>SUMIFS(Dataset!$AA:$AA,Dataset!$F:$F,'retorno absoluto'!$D$11,Dataset!$AC:$AC,"BBB-",Dataset!$J:$J,"&lt;"&amp;$D65,Dataset!$J:$J,"&gt;="&amp;$C65)+SUMIFS(Dataset!$AA:$AA,Dataset!$F:$F,'retorno absoluto'!$D$11,Dataset!$AC:$AC,"BBB",Dataset!$J:$J,"&lt;"&amp;$D65,Dataset!$J:$J,"&gt;="&amp;$C65)+SUMIFS(Dataset!$AA:$AA,Dataset!$F:$F,'retorno absoluto'!$D$11,Dataset!$AC:$AC,"BBB+",Dataset!$J:$J,"&lt;"&amp;$D65,Dataset!$J:$J,"&gt;="&amp;$C65)</f>
        <v>0</v>
      </c>
      <c r="U65" s="83">
        <f>SUMIFS(Dataset!$AA:$AA,Dataset!$F:$F,'retorno absoluto'!$D$11,Dataset!$J:$J,"&lt;"&amp;$D65,Dataset!$J:$J,"&gt;="&amp;$C65,Dataset!$AC:$AC,"&lt;&gt;N-1+",Dataset!$AC:$AC,"&lt;&gt;*AA*",Dataset!$AC:$AC,"&lt;&gt;*AAA*",Dataset!$AC:$AC,"&lt;&gt;A",Dataset!$AC:$AC,"&lt;&gt;A-",Dataset!$AC:$AC,"&lt;&gt;A+",Dataset!$AC:$AC,"&lt;&gt;*BBB*")</f>
        <v>0</v>
      </c>
      <c r="V65" s="84">
        <f t="shared" si="3"/>
        <v>0.11814551142634716</v>
      </c>
      <c r="W65" s="85">
        <f>10*SUMIFS(Dataset!$H:$H,Dataset!$F:$F,'retorno absoluto'!$D$11,Dataset!$AC:$AC,W$52,Dataset!$J:$J,"&lt;"&amp;$D65,Dataset!J:J,"&gt;="&amp;$C65)</f>
        <v>0</v>
      </c>
      <c r="X65" s="86">
        <f>10*SUMIFS(Dataset!$H:$H,Dataset!$F:$F,'retorno absoluto'!$D$11,Dataset!$AC:$AC,X$52,Dataset!$J:$J,"&lt;"&amp;$D65,Dataset!J:J,"&gt;="&amp;$C65)</f>
        <v>4.3131357908686514</v>
      </c>
      <c r="Y65" s="86">
        <f>10*SUMIFS(Dataset!$H:$H,Dataset!$F:$F,'retorno absoluto'!$D$11,Dataset!$AC:$AC,Y$52,Dataset!$J:$J,"&lt;"&amp;$D65,Dataset!J:J,"&gt;="&amp;$C65)</f>
        <v>0</v>
      </c>
      <c r="Z65" s="86">
        <f>10*SUMIFS(Dataset!$H:$H,Dataset!$F:$F,'retorno absoluto'!$D$11,Dataset!$AC:$AC,Z$52,Dataset!$J:$J,"&lt;"&amp;$D65,Dataset!J:J,"&gt;="&amp;$C65)</f>
        <v>0</v>
      </c>
      <c r="AA65" s="86">
        <f>10*SUMIFS(Dataset!$H:$H,Dataset!$F:$F,'retorno absoluto'!$D$11,Dataset!$AC:$AC,AA$52,Dataset!$J:$J,"&lt;"&amp;$D65,Dataset!J:J,"&gt;="&amp;$C65)</f>
        <v>0</v>
      </c>
      <c r="AB65" s="86">
        <f>10*SUMIFS(Dataset!$H:$H,Dataset!$F:$F,'retorno absoluto'!$D$11,Dataset!$AC:$AC,"A",Dataset!$J:$J,"&lt;"&amp;$D65,Dataset!$J:$J,"&gt;="&amp;$C65)+10*SUMIFS(Dataset!$H:$H,Dataset!$F:$F,'retorno absoluto'!$D$11,Dataset!$AC:$AC,"A-",Dataset!$J:$J,"&lt;"&amp;$D65,Dataset!$J:$J,"&gt;="&amp;$C65)+10*SUMIFS(Dataset!$H:$H,Dataset!$F:$F,'retorno absoluto'!$D$11,Dataset!$AC:$AC,"A+",Dataset!$J:$J,"&lt;"&amp;$D65,Dataset!$J:$J,"&gt;="&amp;$C65)</f>
        <v>0</v>
      </c>
      <c r="AC65" s="86">
        <f>10*SUMIFS(Dataset!$H:$H,Dataset!$F:$F,'retorno absoluto'!$D$11,Dataset!$AC:$AC,"BBB",Dataset!$J:$J,"&lt;"&amp;$D65,Dataset!$J:$J,"&gt;="&amp;$C65)+10*SUMIFS(Dataset!$H:$H,Dataset!$F:$F,'retorno absoluto'!$D$11,Dataset!$AC:$AC,"BBB-",Dataset!$J:$J,"&lt;"&amp;$D65,Dataset!$J:$J,"&gt;="&amp;$C65)+10*SUMIFS(Dataset!$H:$H,Dataset!$F:$F,'retorno absoluto'!$D$11,Dataset!$AC:$AC,"BBB+",Dataset!$J:$J,"&lt;"&amp;$D65,Dataset!$J:$J,"&gt;="&amp;$C65)</f>
        <v>0</v>
      </c>
      <c r="AD65" s="86">
        <f>10*SUMIFS(Dataset!$H:$H,Dataset!$F:$F,'retorno absoluto'!$D$11,Dataset!$J:$J,"&lt;"&amp;$D65,Dataset!$J:$J,"&gt;="&amp;$C65,Dataset!$AC:$AC,"&lt;&gt;N-1+",Dataset!$AC:$AC,"&lt;&gt;*AA*",Dataset!$AC:$AC,"&lt;&gt;*AAA*",Dataset!$AC:$AC,"&lt;&gt;A",Dataset!$AC:$AC,"&lt;&gt;A-",Dataset!$AC:$AC,"&lt;&gt;A+",Dataset!$AC:$AC,"&lt;&gt;*BBB*")</f>
        <v>0</v>
      </c>
      <c r="AE65" s="87">
        <f t="shared" si="4"/>
        <v>4.3131357908686514</v>
      </c>
    </row>
    <row r="66" spans="2:40" ht="33" customHeight="1" x14ac:dyDescent="0.3">
      <c r="C66" s="61">
        <v>12.5</v>
      </c>
      <c r="D66" s="81">
        <v>13.5</v>
      </c>
      <c r="E66" s="82">
        <f>SUMIFS(Dataset!$AK:$AK,Dataset!$F:$F,'retorno absoluto'!$D$11,Dataset!$AC:$AC,E$52,Dataset!$J:$J,"&lt;"&amp;$D66,Dataset!J:J,"&gt;="&amp;$C66)</f>
        <v>0</v>
      </c>
      <c r="F66" s="83">
        <f>SUMIFS(Dataset!$AK:$AK,Dataset!$F:$F,'retorno absoluto'!$D$11,Dataset!$AC:$AC,F$52,Dataset!$J:$J,"&lt;"&amp;$D66,Dataset!J:J,"&gt;="&amp;$C66)</f>
        <v>0</v>
      </c>
      <c r="G66" s="83">
        <f>SUMIFS(Dataset!$AK:$AK,Dataset!$F:$F,'retorno absoluto'!$D$11,Dataset!$AC:$AC,G$52,Dataset!$J:$J,"&lt;"&amp;$D66,Dataset!J:J,"&gt;="&amp;$C66)</f>
        <v>0</v>
      </c>
      <c r="H66" s="83">
        <f>SUMIFS(Dataset!$AK:$AK,Dataset!$F:$F,'retorno absoluto'!$D$11,Dataset!$AC:$AC,H$52,Dataset!$J:$J,"&lt;"&amp;$D66,Dataset!J:J,"&gt;="&amp;$C66)</f>
        <v>0</v>
      </c>
      <c r="I66" s="83">
        <f>SUMIFS(Dataset!$AK:$AK,Dataset!$F:$F,'retorno absoluto'!$D$11,Dataset!$AC:$AC,I$52,Dataset!$J:$J,"&lt;"&amp;$D66,Dataset!J:J,"&gt;="&amp;$C66)</f>
        <v>0</v>
      </c>
      <c r="J66" s="83">
        <f>SUMIFS(Dataset!$AK:$AK,Dataset!$F:$F,'retorno absoluto'!$D$11,Dataset!$AC:$AC,"A",Dataset!$J:$J,"&lt;"&amp;$D66,Dataset!$J:$J,"&gt;="&amp;$C66)+SUMIFS(Dataset!$AK:$AK,Dataset!$F:$F,'retorno absoluto'!$D$11,Dataset!$AC:$AC,"A-",Dataset!$J:$J,"&lt;"&amp;$D66,Dataset!$J:$J,"&gt;="&amp;$C66)+SUMIFS(Dataset!$AK:$AK,Dataset!$F:$F,'retorno absoluto'!$D$11,Dataset!$AC:$AC,"A+",Dataset!$J:$J,"&lt;"&amp;$D66,Dataset!$J:$J,"&gt;="&amp;$C66)</f>
        <v>0</v>
      </c>
      <c r="K66" s="83">
        <f>SUMIFS(Dataset!$AK:$AK,Dataset!$F:$F,'retorno absoluto'!$D$11,Dataset!$AC:$AC,"BBB",Dataset!$J:$J,"&lt;"&amp;$D66,Dataset!$J:$J,"&gt;="&amp;$C66)+SUMIFS(Dataset!$AK:$AK,Dataset!$F:$F,'retorno absoluto'!$D$11,Dataset!$AC:$AC,"BBB-",Dataset!$J:$J,"&lt;"&amp;$D66,Dataset!$J:$J,"&gt;="&amp;$C66)+SUMIFS(Dataset!$AK:$AK,Dataset!$F:$F,'retorno absoluto'!$D$11,Dataset!$AC:$AC,"BBB+",Dataset!$J:$J,"&lt;"&amp;$D66,Dataset!$J:$J,"&gt;="&amp;$C66)</f>
        <v>0</v>
      </c>
      <c r="L66" s="83">
        <f>SUMIFS(Dataset!$AK:$AK,Dataset!$F:$F,'retorno absoluto'!$D$11,Dataset!$J:$J,"&lt;"&amp;$D66,Dataset!$J:$J,"&gt;="&amp;$C66,Dataset!$AC:$AC,"&lt;&gt;N-1+",Dataset!$AC:$AC,"&lt;&gt;*AA*",Dataset!$AC:$AC,"&lt;&gt;*AAA*",Dataset!$AC:$AC,"&lt;&gt;A",Dataset!$AC:$AC,"&lt;&gt;A-",Dataset!$AC:$AC,"&lt;&gt;A+",Dataset!$AC:$AC,"&lt;&gt;*BBB*")</f>
        <v>0</v>
      </c>
      <c r="M66" s="84">
        <f t="shared" si="2"/>
        <v>0</v>
      </c>
      <c r="N66" s="82">
        <f>SUMIFS(Dataset!$AA:$AA,Dataset!$F:$F,'retorno absoluto'!$D$11,Dataset!$AC:$AC,N$52,Dataset!$J:$J,"&lt;"&amp;$D66,Dataset!$J:$J,"&gt;="&amp;$C66)</f>
        <v>0</v>
      </c>
      <c r="O66" s="83">
        <f>SUMIFS(Dataset!$AA:$AA,Dataset!$F:$F,'retorno absoluto'!$D$11,Dataset!$AC:$AC,O$52,Dataset!$J:$J,"&lt;"&amp;$D66,Dataset!$J:$J,"&gt;="&amp;$C66)</f>
        <v>0</v>
      </c>
      <c r="P66" s="83">
        <f>SUMIFS(Dataset!$AA:$AA,Dataset!$F:$F,'retorno absoluto'!$D$11,Dataset!$AC:$AC,P$52,Dataset!$J:$J,"&lt;"&amp;$D66,Dataset!$J:$J,"&gt;="&amp;$C66)</f>
        <v>0</v>
      </c>
      <c r="Q66" s="83">
        <f>SUMIFS(Dataset!$AA:$AA,Dataset!$F:$F,'retorno absoluto'!$D$11,Dataset!$AC:$AC,Q$52,Dataset!$J:$J,"&lt;"&amp;$D66,Dataset!$J:$J,"&gt;="&amp;$C66)</f>
        <v>0</v>
      </c>
      <c r="R66" s="83">
        <f>SUMIFS(Dataset!$AA:$AA,Dataset!$F:$F,'retorno absoluto'!$D$11,Dataset!$AC:$AC,R$52,Dataset!$J:$J,"&lt;"&amp;$D66,Dataset!$J:$J,"&gt;="&amp;$C66)</f>
        <v>0</v>
      </c>
      <c r="S66" s="83">
        <f>SUMIFS(Dataset!$AA:$AA,Dataset!$F:$F,'retorno absoluto'!$D$11,Dataset!$AC:$AC,"A",Dataset!$J:$J,"&lt;"&amp;$D66,Dataset!$J:$J,"&gt;="&amp;$C66)+SUMIFS(Dataset!$AA:$AA,Dataset!$F:$F,'retorno absoluto'!$D$11,Dataset!$AC:$AC,"A-",Dataset!$J:$J,"&lt;"&amp;$D66,Dataset!$J:$J,"&gt;="&amp;$C66)+SUMIFS(Dataset!$AA:$AA,Dataset!$F:$F,'retorno absoluto'!$D$11,Dataset!$AC:$AC,"A+",Dataset!$J:$J,"&lt;"&amp;$D66,Dataset!$J:$J,"&gt;="&amp;$C66)</f>
        <v>0</v>
      </c>
      <c r="T66" s="83">
        <f>SUMIFS(Dataset!$AA:$AA,Dataset!$F:$F,'retorno absoluto'!$D$11,Dataset!$AC:$AC,"BBB-",Dataset!$J:$J,"&lt;"&amp;$D66,Dataset!$J:$J,"&gt;="&amp;$C66)+SUMIFS(Dataset!$AA:$AA,Dataset!$F:$F,'retorno absoluto'!$D$11,Dataset!$AC:$AC,"BBB",Dataset!$J:$J,"&lt;"&amp;$D66,Dataset!$J:$J,"&gt;="&amp;$C66)+SUMIFS(Dataset!$AA:$AA,Dataset!$F:$F,'retorno absoluto'!$D$11,Dataset!$AC:$AC,"BBB+",Dataset!$J:$J,"&lt;"&amp;$D66,Dataset!$J:$J,"&gt;="&amp;$C66)</f>
        <v>0</v>
      </c>
      <c r="U66" s="83">
        <f>SUMIFS(Dataset!$AA:$AA,Dataset!$F:$F,'retorno absoluto'!$D$11,Dataset!$J:$J,"&lt;"&amp;$D66,Dataset!$J:$J,"&gt;="&amp;$C66,Dataset!$AC:$AC,"&lt;&gt;N-1+",Dataset!$AC:$AC,"&lt;&gt;*AA*",Dataset!$AC:$AC,"&lt;&gt;*AAA*",Dataset!$AC:$AC,"&lt;&gt;A",Dataset!$AC:$AC,"&lt;&gt;A-",Dataset!$AC:$AC,"&lt;&gt;A+",Dataset!$AC:$AC,"&lt;&gt;*BBB*")</f>
        <v>0</v>
      </c>
      <c r="V66" s="84">
        <f t="shared" si="3"/>
        <v>0</v>
      </c>
      <c r="W66" s="85">
        <f>10*SUMIFS(Dataset!$H:$H,Dataset!$F:$F,'retorno absoluto'!$D$11,Dataset!$AC:$AC,W$52,Dataset!$J:$J,"&lt;"&amp;$D66,Dataset!J:J,"&gt;="&amp;$C66)</f>
        <v>0</v>
      </c>
      <c r="X66" s="86">
        <f>10*SUMIFS(Dataset!$H:$H,Dataset!$F:$F,'retorno absoluto'!$D$11,Dataset!$AC:$AC,X$52,Dataset!$J:$J,"&lt;"&amp;$D66,Dataset!J:J,"&gt;="&amp;$C66)</f>
        <v>0</v>
      </c>
      <c r="Y66" s="86">
        <f>10*SUMIFS(Dataset!$H:$H,Dataset!$F:$F,'retorno absoluto'!$D$11,Dataset!$AC:$AC,Y$52,Dataset!$J:$J,"&lt;"&amp;$D66,Dataset!J:J,"&gt;="&amp;$C66)</f>
        <v>0</v>
      </c>
      <c r="Z66" s="86">
        <f>10*SUMIFS(Dataset!$H:$H,Dataset!$F:$F,'retorno absoluto'!$D$11,Dataset!$AC:$AC,Z$52,Dataset!$J:$J,"&lt;"&amp;$D66,Dataset!J:J,"&gt;="&amp;$C66)</f>
        <v>0</v>
      </c>
      <c r="AA66" s="86">
        <f>10*SUMIFS(Dataset!$H:$H,Dataset!$F:$F,'retorno absoluto'!$D$11,Dataset!$AC:$AC,AA$52,Dataset!$J:$J,"&lt;"&amp;$D66,Dataset!J:J,"&gt;="&amp;$C66)</f>
        <v>0</v>
      </c>
      <c r="AB66" s="86">
        <f>10*SUMIFS(Dataset!$H:$H,Dataset!$F:$F,'retorno absoluto'!$D$11,Dataset!$AC:$AC,"A",Dataset!$J:$J,"&lt;"&amp;$D66,Dataset!$J:$J,"&gt;="&amp;$C66)+10*SUMIFS(Dataset!$H:$H,Dataset!$F:$F,'retorno absoluto'!$D$11,Dataset!$AC:$AC,"A-",Dataset!$J:$J,"&lt;"&amp;$D66,Dataset!$J:$J,"&gt;="&amp;$C66)+10*SUMIFS(Dataset!$H:$H,Dataset!$F:$F,'retorno absoluto'!$D$11,Dataset!$AC:$AC,"A+",Dataset!$J:$J,"&lt;"&amp;$D66,Dataset!$J:$J,"&gt;="&amp;$C66)</f>
        <v>0</v>
      </c>
      <c r="AC66" s="86">
        <f>10*SUMIFS(Dataset!$H:$H,Dataset!$F:$F,'retorno absoluto'!$D$11,Dataset!$AC:$AC,"BBB",Dataset!$J:$J,"&lt;"&amp;$D66,Dataset!$J:$J,"&gt;="&amp;$C66)+10*SUMIFS(Dataset!$H:$H,Dataset!$F:$F,'retorno absoluto'!$D$11,Dataset!$AC:$AC,"BBB-",Dataset!$J:$J,"&lt;"&amp;$D66,Dataset!$J:$J,"&gt;="&amp;$C66)+10*SUMIFS(Dataset!$H:$H,Dataset!$F:$F,'retorno absoluto'!$D$11,Dataset!$AC:$AC,"BBB+",Dataset!$J:$J,"&lt;"&amp;$D66,Dataset!$J:$J,"&gt;="&amp;$C66)</f>
        <v>0</v>
      </c>
      <c r="AD66" s="86">
        <f>10*SUMIFS(Dataset!$H:$H,Dataset!$F:$F,'retorno absoluto'!$D$11,Dataset!$J:$J,"&lt;"&amp;$D66,Dataset!$J:$J,"&gt;="&amp;$C66,Dataset!$AC:$AC,"&lt;&gt;N-1+",Dataset!$AC:$AC,"&lt;&gt;*AA*",Dataset!$AC:$AC,"&lt;&gt;*AAA*",Dataset!$AC:$AC,"&lt;&gt;A",Dataset!$AC:$AC,"&lt;&gt;A-",Dataset!$AC:$AC,"&lt;&gt;A+",Dataset!$AC:$AC,"&lt;&gt;*BBB*")</f>
        <v>0</v>
      </c>
      <c r="AE66" s="87">
        <f t="shared" si="4"/>
        <v>0</v>
      </c>
    </row>
    <row r="67" spans="2:40" ht="33" customHeight="1" x14ac:dyDescent="0.3">
      <c r="C67" s="61">
        <v>13.5</v>
      </c>
      <c r="D67" s="81">
        <v>14.5</v>
      </c>
      <c r="E67" s="82">
        <f>SUMIFS(Dataset!$AK:$AK,Dataset!$F:$F,'retorno absoluto'!$D$11,Dataset!$AC:$AC,E$52,Dataset!$J:$J,"&lt;"&amp;$D67,Dataset!J:J,"&gt;="&amp;$C67)</f>
        <v>0</v>
      </c>
      <c r="F67" s="83">
        <f>SUMIFS(Dataset!$AK:$AK,Dataset!$F:$F,'retorno absoluto'!$D$11,Dataset!$AC:$AC,F$52,Dataset!$J:$J,"&lt;"&amp;$D67,Dataset!J:J,"&gt;="&amp;$C67)</f>
        <v>0</v>
      </c>
      <c r="G67" s="83">
        <f>SUMIFS(Dataset!$AK:$AK,Dataset!$F:$F,'retorno absoluto'!$D$11,Dataset!$AC:$AC,G$52,Dataset!$J:$J,"&lt;"&amp;$D67,Dataset!J:J,"&gt;="&amp;$C67)</f>
        <v>0</v>
      </c>
      <c r="H67" s="83">
        <f>SUMIFS(Dataset!$AK:$AK,Dataset!$F:$F,'retorno absoluto'!$D$11,Dataset!$AC:$AC,H$52,Dataset!$J:$J,"&lt;"&amp;$D67,Dataset!J:J,"&gt;="&amp;$C67)</f>
        <v>0</v>
      </c>
      <c r="I67" s="83">
        <f>SUMIFS(Dataset!$AK:$AK,Dataset!$F:$F,'retorno absoluto'!$D$11,Dataset!$AC:$AC,I$52,Dataset!$J:$J,"&lt;"&amp;$D67,Dataset!J:J,"&gt;="&amp;$C67)</f>
        <v>0</v>
      </c>
      <c r="J67" s="83">
        <f>SUMIFS(Dataset!$AK:$AK,Dataset!$F:$F,'retorno absoluto'!$D$11,Dataset!$AC:$AC,"A",Dataset!$J:$J,"&lt;"&amp;$D67,Dataset!$J:$J,"&gt;="&amp;$C67)+SUMIFS(Dataset!$AK:$AK,Dataset!$F:$F,'retorno absoluto'!$D$11,Dataset!$AC:$AC,"A-",Dataset!$J:$J,"&lt;"&amp;$D67,Dataset!$J:$J,"&gt;="&amp;$C67)+SUMIFS(Dataset!$AK:$AK,Dataset!$F:$F,'retorno absoluto'!$D$11,Dataset!$AC:$AC,"A+",Dataset!$J:$J,"&lt;"&amp;$D67,Dataset!$J:$J,"&gt;="&amp;$C67)</f>
        <v>0</v>
      </c>
      <c r="K67" s="83">
        <f>SUMIFS(Dataset!$AK:$AK,Dataset!$F:$F,'retorno absoluto'!$D$11,Dataset!$AC:$AC,"BBB",Dataset!$J:$J,"&lt;"&amp;$D67,Dataset!$J:$J,"&gt;="&amp;$C67)+SUMIFS(Dataset!$AK:$AK,Dataset!$F:$F,'retorno absoluto'!$D$11,Dataset!$AC:$AC,"BBB-",Dataset!$J:$J,"&lt;"&amp;$D67,Dataset!$J:$J,"&gt;="&amp;$C67)+SUMIFS(Dataset!$AK:$AK,Dataset!$F:$F,'retorno absoluto'!$D$11,Dataset!$AC:$AC,"BBB+",Dataset!$J:$J,"&lt;"&amp;$D67,Dataset!$J:$J,"&gt;="&amp;$C67)</f>
        <v>0</v>
      </c>
      <c r="L67" s="83">
        <f>SUMIFS(Dataset!$AK:$AK,Dataset!$F:$F,'retorno absoluto'!$D$11,Dataset!$J:$J,"&lt;"&amp;$D67,Dataset!$J:$J,"&gt;="&amp;$C67,Dataset!$AC:$AC,"&lt;&gt;N-1+",Dataset!$AC:$AC,"&lt;&gt;*AA*",Dataset!$AC:$AC,"&lt;&gt;*AAA*",Dataset!$AC:$AC,"&lt;&gt;A",Dataset!$AC:$AC,"&lt;&gt;A-",Dataset!$AC:$AC,"&lt;&gt;A+",Dataset!$AC:$AC,"&lt;&gt;*BBB*")</f>
        <v>0</v>
      </c>
      <c r="M67" s="84">
        <f t="shared" si="2"/>
        <v>0</v>
      </c>
      <c r="N67" s="82">
        <f>SUMIFS(Dataset!$AA:$AA,Dataset!$F:$F,'retorno absoluto'!$D$11,Dataset!$AC:$AC,N$52,Dataset!$J:$J,"&lt;"&amp;$D67,Dataset!$J:$J,"&gt;="&amp;$C67)</f>
        <v>0</v>
      </c>
      <c r="O67" s="83">
        <f>SUMIFS(Dataset!$AA:$AA,Dataset!$F:$F,'retorno absoluto'!$D$11,Dataset!$AC:$AC,O$52,Dataset!$J:$J,"&lt;"&amp;$D67,Dataset!$J:$J,"&gt;="&amp;$C67)</f>
        <v>0</v>
      </c>
      <c r="P67" s="83">
        <f>SUMIFS(Dataset!$AA:$AA,Dataset!$F:$F,'retorno absoluto'!$D$11,Dataset!$AC:$AC,P$52,Dataset!$J:$J,"&lt;"&amp;$D67,Dataset!$J:$J,"&gt;="&amp;$C67)</f>
        <v>0</v>
      </c>
      <c r="Q67" s="83">
        <f>SUMIFS(Dataset!$AA:$AA,Dataset!$F:$F,'retorno absoluto'!$D$11,Dataset!$AC:$AC,Q$52,Dataset!$J:$J,"&lt;"&amp;$D67,Dataset!$J:$J,"&gt;="&amp;$C67)</f>
        <v>0</v>
      </c>
      <c r="R67" s="83">
        <f>SUMIFS(Dataset!$AA:$AA,Dataset!$F:$F,'retorno absoluto'!$D$11,Dataset!$AC:$AC,R$52,Dataset!$J:$J,"&lt;"&amp;$D67,Dataset!$J:$J,"&gt;="&amp;$C67)</f>
        <v>0</v>
      </c>
      <c r="S67" s="83">
        <f>SUMIFS(Dataset!$AA:$AA,Dataset!$F:$F,'retorno absoluto'!$D$11,Dataset!$AC:$AC,"A",Dataset!$J:$J,"&lt;"&amp;$D67,Dataset!$J:$J,"&gt;="&amp;$C67)+SUMIFS(Dataset!$AA:$AA,Dataset!$F:$F,'retorno absoluto'!$D$11,Dataset!$AC:$AC,"A-",Dataset!$J:$J,"&lt;"&amp;$D67,Dataset!$J:$J,"&gt;="&amp;$C67)+SUMIFS(Dataset!$AA:$AA,Dataset!$F:$F,'retorno absoluto'!$D$11,Dataset!$AC:$AC,"A+",Dataset!$J:$J,"&lt;"&amp;$D67,Dataset!$J:$J,"&gt;="&amp;$C67)</f>
        <v>0</v>
      </c>
      <c r="T67" s="83">
        <f>SUMIFS(Dataset!$AA:$AA,Dataset!$F:$F,'retorno absoluto'!$D$11,Dataset!$AC:$AC,"BBB-",Dataset!$J:$J,"&lt;"&amp;$D67,Dataset!$J:$J,"&gt;="&amp;$C67)+SUMIFS(Dataset!$AA:$AA,Dataset!$F:$F,'retorno absoluto'!$D$11,Dataset!$AC:$AC,"BBB",Dataset!$J:$J,"&lt;"&amp;$D67,Dataset!$J:$J,"&gt;="&amp;$C67)+SUMIFS(Dataset!$AA:$AA,Dataset!$F:$F,'retorno absoluto'!$D$11,Dataset!$AC:$AC,"BBB+",Dataset!$J:$J,"&lt;"&amp;$D67,Dataset!$J:$J,"&gt;="&amp;$C67)</f>
        <v>0</v>
      </c>
      <c r="U67" s="83">
        <f>SUMIFS(Dataset!$AA:$AA,Dataset!$F:$F,'retorno absoluto'!$D$11,Dataset!$J:$J,"&lt;"&amp;$D67,Dataset!$J:$J,"&gt;="&amp;$C67,Dataset!$AC:$AC,"&lt;&gt;N-1+",Dataset!$AC:$AC,"&lt;&gt;*AA*",Dataset!$AC:$AC,"&lt;&gt;*AAA*",Dataset!$AC:$AC,"&lt;&gt;A",Dataset!$AC:$AC,"&lt;&gt;A-",Dataset!$AC:$AC,"&lt;&gt;A+",Dataset!$AC:$AC,"&lt;&gt;*BBB*")</f>
        <v>0</v>
      </c>
      <c r="V67" s="84">
        <f t="shared" si="3"/>
        <v>0</v>
      </c>
      <c r="W67" s="85">
        <f>10*SUMIFS(Dataset!$H:$H,Dataset!$F:$F,'retorno absoluto'!$D$11,Dataset!$AC:$AC,W$52,Dataset!$J:$J,"&lt;"&amp;$D67,Dataset!J:J,"&gt;="&amp;$C67)</f>
        <v>0</v>
      </c>
      <c r="X67" s="86">
        <f>10*SUMIFS(Dataset!$H:$H,Dataset!$F:$F,'retorno absoluto'!$D$11,Dataset!$AC:$AC,X$52,Dataset!$J:$J,"&lt;"&amp;$D67,Dataset!J:J,"&gt;="&amp;$C67)</f>
        <v>0</v>
      </c>
      <c r="Y67" s="86">
        <f>10*SUMIFS(Dataset!$H:$H,Dataset!$F:$F,'retorno absoluto'!$D$11,Dataset!$AC:$AC,Y$52,Dataset!$J:$J,"&lt;"&amp;$D67,Dataset!J:J,"&gt;="&amp;$C67)</f>
        <v>0</v>
      </c>
      <c r="Z67" s="86">
        <f>10*SUMIFS(Dataset!$H:$H,Dataset!$F:$F,'retorno absoluto'!$D$11,Dataset!$AC:$AC,Z$52,Dataset!$J:$J,"&lt;"&amp;$D67,Dataset!J:J,"&gt;="&amp;$C67)</f>
        <v>0</v>
      </c>
      <c r="AA67" s="86">
        <f>10*SUMIFS(Dataset!$H:$H,Dataset!$F:$F,'retorno absoluto'!$D$11,Dataset!$AC:$AC,AA$52,Dataset!$J:$J,"&lt;"&amp;$D67,Dataset!J:J,"&gt;="&amp;$C67)</f>
        <v>0</v>
      </c>
      <c r="AB67" s="86">
        <f>10*SUMIFS(Dataset!$H:$H,Dataset!$F:$F,'retorno absoluto'!$D$11,Dataset!$AC:$AC,"A",Dataset!$J:$J,"&lt;"&amp;$D67,Dataset!$J:$J,"&gt;="&amp;$C67)+10*SUMIFS(Dataset!$H:$H,Dataset!$F:$F,'retorno absoluto'!$D$11,Dataset!$AC:$AC,"A-",Dataset!$J:$J,"&lt;"&amp;$D67,Dataset!$J:$J,"&gt;="&amp;$C67)+10*SUMIFS(Dataset!$H:$H,Dataset!$F:$F,'retorno absoluto'!$D$11,Dataset!$AC:$AC,"A+",Dataset!$J:$J,"&lt;"&amp;$D67,Dataset!$J:$J,"&gt;="&amp;$C67)</f>
        <v>0</v>
      </c>
      <c r="AC67" s="86">
        <f>10*SUMIFS(Dataset!$H:$H,Dataset!$F:$F,'retorno absoluto'!$D$11,Dataset!$AC:$AC,"BBB",Dataset!$J:$J,"&lt;"&amp;$D67,Dataset!$J:$J,"&gt;="&amp;$C67)+10*SUMIFS(Dataset!$H:$H,Dataset!$F:$F,'retorno absoluto'!$D$11,Dataset!$AC:$AC,"BBB-",Dataset!$J:$J,"&lt;"&amp;$D67,Dataset!$J:$J,"&gt;="&amp;$C67)+10*SUMIFS(Dataset!$H:$H,Dataset!$F:$F,'retorno absoluto'!$D$11,Dataset!$AC:$AC,"BBB+",Dataset!$J:$J,"&lt;"&amp;$D67,Dataset!$J:$J,"&gt;="&amp;$C67)</f>
        <v>0</v>
      </c>
      <c r="AD67" s="86">
        <f>10*SUMIFS(Dataset!$H:$H,Dataset!$F:$F,'retorno absoluto'!$D$11,Dataset!$J:$J,"&lt;"&amp;$D67,Dataset!$J:$J,"&gt;="&amp;$C67,Dataset!$AC:$AC,"&lt;&gt;N-1+",Dataset!$AC:$AC,"&lt;&gt;*AA*",Dataset!$AC:$AC,"&lt;&gt;*AAA*",Dataset!$AC:$AC,"&lt;&gt;A",Dataset!$AC:$AC,"&lt;&gt;A-",Dataset!$AC:$AC,"&lt;&gt;A+",Dataset!$AC:$AC,"&lt;&gt;*BBB*")</f>
        <v>0</v>
      </c>
      <c r="AE67" s="87">
        <f t="shared" si="4"/>
        <v>0</v>
      </c>
    </row>
    <row r="68" spans="2:40" ht="33" customHeight="1" x14ac:dyDescent="0.3">
      <c r="C68" s="61">
        <v>14.5</v>
      </c>
      <c r="D68" s="81">
        <v>100</v>
      </c>
      <c r="E68" s="88">
        <f>SUMIFS(Dataset!$AK:$AK,Dataset!$F:$F,'retorno absoluto'!$D$11,Dataset!$AC:$AC,E$52,Dataset!$J:$J,"&lt;"&amp;$D68,Dataset!J:J,"&gt;="&amp;$C68)</f>
        <v>0</v>
      </c>
      <c r="F68" s="89">
        <f>SUMIFS(Dataset!$AK:$AK,Dataset!$F:$F,'retorno absoluto'!$D$11,Dataset!$AC:$AC,F$52,Dataset!$J:$J,"&lt;"&amp;$D68,Dataset!J:J,"&gt;="&amp;$C68)</f>
        <v>1.8240565221309797E-2</v>
      </c>
      <c r="G68" s="89">
        <f>SUMIFS(Dataset!$AK:$AK,Dataset!$F:$F,'retorno absoluto'!$D$11,Dataset!$AC:$AC,G$52,Dataset!$J:$J,"&lt;"&amp;$D68,Dataset!J:J,"&gt;="&amp;$C68)</f>
        <v>0</v>
      </c>
      <c r="H68" s="89">
        <f>SUMIFS(Dataset!$AK:$AK,Dataset!$F:$F,'retorno absoluto'!$D$11,Dataset!$AC:$AC,H$52,Dataset!$J:$J,"&lt;"&amp;$D68,Dataset!J:J,"&gt;="&amp;$C68)</f>
        <v>0</v>
      </c>
      <c r="I68" s="89">
        <f>SUMIFS(Dataset!$AK:$AK,Dataset!$F:$F,'retorno absoluto'!$D$11,Dataset!$AC:$AC,I$52,Dataset!$J:$J,"&lt;"&amp;$D68,Dataset!J:J,"&gt;="&amp;$C68)</f>
        <v>0</v>
      </c>
      <c r="J68" s="89">
        <f>SUMIFS(Dataset!$AK:$AK,Dataset!$F:$F,'retorno absoluto'!$D$11,Dataset!$AC:$AC,"A",Dataset!$J:$J,"&lt;"&amp;$D68,Dataset!$J:$J,"&gt;="&amp;$C68)+SUMIFS(Dataset!$AK:$AK,Dataset!$F:$F,'retorno absoluto'!$D$11,Dataset!$AC:$AC,"A-",Dataset!$J:$J,"&lt;"&amp;$D68,Dataset!$J:$J,"&gt;="&amp;$C68)+SUMIFS(Dataset!$AK:$AK,Dataset!$F:$F,'retorno absoluto'!$D$11,Dataset!$AC:$AC,"A+",Dataset!$J:$J,"&lt;"&amp;$D68,Dataset!$J:$J,"&gt;="&amp;$C68)</f>
        <v>0</v>
      </c>
      <c r="K68" s="89">
        <f>SUMIFS(Dataset!$AK:$AK,Dataset!$F:$F,'retorno absoluto'!$D$11,Dataset!$AC:$AC,"BBB",Dataset!$J:$J,"&lt;"&amp;$D68,Dataset!$J:$J,"&gt;="&amp;$C68)+SUMIFS(Dataset!$AK:$AK,Dataset!$F:$F,'retorno absoluto'!$D$11,Dataset!$AC:$AC,"BBB-",Dataset!$J:$J,"&lt;"&amp;$D68,Dataset!$J:$J,"&gt;="&amp;$C68)+SUMIFS(Dataset!$AK:$AK,Dataset!$F:$F,'retorno absoluto'!$D$11,Dataset!$AC:$AC,"BBB+",Dataset!$J:$J,"&lt;"&amp;$D68,Dataset!$J:$J,"&gt;="&amp;$C68)</f>
        <v>0</v>
      </c>
      <c r="L68" s="89">
        <f>SUMIFS(Dataset!$AK:$AK,Dataset!$F:$F,'retorno absoluto'!$D$11,Dataset!$J:$J,"&lt;"&amp;$D68,Dataset!$J:$J,"&gt;="&amp;$C68,Dataset!$AC:$AC,"&lt;&gt;N-1+",Dataset!$AC:$AC,"&lt;&gt;*AA*",Dataset!$AC:$AC,"&lt;&gt;*AAA*",Dataset!$AC:$AC,"&lt;&gt;A",Dataset!$AC:$AC,"&lt;&gt;A-",Dataset!$AC:$AC,"&lt;&gt;A+",Dataset!$AC:$AC,"&lt;&gt;*BBB*")</f>
        <v>0</v>
      </c>
      <c r="M68" s="90">
        <f t="shared" si="2"/>
        <v>1.8240565221309797E-2</v>
      </c>
      <c r="N68" s="88">
        <f>SUMIFS(Dataset!$AA:$AA,Dataset!$F:$F,'retorno absoluto'!$D$11,Dataset!$AC:$AC,N$52,Dataset!$J:$J,"&lt;"&amp;$D68,Dataset!$J:$J,"&gt;="&amp;$C68)</f>
        <v>0</v>
      </c>
      <c r="O68" s="89">
        <f>SUMIFS(Dataset!$AA:$AA,Dataset!$F:$F,'retorno absoluto'!$D$11,Dataset!$AC:$AC,O$52,Dataset!$J:$J,"&lt;"&amp;$D68,Dataset!$J:$J,"&gt;="&amp;$C68)</f>
        <v>0.1382773016617985</v>
      </c>
      <c r="P68" s="89">
        <f>SUMIFS(Dataset!$AA:$AA,Dataset!$F:$F,'retorno absoluto'!$D$11,Dataset!$AC:$AC,P$52,Dataset!$J:$J,"&lt;"&amp;$D68,Dataset!$J:$J,"&gt;="&amp;$C68)</f>
        <v>0</v>
      </c>
      <c r="Q68" s="89">
        <f>SUMIFS(Dataset!$AA:$AA,Dataset!$F:$F,'retorno absoluto'!$D$11,Dataset!$AC:$AC,Q$52,Dataset!$J:$J,"&lt;"&amp;$D68,Dataset!$J:$J,"&gt;="&amp;$C68)</f>
        <v>0</v>
      </c>
      <c r="R68" s="89">
        <f>SUMIFS(Dataset!$AA:$AA,Dataset!$F:$F,'retorno absoluto'!$D$11,Dataset!$AC:$AC,R$52,Dataset!$J:$J,"&lt;"&amp;$D68,Dataset!$J:$J,"&gt;="&amp;$C68)</f>
        <v>0</v>
      </c>
      <c r="S68" s="89">
        <f>SUMIFS(Dataset!$AA:$AA,Dataset!$F:$F,'retorno absoluto'!$D$11,Dataset!$AC:$AC,"A",Dataset!$J:$J,"&lt;"&amp;$D68,Dataset!$J:$J,"&gt;="&amp;$C68)+SUMIFS(Dataset!$AA:$AA,Dataset!$F:$F,'retorno absoluto'!$D$11,Dataset!$AC:$AC,"A-",Dataset!$J:$J,"&lt;"&amp;$D68,Dataset!$J:$J,"&gt;="&amp;$C68)+SUMIFS(Dataset!$AA:$AA,Dataset!$F:$F,'retorno absoluto'!$D$11,Dataset!$AC:$AC,"A+",Dataset!$J:$J,"&lt;"&amp;$D68,Dataset!$J:$J,"&gt;="&amp;$C68)</f>
        <v>0</v>
      </c>
      <c r="T68" s="89">
        <f>SUMIFS(Dataset!$AA:$AA,Dataset!$F:$F,'retorno absoluto'!$D$11,Dataset!$AC:$AC,"BBB-",Dataset!$J:$J,"&lt;"&amp;$D68,Dataset!$J:$J,"&gt;="&amp;$C68)+SUMIFS(Dataset!$AA:$AA,Dataset!$F:$F,'retorno absoluto'!$D$11,Dataset!$AC:$AC,"BBB",Dataset!$J:$J,"&lt;"&amp;$D68,Dataset!$J:$J,"&gt;="&amp;$C68)+SUMIFS(Dataset!$AA:$AA,Dataset!$F:$F,'retorno absoluto'!$D$11,Dataset!$AC:$AC,"BBB+",Dataset!$J:$J,"&lt;"&amp;$D68,Dataset!$J:$J,"&gt;="&amp;$C68)</f>
        <v>0</v>
      </c>
      <c r="U68" s="89">
        <f>SUMIFS(Dataset!$AA:$AA,Dataset!$F:$F,'retorno absoluto'!$D$11,Dataset!$J:$J,"&lt;"&amp;$D68,Dataset!$J:$J,"&gt;="&amp;$C68,Dataset!$AC:$AC,"&lt;&gt;N-1+",Dataset!$AC:$AC,"&lt;&gt;*AA*",Dataset!$AC:$AC,"&lt;&gt;*AAA*",Dataset!$AC:$AC,"&lt;&gt;A",Dataset!$AC:$AC,"&lt;&gt;A-",Dataset!$AC:$AC,"&lt;&gt;A+",Dataset!$AC:$AC,"&lt;&gt;*BBB*")</f>
        <v>0</v>
      </c>
      <c r="V68" s="90">
        <f t="shared" si="3"/>
        <v>0.1382773016617985</v>
      </c>
      <c r="W68" s="91">
        <f>10*SUMIFS(Dataset!$H:$H,Dataset!$F:$F,'retorno absoluto'!$D$11,Dataset!$AC:$AC,W$52,Dataset!$J:$J,"&lt;"&amp;$D68,Dataset!J:J,"&gt;="&amp;$C68)</f>
        <v>0</v>
      </c>
      <c r="X68" s="92">
        <f>10*SUMIFS(Dataset!$H:$H,Dataset!$F:$F,'retorno absoluto'!$D$11,Dataset!$AC:$AC,X$52,Dataset!$J:$J,"&lt;"&amp;$D68,Dataset!J:J,"&gt;="&amp;$C68)</f>
        <v>2.6704187483997543</v>
      </c>
      <c r="Y68" s="92">
        <f>10*SUMIFS(Dataset!$H:$H,Dataset!$F:$F,'retorno absoluto'!$D$11,Dataset!$AC:$AC,Y$52,Dataset!$J:$J,"&lt;"&amp;$D68,Dataset!J:J,"&gt;="&amp;$C68)</f>
        <v>0</v>
      </c>
      <c r="Z68" s="92">
        <f>10*SUMIFS(Dataset!$H:$H,Dataset!$F:$F,'retorno absoluto'!$D$11,Dataset!$AC:$AC,Z$52,Dataset!$J:$J,"&lt;"&amp;$D68,Dataset!J:J,"&gt;="&amp;$C68)</f>
        <v>0</v>
      </c>
      <c r="AA68" s="92">
        <f>10*SUMIFS(Dataset!$H:$H,Dataset!$F:$F,'retorno absoluto'!$D$11,Dataset!$AC:$AC,AA$52,Dataset!$J:$J,"&lt;"&amp;$D68,Dataset!J:J,"&gt;="&amp;$C68)</f>
        <v>0</v>
      </c>
      <c r="AB68" s="92">
        <f>10*SUMIFS(Dataset!$H:$H,Dataset!$F:$F,'retorno absoluto'!$D$11,Dataset!$AC:$AC,"A",Dataset!$J:$J,"&lt;"&amp;$D68,Dataset!$J:$J,"&gt;="&amp;$C68)+10*SUMIFS(Dataset!$H:$H,Dataset!$F:$F,'retorno absoluto'!$D$11,Dataset!$AC:$AC,"A-",Dataset!$J:$J,"&lt;"&amp;$D68,Dataset!$J:$J,"&gt;="&amp;$C68)+10*SUMIFS(Dataset!$H:$H,Dataset!$F:$F,'retorno absoluto'!$D$11,Dataset!$AC:$AC,"A+",Dataset!$J:$J,"&lt;"&amp;$D68,Dataset!$J:$J,"&gt;="&amp;$C68)</f>
        <v>0</v>
      </c>
      <c r="AC68" s="92">
        <f>10*SUMIFS(Dataset!$H:$H,Dataset!$F:$F,'retorno absoluto'!$D$11,Dataset!$AC:$AC,"BBB",Dataset!$J:$J,"&lt;"&amp;$D68,Dataset!$J:$J,"&gt;="&amp;$C68)+10*SUMIFS(Dataset!$H:$H,Dataset!$F:$F,'retorno absoluto'!$D$11,Dataset!$AC:$AC,"BBB-",Dataset!$J:$J,"&lt;"&amp;$D68,Dataset!$J:$J,"&gt;="&amp;$C68)+10*SUMIFS(Dataset!$H:$H,Dataset!$F:$F,'retorno absoluto'!$D$11,Dataset!$AC:$AC,"BBB+",Dataset!$J:$J,"&lt;"&amp;$D68,Dataset!$J:$J,"&gt;="&amp;$C68)</f>
        <v>0</v>
      </c>
      <c r="AD68" s="92">
        <f>10*SUMIFS(Dataset!$H:$H,Dataset!$F:$F,'retorno absoluto'!$D$11,Dataset!$J:$J,"&lt;"&amp;$D68,Dataset!$J:$J,"&gt;="&amp;$C68,Dataset!$AC:$AC,"&lt;&gt;N-1+",Dataset!$AC:$AC,"&lt;&gt;*AA*",Dataset!$AC:$AC,"&lt;&gt;*AAA*",Dataset!$AC:$AC,"&lt;&gt;A",Dataset!$AC:$AC,"&lt;&gt;A-",Dataset!$AC:$AC,"&lt;&gt;A+",Dataset!$AC:$AC,"&lt;&gt;*BBB*")</f>
        <v>0</v>
      </c>
      <c r="AE68" s="93">
        <f t="shared" si="4"/>
        <v>2.6704187483997543</v>
      </c>
    </row>
    <row r="69" spans="2:40" ht="33" customHeight="1" x14ac:dyDescent="0.3">
      <c r="C69" s="175"/>
      <c r="D69" s="176"/>
      <c r="E69" s="83">
        <f t="shared" ref="E69:L69" si="5">SUM(E53:E68)</f>
        <v>0.19792245462821437</v>
      </c>
      <c r="F69" s="83">
        <f t="shared" si="5"/>
        <v>0.73446842501711951</v>
      </c>
      <c r="G69" s="83">
        <f t="shared" si="5"/>
        <v>0</v>
      </c>
      <c r="H69" s="83">
        <f t="shared" si="5"/>
        <v>2.6193734196637352E-2</v>
      </c>
      <c r="I69" s="83">
        <f t="shared" si="5"/>
        <v>0</v>
      </c>
      <c r="J69" s="83">
        <f t="shared" si="5"/>
        <v>0</v>
      </c>
      <c r="K69" s="83">
        <f t="shared" si="5"/>
        <v>0</v>
      </c>
      <c r="L69" s="83">
        <f t="shared" si="5"/>
        <v>4.1415386158028797E-2</v>
      </c>
      <c r="M69" s="84">
        <f t="shared" si="2"/>
        <v>1</v>
      </c>
      <c r="N69" s="83">
        <f>SUM(N53:N68)</f>
        <v>6.0592305350695959E-3</v>
      </c>
      <c r="O69" s="83">
        <f t="shared" ref="O69:U69" si="6">SUM(O53:O68)</f>
        <v>0.99178484328310257</v>
      </c>
      <c r="P69" s="83">
        <f t="shared" si="6"/>
        <v>0</v>
      </c>
      <c r="Q69" s="83">
        <f t="shared" si="6"/>
        <v>1.4620679200511677E-3</v>
      </c>
      <c r="R69" s="83">
        <f t="shared" si="6"/>
        <v>0</v>
      </c>
      <c r="S69" s="83">
        <f t="shared" si="6"/>
        <v>0</v>
      </c>
      <c r="T69" s="83">
        <f t="shared" si="6"/>
        <v>0</v>
      </c>
      <c r="U69" s="83">
        <f t="shared" si="6"/>
        <v>6.9385826177633531E-4</v>
      </c>
      <c r="V69" s="84">
        <f>SUM(N69:U69)</f>
        <v>0.99999999999999978</v>
      </c>
      <c r="W69" s="86">
        <f>SUM(W53:W68)</f>
        <v>0.58734133334247474</v>
      </c>
      <c r="X69" s="86">
        <f t="shared" ref="X69:AD69" si="7">SUM(X53:X68)</f>
        <v>31.460364255177382</v>
      </c>
      <c r="Y69" s="86">
        <f t="shared" si="7"/>
        <v>0</v>
      </c>
      <c r="Z69" s="86">
        <f t="shared" si="7"/>
        <v>9.1678069688230723E-2</v>
      </c>
      <c r="AA69" s="86">
        <f t="shared" si="7"/>
        <v>0</v>
      </c>
      <c r="AB69" s="86">
        <f t="shared" si="7"/>
        <v>0</v>
      </c>
      <c r="AC69" s="86">
        <f t="shared" si="7"/>
        <v>0</v>
      </c>
      <c r="AD69" s="86">
        <f t="shared" si="7"/>
        <v>0.11202823600270803</v>
      </c>
      <c r="AE69" s="87">
        <f t="shared" si="4"/>
        <v>32.25141189421079</v>
      </c>
    </row>
    <row r="71" spans="2:40" ht="57" customHeight="1" x14ac:dyDescent="0.3">
      <c r="E71" s="174" t="s">
        <v>272</v>
      </c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50"/>
      <c r="Q71" s="174" t="s">
        <v>273</v>
      </c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50"/>
      <c r="AC71" s="174" t="s">
        <v>276</v>
      </c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50"/>
    </row>
    <row r="72" spans="2:40" ht="27" customHeight="1" x14ac:dyDescent="0.3">
      <c r="O72" s="69"/>
      <c r="P72" s="69"/>
      <c r="Q72" s="69"/>
      <c r="R72" s="69"/>
      <c r="S72" s="69"/>
      <c r="T72" s="69"/>
      <c r="U72" s="69"/>
      <c r="V72" s="69"/>
      <c r="Y72" s="69"/>
      <c r="Z72" s="69"/>
      <c r="AA72" s="69"/>
      <c r="AB72" s="69"/>
      <c r="AC72" s="69"/>
      <c r="AD72" s="69"/>
      <c r="AE72" s="69"/>
      <c r="AF72" s="69"/>
    </row>
    <row r="73" spans="2:40" ht="33" customHeight="1" x14ac:dyDescent="0.3">
      <c r="C73" s="180" t="s">
        <v>72</v>
      </c>
      <c r="D73" s="180"/>
      <c r="E73" s="94" t="s">
        <v>76</v>
      </c>
      <c r="F73" s="94" t="s">
        <v>77</v>
      </c>
      <c r="G73" s="94" t="s">
        <v>78</v>
      </c>
      <c r="H73" s="94" t="s">
        <v>79</v>
      </c>
      <c r="I73" s="94" t="s">
        <v>94</v>
      </c>
      <c r="J73" s="94" t="s">
        <v>167</v>
      </c>
      <c r="K73" s="94" t="s">
        <v>173</v>
      </c>
      <c r="L73" s="94" t="s">
        <v>223</v>
      </c>
      <c r="M73" s="94" t="s">
        <v>80</v>
      </c>
      <c r="N73" s="94" t="s">
        <v>81</v>
      </c>
      <c r="O73" s="94" t="s">
        <v>83</v>
      </c>
      <c r="P73" s="94"/>
      <c r="Q73" s="94" t="s">
        <v>76</v>
      </c>
      <c r="R73" s="94" t="s">
        <v>77</v>
      </c>
      <c r="S73" s="94" t="s">
        <v>78</v>
      </c>
      <c r="T73" s="94" t="s">
        <v>79</v>
      </c>
      <c r="U73" s="94" t="s">
        <v>94</v>
      </c>
      <c r="V73" s="94" t="s">
        <v>170</v>
      </c>
      <c r="W73" s="94" t="s">
        <v>173</v>
      </c>
      <c r="X73" s="94" t="s">
        <v>223</v>
      </c>
      <c r="Y73" s="94" t="s">
        <v>80</v>
      </c>
      <c r="Z73" s="94" t="s">
        <v>81</v>
      </c>
      <c r="AA73" s="94" t="s">
        <v>83</v>
      </c>
      <c r="AB73" s="94"/>
      <c r="AC73" s="94" t="s">
        <v>76</v>
      </c>
      <c r="AD73" s="94" t="s">
        <v>77</v>
      </c>
      <c r="AE73" s="94" t="s">
        <v>78</v>
      </c>
      <c r="AF73" s="94" t="s">
        <v>79</v>
      </c>
      <c r="AG73" s="94" t="s">
        <v>94</v>
      </c>
      <c r="AH73" s="94" t="s">
        <v>167</v>
      </c>
      <c r="AI73" s="94" t="s">
        <v>173</v>
      </c>
      <c r="AJ73" s="94" t="s">
        <v>223</v>
      </c>
      <c r="AK73" s="94" t="s">
        <v>80</v>
      </c>
      <c r="AL73" s="94" t="s">
        <v>81</v>
      </c>
      <c r="AM73" s="94" t="s">
        <v>83</v>
      </c>
      <c r="AN73" s="94"/>
    </row>
    <row r="74" spans="2:40" ht="33" customHeight="1" x14ac:dyDescent="0.3">
      <c r="C74" s="72">
        <v>0</v>
      </c>
      <c r="D74" s="73">
        <v>0.5</v>
      </c>
      <c r="E74" s="74">
        <f>SUMIFS(Dataset!AK:AK,Dataset!F:F,'retorno absoluto'!$D$11,Dataset!AH:AH,"deposito",Dataset!T:T,"$",Dataset!J:J,"&lt;"&amp;$D74,Dataset!J:J,"&gt;="&amp;$C74)</f>
        <v>0.22074042187579784</v>
      </c>
      <c r="F74" s="75">
        <f>SUMIFS(Dataset!AK:AK,Dataset!F:F,'retorno absoluto'!$D$11,Dataset!AH:AH,"deposito",Dataset!T:T,"UF",Dataset!J:J,"&lt;"&amp;$D74,Dataset!J:J,"&gt;="&amp;$C74)</f>
        <v>1.4063961953218742E-2</v>
      </c>
      <c r="G74" s="75">
        <f>SUMIFS(Dataset!AK:AK,Dataset!F:F,'retorno absoluto'!$D$11,Dataset!AH:AH,"bono de gobierno",Dataset!T:T,"$",Dataset!J:J,"&lt;"&amp;$D74,Dataset!J:J,"&gt;="&amp;$C74)</f>
        <v>0</v>
      </c>
      <c r="H74" s="75">
        <f>SUMIFS(Dataset!AK:AK,Dataset!F:F,'retorno absoluto'!$D$11,Dataset!AH:AH,"bono de gobierno",Dataset!T:T,"UF",Dataset!J:J,"&lt;"&amp;$D74,Dataset!J:J,"&gt;="&amp;$C74)</f>
        <v>0</v>
      </c>
      <c r="I74" s="75">
        <f>SUMIFS(Dataset!AK:AK,Dataset!F:F,'retorno absoluto'!$D$11,Dataset!AH:AH,"bono de gobierno",Dataset!T:T,"eu",Dataset!J:J,"&lt;"&amp;$D74,Dataset!J:J,"&gt;="&amp;$C74)</f>
        <v>0</v>
      </c>
      <c r="J74" s="75">
        <f>SUMIFS(Dataset!AK:AK,Dataset!F:F,'retorno absoluto'!$D$11,Dataset!AH:AH,"bono de gobierno",Dataset!T:T,"mx",Dataset!J:J,"&lt;"&amp;$D74,Dataset!J:J,"&gt;="&amp;$C74)</f>
        <v>0</v>
      </c>
      <c r="K74" s="75">
        <f>SUMIFS(Dataset!AK:AK,Dataset!F:F,'retorno absoluto'!$D$11,Dataset!AH:AH,"bono de gobierno",Dataset!T:T,"rea",Dataset!J:J,"&lt;"&amp;$D74,Dataset!J:J,"&gt;="&amp;$C74)</f>
        <v>0</v>
      </c>
      <c r="L74" s="75">
        <f>SUMIFS(Dataset!AK:AK,Dataset!F:F,'retorno absoluto'!$D$11,Dataset!AH:AH,"bono de gobierno",Dataset!T:T,"sol",Dataset!J:J,"&lt;"&amp;$D74,Dataset!J:J,"&gt;="&amp;$C74)</f>
        <v>0</v>
      </c>
      <c r="M74" s="75">
        <f>SUMIFS(Dataset!AK:AK,Dataset!F:F,'retorno absoluto'!$D$11,Dataset!AH:AH,"bono corporativo",Dataset!T:T,"$",Dataset!J:J,"&lt;"&amp;$D74,Dataset!J:J,"&gt;="&amp;$C74)</f>
        <v>0</v>
      </c>
      <c r="N74" s="75">
        <f>SUMIFS(Dataset!AK:AK,Dataset!F:F,'retorno absoluto'!$D$11,Dataset!AH:AH,"bono corporativo",Dataset!T:T,"UF",Dataset!J:J,"&lt;"&amp;$D74,Dataset!J:J,"&gt;="&amp;$C74)</f>
        <v>0</v>
      </c>
      <c r="O74" s="75">
        <f>SUMIFS(Dataset!AK:AK,Dataset!F:F,'retorno absoluto'!$D$11,Dataset!J:J,"&lt;"&amp;$D74,Dataset!J:J,"&gt;="&amp;$C74,Dataset!AH:AH,"&lt;&gt;bono corporativo",Dataset!AH:AH,"&lt;&gt;bono de gobierno",Dataset!AH:AH,"&lt;&gt;deposito")</f>
        <v>1.000469653353585E-2</v>
      </c>
      <c r="P74" s="84">
        <f t="shared" ref="P74:P90" si="8">SUM(E74:O74)</f>
        <v>0.24480908036255244</v>
      </c>
      <c r="Q74" s="74">
        <f>SUMIFS(Dataset!AA:AA,Dataset!F:F,'retorno absoluto'!$D$11,Dataset!AH:AH,"deposito",Dataset!T:T,"$",Dataset!J:J,"&lt;"&amp;$D74,Dataset!J:J,"&gt;="&amp;$C74)</f>
        <v>1.0037513680129539E-2</v>
      </c>
      <c r="R74" s="75">
        <f>SUMIFS(Dataset!AA:AA,Dataset!F:F,'retorno absoluto'!$D$11,Dataset!AH:AH,"deposito",Dataset!T:T,"UF",Dataset!J:J,"&lt;"&amp;$D74,Dataset!J:J,"&gt;="&amp;$C74)</f>
        <v>-2.3023911062622082E-3</v>
      </c>
      <c r="S74" s="75">
        <f>SUMIFS(Dataset!AA:AA,Dataset!F:F,'retorno absoluto'!$D$11,Dataset!AH:AH,"bono de gobierno",Dataset!T:T,"$",Dataset!J:J,"&lt;"&amp;$D74,Dataset!J:J,"&gt;="&amp;$C74)</f>
        <v>0</v>
      </c>
      <c r="T74" s="75">
        <f>SUMIFS(Dataset!AA:AA,Dataset!F:F,'retorno absoluto'!$D$11,Dataset!AH:AH,"bono de gobierno",Dataset!T:T,"UF",Dataset!J:J,"&lt;"&amp;$D74,Dataset!J:J,"&gt;="&amp;$C74)</f>
        <v>0</v>
      </c>
      <c r="U74" s="75">
        <f>SUMIFS(Dataset!AA:AA,Dataset!F:F,'retorno absoluto'!$D$11,Dataset!AH:AH,"bono de gobierno",Dataset!T:T,"EU",Dataset!J:J,"&lt;"&amp;$D74,Dataset!J:J,"&gt;="&amp;$C74)</f>
        <v>0</v>
      </c>
      <c r="V74" s="75">
        <f>SUMIFS(Dataset!AA:AA,Dataset!F:F,'retorno absoluto'!$D$11,Dataset!AH:AH,"bono de gobierno",Dataset!T:T,"MX",Dataset!J:J,"&lt;"&amp;$D74,Dataset!J:J,"&gt;="&amp;$C74)</f>
        <v>0</v>
      </c>
      <c r="W74" s="75">
        <f>SUMIFS(Dataset!AA:AA,Dataset!F:F,'retorno absoluto'!$D$11,Dataset!AH:AH,"bono de gobierno",Dataset!T:T,"REA",Dataset!J:J,"&lt;"&amp;$D74,Dataset!J:J,"&gt;="&amp;$C74)</f>
        <v>0</v>
      </c>
      <c r="X74" s="75">
        <f>SUMIFS(Dataset!AA:AA,Dataset!F:F,'retorno absoluto'!$D$11,Dataset!AH:AH,"bono de gobierno",Dataset!T:T,"sol",Dataset!J:J,"&lt;"&amp;$D74,Dataset!J:J,"&gt;="&amp;$C74)</f>
        <v>0</v>
      </c>
      <c r="Y74" s="75">
        <f>SUMIFS(Dataset!AA:AA,Dataset!F:F,'retorno absoluto'!$D$11,Dataset!AH:AH,"bono corporativo",Dataset!T:T,"$",Dataset!J:J,"&lt;"&amp;$D74,Dataset!J:J,"&gt;="&amp;$C74)</f>
        <v>0</v>
      </c>
      <c r="Z74" s="75">
        <f>SUMIFS(Dataset!AA:AA,Dataset!F:F,'retorno absoluto'!$D$11,Dataset!AH:AH,"bono corporativo",Dataset!T:T,"UF",Dataset!J:J,"&lt;"&amp;$D74,Dataset!J:J,"&gt;="&amp;$C74)</f>
        <v>0</v>
      </c>
      <c r="AA74" s="75">
        <f>SUMIFS(Dataset!AA:AA,Dataset!F:F,'retorno absoluto'!$D$11,Dataset!J:J,"&lt;"&amp;$D74,Dataset!J:J,"&gt;="&amp;$C74,Dataset!AH:AH,"&lt;&gt;bono corporativo",Dataset!AH:AH,"&lt;&gt;bono de gobierno",Dataset!AH:AH,"&lt;&gt;deposito")</f>
        <v>-1.0594069008727847E-3</v>
      </c>
      <c r="AB74" s="84">
        <f t="shared" ref="AB74:AB90" si="9">SUM(Q74:AA74)</f>
        <v>6.675715672994546E-3</v>
      </c>
      <c r="AC74" s="77">
        <f>SUMIFS(Dataset!H:H,Dataset!F:F,'retorno absoluto'!$D$11,Dataset!AH:AH,"deposito",Dataset!T:T,"$",Dataset!J:J,"&lt;"&amp;$D74,Dataset!J:J,"&gt;="&amp;$C74)*10</f>
        <v>0.61778756312277927</v>
      </c>
      <c r="AD74" s="78">
        <f>SUMIFS(Dataset!H:H,Dataset!F:F,'retorno absoluto'!$D$11,Dataset!AH:AH,"deposito",Dataset!T:T,"UF",Dataset!J:J,"&lt;"&amp;$D74,Dataset!J:J,"&gt;="&amp;$C74)*10</f>
        <v>3.2347112492403109E-2</v>
      </c>
      <c r="AE74" s="78">
        <f>SUMIFS(Dataset!H:H,Dataset!F:F,'retorno absoluto'!$D$11,Dataset!AH:AH,"bono de gobierno",Dataset!T:T,"$",Dataset!J:J,"&lt;"&amp;$D74,Dataset!J:J,"&gt;="&amp;$C74)*10</f>
        <v>0</v>
      </c>
      <c r="AF74" s="78">
        <f>SUMIFS(Dataset!H:H,Dataset!F:F,'retorno absoluto'!$D$11,Dataset!AH:AH,"bono de gobierno",Dataset!T:T,"UF",Dataset!J:J,"&lt;"&amp;$D74,Dataset!J:J,"&gt;="&amp;$C74)*10</f>
        <v>0</v>
      </c>
      <c r="AG74" s="78">
        <f>SUMIFS(Dataset!H:H,Dataset!F:F,'retorno absoluto'!$D$11,Dataset!AH:AH,"bono de gobierno",Dataset!T:T,"EU",Dataset!J:J,"&lt;"&amp;$D74,Dataset!J:J,"&gt;="&amp;$C74)*10</f>
        <v>0</v>
      </c>
      <c r="AH74" s="78">
        <f>SUMIFS(Dataset!H:H,Dataset!F:F,'retorno absoluto'!$D$11,Dataset!AH:AH,"bono de gobierno",Dataset!T:T,"MX",Dataset!J:J,"&lt;"&amp;$D74,Dataset!J:J,"&gt;="&amp;$C74)*10</f>
        <v>0</v>
      </c>
      <c r="AI74" s="78">
        <f>SUMIFS(Dataset!H:H,Dataset!F:F,'retorno absoluto'!$D$11,Dataset!AH:AH,"bono de gobierno",Dataset!T:T,"REA",Dataset!J:J,"&lt;"&amp;$D74,Dataset!J:J,"&gt;="&amp;$C74)*10</f>
        <v>0</v>
      </c>
      <c r="AJ74" s="78">
        <f>SUMIFS(Dataset!H:H,Dataset!F:F,'retorno absoluto'!$D$11,Dataset!AH:AH,"bono de gobierno",Dataset!T:T,"sol",Dataset!J:J,"&lt;"&amp;$D74,Dataset!J:J,"&gt;="&amp;$C74)*10</f>
        <v>0</v>
      </c>
      <c r="AK74" s="78">
        <f>SUMIFS(Dataset!H:H,Dataset!F:F,'retorno absoluto'!$D$11,Dataset!AH:AH,"bono corporativo",Dataset!T:T,"$",Dataset!J:J,"&lt;"&amp;$D74,Dataset!J:J,"&gt;="&amp;$C74)*10</f>
        <v>0</v>
      </c>
      <c r="AL74" s="78">
        <f>SUMIFS(Dataset!H:H,Dataset!F:F,'retorno absoluto'!$D$11,Dataset!AH:AH,"bono corporativo",Dataset!T:T,"UF",Dataset!J:J,"&lt;"&amp;$D74,Dataset!J:J,"&gt;="&amp;$C74)*10</f>
        <v>0</v>
      </c>
      <c r="AM74" s="78">
        <f>SUMIFS(Dataset!H:H,Dataset!F:F,'retorno absoluto'!$D$11,Dataset!J:J,"&lt;"&amp;$D74,Dataset!J:J,"&gt;="&amp;$C74,Dataset!AH:AH,"&lt;&gt;bono corporativo",Dataset!AH:AH,"&lt;&gt;bono de gobierno",Dataset!AH:AH,"&lt;&gt;deposito")*10</f>
        <v>0</v>
      </c>
      <c r="AN74" s="87">
        <f t="shared" ref="AN74:AN90" si="10">SUM(AC74:AM74)</f>
        <v>0.65013467561518234</v>
      </c>
    </row>
    <row r="75" spans="2:40" ht="33" customHeight="1" x14ac:dyDescent="0.3">
      <c r="C75" s="61">
        <v>0.5</v>
      </c>
      <c r="D75" s="81">
        <v>1.5</v>
      </c>
      <c r="E75" s="82">
        <f>SUMIFS(Dataset!AK:AK,Dataset!F:F,'retorno absoluto'!$D$11,Dataset!AH:AH,"deposito",Dataset!T:T,"$",Dataset!J:J,"&lt;"&amp;$D75,Dataset!J:J,"&gt;="&amp;$C75)</f>
        <v>2.0722494620328113E-2</v>
      </c>
      <c r="F75" s="83">
        <f>SUMIFS(Dataset!AK:AK,Dataset!F:F,'retorno absoluto'!$D$11,Dataset!AH:AH,"deposito",Dataset!T:T,"UF",Dataset!J:J,"&lt;"&amp;$D75,Dataset!J:J,"&gt;="&amp;$C75)</f>
        <v>0</v>
      </c>
      <c r="G75" s="83">
        <f>SUMIFS(Dataset!AK:AK,Dataset!F:F,'retorno absoluto'!$D$11,Dataset!AH:AH,"bono de gobierno",Dataset!T:T,"$",Dataset!J:J,"&lt;"&amp;$D75,Dataset!J:J,"&gt;="&amp;$C75)</f>
        <v>0</v>
      </c>
      <c r="H75" s="83">
        <f>SUMIFS(Dataset!AK:AK,Dataset!F:F,'retorno absoluto'!$D$11,Dataset!AH:AH,"bono de gobierno",Dataset!T:T,"UF",Dataset!J:J,"&lt;"&amp;$D75,Dataset!J:J,"&gt;="&amp;$C75)</f>
        <v>0</v>
      </c>
      <c r="I75" s="83">
        <f>SUMIFS(Dataset!AK:AK,Dataset!F:F,'retorno absoluto'!$D$11,Dataset!AH:AH,"bono de gobierno",Dataset!T:T,"eu",Dataset!J:J,"&lt;"&amp;$D75,Dataset!J:J,"&gt;="&amp;$C75)</f>
        <v>0</v>
      </c>
      <c r="J75" s="83">
        <f>SUMIFS(Dataset!AK:AK,Dataset!F:F,'retorno absoluto'!$D$11,Dataset!AH:AH,"bono de gobierno",Dataset!T:T,"mx",Dataset!J:J,"&lt;"&amp;$D75,Dataset!J:J,"&gt;="&amp;$C75)</f>
        <v>0</v>
      </c>
      <c r="K75" s="83">
        <f>SUMIFS(Dataset!AK:AK,Dataset!F:F,'retorno absoluto'!$D$11,Dataset!AH:AH,"bono de gobierno",Dataset!T:T,"rea",Dataset!J:J,"&lt;"&amp;$D75,Dataset!J:J,"&gt;="&amp;$C75)</f>
        <v>0</v>
      </c>
      <c r="L75" s="83">
        <f>SUMIFS(Dataset!AK:AK,Dataset!F:F,'retorno absoluto'!$D$11,Dataset!AH:AH,"bono de gobierno",Dataset!T:T,"sol",Dataset!J:J,"&lt;"&amp;$D75,Dataset!J:J,"&gt;="&amp;$C75)</f>
        <v>0</v>
      </c>
      <c r="M75" s="83">
        <f>SUMIFS(Dataset!AK:AK,Dataset!F:F,'retorno absoluto'!$D$11,Dataset!AH:AH,"bono corporativo",Dataset!T:T,"$",Dataset!J:J,"&lt;"&amp;$D75,Dataset!J:J,"&gt;="&amp;$C75)</f>
        <v>0</v>
      </c>
      <c r="N75" s="83">
        <f>SUMIFS(Dataset!AK:AK,Dataset!F:F,'retorno absoluto'!$D$11,Dataset!AH:AH,"bono corporativo",Dataset!T:T,"UF",Dataset!J:J,"&lt;"&amp;$D75,Dataset!J:J,"&gt;="&amp;$C75)</f>
        <v>0</v>
      </c>
      <c r="O75" s="83">
        <f>SUMIFS(Dataset!AK:AK,Dataset!F:F,'retorno absoluto'!$D$11,Dataset!J:J,"&lt;"&amp;$D75,Dataset!J:J,"&gt;="&amp;$C75,Dataset!AH:AH,"&lt;&gt;bono corporativo",Dataset!AH:AH,"&lt;&gt;bono de gobierno",Dataset!AH:AH,"&lt;&gt;deposito")</f>
        <v>0</v>
      </c>
      <c r="P75" s="84">
        <f t="shared" si="8"/>
        <v>2.0722494620328113E-2</v>
      </c>
      <c r="Q75" s="82">
        <f>SUMIFS(Dataset!AA:AA,Dataset!F:F,'retorno absoluto'!$D$11,Dataset!AH:AH,"deposito",Dataset!T:T,"$",Dataset!J:J,"&lt;"&amp;$D75,Dataset!J:J,"&gt;="&amp;$C75)</f>
        <v>1.5394410439025536E-3</v>
      </c>
      <c r="R75" s="83">
        <f>SUMIFS(Dataset!AA:AA,Dataset!F:F,'retorno absoluto'!$D$11,Dataset!AH:AH,"deposito",Dataset!T:T,"UF",Dataset!J:J,"&lt;"&amp;$D75,Dataset!J:J,"&gt;="&amp;$C75)</f>
        <v>0</v>
      </c>
      <c r="S75" s="83">
        <f>SUMIFS(Dataset!AA:AA,Dataset!F:F,'retorno absoluto'!$D$11,Dataset!AH:AH,"bono de gobierno",Dataset!T:T,"$",Dataset!J:J,"&lt;"&amp;$D75,Dataset!J:J,"&gt;="&amp;$C75)</f>
        <v>0</v>
      </c>
      <c r="T75" s="83">
        <f>SUMIFS(Dataset!AA:AA,Dataset!F:F,'retorno absoluto'!$D$11,Dataset!AH:AH,"bono de gobierno",Dataset!T:T,"UF",Dataset!J:J,"&lt;"&amp;$D75,Dataset!J:J,"&gt;="&amp;$C75)</f>
        <v>0</v>
      </c>
      <c r="U75" s="83">
        <f>SUMIFS(Dataset!AA:AA,Dataset!F:F,'retorno absoluto'!$D$11,Dataset!AH:AH,"bono de gobierno",Dataset!T:T,"EU",Dataset!J:J,"&lt;"&amp;$D75,Dataset!J:J,"&gt;="&amp;$C75)</f>
        <v>0</v>
      </c>
      <c r="V75" s="83">
        <f>SUMIFS(Dataset!AA:AA,Dataset!F:F,'retorno absoluto'!$D$11,Dataset!AH:AH,"bono de gobierno",Dataset!T:T,"MX",Dataset!J:J,"&lt;"&amp;$D75,Dataset!J:J,"&gt;="&amp;$C75)</f>
        <v>0</v>
      </c>
      <c r="W75" s="83">
        <f>SUMIFS(Dataset!AA:AA,Dataset!F:F,'retorno absoluto'!$D$11,Dataset!AH:AH,"bono de gobierno",Dataset!T:T,"REA",Dataset!J:J,"&lt;"&amp;$D75,Dataset!J:J,"&gt;="&amp;$C75)</f>
        <v>0</v>
      </c>
      <c r="X75" s="83">
        <f>SUMIFS(Dataset!AA:AA,Dataset!F:F,'retorno absoluto'!$D$11,Dataset!AH:AH,"bono de gobierno",Dataset!T:T,"sol",Dataset!J:J,"&lt;"&amp;$D75,Dataset!J:J,"&gt;="&amp;$C75)</f>
        <v>0</v>
      </c>
      <c r="Y75" s="83">
        <f>SUMIFS(Dataset!AA:AA,Dataset!F:F,'retorno absoluto'!$D$11,Dataset!AH:AH,"bono corporativo",Dataset!T:T,"$",Dataset!J:J,"&lt;"&amp;$D75,Dataset!J:J,"&gt;="&amp;$C75)</f>
        <v>0</v>
      </c>
      <c r="Z75" s="83">
        <f>SUMIFS(Dataset!AA:AA,Dataset!F:F,'retorno absoluto'!$D$11,Dataset!AH:AH,"bono corporativo",Dataset!T:T,"UF",Dataset!J:J,"&lt;"&amp;$D75,Dataset!J:J,"&gt;="&amp;$C75)</f>
        <v>0</v>
      </c>
      <c r="AA75" s="83">
        <f>SUMIFS(Dataset!AA:AA,Dataset!F:F,'retorno absoluto'!$D$11,Dataset!J:J,"&lt;"&amp;$D75,Dataset!J:J,"&gt;="&amp;$C75,Dataset!AH:AH,"&lt;&gt;bono corporativo",Dataset!AH:AH,"&lt;&gt;bono de gobierno",Dataset!AH:AH,"&lt;&gt;deposito")</f>
        <v>0</v>
      </c>
      <c r="AB75" s="84">
        <f t="shared" si="9"/>
        <v>1.5394410439025536E-3</v>
      </c>
      <c r="AC75" s="85">
        <f>SUMIFS(Dataset!H:H,Dataset!F:F,'retorno absoluto'!$D$11,Dataset!AH:AH,"deposito",Dataset!T:T,"$",Dataset!J:J,"&lt;"&amp;$D75,Dataset!J:J,"&gt;="&amp;$C75)*10</f>
        <v>0.14091296341823117</v>
      </c>
      <c r="AD75" s="86">
        <f>SUMIFS(Dataset!H:H,Dataset!F:F,'retorno absoluto'!$D$11,Dataset!AH:AH,"deposito",Dataset!T:T,"UF",Dataset!J:J,"&lt;"&amp;$D75,Dataset!J:J,"&gt;="&amp;$C75)*10</f>
        <v>0</v>
      </c>
      <c r="AE75" s="86">
        <f>SUMIFS(Dataset!H:H,Dataset!F:F,'retorno absoluto'!$D$11,Dataset!AH:AH,"bono de gobierno",Dataset!T:T,"$",Dataset!J:J,"&lt;"&amp;$D75,Dataset!J:J,"&gt;="&amp;$C75)*10</f>
        <v>0</v>
      </c>
      <c r="AF75" s="86">
        <f>SUMIFS(Dataset!H:H,Dataset!F:F,'retorno absoluto'!$D$11,Dataset!AH:AH,"bono de gobierno",Dataset!T:T,"UF",Dataset!J:J,"&lt;"&amp;$D75,Dataset!J:J,"&gt;="&amp;$C75)*10</f>
        <v>0</v>
      </c>
      <c r="AG75" s="86">
        <f>SUMIFS(Dataset!H:H,Dataset!F:F,'retorno absoluto'!$D$11,Dataset!AH:AH,"bono de gobierno",Dataset!T:T,"EU",Dataset!J:J,"&lt;"&amp;$D75,Dataset!J:J,"&gt;="&amp;$C75)*10</f>
        <v>0</v>
      </c>
      <c r="AH75" s="86">
        <f>SUMIFS(Dataset!H:H,Dataset!F:F,'retorno absoluto'!$D$11,Dataset!AH:AH,"bono de gobierno",Dataset!T:T,"MX",Dataset!J:J,"&lt;"&amp;$D75,Dataset!J:J,"&gt;="&amp;$C75)*10</f>
        <v>0</v>
      </c>
      <c r="AI75" s="86">
        <f>SUMIFS(Dataset!H:H,Dataset!F:F,'retorno absoluto'!$D$11,Dataset!AH:AH,"bono de gobierno",Dataset!T:T,"REA",Dataset!J:J,"&lt;"&amp;$D75,Dataset!J:J,"&gt;="&amp;$C75)*10</f>
        <v>0</v>
      </c>
      <c r="AJ75" s="86">
        <f>SUMIFS(Dataset!H:H,Dataset!F:F,'retorno absoluto'!$D$11,Dataset!AH:AH,"bono de gobierno",Dataset!T:T,"sol",Dataset!J:J,"&lt;"&amp;$D75,Dataset!J:J,"&gt;="&amp;$C75)*10</f>
        <v>0</v>
      </c>
      <c r="AK75" s="86">
        <f>SUMIFS(Dataset!H:H,Dataset!F:F,'retorno absoluto'!$D$11,Dataset!AH:AH,"bono corporativo",Dataset!T:T,"$",Dataset!J:J,"&lt;"&amp;$D75,Dataset!J:J,"&gt;="&amp;$C75)*10</f>
        <v>0</v>
      </c>
      <c r="AL75" s="86">
        <f>SUMIFS(Dataset!H:H,Dataset!F:F,'retorno absoluto'!$D$11,Dataset!AH:AH,"bono corporativo",Dataset!T:T,"UF",Dataset!J:J,"&lt;"&amp;$D75,Dataset!J:J,"&gt;="&amp;$C75)*10</f>
        <v>0</v>
      </c>
      <c r="AM75" s="86">
        <f>SUMIFS(Dataset!H:H,Dataset!F:F,'retorno absoluto'!$D$11,Dataset!J:J,"&lt;"&amp;$D75,Dataset!J:J,"&gt;="&amp;$C75,Dataset!AH:AH,"&lt;&gt;bono corporativo",Dataset!AH:AH,"&lt;&gt;bono de gobierno",Dataset!AH:AH,"&lt;&gt;deposito")*10</f>
        <v>0</v>
      </c>
      <c r="AN75" s="87">
        <f t="shared" si="10"/>
        <v>0.14091296341823117</v>
      </c>
    </row>
    <row r="76" spans="2:40" ht="33" customHeight="1" x14ac:dyDescent="0.3">
      <c r="C76" s="61">
        <v>1.5</v>
      </c>
      <c r="D76" s="81">
        <v>2.5</v>
      </c>
      <c r="E76" s="82">
        <f>SUMIFS(Dataset!AK:AK,Dataset!F:F,'retorno absoluto'!$D$11,Dataset!AH:AH,"deposito",Dataset!T:T,"$",Dataset!J:J,"&lt;"&amp;$D76,Dataset!J:J,"&gt;="&amp;$C76)</f>
        <v>0</v>
      </c>
      <c r="F76" s="83">
        <f>SUMIFS(Dataset!AK:AK,Dataset!F:F,'retorno absoluto'!$D$11,Dataset!AH:AH,"deposito",Dataset!T:T,"UF",Dataset!J:J,"&lt;"&amp;$D76,Dataset!J:J,"&gt;="&amp;$C76)</f>
        <v>0</v>
      </c>
      <c r="G76" s="83">
        <f>SUMIFS(Dataset!AK:AK,Dataset!F:F,'retorno absoluto'!$D$11,Dataset!AH:AH,"bono de gobierno",Dataset!T:T,"$",Dataset!J:J,"&lt;"&amp;$D76,Dataset!J:J,"&gt;="&amp;$C76)</f>
        <v>0</v>
      </c>
      <c r="H76" s="83">
        <f>SUMIFS(Dataset!AK:AK,Dataset!F:F,'retorno absoluto'!$D$11,Dataset!AH:AH,"bono de gobierno",Dataset!T:T,"UF",Dataset!J:J,"&lt;"&amp;$D76,Dataset!J:J,"&gt;="&amp;$C76)</f>
        <v>2.0883851202040872E-2</v>
      </c>
      <c r="I76" s="83">
        <f>SUMIFS(Dataset!AK:AK,Dataset!F:F,'retorno absoluto'!$D$11,Dataset!AH:AH,"bono de gobierno",Dataset!T:T,"eu",Dataset!J:J,"&lt;"&amp;$D76,Dataset!J:J,"&gt;="&amp;$C76)</f>
        <v>0</v>
      </c>
      <c r="J76" s="83">
        <f>SUMIFS(Dataset!AK:AK,Dataset!F:F,'retorno absoluto'!$D$11,Dataset!AH:AH,"bono de gobierno",Dataset!T:T,"mx",Dataset!J:J,"&lt;"&amp;$D76,Dataset!J:J,"&gt;="&amp;$C76)</f>
        <v>0</v>
      </c>
      <c r="K76" s="83">
        <f>SUMIFS(Dataset!AK:AK,Dataset!F:F,'retorno absoluto'!$D$11,Dataset!AH:AH,"bono de gobierno",Dataset!T:T,"rea",Dataset!J:J,"&lt;"&amp;$D76,Dataset!J:J,"&gt;="&amp;$C76)</f>
        <v>0</v>
      </c>
      <c r="L76" s="83">
        <f>SUMIFS(Dataset!AK:AK,Dataset!F:F,'retorno absoluto'!$D$11,Dataset!AH:AH,"bono de gobierno",Dataset!T:T,"sol",Dataset!J:J,"&lt;"&amp;$D76,Dataset!J:J,"&gt;="&amp;$C76)</f>
        <v>0</v>
      </c>
      <c r="M76" s="83">
        <f>SUMIFS(Dataset!AK:AK,Dataset!F:F,'retorno absoluto'!$D$11,Dataset!AH:AH,"bono corporativo",Dataset!T:T,"$",Dataset!J:J,"&lt;"&amp;$D76,Dataset!J:J,"&gt;="&amp;$C76)</f>
        <v>0</v>
      </c>
      <c r="N76" s="83">
        <f>SUMIFS(Dataset!AK:AK,Dataset!F:F,'retorno absoluto'!$D$11,Dataset!AH:AH,"bono corporativo",Dataset!T:T,"UF",Dataset!J:J,"&lt;"&amp;$D76,Dataset!J:J,"&gt;="&amp;$C76)</f>
        <v>0</v>
      </c>
      <c r="O76" s="83">
        <f>SUMIFS(Dataset!AK:AK,Dataset!F:F,'retorno absoluto'!$D$11,Dataset!J:J,"&lt;"&amp;$D76,Dataset!J:J,"&gt;="&amp;$C76,Dataset!AH:AH,"&lt;&gt;bono corporativo",Dataset!AH:AH,"&lt;&gt;bono de gobierno",Dataset!AH:AH,"&lt;&gt;deposito")</f>
        <v>0</v>
      </c>
      <c r="P76" s="84">
        <f t="shared" si="8"/>
        <v>2.0883851202040872E-2</v>
      </c>
      <c r="Q76" s="82">
        <f>SUMIFS(Dataset!AA:AA,Dataset!F:F,'retorno absoluto'!$D$11,Dataset!AH:AH,"deposito",Dataset!T:T,"$",Dataset!J:J,"&lt;"&amp;$D76,Dataset!J:J,"&gt;="&amp;$C76)</f>
        <v>0</v>
      </c>
      <c r="R76" s="83">
        <f>SUMIFS(Dataset!AA:AA,Dataset!F:F,'retorno absoluto'!$D$11,Dataset!AH:AH,"deposito",Dataset!T:T,"UF",Dataset!J:J,"&lt;"&amp;$D76,Dataset!J:J,"&gt;="&amp;$C76)</f>
        <v>0</v>
      </c>
      <c r="S76" s="83">
        <f>SUMIFS(Dataset!AA:AA,Dataset!F:F,'retorno absoluto'!$D$11,Dataset!AH:AH,"bono de gobierno",Dataset!T:T,"$",Dataset!J:J,"&lt;"&amp;$D76,Dataset!J:J,"&gt;="&amp;$C76)</f>
        <v>0</v>
      </c>
      <c r="T76" s="83">
        <f>SUMIFS(Dataset!AA:AA,Dataset!F:F,'retorno absoluto'!$D$11,Dataset!AH:AH,"bono de gobierno",Dataset!T:T,"UF",Dataset!J:J,"&lt;"&amp;$D76,Dataset!J:J,"&gt;="&amp;$C76)</f>
        <v>1.8613077057260424E-2</v>
      </c>
      <c r="U76" s="83">
        <f>SUMIFS(Dataset!AA:AA,Dataset!F:F,'retorno absoluto'!$D$11,Dataset!AH:AH,"bono de gobierno",Dataset!T:T,"EU",Dataset!J:J,"&lt;"&amp;$D76,Dataset!J:J,"&gt;="&amp;$C76)</f>
        <v>0</v>
      </c>
      <c r="V76" s="83">
        <f>SUMIFS(Dataset!AA:AA,Dataset!F:F,'retorno absoluto'!$D$11,Dataset!AH:AH,"bono de gobierno",Dataset!T:T,"MX",Dataset!J:J,"&lt;"&amp;$D76,Dataset!J:J,"&gt;="&amp;$C76)</f>
        <v>0</v>
      </c>
      <c r="W76" s="83">
        <f>SUMIFS(Dataset!AA:AA,Dataset!F:F,'retorno absoluto'!$D$11,Dataset!AH:AH,"bono de gobierno",Dataset!T:T,"REA",Dataset!J:J,"&lt;"&amp;$D76,Dataset!J:J,"&gt;="&amp;$C76)</f>
        <v>0</v>
      </c>
      <c r="X76" s="83">
        <f>SUMIFS(Dataset!AA:AA,Dataset!F:F,'retorno absoluto'!$D$11,Dataset!AH:AH,"bono de gobierno",Dataset!T:T,"sol",Dataset!J:J,"&lt;"&amp;$D76,Dataset!J:J,"&gt;="&amp;$C76)</f>
        <v>0</v>
      </c>
      <c r="Y76" s="83">
        <f>SUMIFS(Dataset!AA:AA,Dataset!F:F,'retorno absoluto'!$D$11,Dataset!AH:AH,"bono corporativo",Dataset!T:T,"$",Dataset!J:J,"&lt;"&amp;$D76,Dataset!J:J,"&gt;="&amp;$C76)</f>
        <v>0</v>
      </c>
      <c r="Z76" s="83">
        <f>SUMIFS(Dataset!AA:AA,Dataset!F:F,'retorno absoluto'!$D$11,Dataset!AH:AH,"bono corporativo",Dataset!T:T,"UF",Dataset!J:J,"&lt;"&amp;$D76,Dataset!J:J,"&gt;="&amp;$C76)</f>
        <v>0</v>
      </c>
      <c r="AA76" s="83">
        <f>SUMIFS(Dataset!AA:AA,Dataset!F:F,'retorno absoluto'!$D$11,Dataset!J:J,"&lt;"&amp;$D76,Dataset!J:J,"&gt;="&amp;$C76,Dataset!AH:AH,"&lt;&gt;bono corporativo",Dataset!AH:AH,"&lt;&gt;bono de gobierno",Dataset!AH:AH,"&lt;&gt;deposito")</f>
        <v>0</v>
      </c>
      <c r="AB76" s="84">
        <f t="shared" si="9"/>
        <v>1.8613077057260424E-2</v>
      </c>
      <c r="AC76" s="85">
        <f>SUMIFS(Dataset!H:H,Dataset!F:F,'retorno absoluto'!$D$11,Dataset!AH:AH,"deposito",Dataset!T:T,"$",Dataset!J:J,"&lt;"&amp;$D76,Dataset!J:J,"&gt;="&amp;$C76)*10</f>
        <v>0</v>
      </c>
      <c r="AD76" s="86">
        <f>SUMIFS(Dataset!H:H,Dataset!F:F,'retorno absoluto'!$D$11,Dataset!AH:AH,"deposito",Dataset!T:T,"UF",Dataset!J:J,"&lt;"&amp;$D76,Dataset!J:J,"&gt;="&amp;$C76)*10</f>
        <v>0</v>
      </c>
      <c r="AE76" s="86">
        <f>SUMIFS(Dataset!H:H,Dataset!F:F,'retorno absoluto'!$D$11,Dataset!AH:AH,"bono de gobierno",Dataset!T:T,"$",Dataset!J:J,"&lt;"&amp;$D76,Dataset!J:J,"&gt;="&amp;$C76)*10</f>
        <v>0</v>
      </c>
      <c r="AF76" s="86">
        <f>SUMIFS(Dataset!H:H,Dataset!F:F,'retorno absoluto'!$D$11,Dataset!AH:AH,"bono de gobierno",Dataset!T:T,"UF",Dataset!J:J,"&lt;"&amp;$D76,Dataset!J:J,"&gt;="&amp;$C76)*10</f>
        <v>0.43020733476204198</v>
      </c>
      <c r="AG76" s="86">
        <f>SUMIFS(Dataset!H:H,Dataset!F:F,'retorno absoluto'!$D$11,Dataset!AH:AH,"bono de gobierno",Dataset!T:T,"EU",Dataset!J:J,"&lt;"&amp;$D76,Dataset!J:J,"&gt;="&amp;$C76)*10</f>
        <v>0</v>
      </c>
      <c r="AH76" s="86">
        <f>SUMIFS(Dataset!H:H,Dataset!F:F,'retorno absoluto'!$D$11,Dataset!AH:AH,"bono de gobierno",Dataset!T:T,"MX",Dataset!J:J,"&lt;"&amp;$D76,Dataset!J:J,"&gt;="&amp;$C76)*10</f>
        <v>0</v>
      </c>
      <c r="AI76" s="86">
        <f>SUMIFS(Dataset!H:H,Dataset!F:F,'retorno absoluto'!$D$11,Dataset!AH:AH,"bono de gobierno",Dataset!T:T,"REA",Dataset!J:J,"&lt;"&amp;$D76,Dataset!J:J,"&gt;="&amp;$C76)*10</f>
        <v>0</v>
      </c>
      <c r="AJ76" s="86">
        <f>SUMIFS(Dataset!H:H,Dataset!F:F,'retorno absoluto'!$D$11,Dataset!AH:AH,"bono de gobierno",Dataset!T:T,"sol",Dataset!J:J,"&lt;"&amp;$D76,Dataset!J:J,"&gt;="&amp;$C76)*10</f>
        <v>0</v>
      </c>
      <c r="AK76" s="86">
        <f>SUMIFS(Dataset!H:H,Dataset!F:F,'retorno absoluto'!$D$11,Dataset!AH:AH,"bono corporativo",Dataset!T:T,"$",Dataset!J:J,"&lt;"&amp;$D76,Dataset!J:J,"&gt;="&amp;$C76)*10</f>
        <v>0</v>
      </c>
      <c r="AL76" s="86">
        <f>SUMIFS(Dataset!H:H,Dataset!F:F,'retorno absoluto'!$D$11,Dataset!AH:AH,"bono corporativo",Dataset!T:T,"UF",Dataset!J:J,"&lt;"&amp;$D76,Dataset!J:J,"&gt;="&amp;$C76)*10</f>
        <v>0</v>
      </c>
      <c r="AM76" s="86">
        <f>SUMIFS(Dataset!H:H,Dataset!F:F,'retorno absoluto'!$D$11,Dataset!J:J,"&lt;"&amp;$D76,Dataset!J:J,"&gt;="&amp;$C76,Dataset!AH:AH,"&lt;&gt;bono corporativo",Dataset!AH:AH,"&lt;&gt;bono de gobierno",Dataset!AH:AH,"&lt;&gt;deposito")*10</f>
        <v>0</v>
      </c>
      <c r="AN76" s="87">
        <f t="shared" si="10"/>
        <v>0.43020733476204198</v>
      </c>
    </row>
    <row r="77" spans="2:40" ht="27" customHeight="1" x14ac:dyDescent="0.3">
      <c r="C77" s="61">
        <v>2.5</v>
      </c>
      <c r="D77" s="81">
        <v>3.5</v>
      </c>
      <c r="E77" s="82">
        <f>SUMIFS(Dataset!AK:AK,Dataset!F:F,'retorno absoluto'!$D$11,Dataset!AH:AH,"deposito",Dataset!T:T,"$",Dataset!J:J,"&lt;"&amp;$D77,Dataset!J:J,"&gt;="&amp;$C77)</f>
        <v>0</v>
      </c>
      <c r="F77" s="83">
        <f>SUMIFS(Dataset!AK:AK,Dataset!F:F,'retorno absoluto'!$D$11,Dataset!AH:AH,"deposito",Dataset!T:T,"UF",Dataset!J:J,"&lt;"&amp;$D77,Dataset!J:J,"&gt;="&amp;$C77)</f>
        <v>0</v>
      </c>
      <c r="G77" s="83">
        <f>SUMIFS(Dataset!AK:AK,Dataset!F:F,'retorno absoluto'!$D$11,Dataset!AH:AH,"bono de gobierno",Dataset!T:T,"$",Dataset!J:J,"&lt;"&amp;$D77,Dataset!J:J,"&gt;="&amp;$C77)</f>
        <v>0.43061860931852453</v>
      </c>
      <c r="H77" s="83">
        <f>SUMIFS(Dataset!AK:AK,Dataset!F:F,'retorno absoluto'!$D$11,Dataset!AH:AH,"bono de gobierno",Dataset!T:T,"UF",Dataset!J:J,"&lt;"&amp;$D77,Dataset!J:J,"&gt;="&amp;$C77)</f>
        <v>0.10033832578420028</v>
      </c>
      <c r="I77" s="83">
        <f>SUMIFS(Dataset!AK:AK,Dataset!F:F,'retorno absoluto'!$D$11,Dataset!AH:AH,"bono de gobierno",Dataset!T:T,"eu",Dataset!J:J,"&lt;"&amp;$D77,Dataset!J:J,"&gt;="&amp;$C77)</f>
        <v>0</v>
      </c>
      <c r="J77" s="83">
        <f>SUMIFS(Dataset!AK:AK,Dataset!F:F,'retorno absoluto'!$D$11,Dataset!AH:AH,"bono de gobierno",Dataset!T:T,"mx",Dataset!J:J,"&lt;"&amp;$D77,Dataset!J:J,"&gt;="&amp;$C77)</f>
        <v>0</v>
      </c>
      <c r="K77" s="83">
        <f>SUMIFS(Dataset!AK:AK,Dataset!F:F,'retorno absoluto'!$D$11,Dataset!AH:AH,"bono de gobierno",Dataset!T:T,"rea",Dataset!J:J,"&lt;"&amp;$D77,Dataset!J:J,"&gt;="&amp;$C77)</f>
        <v>0</v>
      </c>
      <c r="L77" s="83">
        <f>SUMIFS(Dataset!AK:AK,Dataset!F:F,'retorno absoluto'!$D$11,Dataset!AH:AH,"bono de gobierno",Dataset!T:T,"sol",Dataset!J:J,"&lt;"&amp;$D77,Dataset!J:J,"&gt;="&amp;$C77)</f>
        <v>0</v>
      </c>
      <c r="M77" s="83">
        <f>SUMIFS(Dataset!AK:AK,Dataset!F:F,'retorno absoluto'!$D$11,Dataset!AH:AH,"bono corporativo",Dataset!T:T,"$",Dataset!J:J,"&lt;"&amp;$D77,Dataset!J:J,"&gt;="&amp;$C77)</f>
        <v>0</v>
      </c>
      <c r="N77" s="83">
        <f>SUMIFS(Dataset!AK:AK,Dataset!F:F,'retorno absoluto'!$D$11,Dataset!AH:AH,"bono corporativo",Dataset!T:T,"UF",Dataset!J:J,"&lt;"&amp;$D77,Dataset!J:J,"&gt;="&amp;$C77)</f>
        <v>0</v>
      </c>
      <c r="O77" s="83">
        <f>SUMIFS(Dataset!AK:AK,Dataset!F:F,'retorno absoluto'!$D$11,Dataset!J:J,"&lt;"&amp;$D77,Dataset!J:J,"&gt;="&amp;$C77,Dataset!AH:AH,"&lt;&gt;bono corporativo",Dataset!AH:AH,"&lt;&gt;bono de gobierno",Dataset!AH:AH,"&lt;&gt;deposito")</f>
        <v>0</v>
      </c>
      <c r="P77" s="84">
        <f t="shared" si="8"/>
        <v>0.53095693510272479</v>
      </c>
      <c r="Q77" s="82">
        <f>SUMIFS(Dataset!AA:AA,Dataset!F:F,'retorno absoluto'!$D$11,Dataset!AH:AH,"deposito",Dataset!T:T,"$",Dataset!J:J,"&lt;"&amp;$D77,Dataset!J:J,"&gt;="&amp;$C77)</f>
        <v>0</v>
      </c>
      <c r="R77" s="83">
        <f>SUMIFS(Dataset!AA:AA,Dataset!F:F,'retorno absoluto'!$D$11,Dataset!AH:AH,"deposito",Dataset!T:T,"UF",Dataset!J:J,"&lt;"&amp;$D77,Dataset!J:J,"&gt;="&amp;$C77)</f>
        <v>0</v>
      </c>
      <c r="S77" s="83">
        <f>SUMIFS(Dataset!AA:AA,Dataset!F:F,'retorno absoluto'!$D$11,Dataset!AH:AH,"bono de gobierno",Dataset!T:T,"$",Dataset!J:J,"&lt;"&amp;$D77,Dataset!J:J,"&gt;="&amp;$C77)</f>
        <v>0.35338746641188923</v>
      </c>
      <c r="T77" s="83">
        <f>SUMIFS(Dataset!AA:AA,Dataset!F:F,'retorno absoluto'!$D$11,Dataset!AH:AH,"bono de gobierno",Dataset!T:T,"UF",Dataset!J:J,"&lt;"&amp;$D77,Dataset!J:J,"&gt;="&amp;$C77)</f>
        <v>0.17843838333562259</v>
      </c>
      <c r="U77" s="83">
        <f>SUMIFS(Dataset!AA:AA,Dataset!F:F,'retorno absoluto'!$D$11,Dataset!AH:AH,"bono de gobierno",Dataset!T:T,"EU",Dataset!J:J,"&lt;"&amp;$D77,Dataset!J:J,"&gt;="&amp;$C77)</f>
        <v>0</v>
      </c>
      <c r="V77" s="83">
        <f>SUMIFS(Dataset!AA:AA,Dataset!F:F,'retorno absoluto'!$D$11,Dataset!AH:AH,"bono de gobierno",Dataset!T:T,"MX",Dataset!J:J,"&lt;"&amp;$D77,Dataset!J:J,"&gt;="&amp;$C77)</f>
        <v>0</v>
      </c>
      <c r="W77" s="83">
        <f>SUMIFS(Dataset!AA:AA,Dataset!F:F,'retorno absoluto'!$D$11,Dataset!AH:AH,"bono de gobierno",Dataset!T:T,"REA",Dataset!J:J,"&lt;"&amp;$D77,Dataset!J:J,"&gt;="&amp;$C77)</f>
        <v>0</v>
      </c>
      <c r="X77" s="83">
        <f>SUMIFS(Dataset!AA:AA,Dataset!F:F,'retorno absoluto'!$D$11,Dataset!AH:AH,"bono de gobierno",Dataset!T:T,"sol",Dataset!J:J,"&lt;"&amp;$D77,Dataset!J:J,"&gt;="&amp;$C77)</f>
        <v>0</v>
      </c>
      <c r="Y77" s="83">
        <f>SUMIFS(Dataset!AA:AA,Dataset!F:F,'retorno absoluto'!$D$11,Dataset!AH:AH,"bono corporativo",Dataset!T:T,"$",Dataset!J:J,"&lt;"&amp;$D77,Dataset!J:J,"&gt;="&amp;$C77)</f>
        <v>0</v>
      </c>
      <c r="Z77" s="83">
        <f>SUMIFS(Dataset!AA:AA,Dataset!F:F,'retorno absoluto'!$D$11,Dataset!AH:AH,"bono corporativo",Dataset!T:T,"UF",Dataset!J:J,"&lt;"&amp;$D77,Dataset!J:J,"&gt;="&amp;$C77)</f>
        <v>0</v>
      </c>
      <c r="AA77" s="83">
        <f>SUMIFS(Dataset!AA:AA,Dataset!F:F,'retorno absoluto'!$D$11,Dataset!J:J,"&lt;"&amp;$D77,Dataset!J:J,"&gt;="&amp;$C77,Dataset!AH:AH,"&lt;&gt;bono corporativo",Dataset!AH:AH,"&lt;&gt;bono de gobierno",Dataset!AH:AH,"&lt;&gt;deposito")</f>
        <v>0</v>
      </c>
      <c r="AB77" s="84">
        <f t="shared" si="9"/>
        <v>0.53182584974751179</v>
      </c>
      <c r="AC77" s="85">
        <f>SUMIFS(Dataset!H:H,Dataset!F:F,'retorno absoluto'!$D$11,Dataset!AH:AH,"deposito",Dataset!T:T,"$",Dataset!J:J,"&lt;"&amp;$D77,Dataset!J:J,"&gt;="&amp;$C77)*10</f>
        <v>0</v>
      </c>
      <c r="AD77" s="86">
        <f>SUMIFS(Dataset!H:H,Dataset!F:F,'retorno absoluto'!$D$11,Dataset!AH:AH,"deposito",Dataset!T:T,"UF",Dataset!J:J,"&lt;"&amp;$D77,Dataset!J:J,"&gt;="&amp;$C77)*10</f>
        <v>0</v>
      </c>
      <c r="AE77" s="86">
        <f>SUMIFS(Dataset!H:H,Dataset!F:F,'retorno absoluto'!$D$11,Dataset!AH:AH,"bono de gobierno",Dataset!T:T,"$",Dataset!J:J,"&lt;"&amp;$D77,Dataset!J:J,"&gt;="&amp;$C77)*10</f>
        <v>13.263053167010558</v>
      </c>
      <c r="AF77" s="86">
        <f>SUMIFS(Dataset!H:H,Dataset!F:F,'retorno absoluto'!$D$11,Dataset!AH:AH,"bono de gobierno",Dataset!T:T,"UF",Dataset!J:J,"&lt;"&amp;$D77,Dataset!J:J,"&gt;="&amp;$C77)*10</f>
        <v>3.2308940902512489</v>
      </c>
      <c r="AG77" s="86">
        <f>SUMIFS(Dataset!H:H,Dataset!F:F,'retorno absoluto'!$D$11,Dataset!AH:AH,"bono de gobierno",Dataset!T:T,"EU",Dataset!J:J,"&lt;"&amp;$D77,Dataset!J:J,"&gt;="&amp;$C77)*10</f>
        <v>0</v>
      </c>
      <c r="AH77" s="86">
        <f>SUMIFS(Dataset!H:H,Dataset!F:F,'retorno absoluto'!$D$11,Dataset!AH:AH,"bono de gobierno",Dataset!T:T,"MX",Dataset!J:J,"&lt;"&amp;$D77,Dataset!J:J,"&gt;="&amp;$C77)*10</f>
        <v>0</v>
      </c>
      <c r="AI77" s="86">
        <f>SUMIFS(Dataset!H:H,Dataset!F:F,'retorno absoluto'!$D$11,Dataset!AH:AH,"bono de gobierno",Dataset!T:T,"REA",Dataset!J:J,"&lt;"&amp;$D77,Dataset!J:J,"&gt;="&amp;$C77)*10</f>
        <v>0</v>
      </c>
      <c r="AJ77" s="86">
        <f>SUMIFS(Dataset!H:H,Dataset!F:F,'retorno absoluto'!$D$11,Dataset!AH:AH,"bono de gobierno",Dataset!T:T,"sol",Dataset!J:J,"&lt;"&amp;$D77,Dataset!J:J,"&gt;="&amp;$C77)*10</f>
        <v>0</v>
      </c>
      <c r="AK77" s="86">
        <f>SUMIFS(Dataset!H:H,Dataset!F:F,'retorno absoluto'!$D$11,Dataset!AH:AH,"bono corporativo",Dataset!T:T,"$",Dataset!J:J,"&lt;"&amp;$D77,Dataset!J:J,"&gt;="&amp;$C77)*10</f>
        <v>0</v>
      </c>
      <c r="AL77" s="86">
        <f>SUMIFS(Dataset!H:H,Dataset!F:F,'retorno absoluto'!$D$11,Dataset!AH:AH,"bono corporativo",Dataset!T:T,"UF",Dataset!J:J,"&lt;"&amp;$D77,Dataset!J:J,"&gt;="&amp;$C77)*10</f>
        <v>0</v>
      </c>
      <c r="AM77" s="86">
        <f>SUMIFS(Dataset!H:H,Dataset!F:F,'retorno absoluto'!$D$11,Dataset!J:J,"&lt;"&amp;$D77,Dataset!J:J,"&gt;="&amp;$C77,Dataset!AH:AH,"&lt;&gt;bono corporativo",Dataset!AH:AH,"&lt;&gt;bono de gobierno",Dataset!AH:AH,"&lt;&gt;deposito")*10</f>
        <v>0</v>
      </c>
      <c r="AN77" s="87">
        <f t="shared" si="10"/>
        <v>16.493947257261805</v>
      </c>
    </row>
    <row r="78" spans="2:40" ht="27" customHeight="1" x14ac:dyDescent="0.3">
      <c r="C78" s="61">
        <v>3.5</v>
      </c>
      <c r="D78" s="81">
        <v>4.5</v>
      </c>
      <c r="E78" s="82">
        <f>SUMIFS(Dataset!AK:AK,Dataset!F:F,'retorno absoluto'!$D$11,Dataset!AH:AH,"deposito",Dataset!T:T,"$",Dataset!J:J,"&lt;"&amp;$D78,Dataset!J:J,"&gt;="&amp;$C78)</f>
        <v>0</v>
      </c>
      <c r="F78" s="83">
        <f>SUMIFS(Dataset!AK:AK,Dataset!F:F,'retorno absoluto'!$D$11,Dataset!AH:AH,"deposito",Dataset!T:T,"UF",Dataset!J:J,"&lt;"&amp;$D78,Dataset!J:J,"&gt;="&amp;$C78)</f>
        <v>0</v>
      </c>
      <c r="G78" s="83">
        <f>SUMIFS(Dataset!AK:AK,Dataset!F:F,'retorno absoluto'!$D$11,Dataset!AH:AH,"bono de gobierno",Dataset!T:T,"$",Dataset!J:J,"&lt;"&amp;$D78,Dataset!J:J,"&gt;="&amp;$C78)</f>
        <v>6.0535771129191465E-2</v>
      </c>
      <c r="H78" s="83">
        <f>SUMIFS(Dataset!AK:AK,Dataset!F:F,'retorno absoluto'!$D$11,Dataset!AH:AH,"bono de gobierno",Dataset!T:T,"UF",Dataset!J:J,"&lt;"&amp;$D78,Dataset!J:J,"&gt;="&amp;$C78)</f>
        <v>0</v>
      </c>
      <c r="I78" s="83">
        <f>SUMIFS(Dataset!AK:AK,Dataset!F:F,'retorno absoluto'!$D$11,Dataset!AH:AH,"bono de gobierno",Dataset!T:T,"eu",Dataset!J:J,"&lt;"&amp;$D78,Dataset!J:J,"&gt;="&amp;$C78)</f>
        <v>0</v>
      </c>
      <c r="J78" s="83">
        <f>SUMIFS(Dataset!AK:AK,Dataset!F:F,'retorno absoluto'!$D$11,Dataset!AH:AH,"bono de gobierno",Dataset!T:T,"mx",Dataset!J:J,"&lt;"&amp;$D78,Dataset!J:J,"&gt;="&amp;$C78)</f>
        <v>0</v>
      </c>
      <c r="K78" s="83">
        <f>SUMIFS(Dataset!AK:AK,Dataset!F:F,'retorno absoluto'!$D$11,Dataset!AH:AH,"bono de gobierno",Dataset!T:T,"rea",Dataset!J:J,"&lt;"&amp;$D78,Dataset!J:J,"&gt;="&amp;$C78)</f>
        <v>0</v>
      </c>
      <c r="L78" s="83">
        <f>SUMIFS(Dataset!AK:AK,Dataset!F:F,'retorno absoluto'!$D$11,Dataset!AH:AH,"bono de gobierno",Dataset!T:T,"sol",Dataset!J:J,"&lt;"&amp;$D78,Dataset!J:J,"&gt;="&amp;$C78)</f>
        <v>0</v>
      </c>
      <c r="M78" s="83">
        <f>SUMIFS(Dataset!AK:AK,Dataset!F:F,'retorno absoluto'!$D$11,Dataset!AH:AH,"bono corporativo",Dataset!T:T,"$",Dataset!J:J,"&lt;"&amp;$D78,Dataset!J:J,"&gt;="&amp;$C78)</f>
        <v>0</v>
      </c>
      <c r="N78" s="83">
        <f>SUMIFS(Dataset!AK:AK,Dataset!F:F,'retorno absoluto'!$D$11,Dataset!AH:AH,"bono corporativo",Dataset!T:T,"UF",Dataset!J:J,"&lt;"&amp;$D78,Dataset!J:J,"&gt;="&amp;$C78)</f>
        <v>0</v>
      </c>
      <c r="O78" s="83">
        <f>SUMIFS(Dataset!AK:AK,Dataset!F:F,'retorno absoluto'!$D$11,Dataset!J:J,"&lt;"&amp;$D78,Dataset!J:J,"&gt;="&amp;$C78,Dataset!AH:AH,"&lt;&gt;bono corporativo",Dataset!AH:AH,"&lt;&gt;bono de gobierno",Dataset!AH:AH,"&lt;&gt;deposito")</f>
        <v>0</v>
      </c>
      <c r="P78" s="84">
        <f t="shared" si="8"/>
        <v>6.0535771129191465E-2</v>
      </c>
      <c r="Q78" s="82">
        <f>SUMIFS(Dataset!AA:AA,Dataset!F:F,'retorno absoluto'!$D$11,Dataset!AH:AH,"deposito",Dataset!T:T,"$",Dataset!J:J,"&lt;"&amp;$D78,Dataset!J:J,"&gt;="&amp;$C78)</f>
        <v>0</v>
      </c>
      <c r="R78" s="83">
        <f>SUMIFS(Dataset!AA:AA,Dataset!F:F,'retorno absoluto'!$D$11,Dataset!AH:AH,"deposito",Dataset!T:T,"UF",Dataset!J:J,"&lt;"&amp;$D78,Dataset!J:J,"&gt;="&amp;$C78)</f>
        <v>0</v>
      </c>
      <c r="S78" s="83">
        <f>SUMIFS(Dataset!AA:AA,Dataset!F:F,'retorno absoluto'!$D$11,Dataset!AH:AH,"bono de gobierno",Dataset!T:T,"$",Dataset!J:J,"&lt;"&amp;$D78,Dataset!J:J,"&gt;="&amp;$C78)</f>
        <v>6.9659338567267734E-2</v>
      </c>
      <c r="T78" s="83">
        <f>SUMIFS(Dataset!AA:AA,Dataset!F:F,'retorno absoluto'!$D$11,Dataset!AH:AH,"bono de gobierno",Dataset!T:T,"UF",Dataset!J:J,"&lt;"&amp;$D78,Dataset!J:J,"&gt;="&amp;$C78)</f>
        <v>0</v>
      </c>
      <c r="U78" s="83">
        <f>SUMIFS(Dataset!AA:AA,Dataset!F:F,'retorno absoluto'!$D$11,Dataset!AH:AH,"bono de gobierno",Dataset!T:T,"EU",Dataset!J:J,"&lt;"&amp;$D78,Dataset!J:J,"&gt;="&amp;$C78)</f>
        <v>0</v>
      </c>
      <c r="V78" s="83">
        <f>SUMIFS(Dataset!AA:AA,Dataset!F:F,'retorno absoluto'!$D$11,Dataset!AH:AH,"bono de gobierno",Dataset!T:T,"MX",Dataset!J:J,"&lt;"&amp;$D78,Dataset!J:J,"&gt;="&amp;$C78)</f>
        <v>0</v>
      </c>
      <c r="W78" s="83">
        <f>SUMIFS(Dataset!AA:AA,Dataset!F:F,'retorno absoluto'!$D$11,Dataset!AH:AH,"bono de gobierno",Dataset!T:T,"REA",Dataset!J:J,"&lt;"&amp;$D78,Dataset!J:J,"&gt;="&amp;$C78)</f>
        <v>0</v>
      </c>
      <c r="X78" s="83">
        <f>SUMIFS(Dataset!AA:AA,Dataset!F:F,'retorno absoluto'!$D$11,Dataset!AH:AH,"bono de gobierno",Dataset!T:T,"sol",Dataset!J:J,"&lt;"&amp;$D78,Dataset!J:J,"&gt;="&amp;$C78)</f>
        <v>0</v>
      </c>
      <c r="Y78" s="83">
        <f>SUMIFS(Dataset!AA:AA,Dataset!F:F,'retorno absoluto'!$D$11,Dataset!AH:AH,"bono corporativo",Dataset!T:T,"$",Dataset!J:J,"&lt;"&amp;$D78,Dataset!J:J,"&gt;="&amp;$C78)</f>
        <v>0</v>
      </c>
      <c r="Z78" s="83">
        <f>SUMIFS(Dataset!AA:AA,Dataset!F:F,'retorno absoluto'!$D$11,Dataset!AH:AH,"bono corporativo",Dataset!T:T,"UF",Dataset!J:J,"&lt;"&amp;$D78,Dataset!J:J,"&gt;="&amp;$C78)</f>
        <v>0</v>
      </c>
      <c r="AA78" s="83">
        <f>SUMIFS(Dataset!AA:AA,Dataset!F:F,'retorno absoluto'!$D$11,Dataset!J:J,"&lt;"&amp;$D78,Dataset!J:J,"&gt;="&amp;$C78,Dataset!AH:AH,"&lt;&gt;bono corporativo",Dataset!AH:AH,"&lt;&gt;bono de gobierno",Dataset!AH:AH,"&lt;&gt;deposito")</f>
        <v>0</v>
      </c>
      <c r="AB78" s="84">
        <f t="shared" si="9"/>
        <v>6.9659338567267734E-2</v>
      </c>
      <c r="AC78" s="85">
        <f>SUMIFS(Dataset!H:H,Dataset!F:F,'retorno absoluto'!$D$11,Dataset!AH:AH,"deposito",Dataset!T:T,"$",Dataset!J:J,"&lt;"&amp;$D78,Dataset!J:J,"&gt;="&amp;$C78)*10</f>
        <v>0</v>
      </c>
      <c r="AD78" s="86">
        <f>SUMIFS(Dataset!H:H,Dataset!F:F,'retorno absoluto'!$D$11,Dataset!AH:AH,"deposito",Dataset!T:T,"UF",Dataset!J:J,"&lt;"&amp;$D78,Dataset!J:J,"&gt;="&amp;$C78)*10</f>
        <v>0</v>
      </c>
      <c r="AE78" s="86">
        <f>SUMIFS(Dataset!H:H,Dataset!F:F,'retorno absoluto'!$D$11,Dataset!AH:AH,"bono de gobierno",Dataset!T:T,"$",Dataset!J:J,"&lt;"&amp;$D78,Dataset!J:J,"&gt;="&amp;$C78)*10</f>
        <v>2.3185200342480332</v>
      </c>
      <c r="AF78" s="86">
        <f>SUMIFS(Dataset!H:H,Dataset!F:F,'retorno absoluto'!$D$11,Dataset!AH:AH,"bono de gobierno",Dataset!T:T,"UF",Dataset!J:J,"&lt;"&amp;$D78,Dataset!J:J,"&gt;="&amp;$C78)*10</f>
        <v>0</v>
      </c>
      <c r="AG78" s="86">
        <f>SUMIFS(Dataset!H:H,Dataset!F:F,'retorno absoluto'!$D$11,Dataset!AH:AH,"bono de gobierno",Dataset!T:T,"EU",Dataset!J:J,"&lt;"&amp;$D78,Dataset!J:J,"&gt;="&amp;$C78)*10</f>
        <v>0</v>
      </c>
      <c r="AH78" s="86">
        <f>SUMIFS(Dataset!H:H,Dataset!F:F,'retorno absoluto'!$D$11,Dataset!AH:AH,"bono de gobierno",Dataset!T:T,"MX",Dataset!J:J,"&lt;"&amp;$D78,Dataset!J:J,"&gt;="&amp;$C78)*10</f>
        <v>0</v>
      </c>
      <c r="AI78" s="86">
        <f>SUMIFS(Dataset!H:H,Dataset!F:F,'retorno absoluto'!$D$11,Dataset!AH:AH,"bono de gobierno",Dataset!T:T,"REA",Dataset!J:J,"&lt;"&amp;$D78,Dataset!J:J,"&gt;="&amp;$C78)*10</f>
        <v>0</v>
      </c>
      <c r="AJ78" s="86">
        <f>SUMIFS(Dataset!H:H,Dataset!F:F,'retorno absoluto'!$D$11,Dataset!AH:AH,"bono de gobierno",Dataset!T:T,"sol",Dataset!J:J,"&lt;"&amp;$D78,Dataset!J:J,"&gt;="&amp;$C78)*10</f>
        <v>0</v>
      </c>
      <c r="AK78" s="86">
        <f>SUMIFS(Dataset!H:H,Dataset!F:F,'retorno absoluto'!$D$11,Dataset!AH:AH,"bono corporativo",Dataset!T:T,"$",Dataset!J:J,"&lt;"&amp;$D78,Dataset!J:J,"&gt;="&amp;$C78)*10</f>
        <v>0</v>
      </c>
      <c r="AL78" s="86">
        <f>SUMIFS(Dataset!H:H,Dataset!F:F,'retorno absoluto'!$D$11,Dataset!AH:AH,"bono corporativo",Dataset!T:T,"UF",Dataset!J:J,"&lt;"&amp;$D78,Dataset!J:J,"&gt;="&amp;$C78)*10</f>
        <v>0</v>
      </c>
      <c r="AM78" s="86">
        <f>SUMIFS(Dataset!H:H,Dataset!F:F,'retorno absoluto'!$D$11,Dataset!J:J,"&lt;"&amp;$D78,Dataset!J:J,"&gt;="&amp;$C78,Dataset!AH:AH,"&lt;&gt;bono corporativo",Dataset!AH:AH,"&lt;&gt;bono de gobierno",Dataset!AH:AH,"&lt;&gt;deposito")*10</f>
        <v>0</v>
      </c>
      <c r="AN78" s="87">
        <f t="shared" si="10"/>
        <v>2.3185200342480332</v>
      </c>
    </row>
    <row r="79" spans="2:40" ht="36" customHeight="1" x14ac:dyDescent="0.4">
      <c r="B79" s="95"/>
      <c r="C79" s="61">
        <v>4.5</v>
      </c>
      <c r="D79" s="81">
        <v>5.5</v>
      </c>
      <c r="E79" s="82">
        <f>SUMIFS(Dataset!AK:AK,Dataset!F:F,'retorno absoluto'!$D$11,Dataset!AH:AH,"deposito",Dataset!T:T,"$",Dataset!J:J,"&lt;"&amp;$D79,Dataset!J:J,"&gt;="&amp;$C79)</f>
        <v>0</v>
      </c>
      <c r="F79" s="83">
        <f>SUMIFS(Dataset!AK:AK,Dataset!F:F,'retorno absoluto'!$D$11,Dataset!AH:AH,"deposito",Dataset!T:T,"UF",Dataset!J:J,"&lt;"&amp;$D79,Dataset!J:J,"&gt;="&amp;$C79)</f>
        <v>0</v>
      </c>
      <c r="G79" s="83">
        <f>SUMIFS(Dataset!AK:AK,Dataset!F:F,'retorno absoluto'!$D$11,Dataset!AH:AH,"bono de gobierno",Dataset!T:T,"$",Dataset!J:J,"&lt;"&amp;$D79,Dataset!J:J,"&gt;="&amp;$C79)</f>
        <v>0</v>
      </c>
      <c r="H79" s="83">
        <f>SUMIFS(Dataset!AK:AK,Dataset!F:F,'retorno absoluto'!$D$11,Dataset!AH:AH,"bono de gobierno",Dataset!T:T,"UF",Dataset!J:J,"&lt;"&amp;$D79,Dataset!J:J,"&gt;="&amp;$C79)</f>
        <v>0</v>
      </c>
      <c r="I79" s="83">
        <f>SUMIFS(Dataset!AK:AK,Dataset!F:F,'retorno absoluto'!$D$11,Dataset!AH:AH,"bono de gobierno",Dataset!T:T,"eu",Dataset!J:J,"&lt;"&amp;$D79,Dataset!J:J,"&gt;="&amp;$C79)</f>
        <v>0</v>
      </c>
      <c r="J79" s="83">
        <f>SUMIFS(Dataset!AK:AK,Dataset!F:F,'retorno absoluto'!$D$11,Dataset!AH:AH,"bono de gobierno",Dataset!T:T,"mx",Dataset!J:J,"&lt;"&amp;$D79,Dataset!J:J,"&gt;="&amp;$C79)</f>
        <v>0</v>
      </c>
      <c r="K79" s="83">
        <f>SUMIFS(Dataset!AK:AK,Dataset!F:F,'retorno absoluto'!$D$11,Dataset!AH:AH,"bono de gobierno",Dataset!T:T,"rea",Dataset!J:J,"&lt;"&amp;$D79,Dataset!J:J,"&gt;="&amp;$C79)</f>
        <v>0</v>
      </c>
      <c r="L79" s="83">
        <f>SUMIFS(Dataset!AK:AK,Dataset!F:F,'retorno absoluto'!$D$11,Dataset!AH:AH,"bono de gobierno",Dataset!T:T,"sol",Dataset!J:J,"&lt;"&amp;$D79,Dataset!J:J,"&gt;="&amp;$C79)</f>
        <v>0</v>
      </c>
      <c r="M79" s="83">
        <f>SUMIFS(Dataset!AK:AK,Dataset!F:F,'retorno absoluto'!$D$11,Dataset!AH:AH,"bono corporativo",Dataset!T:T,"$",Dataset!J:J,"&lt;"&amp;$D79,Dataset!J:J,"&gt;="&amp;$C79)</f>
        <v>0</v>
      </c>
      <c r="N79" s="83">
        <f>SUMIFS(Dataset!AK:AK,Dataset!F:F,'retorno absoluto'!$D$11,Dataset!AH:AH,"bono corporativo",Dataset!T:T,"UF",Dataset!J:J,"&lt;"&amp;$D79,Dataset!J:J,"&gt;="&amp;$C79)</f>
        <v>0</v>
      </c>
      <c r="O79" s="83">
        <f>SUMIFS(Dataset!AK:AK,Dataset!F:F,'retorno absoluto'!$D$11,Dataset!J:J,"&lt;"&amp;$D79,Dataset!J:J,"&gt;="&amp;$C79,Dataset!AH:AH,"&lt;&gt;bono corporativo",Dataset!AH:AH,"&lt;&gt;bono de gobierno",Dataset!AH:AH,"&lt;&gt;deposito")</f>
        <v>0</v>
      </c>
      <c r="P79" s="84">
        <f t="shared" si="8"/>
        <v>0</v>
      </c>
      <c r="Q79" s="82">
        <f>SUMIFS(Dataset!AA:AA,Dataset!F:F,'retorno absoluto'!$D$11,Dataset!AH:AH,"deposito",Dataset!T:T,"$",Dataset!J:J,"&lt;"&amp;$D79,Dataset!J:J,"&gt;="&amp;$C79)</f>
        <v>0</v>
      </c>
      <c r="R79" s="83">
        <f>SUMIFS(Dataset!AA:AA,Dataset!F:F,'retorno absoluto'!$D$11,Dataset!AH:AH,"deposito",Dataset!T:T,"UF",Dataset!J:J,"&lt;"&amp;$D79,Dataset!J:J,"&gt;="&amp;$C79)</f>
        <v>0</v>
      </c>
      <c r="S79" s="83">
        <f>SUMIFS(Dataset!AA:AA,Dataset!F:F,'retorno absoluto'!$D$11,Dataset!AH:AH,"bono de gobierno",Dataset!T:T,"$",Dataset!J:J,"&lt;"&amp;$D79,Dataset!J:J,"&gt;="&amp;$C79)</f>
        <v>0</v>
      </c>
      <c r="T79" s="83">
        <f>SUMIFS(Dataset!AA:AA,Dataset!F:F,'retorno absoluto'!$D$11,Dataset!AH:AH,"bono de gobierno",Dataset!T:T,"UF",Dataset!J:J,"&lt;"&amp;$D79,Dataset!J:J,"&gt;="&amp;$C79)</f>
        <v>0</v>
      </c>
      <c r="U79" s="83">
        <f>SUMIFS(Dataset!AA:AA,Dataset!F:F,'retorno absoluto'!$D$11,Dataset!AH:AH,"bono de gobierno",Dataset!T:T,"EU",Dataset!J:J,"&lt;"&amp;$D79,Dataset!J:J,"&gt;="&amp;$C79)</f>
        <v>0</v>
      </c>
      <c r="V79" s="83">
        <f>SUMIFS(Dataset!AA:AA,Dataset!F:F,'retorno absoluto'!$D$11,Dataset!AH:AH,"bono de gobierno",Dataset!T:T,"MX",Dataset!J:J,"&lt;"&amp;$D79,Dataset!J:J,"&gt;="&amp;$C79)</f>
        <v>0</v>
      </c>
      <c r="W79" s="83">
        <f>SUMIFS(Dataset!AA:AA,Dataset!F:F,'retorno absoluto'!$D$11,Dataset!AH:AH,"bono de gobierno",Dataset!T:T,"REA",Dataset!J:J,"&lt;"&amp;$D79,Dataset!J:J,"&gt;="&amp;$C79)</f>
        <v>0</v>
      </c>
      <c r="X79" s="83">
        <f>SUMIFS(Dataset!AA:AA,Dataset!F:F,'retorno absoluto'!$D$11,Dataset!AH:AH,"bono de gobierno",Dataset!T:T,"sol",Dataset!J:J,"&lt;"&amp;$D79,Dataset!J:J,"&gt;="&amp;$C79)</f>
        <v>0</v>
      </c>
      <c r="Y79" s="83">
        <f>SUMIFS(Dataset!AA:AA,Dataset!F:F,'retorno absoluto'!$D$11,Dataset!AH:AH,"bono corporativo",Dataset!T:T,"$",Dataset!J:J,"&lt;"&amp;$D79,Dataset!J:J,"&gt;="&amp;$C79)</f>
        <v>0</v>
      </c>
      <c r="Z79" s="83">
        <f>SUMIFS(Dataset!AA:AA,Dataset!F:F,'retorno absoluto'!$D$11,Dataset!AH:AH,"bono corporativo",Dataset!T:T,"UF",Dataset!J:J,"&lt;"&amp;$D79,Dataset!J:J,"&gt;="&amp;$C79)</f>
        <v>0</v>
      </c>
      <c r="AA79" s="83">
        <f>SUMIFS(Dataset!AA:AA,Dataset!F:F,'retorno absoluto'!$D$11,Dataset!J:J,"&lt;"&amp;$D79,Dataset!J:J,"&gt;="&amp;$C79,Dataset!AH:AH,"&lt;&gt;bono corporativo",Dataset!AH:AH,"&lt;&gt;bono de gobierno",Dataset!AH:AH,"&lt;&gt;deposito")</f>
        <v>0</v>
      </c>
      <c r="AB79" s="84">
        <f t="shared" si="9"/>
        <v>0</v>
      </c>
      <c r="AC79" s="85">
        <f>SUMIFS(Dataset!H:H,Dataset!F:F,'retorno absoluto'!$D$11,Dataset!AH:AH,"deposito",Dataset!T:T,"$",Dataset!J:J,"&lt;"&amp;$D79,Dataset!J:J,"&gt;="&amp;$C79)*10</f>
        <v>0</v>
      </c>
      <c r="AD79" s="86">
        <f>SUMIFS(Dataset!H:H,Dataset!F:F,'retorno absoluto'!$D$11,Dataset!AH:AH,"deposito",Dataset!T:T,"UF",Dataset!J:J,"&lt;"&amp;$D79,Dataset!J:J,"&gt;="&amp;$C79)*10</f>
        <v>0</v>
      </c>
      <c r="AE79" s="86">
        <f>SUMIFS(Dataset!H:H,Dataset!F:F,'retorno absoluto'!$D$11,Dataset!AH:AH,"bono de gobierno",Dataset!T:T,"$",Dataset!J:J,"&lt;"&amp;$D79,Dataset!J:J,"&gt;="&amp;$C79)*10</f>
        <v>0</v>
      </c>
      <c r="AF79" s="86">
        <f>SUMIFS(Dataset!H:H,Dataset!F:F,'retorno absoluto'!$D$11,Dataset!AH:AH,"bono de gobierno",Dataset!T:T,"UF",Dataset!J:J,"&lt;"&amp;$D79,Dataset!J:J,"&gt;="&amp;$C79)*10</f>
        <v>0</v>
      </c>
      <c r="AG79" s="86">
        <f>SUMIFS(Dataset!H:H,Dataset!F:F,'retorno absoluto'!$D$11,Dataset!AH:AH,"bono de gobierno",Dataset!T:T,"EU",Dataset!J:J,"&lt;"&amp;$D79,Dataset!J:J,"&gt;="&amp;$C79)*10</f>
        <v>0</v>
      </c>
      <c r="AH79" s="86">
        <f>SUMIFS(Dataset!H:H,Dataset!F:F,'retorno absoluto'!$D$11,Dataset!AH:AH,"bono de gobierno",Dataset!T:T,"MX",Dataset!J:J,"&lt;"&amp;$D79,Dataset!J:J,"&gt;="&amp;$C79)*10</f>
        <v>0</v>
      </c>
      <c r="AI79" s="86">
        <f>SUMIFS(Dataset!H:H,Dataset!F:F,'retorno absoluto'!$D$11,Dataset!AH:AH,"bono de gobierno",Dataset!T:T,"REA",Dataset!J:J,"&lt;"&amp;$D79,Dataset!J:J,"&gt;="&amp;$C79)*10</f>
        <v>0</v>
      </c>
      <c r="AJ79" s="86">
        <f>SUMIFS(Dataset!H:H,Dataset!F:F,'retorno absoluto'!$D$11,Dataset!AH:AH,"bono de gobierno",Dataset!T:T,"sol",Dataset!J:J,"&lt;"&amp;$D79,Dataset!J:J,"&gt;="&amp;$C79)*10</f>
        <v>0</v>
      </c>
      <c r="AK79" s="86">
        <f>SUMIFS(Dataset!H:H,Dataset!F:F,'retorno absoluto'!$D$11,Dataset!AH:AH,"bono corporativo",Dataset!T:T,"$",Dataset!J:J,"&lt;"&amp;$D79,Dataset!J:J,"&gt;="&amp;$C79)*10</f>
        <v>0</v>
      </c>
      <c r="AL79" s="86">
        <f>SUMIFS(Dataset!H:H,Dataset!F:F,'retorno absoluto'!$D$11,Dataset!AH:AH,"bono corporativo",Dataset!T:T,"UF",Dataset!J:J,"&lt;"&amp;$D79,Dataset!J:J,"&gt;="&amp;$C79)*10</f>
        <v>0</v>
      </c>
      <c r="AM79" s="86">
        <f>SUMIFS(Dataset!H:H,Dataset!F:F,'retorno absoluto'!$D$11,Dataset!J:J,"&lt;"&amp;$D79,Dataset!J:J,"&gt;="&amp;$C79,Dataset!AH:AH,"&lt;&gt;bono corporativo",Dataset!AH:AH,"&lt;&gt;bono de gobierno",Dataset!AH:AH,"&lt;&gt;deposito")*10</f>
        <v>0</v>
      </c>
      <c r="AN79" s="87">
        <f t="shared" si="10"/>
        <v>0</v>
      </c>
    </row>
    <row r="80" spans="2:40" ht="36" customHeight="1" x14ac:dyDescent="0.3">
      <c r="B80" s="96"/>
      <c r="C80" s="61">
        <v>5.5</v>
      </c>
      <c r="D80" s="81">
        <v>6.5</v>
      </c>
      <c r="E80" s="82">
        <f>SUMIFS(Dataset!AK:AK,Dataset!F:F,'retorno absoluto'!$D$11,Dataset!AH:AH,"deposito",Dataset!T:T,"$",Dataset!J:J,"&lt;"&amp;$D80,Dataset!J:J,"&gt;="&amp;$C80)</f>
        <v>0</v>
      </c>
      <c r="F80" s="83">
        <f>SUMIFS(Dataset!AK:AK,Dataset!F:F,'retorno absoluto'!$D$11,Dataset!AH:AH,"deposito",Dataset!T:T,"UF",Dataset!J:J,"&lt;"&amp;$D80,Dataset!J:J,"&gt;="&amp;$C80)</f>
        <v>0</v>
      </c>
      <c r="G80" s="83">
        <f>SUMIFS(Dataset!AK:AK,Dataset!F:F,'retorno absoluto'!$D$11,Dataset!AH:AH,"bono de gobierno",Dataset!T:T,"$",Dataset!J:J,"&lt;"&amp;$D80,Dataset!J:J,"&gt;="&amp;$C80)</f>
        <v>0</v>
      </c>
      <c r="H80" s="83">
        <f>SUMIFS(Dataset!AK:AK,Dataset!F:F,'retorno absoluto'!$D$11,Dataset!AH:AH,"bono de gobierno",Dataset!T:T,"UF",Dataset!J:J,"&lt;"&amp;$D80,Dataset!J:J,"&gt;="&amp;$C80)</f>
        <v>0</v>
      </c>
      <c r="I80" s="83">
        <f>SUMIFS(Dataset!AK:AK,Dataset!F:F,'retorno absoluto'!$D$11,Dataset!AH:AH,"bono de gobierno",Dataset!T:T,"eu",Dataset!J:J,"&lt;"&amp;$D80,Dataset!J:J,"&gt;="&amp;$C80)</f>
        <v>0</v>
      </c>
      <c r="J80" s="83">
        <f>SUMIFS(Dataset!AK:AK,Dataset!F:F,'retorno absoluto'!$D$11,Dataset!AH:AH,"bono de gobierno",Dataset!T:T,"mx",Dataset!J:J,"&lt;"&amp;$D80,Dataset!J:J,"&gt;="&amp;$C80)</f>
        <v>0</v>
      </c>
      <c r="K80" s="83">
        <f>SUMIFS(Dataset!AK:AK,Dataset!F:F,'retorno absoluto'!$D$11,Dataset!AH:AH,"bono de gobierno",Dataset!T:T,"rea",Dataset!J:J,"&lt;"&amp;$D80,Dataset!J:J,"&gt;="&amp;$C80)</f>
        <v>0</v>
      </c>
      <c r="L80" s="83">
        <f>SUMIFS(Dataset!AK:AK,Dataset!F:F,'retorno absoluto'!$D$11,Dataset!AH:AH,"bono de gobierno",Dataset!T:T,"sol",Dataset!J:J,"&lt;"&amp;$D80,Dataset!J:J,"&gt;="&amp;$C80)</f>
        <v>0</v>
      </c>
      <c r="M80" s="83">
        <f>SUMIFS(Dataset!AK:AK,Dataset!F:F,'retorno absoluto'!$D$11,Dataset!AH:AH,"bono corporativo",Dataset!T:T,"$",Dataset!J:J,"&lt;"&amp;$D80,Dataset!J:J,"&gt;="&amp;$C80)</f>
        <v>0</v>
      </c>
      <c r="N80" s="83">
        <f>SUMIFS(Dataset!AK:AK,Dataset!F:F,'retorno absoluto'!$D$11,Dataset!AH:AH,"bono corporativo",Dataset!T:T,"UF",Dataset!J:J,"&lt;"&amp;$D80,Dataset!J:J,"&gt;="&amp;$C80)</f>
        <v>0</v>
      </c>
      <c r="O80" s="83">
        <f>SUMIFS(Dataset!AK:AK,Dataset!F:F,'retorno absoluto'!$D$11,Dataset!J:J,"&lt;"&amp;$D80,Dataset!J:J,"&gt;="&amp;$C80,Dataset!AH:AH,"&lt;&gt;bono corporativo",Dataset!AH:AH,"&lt;&gt;bono de gobierno",Dataset!AH:AH,"&lt;&gt;deposito")</f>
        <v>0</v>
      </c>
      <c r="P80" s="84">
        <f t="shared" si="8"/>
        <v>0</v>
      </c>
      <c r="Q80" s="82">
        <f>SUMIFS(Dataset!AA:AA,Dataset!F:F,'retorno absoluto'!$D$11,Dataset!AH:AH,"deposito",Dataset!T:T,"$",Dataset!J:J,"&lt;"&amp;$D80,Dataset!J:J,"&gt;="&amp;$C80)</f>
        <v>0</v>
      </c>
      <c r="R80" s="83">
        <f>SUMIFS(Dataset!AA:AA,Dataset!F:F,'retorno absoluto'!$D$11,Dataset!AH:AH,"deposito",Dataset!T:T,"UF",Dataset!J:J,"&lt;"&amp;$D80,Dataset!J:J,"&gt;="&amp;$C80)</f>
        <v>0</v>
      </c>
      <c r="S80" s="83">
        <f>SUMIFS(Dataset!AA:AA,Dataset!F:F,'retorno absoluto'!$D$11,Dataset!AH:AH,"bono de gobierno",Dataset!T:T,"$",Dataset!J:J,"&lt;"&amp;$D80,Dataset!J:J,"&gt;="&amp;$C80)</f>
        <v>0</v>
      </c>
      <c r="T80" s="83">
        <f>SUMIFS(Dataset!AA:AA,Dataset!F:F,'retorno absoluto'!$D$11,Dataset!AH:AH,"bono de gobierno",Dataset!T:T,"UF",Dataset!J:J,"&lt;"&amp;$D80,Dataset!J:J,"&gt;="&amp;$C80)</f>
        <v>0</v>
      </c>
      <c r="U80" s="83">
        <f>SUMIFS(Dataset!AA:AA,Dataset!F:F,'retorno absoluto'!$D$11,Dataset!AH:AH,"bono de gobierno",Dataset!T:T,"EU",Dataset!J:J,"&lt;"&amp;$D80,Dataset!J:J,"&gt;="&amp;$C80)</f>
        <v>0</v>
      </c>
      <c r="V80" s="83">
        <f>SUMIFS(Dataset!AA:AA,Dataset!F:F,'retorno absoluto'!$D$11,Dataset!AH:AH,"bono de gobierno",Dataset!T:T,"MX",Dataset!J:J,"&lt;"&amp;$D80,Dataset!J:J,"&gt;="&amp;$C80)</f>
        <v>0</v>
      </c>
      <c r="W80" s="83">
        <f>SUMIFS(Dataset!AA:AA,Dataset!F:F,'retorno absoluto'!$D$11,Dataset!AH:AH,"bono de gobierno",Dataset!T:T,"REA",Dataset!J:J,"&lt;"&amp;$D80,Dataset!J:J,"&gt;="&amp;$C80)</f>
        <v>0</v>
      </c>
      <c r="X80" s="83">
        <f>SUMIFS(Dataset!AA:AA,Dataset!F:F,'retorno absoluto'!$D$11,Dataset!AH:AH,"bono de gobierno",Dataset!T:T,"sol",Dataset!J:J,"&lt;"&amp;$D80,Dataset!J:J,"&gt;="&amp;$C80)</f>
        <v>0</v>
      </c>
      <c r="Y80" s="83">
        <f>SUMIFS(Dataset!AA:AA,Dataset!F:F,'retorno absoluto'!$D$11,Dataset!AH:AH,"bono corporativo",Dataset!T:T,"$",Dataset!J:J,"&lt;"&amp;$D80,Dataset!J:J,"&gt;="&amp;$C80)</f>
        <v>0</v>
      </c>
      <c r="Z80" s="83">
        <f>SUMIFS(Dataset!AA:AA,Dataset!F:F,'retorno absoluto'!$D$11,Dataset!AH:AH,"bono corporativo",Dataset!T:T,"UF",Dataset!J:J,"&lt;"&amp;$D80,Dataset!J:J,"&gt;="&amp;$C80)</f>
        <v>0</v>
      </c>
      <c r="AA80" s="83">
        <f>SUMIFS(Dataset!AA:AA,Dataset!F:F,'retorno absoluto'!$D$11,Dataset!J:J,"&lt;"&amp;$D80,Dataset!J:J,"&gt;="&amp;$C80,Dataset!AH:AH,"&lt;&gt;bono corporativo",Dataset!AH:AH,"&lt;&gt;bono de gobierno",Dataset!AH:AH,"&lt;&gt;deposito")</f>
        <v>0</v>
      </c>
      <c r="AB80" s="84">
        <f t="shared" si="9"/>
        <v>0</v>
      </c>
      <c r="AC80" s="85">
        <f>SUMIFS(Dataset!H:H,Dataset!F:F,'retorno absoluto'!$D$11,Dataset!AH:AH,"deposito",Dataset!T:T,"$",Dataset!J:J,"&lt;"&amp;$D80,Dataset!J:J,"&gt;="&amp;$C80)*10</f>
        <v>0</v>
      </c>
      <c r="AD80" s="86">
        <f>SUMIFS(Dataset!H:H,Dataset!F:F,'retorno absoluto'!$D$11,Dataset!AH:AH,"deposito",Dataset!T:T,"UF",Dataset!J:J,"&lt;"&amp;$D80,Dataset!J:J,"&gt;="&amp;$C80)*10</f>
        <v>0</v>
      </c>
      <c r="AE80" s="86">
        <f>SUMIFS(Dataset!H:H,Dataset!F:F,'retorno absoluto'!$D$11,Dataset!AH:AH,"bono de gobierno",Dataset!T:T,"$",Dataset!J:J,"&lt;"&amp;$D80,Dataset!J:J,"&gt;="&amp;$C80)*10</f>
        <v>0</v>
      </c>
      <c r="AF80" s="86">
        <f>SUMIFS(Dataset!H:H,Dataset!F:F,'retorno absoluto'!$D$11,Dataset!AH:AH,"bono de gobierno",Dataset!T:T,"UF",Dataset!J:J,"&lt;"&amp;$D80,Dataset!J:J,"&gt;="&amp;$C80)*10</f>
        <v>0</v>
      </c>
      <c r="AG80" s="86">
        <f>SUMIFS(Dataset!H:H,Dataset!F:F,'retorno absoluto'!$D$11,Dataset!AH:AH,"bono de gobierno",Dataset!T:T,"EU",Dataset!J:J,"&lt;"&amp;$D80,Dataset!J:J,"&gt;="&amp;$C80)*10</f>
        <v>0</v>
      </c>
      <c r="AH80" s="86">
        <f>SUMIFS(Dataset!H:H,Dataset!F:F,'retorno absoluto'!$D$11,Dataset!AH:AH,"bono de gobierno",Dataset!T:T,"MX",Dataset!J:J,"&lt;"&amp;$D80,Dataset!J:J,"&gt;="&amp;$C80)*10</f>
        <v>0</v>
      </c>
      <c r="AI80" s="86">
        <f>SUMIFS(Dataset!H:H,Dataset!F:F,'retorno absoluto'!$D$11,Dataset!AH:AH,"bono de gobierno",Dataset!T:T,"REA",Dataset!J:J,"&lt;"&amp;$D80,Dataset!J:J,"&gt;="&amp;$C80)*10</f>
        <v>0</v>
      </c>
      <c r="AJ80" s="86">
        <f>SUMIFS(Dataset!H:H,Dataset!F:F,'retorno absoluto'!$D$11,Dataset!AH:AH,"bono de gobierno",Dataset!T:T,"sol",Dataset!J:J,"&lt;"&amp;$D80,Dataset!J:J,"&gt;="&amp;$C80)*10</f>
        <v>0</v>
      </c>
      <c r="AK80" s="86">
        <f>SUMIFS(Dataset!H:H,Dataset!F:F,'retorno absoluto'!$D$11,Dataset!AH:AH,"bono corporativo",Dataset!T:T,"$",Dataset!J:J,"&lt;"&amp;$D80,Dataset!J:J,"&gt;="&amp;$C80)*10</f>
        <v>0</v>
      </c>
      <c r="AL80" s="86">
        <f>SUMIFS(Dataset!H:H,Dataset!F:F,'retorno absoluto'!$D$11,Dataset!AH:AH,"bono corporativo",Dataset!T:T,"UF",Dataset!J:J,"&lt;"&amp;$D80,Dataset!J:J,"&gt;="&amp;$C80)*10</f>
        <v>0</v>
      </c>
      <c r="AM80" s="86">
        <f>SUMIFS(Dataset!H:H,Dataset!F:F,'retorno absoluto'!$D$11,Dataset!J:J,"&lt;"&amp;$D80,Dataset!J:J,"&gt;="&amp;$C80,Dataset!AH:AH,"&lt;&gt;bono corporativo",Dataset!AH:AH,"&lt;&gt;bono de gobierno",Dataset!AH:AH,"&lt;&gt;deposito")*10</f>
        <v>0</v>
      </c>
      <c r="AN80" s="87">
        <f t="shared" si="10"/>
        <v>0</v>
      </c>
    </row>
    <row r="81" spans="3:40" ht="27" customHeight="1" x14ac:dyDescent="0.3">
      <c r="C81" s="61">
        <v>6.5</v>
      </c>
      <c r="D81" s="81">
        <v>7.5</v>
      </c>
      <c r="E81" s="82">
        <f>SUMIFS(Dataset!AK:AK,Dataset!F:F,'retorno absoluto'!$D$11,Dataset!AH:AH,"deposito",Dataset!T:T,"$",Dataset!J:J,"&lt;"&amp;$D81,Dataset!J:J,"&gt;="&amp;$C81)</f>
        <v>0</v>
      </c>
      <c r="F81" s="83">
        <f>SUMIFS(Dataset!AK:AK,Dataset!F:F,'retorno absoluto'!$D$11,Dataset!AH:AH,"deposito",Dataset!T:T,"UF",Dataset!J:J,"&lt;"&amp;$D81,Dataset!J:J,"&gt;="&amp;$C81)</f>
        <v>0</v>
      </c>
      <c r="G81" s="83">
        <f>SUMIFS(Dataset!AK:AK,Dataset!F:F,'retorno absoluto'!$D$11,Dataset!AH:AH,"bono de gobierno",Dataset!T:T,"$",Dataset!J:J,"&lt;"&amp;$D81,Dataset!J:J,"&gt;="&amp;$C81)</f>
        <v>0</v>
      </c>
      <c r="H81" s="83">
        <f>SUMIFS(Dataset!AK:AK,Dataset!F:F,'retorno absoluto'!$D$11,Dataset!AH:AH,"bono de gobierno",Dataset!T:T,"UF",Dataset!J:J,"&lt;"&amp;$D81,Dataset!J:J,"&gt;="&amp;$C81)</f>
        <v>0</v>
      </c>
      <c r="I81" s="83">
        <f>SUMIFS(Dataset!AK:AK,Dataset!F:F,'retorno absoluto'!$D$11,Dataset!AH:AH,"bono de gobierno",Dataset!T:T,"eu",Dataset!J:J,"&lt;"&amp;$D81,Dataset!J:J,"&gt;="&amp;$C81)</f>
        <v>0</v>
      </c>
      <c r="J81" s="83">
        <f>SUMIFS(Dataset!AK:AK,Dataset!F:F,'retorno absoluto'!$D$11,Dataset!AH:AH,"bono de gobierno",Dataset!T:T,"mx",Dataset!J:J,"&lt;"&amp;$D81,Dataset!J:J,"&gt;="&amp;$C81)</f>
        <v>0</v>
      </c>
      <c r="K81" s="83">
        <f>SUMIFS(Dataset!AK:AK,Dataset!F:F,'retorno absoluto'!$D$11,Dataset!AH:AH,"bono de gobierno",Dataset!T:T,"rea",Dataset!J:J,"&lt;"&amp;$D81,Dataset!J:J,"&gt;="&amp;$C81)</f>
        <v>0</v>
      </c>
      <c r="L81" s="83">
        <f>SUMIFS(Dataset!AK:AK,Dataset!F:F,'retorno absoluto'!$D$11,Dataset!AH:AH,"bono de gobierno",Dataset!T:T,"sol",Dataset!J:J,"&lt;"&amp;$D81,Dataset!J:J,"&gt;="&amp;$C81)</f>
        <v>0</v>
      </c>
      <c r="M81" s="83">
        <f>SUMIFS(Dataset!AK:AK,Dataset!F:F,'retorno absoluto'!$D$11,Dataset!AH:AH,"bono corporativo",Dataset!T:T,"$",Dataset!J:J,"&lt;"&amp;$D81,Dataset!J:J,"&gt;="&amp;$C81)</f>
        <v>0</v>
      </c>
      <c r="N81" s="83">
        <f>SUMIFS(Dataset!AK:AK,Dataset!F:F,'retorno absoluto'!$D$11,Dataset!AH:AH,"bono corporativo",Dataset!T:T,"UF",Dataset!J:J,"&lt;"&amp;$D81,Dataset!J:J,"&gt;="&amp;$C81)</f>
        <v>0</v>
      </c>
      <c r="O81" s="83">
        <f>SUMIFS(Dataset!AK:AK,Dataset!F:F,'retorno absoluto'!$D$11,Dataset!J:J,"&lt;"&amp;$D81,Dataset!J:J,"&gt;="&amp;$C81,Dataset!AH:AH,"&lt;&gt;bono corporativo",Dataset!AH:AH,"&lt;&gt;bono de gobierno",Dataset!AH:AH,"&lt;&gt;deposito")</f>
        <v>0</v>
      </c>
      <c r="P81" s="84">
        <f t="shared" si="8"/>
        <v>0</v>
      </c>
      <c r="Q81" s="82">
        <f>SUMIFS(Dataset!AA:AA,Dataset!F:F,'retorno absoluto'!$D$11,Dataset!AH:AH,"deposito",Dataset!T:T,"$",Dataset!J:J,"&lt;"&amp;$D81,Dataset!J:J,"&gt;="&amp;$C81)</f>
        <v>0</v>
      </c>
      <c r="R81" s="83">
        <f>SUMIFS(Dataset!AA:AA,Dataset!F:F,'retorno absoluto'!$D$11,Dataset!AH:AH,"deposito",Dataset!T:T,"UF",Dataset!J:J,"&lt;"&amp;$D81,Dataset!J:J,"&gt;="&amp;$C81)</f>
        <v>0</v>
      </c>
      <c r="S81" s="83">
        <f>SUMIFS(Dataset!AA:AA,Dataset!F:F,'retorno absoluto'!$D$11,Dataset!AH:AH,"bono de gobierno",Dataset!T:T,"$",Dataset!J:J,"&lt;"&amp;$D81,Dataset!J:J,"&gt;="&amp;$C81)</f>
        <v>0</v>
      </c>
      <c r="T81" s="83">
        <f>SUMIFS(Dataset!AA:AA,Dataset!F:F,'retorno absoluto'!$D$11,Dataset!AH:AH,"bono de gobierno",Dataset!T:T,"UF",Dataset!J:J,"&lt;"&amp;$D81,Dataset!J:J,"&gt;="&amp;$C81)</f>
        <v>0</v>
      </c>
      <c r="U81" s="83">
        <f>SUMIFS(Dataset!AA:AA,Dataset!F:F,'retorno absoluto'!$D$11,Dataset!AH:AH,"bono de gobierno",Dataset!T:T,"EU",Dataset!J:J,"&lt;"&amp;$D81,Dataset!J:J,"&gt;="&amp;$C81)</f>
        <v>0</v>
      </c>
      <c r="V81" s="83">
        <f>SUMIFS(Dataset!AA:AA,Dataset!F:F,'retorno absoluto'!$D$11,Dataset!AH:AH,"bono de gobierno",Dataset!T:T,"MX",Dataset!J:J,"&lt;"&amp;$D81,Dataset!J:J,"&gt;="&amp;$C81)</f>
        <v>0</v>
      </c>
      <c r="W81" s="83">
        <f>SUMIFS(Dataset!AA:AA,Dataset!F:F,'retorno absoluto'!$D$11,Dataset!AH:AH,"bono de gobierno",Dataset!T:T,"REA",Dataset!J:J,"&lt;"&amp;$D81,Dataset!J:J,"&gt;="&amp;$C81)</f>
        <v>0</v>
      </c>
      <c r="X81" s="83">
        <f>SUMIFS(Dataset!AA:AA,Dataset!F:F,'retorno absoluto'!$D$11,Dataset!AH:AH,"bono de gobierno",Dataset!T:T,"sol",Dataset!J:J,"&lt;"&amp;$D81,Dataset!J:J,"&gt;="&amp;$C81)</f>
        <v>0</v>
      </c>
      <c r="Y81" s="83">
        <f>SUMIFS(Dataset!AA:AA,Dataset!F:F,'retorno absoluto'!$D$11,Dataset!AH:AH,"bono corporativo",Dataset!T:T,"$",Dataset!J:J,"&lt;"&amp;$D81,Dataset!J:J,"&gt;="&amp;$C81)</f>
        <v>0</v>
      </c>
      <c r="Z81" s="83">
        <f>SUMIFS(Dataset!AA:AA,Dataset!F:F,'retorno absoluto'!$D$11,Dataset!AH:AH,"bono corporativo",Dataset!T:T,"UF",Dataset!J:J,"&lt;"&amp;$D81,Dataset!J:J,"&gt;="&amp;$C81)</f>
        <v>0</v>
      </c>
      <c r="AA81" s="83">
        <f>SUMIFS(Dataset!AA:AA,Dataset!F:F,'retorno absoluto'!$D$11,Dataset!J:J,"&lt;"&amp;$D81,Dataset!J:J,"&gt;="&amp;$C81,Dataset!AH:AH,"&lt;&gt;bono corporativo",Dataset!AH:AH,"&lt;&gt;bono de gobierno",Dataset!AH:AH,"&lt;&gt;deposito")</f>
        <v>0</v>
      </c>
      <c r="AB81" s="84">
        <f t="shared" si="9"/>
        <v>0</v>
      </c>
      <c r="AC81" s="85">
        <f>SUMIFS(Dataset!H:H,Dataset!F:F,'retorno absoluto'!$D$11,Dataset!AH:AH,"deposito",Dataset!T:T,"$",Dataset!J:J,"&lt;"&amp;$D81,Dataset!J:J,"&gt;="&amp;$C81)*10</f>
        <v>0</v>
      </c>
      <c r="AD81" s="86">
        <f>SUMIFS(Dataset!H:H,Dataset!F:F,'retorno absoluto'!$D$11,Dataset!AH:AH,"deposito",Dataset!T:T,"UF",Dataset!J:J,"&lt;"&amp;$D81,Dataset!J:J,"&gt;="&amp;$C81)*10</f>
        <v>0</v>
      </c>
      <c r="AE81" s="86">
        <f>SUMIFS(Dataset!H:H,Dataset!F:F,'retorno absoluto'!$D$11,Dataset!AH:AH,"bono de gobierno",Dataset!T:T,"$",Dataset!J:J,"&lt;"&amp;$D81,Dataset!J:J,"&gt;="&amp;$C81)*10</f>
        <v>0</v>
      </c>
      <c r="AF81" s="86">
        <f>SUMIFS(Dataset!H:H,Dataset!F:F,'retorno absoluto'!$D$11,Dataset!AH:AH,"bono de gobierno",Dataset!T:T,"UF",Dataset!J:J,"&lt;"&amp;$D81,Dataset!J:J,"&gt;="&amp;$C81)*10</f>
        <v>0</v>
      </c>
      <c r="AG81" s="86">
        <f>SUMIFS(Dataset!H:H,Dataset!F:F,'retorno absoluto'!$D$11,Dataset!AH:AH,"bono de gobierno",Dataset!T:T,"EU",Dataset!J:J,"&lt;"&amp;$D81,Dataset!J:J,"&gt;="&amp;$C81)*10</f>
        <v>0</v>
      </c>
      <c r="AH81" s="86">
        <f>SUMIFS(Dataset!H:H,Dataset!F:F,'retorno absoluto'!$D$11,Dataset!AH:AH,"bono de gobierno",Dataset!T:T,"MX",Dataset!J:J,"&lt;"&amp;$D81,Dataset!J:J,"&gt;="&amp;$C81)*10</f>
        <v>0</v>
      </c>
      <c r="AI81" s="86">
        <f>SUMIFS(Dataset!H:H,Dataset!F:F,'retorno absoluto'!$D$11,Dataset!AH:AH,"bono de gobierno",Dataset!T:T,"REA",Dataset!J:J,"&lt;"&amp;$D81,Dataset!J:J,"&gt;="&amp;$C81)*10</f>
        <v>0</v>
      </c>
      <c r="AJ81" s="86">
        <f>SUMIFS(Dataset!H:H,Dataset!F:F,'retorno absoluto'!$D$11,Dataset!AH:AH,"bono de gobierno",Dataset!T:T,"sol",Dataset!J:J,"&lt;"&amp;$D81,Dataset!J:J,"&gt;="&amp;$C81)*10</f>
        <v>0</v>
      </c>
      <c r="AK81" s="86">
        <f>SUMIFS(Dataset!H:H,Dataset!F:F,'retorno absoluto'!$D$11,Dataset!AH:AH,"bono corporativo",Dataset!T:T,"$",Dataset!J:J,"&lt;"&amp;$D81,Dataset!J:J,"&gt;="&amp;$C81)*10</f>
        <v>0</v>
      </c>
      <c r="AL81" s="86">
        <f>SUMIFS(Dataset!H:H,Dataset!F:F,'retorno absoluto'!$D$11,Dataset!AH:AH,"bono corporativo",Dataset!T:T,"UF",Dataset!J:J,"&lt;"&amp;$D81,Dataset!J:J,"&gt;="&amp;$C81)*10</f>
        <v>0</v>
      </c>
      <c r="AM81" s="86">
        <f>SUMIFS(Dataset!H:H,Dataset!F:F,'retorno absoluto'!$D$11,Dataset!J:J,"&lt;"&amp;$D81,Dataset!J:J,"&gt;="&amp;$C81,Dataset!AH:AH,"&lt;&gt;bono corporativo",Dataset!AH:AH,"&lt;&gt;bono de gobierno",Dataset!AH:AH,"&lt;&gt;deposito")*10</f>
        <v>0</v>
      </c>
      <c r="AN81" s="87">
        <f t="shared" si="10"/>
        <v>0</v>
      </c>
    </row>
    <row r="82" spans="3:40" ht="27" customHeight="1" x14ac:dyDescent="0.3">
      <c r="C82" s="61">
        <v>7.5</v>
      </c>
      <c r="D82" s="81">
        <v>8.5</v>
      </c>
      <c r="E82" s="82">
        <f>SUMIFS(Dataset!AK:AK,Dataset!F:F,'retorno absoluto'!$D$11,Dataset!AH:AH,"deposito",Dataset!T:T,"$",Dataset!J:J,"&lt;"&amp;$D82,Dataset!J:J,"&gt;="&amp;$C82)</f>
        <v>0</v>
      </c>
      <c r="F82" s="83">
        <f>SUMIFS(Dataset!AK:AK,Dataset!F:F,'retorno absoluto'!$D$11,Dataset!AH:AH,"deposito",Dataset!T:T,"UF",Dataset!J:J,"&lt;"&amp;$D82,Dataset!J:J,"&gt;="&amp;$C82)</f>
        <v>0</v>
      </c>
      <c r="G82" s="83">
        <f>SUMIFS(Dataset!AK:AK,Dataset!F:F,'retorno absoluto'!$D$11,Dataset!AH:AH,"bono de gobierno",Dataset!T:T,"$",Dataset!J:J,"&lt;"&amp;$D82,Dataset!J:J,"&gt;="&amp;$C82)</f>
        <v>0</v>
      </c>
      <c r="H82" s="83">
        <f>SUMIFS(Dataset!AK:AK,Dataset!F:F,'retorno absoluto'!$D$11,Dataset!AH:AH,"bono de gobierno",Dataset!T:T,"UF",Dataset!J:J,"&lt;"&amp;$D82,Dataset!J:J,"&gt;="&amp;$C82)</f>
        <v>6.7018375027363616E-2</v>
      </c>
      <c r="I82" s="83">
        <f>SUMIFS(Dataset!AK:AK,Dataset!F:F,'retorno absoluto'!$D$11,Dataset!AH:AH,"bono de gobierno",Dataset!T:T,"eu",Dataset!J:J,"&lt;"&amp;$D82,Dataset!J:J,"&gt;="&amp;$C82)</f>
        <v>0</v>
      </c>
      <c r="J82" s="83">
        <f>SUMIFS(Dataset!AK:AK,Dataset!F:F,'retorno absoluto'!$D$11,Dataset!AH:AH,"bono de gobierno",Dataset!T:T,"mx",Dataset!J:J,"&lt;"&amp;$D82,Dataset!J:J,"&gt;="&amp;$C82)</f>
        <v>0</v>
      </c>
      <c r="K82" s="83">
        <f>SUMIFS(Dataset!AK:AK,Dataset!F:F,'retorno absoluto'!$D$11,Dataset!AH:AH,"bono de gobierno",Dataset!T:T,"rea",Dataset!J:J,"&lt;"&amp;$D82,Dataset!J:J,"&gt;="&amp;$C82)</f>
        <v>0</v>
      </c>
      <c r="L82" s="83">
        <f>SUMIFS(Dataset!AK:AK,Dataset!F:F,'retorno absoluto'!$D$11,Dataset!AH:AH,"bono de gobierno",Dataset!T:T,"sol",Dataset!J:J,"&lt;"&amp;$D82,Dataset!J:J,"&gt;="&amp;$C82)</f>
        <v>0</v>
      </c>
      <c r="M82" s="83">
        <f>SUMIFS(Dataset!AK:AK,Dataset!F:F,'retorno absoluto'!$D$11,Dataset!AH:AH,"bono corporativo",Dataset!T:T,"$",Dataset!J:J,"&lt;"&amp;$D82,Dataset!J:J,"&gt;="&amp;$C82)</f>
        <v>0</v>
      </c>
      <c r="N82" s="83">
        <f>SUMIFS(Dataset!AK:AK,Dataset!F:F,'retorno absoluto'!$D$11,Dataset!AH:AH,"bono corporativo",Dataset!T:T,"UF",Dataset!J:J,"&lt;"&amp;$D82,Dataset!J:J,"&gt;="&amp;$C82)</f>
        <v>0</v>
      </c>
      <c r="O82" s="83">
        <f>SUMIFS(Dataset!AK:AK,Dataset!F:F,'retorno absoluto'!$D$11,Dataset!J:J,"&lt;"&amp;$D82,Dataset!J:J,"&gt;="&amp;$C82,Dataset!AH:AH,"&lt;&gt;bono corporativo",Dataset!AH:AH,"&lt;&gt;bono de gobierno",Dataset!AH:AH,"&lt;&gt;deposito")</f>
        <v>0</v>
      </c>
      <c r="P82" s="84">
        <f t="shared" si="8"/>
        <v>6.7018375027363616E-2</v>
      </c>
      <c r="Q82" s="82">
        <f>SUMIFS(Dataset!AA:AA,Dataset!F:F,'retorno absoluto'!$D$11,Dataset!AH:AH,"deposito",Dataset!T:T,"$",Dataset!J:J,"&lt;"&amp;$D82,Dataset!J:J,"&gt;="&amp;$C82)</f>
        <v>0</v>
      </c>
      <c r="R82" s="83">
        <f>SUMIFS(Dataset!AA:AA,Dataset!F:F,'retorno absoluto'!$D$11,Dataset!AH:AH,"deposito",Dataset!T:T,"UF",Dataset!J:J,"&lt;"&amp;$D82,Dataset!J:J,"&gt;="&amp;$C82)</f>
        <v>0</v>
      </c>
      <c r="S82" s="83">
        <f>SUMIFS(Dataset!AA:AA,Dataset!F:F,'retorno absoluto'!$D$11,Dataset!AH:AH,"bono de gobierno",Dataset!T:T,"$",Dataset!J:J,"&lt;"&amp;$D82,Dataset!J:J,"&gt;="&amp;$C82)</f>
        <v>0</v>
      </c>
      <c r="T82" s="83">
        <f>SUMIFS(Dataset!AA:AA,Dataset!F:F,'retorno absoluto'!$D$11,Dataset!AH:AH,"bono de gobierno",Dataset!T:T,"UF",Dataset!J:J,"&lt;"&amp;$D82,Dataset!J:J,"&gt;="&amp;$C82)</f>
        <v>0.11526376482291698</v>
      </c>
      <c r="U82" s="83">
        <f>SUMIFS(Dataset!AA:AA,Dataset!F:F,'retorno absoluto'!$D$11,Dataset!AH:AH,"bono de gobierno",Dataset!T:T,"EU",Dataset!J:J,"&lt;"&amp;$D82,Dataset!J:J,"&gt;="&amp;$C82)</f>
        <v>0</v>
      </c>
      <c r="V82" s="83">
        <f>SUMIFS(Dataset!AA:AA,Dataset!F:F,'retorno absoluto'!$D$11,Dataset!AH:AH,"bono de gobierno",Dataset!T:T,"MX",Dataset!J:J,"&lt;"&amp;$D82,Dataset!J:J,"&gt;="&amp;$C82)</f>
        <v>0</v>
      </c>
      <c r="W82" s="83">
        <f>SUMIFS(Dataset!AA:AA,Dataset!F:F,'retorno absoluto'!$D$11,Dataset!AH:AH,"bono de gobierno",Dataset!T:T,"REA",Dataset!J:J,"&lt;"&amp;$D82,Dataset!J:J,"&gt;="&amp;$C82)</f>
        <v>0</v>
      </c>
      <c r="X82" s="83">
        <f>SUMIFS(Dataset!AA:AA,Dataset!F:F,'retorno absoluto'!$D$11,Dataset!AH:AH,"bono de gobierno",Dataset!T:T,"sol",Dataset!J:J,"&lt;"&amp;$D82,Dataset!J:J,"&gt;="&amp;$C82)</f>
        <v>0</v>
      </c>
      <c r="Y82" s="83">
        <f>SUMIFS(Dataset!AA:AA,Dataset!F:F,'retorno absoluto'!$D$11,Dataset!AH:AH,"bono corporativo",Dataset!T:T,"$",Dataset!J:J,"&lt;"&amp;$D82,Dataset!J:J,"&gt;="&amp;$C82)</f>
        <v>0</v>
      </c>
      <c r="Z82" s="83">
        <f>SUMIFS(Dataset!AA:AA,Dataset!F:F,'retorno absoluto'!$D$11,Dataset!AH:AH,"bono corporativo",Dataset!T:T,"UF",Dataset!J:J,"&lt;"&amp;$D82,Dataset!J:J,"&gt;="&amp;$C82)</f>
        <v>0</v>
      </c>
      <c r="AA82" s="83">
        <f>SUMIFS(Dataset!AA:AA,Dataset!F:F,'retorno absoluto'!$D$11,Dataset!J:J,"&lt;"&amp;$D82,Dataset!J:J,"&gt;="&amp;$C82,Dataset!AH:AH,"&lt;&gt;bono corporativo",Dataset!AH:AH,"&lt;&gt;bono de gobierno",Dataset!AH:AH,"&lt;&gt;deposito")</f>
        <v>0</v>
      </c>
      <c r="AB82" s="84">
        <f t="shared" si="9"/>
        <v>0.11526376482291698</v>
      </c>
      <c r="AC82" s="85">
        <f>SUMIFS(Dataset!H:H,Dataset!F:F,'retorno absoluto'!$D$11,Dataset!AH:AH,"deposito",Dataset!T:T,"$",Dataset!J:J,"&lt;"&amp;$D82,Dataset!J:J,"&gt;="&amp;$C82)*10</f>
        <v>0</v>
      </c>
      <c r="AD82" s="86">
        <f>SUMIFS(Dataset!H:H,Dataset!F:F,'retorno absoluto'!$D$11,Dataset!AH:AH,"deposito",Dataset!T:T,"UF",Dataset!J:J,"&lt;"&amp;$D82,Dataset!J:J,"&gt;="&amp;$C82)*10</f>
        <v>0</v>
      </c>
      <c r="AE82" s="86">
        <f>SUMIFS(Dataset!H:H,Dataset!F:F,'retorno absoluto'!$D$11,Dataset!AH:AH,"bono de gobierno",Dataset!T:T,"$",Dataset!J:J,"&lt;"&amp;$D82,Dataset!J:J,"&gt;="&amp;$C82)*10</f>
        <v>0</v>
      </c>
      <c r="AF82" s="86">
        <f>SUMIFS(Dataset!H:H,Dataset!F:F,'retorno absoluto'!$D$11,Dataset!AH:AH,"bono de gobierno",Dataset!T:T,"UF",Dataset!J:J,"&lt;"&amp;$D82,Dataset!J:J,"&gt;="&amp;$C82)*10</f>
        <v>5.2341350896370988</v>
      </c>
      <c r="AG82" s="86">
        <f>SUMIFS(Dataset!H:H,Dataset!F:F,'retorno absoluto'!$D$11,Dataset!AH:AH,"bono de gobierno",Dataset!T:T,"EU",Dataset!J:J,"&lt;"&amp;$D82,Dataset!J:J,"&gt;="&amp;$C82)*10</f>
        <v>0</v>
      </c>
      <c r="AH82" s="86">
        <f>SUMIFS(Dataset!H:H,Dataset!F:F,'retorno absoluto'!$D$11,Dataset!AH:AH,"bono de gobierno",Dataset!T:T,"MX",Dataset!J:J,"&lt;"&amp;$D82,Dataset!J:J,"&gt;="&amp;$C82)*10</f>
        <v>0</v>
      </c>
      <c r="AI82" s="86">
        <f>SUMIFS(Dataset!H:H,Dataset!F:F,'retorno absoluto'!$D$11,Dataset!AH:AH,"bono de gobierno",Dataset!T:T,"REA",Dataset!J:J,"&lt;"&amp;$D82,Dataset!J:J,"&gt;="&amp;$C82)*10</f>
        <v>0</v>
      </c>
      <c r="AJ82" s="86">
        <f>SUMIFS(Dataset!H:H,Dataset!F:F,'retorno absoluto'!$D$11,Dataset!AH:AH,"bono de gobierno",Dataset!T:T,"sol",Dataset!J:J,"&lt;"&amp;$D82,Dataset!J:J,"&gt;="&amp;$C82)*10</f>
        <v>0</v>
      </c>
      <c r="AK82" s="86">
        <f>SUMIFS(Dataset!H:H,Dataset!F:F,'retorno absoluto'!$D$11,Dataset!AH:AH,"bono corporativo",Dataset!T:T,"$",Dataset!J:J,"&lt;"&amp;$D82,Dataset!J:J,"&gt;="&amp;$C82)*10</f>
        <v>0</v>
      </c>
      <c r="AL82" s="86">
        <f>SUMIFS(Dataset!H:H,Dataset!F:F,'retorno absoluto'!$D$11,Dataset!AH:AH,"bono corporativo",Dataset!T:T,"UF",Dataset!J:J,"&lt;"&amp;$D82,Dataset!J:J,"&gt;="&amp;$C82)*10</f>
        <v>0</v>
      </c>
      <c r="AM82" s="86">
        <f>SUMIFS(Dataset!H:H,Dataset!F:F,'retorno absoluto'!$D$11,Dataset!J:J,"&lt;"&amp;$D82,Dataset!J:J,"&gt;="&amp;$C82,Dataset!AH:AH,"&lt;&gt;bono corporativo",Dataset!AH:AH,"&lt;&gt;bono de gobierno",Dataset!AH:AH,"&lt;&gt;deposito")*10</f>
        <v>0</v>
      </c>
      <c r="AN82" s="87">
        <f t="shared" si="10"/>
        <v>5.2341350896370988</v>
      </c>
    </row>
    <row r="83" spans="3:40" ht="27" customHeight="1" x14ac:dyDescent="0.3">
      <c r="C83" s="61">
        <v>8.5</v>
      </c>
      <c r="D83" s="81">
        <v>9.5</v>
      </c>
      <c r="E83" s="82">
        <f>SUMIFS(Dataset!AK:AK,Dataset!F:F,'retorno absoluto'!$D$11,Dataset!AH:AH,"deposito",Dataset!T:T,"$",Dataset!J:J,"&lt;"&amp;$D83,Dataset!J:J,"&gt;="&amp;$C83)</f>
        <v>0</v>
      </c>
      <c r="F83" s="83">
        <f>SUMIFS(Dataset!AK:AK,Dataset!F:F,'retorno absoluto'!$D$11,Dataset!AH:AH,"deposito",Dataset!T:T,"UF",Dataset!J:J,"&lt;"&amp;$D83,Dataset!J:J,"&gt;="&amp;$C83)</f>
        <v>0</v>
      </c>
      <c r="G83" s="83">
        <f>SUMIFS(Dataset!AK:AK,Dataset!F:F,'retorno absoluto'!$D$11,Dataset!AH:AH,"bono de gobierno",Dataset!T:T,"$",Dataset!J:J,"&lt;"&amp;$D83,Dataset!J:J,"&gt;="&amp;$C83)</f>
        <v>0</v>
      </c>
      <c r="H83" s="83">
        <f>SUMIFS(Dataset!AK:AK,Dataset!F:F,'retorno absoluto'!$D$11,Dataset!AH:AH,"bono de gobierno",Dataset!T:T,"UF",Dataset!J:J,"&lt;"&amp;$D83,Dataset!J:J,"&gt;="&amp;$C83)</f>
        <v>0</v>
      </c>
      <c r="I83" s="83">
        <f>SUMIFS(Dataset!AK:AK,Dataset!F:F,'retorno absoluto'!$D$11,Dataset!AH:AH,"bono de gobierno",Dataset!T:T,"eu",Dataset!J:J,"&lt;"&amp;$D83,Dataset!J:J,"&gt;="&amp;$C83)</f>
        <v>0</v>
      </c>
      <c r="J83" s="83">
        <f>SUMIFS(Dataset!AK:AK,Dataset!F:F,'retorno absoluto'!$D$11,Dataset!AH:AH,"bono de gobierno",Dataset!T:T,"mx",Dataset!J:J,"&lt;"&amp;$D83,Dataset!J:J,"&gt;="&amp;$C83)</f>
        <v>0</v>
      </c>
      <c r="K83" s="83">
        <f>SUMIFS(Dataset!AK:AK,Dataset!F:F,'retorno absoluto'!$D$11,Dataset!AH:AH,"bono de gobierno",Dataset!T:T,"rea",Dataset!J:J,"&lt;"&amp;$D83,Dataset!J:J,"&gt;="&amp;$C83)</f>
        <v>0</v>
      </c>
      <c r="L83" s="83">
        <f>SUMIFS(Dataset!AK:AK,Dataset!F:F,'retorno absoluto'!$D$11,Dataset!AH:AH,"bono de gobierno",Dataset!T:T,"sol",Dataset!J:J,"&lt;"&amp;$D83,Dataset!J:J,"&gt;="&amp;$C83)</f>
        <v>0</v>
      </c>
      <c r="M83" s="83">
        <f>SUMIFS(Dataset!AK:AK,Dataset!F:F,'retorno absoluto'!$D$11,Dataset!AH:AH,"bono corporativo",Dataset!T:T,"$",Dataset!J:J,"&lt;"&amp;$D83,Dataset!J:J,"&gt;="&amp;$C83)</f>
        <v>0</v>
      </c>
      <c r="N83" s="83">
        <f>SUMIFS(Dataset!AK:AK,Dataset!F:F,'retorno absoluto'!$D$11,Dataset!AH:AH,"bono corporativo",Dataset!T:T,"UF",Dataset!J:J,"&lt;"&amp;$D83,Dataset!J:J,"&gt;="&amp;$C83)</f>
        <v>0</v>
      </c>
      <c r="O83" s="83">
        <f>SUMIFS(Dataset!AK:AK,Dataset!F:F,'retorno absoluto'!$D$11,Dataset!J:J,"&lt;"&amp;$D83,Dataset!J:J,"&gt;="&amp;$C83,Dataset!AH:AH,"&lt;&gt;bono corporativo",Dataset!AH:AH,"&lt;&gt;bono de gobierno",Dataset!AH:AH,"&lt;&gt;deposito")</f>
        <v>0</v>
      </c>
      <c r="P83" s="84">
        <f t="shared" si="8"/>
        <v>0</v>
      </c>
      <c r="Q83" s="82">
        <f>SUMIFS(Dataset!AA:AA,Dataset!F:F,'retorno absoluto'!$D$11,Dataset!AH:AH,"deposito",Dataset!T:T,"$",Dataset!J:J,"&lt;"&amp;$D83,Dataset!J:J,"&gt;="&amp;$C83)</f>
        <v>0</v>
      </c>
      <c r="R83" s="83">
        <f>SUMIFS(Dataset!AA:AA,Dataset!F:F,'retorno absoluto'!$D$11,Dataset!AH:AH,"deposito",Dataset!T:T,"UF",Dataset!J:J,"&lt;"&amp;$D83,Dataset!J:J,"&gt;="&amp;$C83)</f>
        <v>0</v>
      </c>
      <c r="S83" s="83">
        <f>SUMIFS(Dataset!AA:AA,Dataset!F:F,'retorno absoluto'!$D$11,Dataset!AH:AH,"bono de gobierno",Dataset!T:T,"$",Dataset!J:J,"&lt;"&amp;$D83,Dataset!J:J,"&gt;="&amp;$C83)</f>
        <v>0</v>
      </c>
      <c r="T83" s="83">
        <f>SUMIFS(Dataset!AA:AA,Dataset!F:F,'retorno absoluto'!$D$11,Dataset!AH:AH,"bono de gobierno",Dataset!T:T,"UF",Dataset!J:J,"&lt;"&amp;$D83,Dataset!J:J,"&gt;="&amp;$C83)</f>
        <v>0</v>
      </c>
      <c r="U83" s="83">
        <f>SUMIFS(Dataset!AA:AA,Dataset!F:F,'retorno absoluto'!$D$11,Dataset!AH:AH,"bono de gobierno",Dataset!T:T,"EU",Dataset!J:J,"&lt;"&amp;$D83,Dataset!J:J,"&gt;="&amp;$C83)</f>
        <v>0</v>
      </c>
      <c r="V83" s="83">
        <f>SUMIFS(Dataset!AA:AA,Dataset!F:F,'retorno absoluto'!$D$11,Dataset!AH:AH,"bono de gobierno",Dataset!T:T,"MX",Dataset!J:J,"&lt;"&amp;$D83,Dataset!J:J,"&gt;="&amp;$C83)</f>
        <v>0</v>
      </c>
      <c r="W83" s="83">
        <f>SUMIFS(Dataset!AA:AA,Dataset!F:F,'retorno absoluto'!$D$11,Dataset!AH:AH,"bono de gobierno",Dataset!T:T,"REA",Dataset!J:J,"&lt;"&amp;$D83,Dataset!J:J,"&gt;="&amp;$C83)</f>
        <v>0</v>
      </c>
      <c r="X83" s="83">
        <f>SUMIFS(Dataset!AA:AA,Dataset!F:F,'retorno absoluto'!$D$11,Dataset!AH:AH,"bono de gobierno",Dataset!T:T,"sol",Dataset!J:J,"&lt;"&amp;$D83,Dataset!J:J,"&gt;="&amp;$C83)</f>
        <v>0</v>
      </c>
      <c r="Y83" s="83">
        <f>SUMIFS(Dataset!AA:AA,Dataset!F:F,'retorno absoluto'!$D$11,Dataset!AH:AH,"bono corporativo",Dataset!T:T,"$",Dataset!J:J,"&lt;"&amp;$D83,Dataset!J:J,"&gt;="&amp;$C83)</f>
        <v>0</v>
      </c>
      <c r="Z83" s="83">
        <f>SUMIFS(Dataset!AA:AA,Dataset!F:F,'retorno absoluto'!$D$11,Dataset!AH:AH,"bono corporativo",Dataset!T:T,"UF",Dataset!J:J,"&lt;"&amp;$D83,Dataset!J:J,"&gt;="&amp;$C83)</f>
        <v>0</v>
      </c>
      <c r="AA83" s="83">
        <f>SUMIFS(Dataset!AA:AA,Dataset!F:F,'retorno absoluto'!$D$11,Dataset!J:J,"&lt;"&amp;$D83,Dataset!J:J,"&gt;="&amp;$C83,Dataset!AH:AH,"&lt;&gt;bono corporativo",Dataset!AH:AH,"&lt;&gt;bono de gobierno",Dataset!AH:AH,"&lt;&gt;deposito")</f>
        <v>0</v>
      </c>
      <c r="AB83" s="84">
        <f t="shared" si="9"/>
        <v>0</v>
      </c>
      <c r="AC83" s="85">
        <f>SUMIFS(Dataset!H:H,Dataset!F:F,'retorno absoluto'!$D$11,Dataset!AH:AH,"deposito",Dataset!T:T,"$",Dataset!J:J,"&lt;"&amp;$D83,Dataset!J:J,"&gt;="&amp;$C83)*10</f>
        <v>0</v>
      </c>
      <c r="AD83" s="86">
        <f>SUMIFS(Dataset!H:H,Dataset!F:F,'retorno absoluto'!$D$11,Dataset!AH:AH,"deposito",Dataset!T:T,"UF",Dataset!J:J,"&lt;"&amp;$D83,Dataset!J:J,"&gt;="&amp;$C83)*10</f>
        <v>0</v>
      </c>
      <c r="AE83" s="86">
        <f>SUMIFS(Dataset!H:H,Dataset!F:F,'retorno absoluto'!$D$11,Dataset!AH:AH,"bono de gobierno",Dataset!T:T,"$",Dataset!J:J,"&lt;"&amp;$D83,Dataset!J:J,"&gt;="&amp;$C83)*10</f>
        <v>0</v>
      </c>
      <c r="AF83" s="86">
        <f>SUMIFS(Dataset!H:H,Dataset!F:F,'retorno absoluto'!$D$11,Dataset!AH:AH,"bono de gobierno",Dataset!T:T,"UF",Dataset!J:J,"&lt;"&amp;$D83,Dataset!J:J,"&gt;="&amp;$C83)*10</f>
        <v>0</v>
      </c>
      <c r="AG83" s="86">
        <f>SUMIFS(Dataset!H:H,Dataset!F:F,'retorno absoluto'!$D$11,Dataset!AH:AH,"bono de gobierno",Dataset!T:T,"EU",Dataset!J:J,"&lt;"&amp;$D83,Dataset!J:J,"&gt;="&amp;$C83)*10</f>
        <v>0</v>
      </c>
      <c r="AH83" s="86">
        <f>SUMIFS(Dataset!H:H,Dataset!F:F,'retorno absoluto'!$D$11,Dataset!AH:AH,"bono de gobierno",Dataset!T:T,"MX",Dataset!J:J,"&lt;"&amp;$D83,Dataset!J:J,"&gt;="&amp;$C83)*10</f>
        <v>0</v>
      </c>
      <c r="AI83" s="86">
        <f>SUMIFS(Dataset!H:H,Dataset!F:F,'retorno absoluto'!$D$11,Dataset!AH:AH,"bono de gobierno",Dataset!T:T,"REA",Dataset!J:J,"&lt;"&amp;$D83,Dataset!J:J,"&gt;="&amp;$C83)*10</f>
        <v>0</v>
      </c>
      <c r="AJ83" s="86">
        <f>SUMIFS(Dataset!H:H,Dataset!F:F,'retorno absoluto'!$D$11,Dataset!AH:AH,"bono de gobierno",Dataset!T:T,"sol",Dataset!J:J,"&lt;"&amp;$D83,Dataset!J:J,"&gt;="&amp;$C83)*10</f>
        <v>0</v>
      </c>
      <c r="AK83" s="86">
        <f>SUMIFS(Dataset!H:H,Dataset!F:F,'retorno absoluto'!$D$11,Dataset!AH:AH,"bono corporativo",Dataset!T:T,"$",Dataset!J:J,"&lt;"&amp;$D83,Dataset!J:J,"&gt;="&amp;$C83)*10</f>
        <v>0</v>
      </c>
      <c r="AL83" s="86">
        <f>SUMIFS(Dataset!H:H,Dataset!F:F,'retorno absoluto'!$D$11,Dataset!AH:AH,"bono corporativo",Dataset!T:T,"UF",Dataset!J:J,"&lt;"&amp;$D83,Dataset!J:J,"&gt;="&amp;$C83)*10</f>
        <v>0</v>
      </c>
      <c r="AM83" s="86">
        <f>SUMIFS(Dataset!H:H,Dataset!F:F,'retorno absoluto'!$D$11,Dataset!J:J,"&lt;"&amp;$D83,Dataset!J:J,"&gt;="&amp;$C83,Dataset!AH:AH,"&lt;&gt;bono corporativo",Dataset!AH:AH,"&lt;&gt;bono de gobierno",Dataset!AH:AH,"&lt;&gt;deposito")*10</f>
        <v>0</v>
      </c>
      <c r="AN83" s="87">
        <f t="shared" si="10"/>
        <v>0</v>
      </c>
    </row>
    <row r="84" spans="3:40" ht="27" customHeight="1" x14ac:dyDescent="0.3">
      <c r="C84" s="61">
        <v>9.5</v>
      </c>
      <c r="D84" s="81">
        <v>10.5</v>
      </c>
      <c r="E84" s="82">
        <f>SUMIFS(Dataset!AK:AK,Dataset!F:F,'retorno absoluto'!$D$11,Dataset!AH:AH,"deposito",Dataset!T:T,"$",Dataset!J:J,"&lt;"&amp;$D84,Dataset!J:J,"&gt;="&amp;$C84)</f>
        <v>0</v>
      </c>
      <c r="F84" s="83">
        <f>SUMIFS(Dataset!AK:AK,Dataset!F:F,'retorno absoluto'!$D$11,Dataset!AH:AH,"deposito",Dataset!T:T,"UF",Dataset!J:J,"&lt;"&amp;$D84,Dataset!J:J,"&gt;="&amp;$C84)</f>
        <v>0</v>
      </c>
      <c r="G84" s="83">
        <f>SUMIFS(Dataset!AK:AK,Dataset!F:F,'retorno absoluto'!$D$11,Dataset!AH:AH,"bono de gobierno",Dataset!T:T,"$",Dataset!J:J,"&lt;"&amp;$D84,Dataset!J:J,"&gt;="&amp;$C84)</f>
        <v>0</v>
      </c>
      <c r="H84" s="83">
        <f>SUMIFS(Dataset!AK:AK,Dataset!F:F,'retorno absoluto'!$D$11,Dataset!AH:AH,"bono de gobierno",Dataset!T:T,"UF",Dataset!J:J,"&lt;"&amp;$D84,Dataset!J:J,"&gt;="&amp;$C84)</f>
        <v>0</v>
      </c>
      <c r="I84" s="83">
        <f>SUMIFS(Dataset!AK:AK,Dataset!F:F,'retorno absoluto'!$D$11,Dataset!AH:AH,"bono de gobierno",Dataset!T:T,"eu",Dataset!J:J,"&lt;"&amp;$D84,Dataset!J:J,"&gt;="&amp;$C84)</f>
        <v>0</v>
      </c>
      <c r="J84" s="83">
        <f>SUMIFS(Dataset!AK:AK,Dataset!F:F,'retorno absoluto'!$D$11,Dataset!AH:AH,"bono de gobierno",Dataset!T:T,"mx",Dataset!J:J,"&lt;"&amp;$D84,Dataset!J:J,"&gt;="&amp;$C84)</f>
        <v>0</v>
      </c>
      <c r="K84" s="83">
        <f>SUMIFS(Dataset!AK:AK,Dataset!F:F,'retorno absoluto'!$D$11,Dataset!AH:AH,"bono de gobierno",Dataset!T:T,"rea",Dataset!J:J,"&lt;"&amp;$D84,Dataset!J:J,"&gt;="&amp;$C84)</f>
        <v>0</v>
      </c>
      <c r="L84" s="83">
        <f>SUMIFS(Dataset!AK:AK,Dataset!F:F,'retorno absoluto'!$D$11,Dataset!AH:AH,"bono de gobierno",Dataset!T:T,"sol",Dataset!J:J,"&lt;"&amp;$D84,Dataset!J:J,"&gt;="&amp;$C84)</f>
        <v>0</v>
      </c>
      <c r="M84" s="83">
        <f>SUMIFS(Dataset!AK:AK,Dataset!F:F,'retorno absoluto'!$D$11,Dataset!AH:AH,"bono corporativo",Dataset!T:T,"$",Dataset!J:J,"&lt;"&amp;$D84,Dataset!J:J,"&gt;="&amp;$C84)</f>
        <v>0</v>
      </c>
      <c r="N84" s="83">
        <f>SUMIFS(Dataset!AK:AK,Dataset!F:F,'retorno absoluto'!$D$11,Dataset!AH:AH,"bono corporativo",Dataset!T:T,"UF",Dataset!J:J,"&lt;"&amp;$D84,Dataset!J:J,"&gt;="&amp;$C84)</f>
        <v>0</v>
      </c>
      <c r="O84" s="83">
        <f>SUMIFS(Dataset!AK:AK,Dataset!F:F,'retorno absoluto'!$D$11,Dataset!J:J,"&lt;"&amp;$D84,Dataset!J:J,"&gt;="&amp;$C84,Dataset!AH:AH,"&lt;&gt;bono corporativo",Dataset!AH:AH,"&lt;&gt;bono de gobierno",Dataset!AH:AH,"&lt;&gt;deposito")</f>
        <v>0</v>
      </c>
      <c r="P84" s="84">
        <f t="shared" si="8"/>
        <v>0</v>
      </c>
      <c r="Q84" s="82">
        <f>SUMIFS(Dataset!AA:AA,Dataset!F:F,'retorno absoluto'!$D$11,Dataset!AH:AH,"deposito",Dataset!T:T,"$",Dataset!J:J,"&lt;"&amp;$D84,Dataset!J:J,"&gt;="&amp;$C84)</f>
        <v>0</v>
      </c>
      <c r="R84" s="83">
        <f>SUMIFS(Dataset!AA:AA,Dataset!F:F,'retorno absoluto'!$D$11,Dataset!AH:AH,"deposito",Dataset!T:T,"UF",Dataset!J:J,"&lt;"&amp;$D84,Dataset!J:J,"&gt;="&amp;$C84)</f>
        <v>0</v>
      </c>
      <c r="S84" s="83">
        <f>SUMIFS(Dataset!AA:AA,Dataset!F:F,'retorno absoluto'!$D$11,Dataset!AH:AH,"bono de gobierno",Dataset!T:T,"$",Dataset!J:J,"&lt;"&amp;$D84,Dataset!J:J,"&gt;="&amp;$C84)</f>
        <v>0</v>
      </c>
      <c r="T84" s="83">
        <f>SUMIFS(Dataset!AA:AA,Dataset!F:F,'retorno absoluto'!$D$11,Dataset!AH:AH,"bono de gobierno",Dataset!T:T,"UF",Dataset!J:J,"&lt;"&amp;$D84,Dataset!J:J,"&gt;="&amp;$C84)</f>
        <v>0</v>
      </c>
      <c r="U84" s="83">
        <f>SUMIFS(Dataset!AA:AA,Dataset!F:F,'retorno absoluto'!$D$11,Dataset!AH:AH,"bono de gobierno",Dataset!T:T,"EU",Dataset!J:J,"&lt;"&amp;$D84,Dataset!J:J,"&gt;="&amp;$C84)</f>
        <v>0</v>
      </c>
      <c r="V84" s="83">
        <f>SUMIFS(Dataset!AA:AA,Dataset!F:F,'retorno absoluto'!$D$11,Dataset!AH:AH,"bono de gobierno",Dataset!T:T,"MX",Dataset!J:J,"&lt;"&amp;$D84,Dataset!J:J,"&gt;="&amp;$C84)</f>
        <v>0</v>
      </c>
      <c r="W84" s="83">
        <f>SUMIFS(Dataset!AA:AA,Dataset!F:F,'retorno absoluto'!$D$11,Dataset!AH:AH,"bono de gobierno",Dataset!T:T,"REA",Dataset!J:J,"&lt;"&amp;$D84,Dataset!J:J,"&gt;="&amp;$C84)</f>
        <v>0</v>
      </c>
      <c r="X84" s="83">
        <f>SUMIFS(Dataset!AA:AA,Dataset!F:F,'retorno absoluto'!$D$11,Dataset!AH:AH,"bono de gobierno",Dataset!T:T,"sol",Dataset!J:J,"&lt;"&amp;$D84,Dataset!J:J,"&gt;="&amp;$C84)</f>
        <v>0</v>
      </c>
      <c r="Y84" s="83">
        <f>SUMIFS(Dataset!AA:AA,Dataset!F:F,'retorno absoluto'!$D$11,Dataset!AH:AH,"bono corporativo",Dataset!T:T,"$",Dataset!J:J,"&lt;"&amp;$D84,Dataset!J:J,"&gt;="&amp;$C84)</f>
        <v>0</v>
      </c>
      <c r="Z84" s="83">
        <f>SUMIFS(Dataset!AA:AA,Dataset!F:F,'retorno absoluto'!$D$11,Dataset!AH:AH,"bono corporativo",Dataset!T:T,"UF",Dataset!J:J,"&lt;"&amp;$D84,Dataset!J:J,"&gt;="&amp;$C84)</f>
        <v>0</v>
      </c>
      <c r="AA84" s="83">
        <f>SUMIFS(Dataset!AA:AA,Dataset!F:F,'retorno absoluto'!$D$11,Dataset!J:J,"&lt;"&amp;$D84,Dataset!J:J,"&gt;="&amp;$C84,Dataset!AH:AH,"&lt;&gt;bono corporativo",Dataset!AH:AH,"&lt;&gt;bono de gobierno",Dataset!AH:AH,"&lt;&gt;deposito")</f>
        <v>0</v>
      </c>
      <c r="AB84" s="84">
        <f t="shared" si="9"/>
        <v>0</v>
      </c>
      <c r="AC84" s="85">
        <f>SUMIFS(Dataset!H:H,Dataset!F:F,'retorno absoluto'!$D$11,Dataset!AH:AH,"deposito",Dataset!T:T,"$",Dataset!J:J,"&lt;"&amp;$D84,Dataset!J:J,"&gt;="&amp;$C84)*10</f>
        <v>0</v>
      </c>
      <c r="AD84" s="86">
        <f>SUMIFS(Dataset!H:H,Dataset!F:F,'retorno absoluto'!$D$11,Dataset!AH:AH,"deposito",Dataset!T:T,"UF",Dataset!J:J,"&lt;"&amp;$D84,Dataset!J:J,"&gt;="&amp;$C84)*10</f>
        <v>0</v>
      </c>
      <c r="AE84" s="86">
        <f>SUMIFS(Dataset!H:H,Dataset!F:F,'retorno absoluto'!$D$11,Dataset!AH:AH,"bono de gobierno",Dataset!T:T,"$",Dataset!J:J,"&lt;"&amp;$D84,Dataset!J:J,"&gt;="&amp;$C84)*10</f>
        <v>0</v>
      </c>
      <c r="AF84" s="86">
        <f>SUMIFS(Dataset!H:H,Dataset!F:F,'retorno absoluto'!$D$11,Dataset!AH:AH,"bono de gobierno",Dataset!T:T,"UF",Dataset!J:J,"&lt;"&amp;$D84,Dataset!J:J,"&gt;="&amp;$C84)*10</f>
        <v>0</v>
      </c>
      <c r="AG84" s="86">
        <f>SUMIFS(Dataset!H:H,Dataset!F:F,'retorno absoluto'!$D$11,Dataset!AH:AH,"bono de gobierno",Dataset!T:T,"EU",Dataset!J:J,"&lt;"&amp;$D84,Dataset!J:J,"&gt;="&amp;$C84)*10</f>
        <v>0</v>
      </c>
      <c r="AH84" s="86">
        <f>SUMIFS(Dataset!H:H,Dataset!F:F,'retorno absoluto'!$D$11,Dataset!AH:AH,"bono de gobierno",Dataset!T:T,"MX",Dataset!J:J,"&lt;"&amp;$D84,Dataset!J:J,"&gt;="&amp;$C84)*10</f>
        <v>0</v>
      </c>
      <c r="AI84" s="86">
        <f>SUMIFS(Dataset!H:H,Dataset!F:F,'retorno absoluto'!$D$11,Dataset!AH:AH,"bono de gobierno",Dataset!T:T,"REA",Dataset!J:J,"&lt;"&amp;$D84,Dataset!J:J,"&gt;="&amp;$C84)*10</f>
        <v>0</v>
      </c>
      <c r="AJ84" s="86">
        <f>SUMIFS(Dataset!H:H,Dataset!F:F,'retorno absoluto'!$D$11,Dataset!AH:AH,"bono de gobierno",Dataset!T:T,"sol",Dataset!J:J,"&lt;"&amp;$D84,Dataset!J:J,"&gt;="&amp;$C84)*10</f>
        <v>0</v>
      </c>
      <c r="AK84" s="86">
        <f>SUMIFS(Dataset!H:H,Dataset!F:F,'retorno absoluto'!$D$11,Dataset!AH:AH,"bono corporativo",Dataset!T:T,"$",Dataset!J:J,"&lt;"&amp;$D84,Dataset!J:J,"&gt;="&amp;$C84)*10</f>
        <v>0</v>
      </c>
      <c r="AL84" s="86">
        <f>SUMIFS(Dataset!H:H,Dataset!F:F,'retorno absoluto'!$D$11,Dataset!AH:AH,"bono corporativo",Dataset!T:T,"UF",Dataset!J:J,"&lt;"&amp;$D84,Dataset!J:J,"&gt;="&amp;$C84)*10</f>
        <v>0</v>
      </c>
      <c r="AM84" s="86">
        <f>SUMIFS(Dataset!H:H,Dataset!F:F,'retorno absoluto'!$D$11,Dataset!J:J,"&lt;"&amp;$D84,Dataset!J:J,"&gt;="&amp;$C84,Dataset!AH:AH,"&lt;&gt;bono corporativo",Dataset!AH:AH,"&lt;&gt;bono de gobierno",Dataset!AH:AH,"&lt;&gt;deposito")*10</f>
        <v>0</v>
      </c>
      <c r="AN84" s="87">
        <f t="shared" si="10"/>
        <v>0</v>
      </c>
    </row>
    <row r="85" spans="3:40" ht="27" customHeight="1" x14ac:dyDescent="0.3">
      <c r="C85" s="61">
        <v>10.5</v>
      </c>
      <c r="D85" s="81">
        <v>11.5</v>
      </c>
      <c r="E85" s="82">
        <f>SUMIFS(Dataset!AK:AK,Dataset!F:F,'retorno absoluto'!$D$11,Dataset!AH:AH,"deposito",Dataset!T:T,"$",Dataset!J:J,"&lt;"&amp;$D85,Dataset!J:J,"&gt;="&amp;$C85)</f>
        <v>0</v>
      </c>
      <c r="F85" s="83">
        <f>SUMIFS(Dataset!AK:AK,Dataset!F:F,'retorno absoluto'!$D$11,Dataset!AH:AH,"deposito",Dataset!T:T,"UF",Dataset!J:J,"&lt;"&amp;$D85,Dataset!J:J,"&gt;="&amp;$C85)</f>
        <v>0</v>
      </c>
      <c r="G85" s="83">
        <f>SUMIFS(Dataset!AK:AK,Dataset!F:F,'retorno absoluto'!$D$11,Dataset!AH:AH,"bono de gobierno",Dataset!T:T,"$",Dataset!J:J,"&lt;"&amp;$D85,Dataset!J:J,"&gt;="&amp;$C85)</f>
        <v>0</v>
      </c>
      <c r="H85" s="83">
        <f>SUMIFS(Dataset!AK:AK,Dataset!F:F,'retorno absoluto'!$D$11,Dataset!AH:AH,"bono de gobierno",Dataset!T:T,"UF",Dataset!J:J,"&lt;"&amp;$D85,Dataset!J:J,"&gt;="&amp;$C85)</f>
        <v>0</v>
      </c>
      <c r="I85" s="83">
        <f>SUMIFS(Dataset!AK:AK,Dataset!F:F,'retorno absoluto'!$D$11,Dataset!AH:AH,"bono de gobierno",Dataset!T:T,"eu",Dataset!J:J,"&lt;"&amp;$D85,Dataset!J:J,"&gt;="&amp;$C85)</f>
        <v>0</v>
      </c>
      <c r="J85" s="83">
        <f>SUMIFS(Dataset!AK:AK,Dataset!F:F,'retorno absoluto'!$D$11,Dataset!AH:AH,"bono de gobierno",Dataset!T:T,"mx",Dataset!J:J,"&lt;"&amp;$D85,Dataset!J:J,"&gt;="&amp;$C85)</f>
        <v>0</v>
      </c>
      <c r="K85" s="83">
        <f>SUMIFS(Dataset!AK:AK,Dataset!F:F,'retorno absoluto'!$D$11,Dataset!AH:AH,"bono de gobierno",Dataset!T:T,"rea",Dataset!J:J,"&lt;"&amp;$D85,Dataset!J:J,"&gt;="&amp;$C85)</f>
        <v>0</v>
      </c>
      <c r="L85" s="83">
        <f>SUMIFS(Dataset!AK:AK,Dataset!F:F,'retorno absoluto'!$D$11,Dataset!AH:AH,"bono de gobierno",Dataset!T:T,"sol",Dataset!J:J,"&lt;"&amp;$D85,Dataset!J:J,"&gt;="&amp;$C85)</f>
        <v>0</v>
      </c>
      <c r="M85" s="83">
        <f>SUMIFS(Dataset!AK:AK,Dataset!F:F,'retorno absoluto'!$D$11,Dataset!AH:AH,"bono corporativo",Dataset!T:T,"$",Dataset!J:J,"&lt;"&amp;$D85,Dataset!J:J,"&gt;="&amp;$C85)</f>
        <v>0</v>
      </c>
      <c r="N85" s="83">
        <f>SUMIFS(Dataset!AK:AK,Dataset!F:F,'retorno absoluto'!$D$11,Dataset!AH:AH,"bono corporativo",Dataset!T:T,"UF",Dataset!J:J,"&lt;"&amp;$D85,Dataset!J:J,"&gt;="&amp;$C85)</f>
        <v>0</v>
      </c>
      <c r="O85" s="83">
        <f>SUMIFS(Dataset!AK:AK,Dataset!F:F,'retorno absoluto'!$D$11,Dataset!J:J,"&lt;"&amp;$D85,Dataset!J:J,"&gt;="&amp;$C85,Dataset!AH:AH,"&lt;&gt;bono corporativo",Dataset!AH:AH,"&lt;&gt;bono de gobierno",Dataset!AH:AH,"&lt;&gt;deposito")</f>
        <v>0</v>
      </c>
      <c r="P85" s="84">
        <f t="shared" si="8"/>
        <v>0</v>
      </c>
      <c r="Q85" s="82">
        <f>SUMIFS(Dataset!AA:AA,Dataset!F:F,'retorno absoluto'!$D$11,Dataset!AH:AH,"deposito",Dataset!T:T,"$",Dataset!J:J,"&lt;"&amp;$D85,Dataset!J:J,"&gt;="&amp;$C85)</f>
        <v>0</v>
      </c>
      <c r="R85" s="83">
        <f>SUMIFS(Dataset!AA:AA,Dataset!F:F,'retorno absoluto'!$D$11,Dataset!AH:AH,"deposito",Dataset!T:T,"UF",Dataset!J:J,"&lt;"&amp;$D85,Dataset!J:J,"&gt;="&amp;$C85)</f>
        <v>0</v>
      </c>
      <c r="S85" s="83">
        <f>SUMIFS(Dataset!AA:AA,Dataset!F:F,'retorno absoluto'!$D$11,Dataset!AH:AH,"bono de gobierno",Dataset!T:T,"$",Dataset!J:J,"&lt;"&amp;$D85,Dataset!J:J,"&gt;="&amp;$C85)</f>
        <v>0</v>
      </c>
      <c r="T85" s="83">
        <f>SUMIFS(Dataset!AA:AA,Dataset!F:F,'retorno absoluto'!$D$11,Dataset!AH:AH,"bono de gobierno",Dataset!T:T,"UF",Dataset!J:J,"&lt;"&amp;$D85,Dataset!J:J,"&gt;="&amp;$C85)</f>
        <v>0</v>
      </c>
      <c r="U85" s="83">
        <f>SUMIFS(Dataset!AA:AA,Dataset!F:F,'retorno absoluto'!$D$11,Dataset!AH:AH,"bono de gobierno",Dataset!T:T,"EU",Dataset!J:J,"&lt;"&amp;$D85,Dataset!J:J,"&gt;="&amp;$C85)</f>
        <v>0</v>
      </c>
      <c r="V85" s="83">
        <f>SUMIFS(Dataset!AA:AA,Dataset!F:F,'retorno absoluto'!$D$11,Dataset!AH:AH,"bono de gobierno",Dataset!T:T,"MX",Dataset!J:J,"&lt;"&amp;$D85,Dataset!J:J,"&gt;="&amp;$C85)</f>
        <v>0</v>
      </c>
      <c r="W85" s="83">
        <f>SUMIFS(Dataset!AA:AA,Dataset!F:F,'retorno absoluto'!$D$11,Dataset!AH:AH,"bono de gobierno",Dataset!T:T,"REA",Dataset!J:J,"&lt;"&amp;$D85,Dataset!J:J,"&gt;="&amp;$C85)</f>
        <v>0</v>
      </c>
      <c r="X85" s="83">
        <f>SUMIFS(Dataset!AA:AA,Dataset!F:F,'retorno absoluto'!$D$11,Dataset!AH:AH,"bono de gobierno",Dataset!T:T,"sol",Dataset!J:J,"&lt;"&amp;$D85,Dataset!J:J,"&gt;="&amp;$C85)</f>
        <v>0</v>
      </c>
      <c r="Y85" s="83">
        <f>SUMIFS(Dataset!AA:AA,Dataset!F:F,'retorno absoluto'!$D$11,Dataset!AH:AH,"bono corporativo",Dataset!T:T,"$",Dataset!J:J,"&lt;"&amp;$D85,Dataset!J:J,"&gt;="&amp;$C85)</f>
        <v>0</v>
      </c>
      <c r="Z85" s="83">
        <f>SUMIFS(Dataset!AA:AA,Dataset!F:F,'retorno absoluto'!$D$11,Dataset!AH:AH,"bono corporativo",Dataset!T:T,"UF",Dataset!J:J,"&lt;"&amp;$D85,Dataset!J:J,"&gt;="&amp;$C85)</f>
        <v>0</v>
      </c>
      <c r="AA85" s="83">
        <f>SUMIFS(Dataset!AA:AA,Dataset!F:F,'retorno absoluto'!$D$11,Dataset!J:J,"&lt;"&amp;$D85,Dataset!J:J,"&gt;="&amp;$C85,Dataset!AH:AH,"&lt;&gt;bono corporativo",Dataset!AH:AH,"&lt;&gt;bono de gobierno",Dataset!AH:AH,"&lt;&gt;deposito")</f>
        <v>0</v>
      </c>
      <c r="AB85" s="84">
        <f t="shared" si="9"/>
        <v>0</v>
      </c>
      <c r="AC85" s="85">
        <f>SUMIFS(Dataset!H:H,Dataset!F:F,'retorno absoluto'!$D$11,Dataset!AH:AH,"deposito",Dataset!T:T,"$",Dataset!J:J,"&lt;"&amp;$D85,Dataset!J:J,"&gt;="&amp;$C85)*10</f>
        <v>0</v>
      </c>
      <c r="AD85" s="86">
        <f>SUMIFS(Dataset!H:H,Dataset!F:F,'retorno absoluto'!$D$11,Dataset!AH:AH,"deposito",Dataset!T:T,"UF",Dataset!J:J,"&lt;"&amp;$D85,Dataset!J:J,"&gt;="&amp;$C85)*10</f>
        <v>0</v>
      </c>
      <c r="AE85" s="86">
        <f>SUMIFS(Dataset!H:H,Dataset!F:F,'retorno absoluto'!$D$11,Dataset!AH:AH,"bono de gobierno",Dataset!T:T,"$",Dataset!J:J,"&lt;"&amp;$D85,Dataset!J:J,"&gt;="&amp;$C85)*10</f>
        <v>0</v>
      </c>
      <c r="AF85" s="86">
        <f>SUMIFS(Dataset!H:H,Dataset!F:F,'retorno absoluto'!$D$11,Dataset!AH:AH,"bono de gobierno",Dataset!T:T,"UF",Dataset!J:J,"&lt;"&amp;$D85,Dataset!J:J,"&gt;="&amp;$C85)*10</f>
        <v>0</v>
      </c>
      <c r="AG85" s="86">
        <f>SUMIFS(Dataset!H:H,Dataset!F:F,'retorno absoluto'!$D$11,Dataset!AH:AH,"bono de gobierno",Dataset!T:T,"EU",Dataset!J:J,"&lt;"&amp;$D85,Dataset!J:J,"&gt;="&amp;$C85)*10</f>
        <v>0</v>
      </c>
      <c r="AH85" s="86">
        <f>SUMIFS(Dataset!H:H,Dataset!F:F,'retorno absoluto'!$D$11,Dataset!AH:AH,"bono de gobierno",Dataset!T:T,"MX",Dataset!J:J,"&lt;"&amp;$D85,Dataset!J:J,"&gt;="&amp;$C85)*10</f>
        <v>0</v>
      </c>
      <c r="AI85" s="86">
        <f>SUMIFS(Dataset!H:H,Dataset!F:F,'retorno absoluto'!$D$11,Dataset!AH:AH,"bono de gobierno",Dataset!T:T,"REA",Dataset!J:J,"&lt;"&amp;$D85,Dataset!J:J,"&gt;="&amp;$C85)*10</f>
        <v>0</v>
      </c>
      <c r="AJ85" s="86">
        <f>SUMIFS(Dataset!H:H,Dataset!F:F,'retorno absoluto'!$D$11,Dataset!AH:AH,"bono de gobierno",Dataset!T:T,"sol",Dataset!J:J,"&lt;"&amp;$D85,Dataset!J:J,"&gt;="&amp;$C85)*10</f>
        <v>0</v>
      </c>
      <c r="AK85" s="86">
        <f>SUMIFS(Dataset!H:H,Dataset!F:F,'retorno absoluto'!$D$11,Dataset!AH:AH,"bono corporativo",Dataset!T:T,"$",Dataset!J:J,"&lt;"&amp;$D85,Dataset!J:J,"&gt;="&amp;$C85)*10</f>
        <v>0</v>
      </c>
      <c r="AL85" s="86">
        <f>SUMIFS(Dataset!H:H,Dataset!F:F,'retorno absoluto'!$D$11,Dataset!AH:AH,"bono corporativo",Dataset!T:T,"UF",Dataset!J:J,"&lt;"&amp;$D85,Dataset!J:J,"&gt;="&amp;$C85)*10</f>
        <v>0</v>
      </c>
      <c r="AM85" s="86">
        <f>SUMIFS(Dataset!H:H,Dataset!F:F,'retorno absoluto'!$D$11,Dataset!J:J,"&lt;"&amp;$D85,Dataset!J:J,"&gt;="&amp;$C85,Dataset!AH:AH,"&lt;&gt;bono corporativo",Dataset!AH:AH,"&lt;&gt;bono de gobierno",Dataset!AH:AH,"&lt;&gt;deposito")*10</f>
        <v>0</v>
      </c>
      <c r="AN85" s="87">
        <f t="shared" si="10"/>
        <v>0</v>
      </c>
    </row>
    <row r="86" spans="3:40" ht="27" customHeight="1" x14ac:dyDescent="0.3">
      <c r="C86" s="61">
        <v>11.5</v>
      </c>
      <c r="D86" s="81">
        <v>12.5</v>
      </c>
      <c r="E86" s="82">
        <f>SUMIFS(Dataset!AK:AK,Dataset!F:F,'retorno absoluto'!$D$11,Dataset!AH:AH,"deposito",Dataset!T:T,"$",Dataset!J:J,"&lt;"&amp;$D86,Dataset!J:J,"&gt;="&amp;$C86)</f>
        <v>0</v>
      </c>
      <c r="F86" s="83">
        <f>SUMIFS(Dataset!AK:AK,Dataset!F:F,'retorno absoluto'!$D$11,Dataset!AH:AH,"deposito",Dataset!T:T,"UF",Dataset!J:J,"&lt;"&amp;$D86,Dataset!J:J,"&gt;="&amp;$C86)</f>
        <v>0</v>
      </c>
      <c r="G86" s="83">
        <f>SUMIFS(Dataset!AK:AK,Dataset!F:F,'retorno absoluto'!$D$11,Dataset!AH:AH,"bono de gobierno",Dataset!T:T,"$",Dataset!J:J,"&lt;"&amp;$D86,Dataset!J:J,"&gt;="&amp;$C86)</f>
        <v>3.683292733448891E-2</v>
      </c>
      <c r="H86" s="83">
        <f>SUMIFS(Dataset!AK:AK,Dataset!F:F,'retorno absoluto'!$D$11,Dataset!AH:AH,"bono de gobierno",Dataset!T:T,"UF",Dataset!J:J,"&lt;"&amp;$D86,Dataset!J:J,"&gt;="&amp;$C86)</f>
        <v>0</v>
      </c>
      <c r="I86" s="83">
        <f>SUMIFS(Dataset!AK:AK,Dataset!F:F,'retorno absoluto'!$D$11,Dataset!AH:AH,"bono de gobierno",Dataset!T:T,"eu",Dataset!J:J,"&lt;"&amp;$D86,Dataset!J:J,"&gt;="&amp;$C86)</f>
        <v>0</v>
      </c>
      <c r="J86" s="83">
        <f>SUMIFS(Dataset!AK:AK,Dataset!F:F,'retorno absoluto'!$D$11,Dataset!AH:AH,"bono de gobierno",Dataset!T:T,"mx",Dataset!J:J,"&lt;"&amp;$D86,Dataset!J:J,"&gt;="&amp;$C86)</f>
        <v>0</v>
      </c>
      <c r="K86" s="83">
        <f>SUMIFS(Dataset!AK:AK,Dataset!F:F,'retorno absoluto'!$D$11,Dataset!AH:AH,"bono de gobierno",Dataset!T:T,"rea",Dataset!J:J,"&lt;"&amp;$D86,Dataset!J:J,"&gt;="&amp;$C86)</f>
        <v>0</v>
      </c>
      <c r="L86" s="83">
        <f>SUMIFS(Dataset!AK:AK,Dataset!F:F,'retorno absoluto'!$D$11,Dataset!AH:AH,"bono de gobierno",Dataset!T:T,"sol",Dataset!J:J,"&lt;"&amp;$D86,Dataset!J:J,"&gt;="&amp;$C86)</f>
        <v>0</v>
      </c>
      <c r="M86" s="83">
        <f>SUMIFS(Dataset!AK:AK,Dataset!F:F,'retorno absoluto'!$D$11,Dataset!AH:AH,"bono corporativo",Dataset!T:T,"$",Dataset!J:J,"&lt;"&amp;$D86,Dataset!J:J,"&gt;="&amp;$C86)</f>
        <v>0</v>
      </c>
      <c r="N86" s="83">
        <f>SUMIFS(Dataset!AK:AK,Dataset!F:F,'retorno absoluto'!$D$11,Dataset!AH:AH,"bono corporativo",Dataset!T:T,"UF",Dataset!J:J,"&lt;"&amp;$D86,Dataset!J:J,"&gt;="&amp;$C86)</f>
        <v>0</v>
      </c>
      <c r="O86" s="83">
        <f>SUMIFS(Dataset!AK:AK,Dataset!F:F,'retorno absoluto'!$D$11,Dataset!J:J,"&lt;"&amp;$D86,Dataset!J:J,"&gt;="&amp;$C86,Dataset!AH:AH,"&lt;&gt;bono corporativo",Dataset!AH:AH,"&lt;&gt;bono de gobierno",Dataset!AH:AH,"&lt;&gt;deposito")</f>
        <v>0</v>
      </c>
      <c r="P86" s="84">
        <f t="shared" si="8"/>
        <v>3.683292733448891E-2</v>
      </c>
      <c r="Q86" s="82">
        <f>SUMIFS(Dataset!AA:AA,Dataset!F:F,'retorno absoluto'!$D$11,Dataset!AH:AH,"deposito",Dataset!T:T,"$",Dataset!J:J,"&lt;"&amp;$D86,Dataset!J:J,"&gt;="&amp;$C86)</f>
        <v>0</v>
      </c>
      <c r="R86" s="83">
        <f>SUMIFS(Dataset!AA:AA,Dataset!F:F,'retorno absoluto'!$D$11,Dataset!AH:AH,"deposito",Dataset!T:T,"UF",Dataset!J:J,"&lt;"&amp;$D86,Dataset!J:J,"&gt;="&amp;$C86)</f>
        <v>0</v>
      </c>
      <c r="S86" s="83">
        <f>SUMIFS(Dataset!AA:AA,Dataset!F:F,'retorno absoluto'!$D$11,Dataset!AH:AH,"bono de gobierno",Dataset!T:T,"$",Dataset!J:J,"&lt;"&amp;$D86,Dataset!J:J,"&gt;="&amp;$C86)</f>
        <v>0.11814551142634716</v>
      </c>
      <c r="T86" s="83">
        <f>SUMIFS(Dataset!AA:AA,Dataset!F:F,'retorno absoluto'!$D$11,Dataset!AH:AH,"bono de gobierno",Dataset!T:T,"UF",Dataset!J:J,"&lt;"&amp;$D86,Dataset!J:J,"&gt;="&amp;$C86)</f>
        <v>0</v>
      </c>
      <c r="U86" s="83">
        <f>SUMIFS(Dataset!AA:AA,Dataset!F:F,'retorno absoluto'!$D$11,Dataset!AH:AH,"bono de gobierno",Dataset!T:T,"EU",Dataset!J:J,"&lt;"&amp;$D86,Dataset!J:J,"&gt;="&amp;$C86)</f>
        <v>0</v>
      </c>
      <c r="V86" s="83">
        <f>SUMIFS(Dataset!AA:AA,Dataset!F:F,'retorno absoluto'!$D$11,Dataset!AH:AH,"bono de gobierno",Dataset!T:T,"MX",Dataset!J:J,"&lt;"&amp;$D86,Dataset!J:J,"&gt;="&amp;$C86)</f>
        <v>0</v>
      </c>
      <c r="W86" s="83">
        <f>SUMIFS(Dataset!AA:AA,Dataset!F:F,'retorno absoluto'!$D$11,Dataset!AH:AH,"bono de gobierno",Dataset!T:T,"REA",Dataset!J:J,"&lt;"&amp;$D86,Dataset!J:J,"&gt;="&amp;$C86)</f>
        <v>0</v>
      </c>
      <c r="X86" s="83">
        <f>SUMIFS(Dataset!AA:AA,Dataset!F:F,'retorno absoluto'!$D$11,Dataset!AH:AH,"bono de gobierno",Dataset!T:T,"sol",Dataset!J:J,"&lt;"&amp;$D86,Dataset!J:J,"&gt;="&amp;$C86)</f>
        <v>0</v>
      </c>
      <c r="Y86" s="83">
        <f>SUMIFS(Dataset!AA:AA,Dataset!F:F,'retorno absoluto'!$D$11,Dataset!AH:AH,"bono corporativo",Dataset!T:T,"$",Dataset!J:J,"&lt;"&amp;$D86,Dataset!J:J,"&gt;="&amp;$C86)</f>
        <v>0</v>
      </c>
      <c r="Z86" s="83">
        <f>SUMIFS(Dataset!AA:AA,Dataset!F:F,'retorno absoluto'!$D$11,Dataset!AH:AH,"bono corporativo",Dataset!T:T,"UF",Dataset!J:J,"&lt;"&amp;$D86,Dataset!J:J,"&gt;="&amp;$C86)</f>
        <v>0</v>
      </c>
      <c r="AA86" s="83">
        <f>SUMIFS(Dataset!AA:AA,Dataset!F:F,'retorno absoluto'!$D$11,Dataset!J:J,"&lt;"&amp;$D86,Dataset!J:J,"&gt;="&amp;$C86,Dataset!AH:AH,"&lt;&gt;bono corporativo",Dataset!AH:AH,"&lt;&gt;bono de gobierno",Dataset!AH:AH,"&lt;&gt;deposito")</f>
        <v>0</v>
      </c>
      <c r="AB86" s="84">
        <f t="shared" si="9"/>
        <v>0.11814551142634716</v>
      </c>
      <c r="AC86" s="85">
        <f>SUMIFS(Dataset!H:H,Dataset!F:F,'retorno absoluto'!$D$11,Dataset!AH:AH,"deposito",Dataset!T:T,"$",Dataset!J:J,"&lt;"&amp;$D86,Dataset!J:J,"&gt;="&amp;$C86)*10</f>
        <v>0</v>
      </c>
      <c r="AD86" s="86">
        <f>SUMIFS(Dataset!H:H,Dataset!F:F,'retorno absoluto'!$D$11,Dataset!AH:AH,"deposito",Dataset!T:T,"UF",Dataset!J:J,"&lt;"&amp;$D86,Dataset!J:J,"&gt;="&amp;$C86)*10</f>
        <v>0</v>
      </c>
      <c r="AE86" s="86">
        <f>SUMIFS(Dataset!H:H,Dataset!F:F,'retorno absoluto'!$D$11,Dataset!AH:AH,"bono de gobierno",Dataset!T:T,"$",Dataset!J:J,"&lt;"&amp;$D86,Dataset!J:J,"&gt;="&amp;$C86)*10</f>
        <v>4.3131357908686514</v>
      </c>
      <c r="AF86" s="86">
        <f>SUMIFS(Dataset!H:H,Dataset!F:F,'retorno absoluto'!$D$11,Dataset!AH:AH,"bono de gobierno",Dataset!T:T,"UF",Dataset!J:J,"&lt;"&amp;$D86,Dataset!J:J,"&gt;="&amp;$C86)*10</f>
        <v>0</v>
      </c>
      <c r="AG86" s="86">
        <f>SUMIFS(Dataset!H:H,Dataset!F:F,'retorno absoluto'!$D$11,Dataset!AH:AH,"bono de gobierno",Dataset!T:T,"EU",Dataset!J:J,"&lt;"&amp;$D86,Dataset!J:J,"&gt;="&amp;$C86)*10</f>
        <v>0</v>
      </c>
      <c r="AH86" s="86">
        <f>SUMIFS(Dataset!H:H,Dataset!F:F,'retorno absoluto'!$D$11,Dataset!AH:AH,"bono de gobierno",Dataset!T:T,"MX",Dataset!J:J,"&lt;"&amp;$D86,Dataset!J:J,"&gt;="&amp;$C86)*10</f>
        <v>0</v>
      </c>
      <c r="AI86" s="86">
        <f>SUMIFS(Dataset!H:H,Dataset!F:F,'retorno absoluto'!$D$11,Dataset!AH:AH,"bono de gobierno",Dataset!T:T,"REA",Dataset!J:J,"&lt;"&amp;$D86,Dataset!J:J,"&gt;="&amp;$C86)*10</f>
        <v>0</v>
      </c>
      <c r="AJ86" s="86">
        <f>SUMIFS(Dataset!H:H,Dataset!F:F,'retorno absoluto'!$D$11,Dataset!AH:AH,"bono de gobierno",Dataset!T:T,"sol",Dataset!J:J,"&lt;"&amp;$D86,Dataset!J:J,"&gt;="&amp;$C86)*10</f>
        <v>0</v>
      </c>
      <c r="AK86" s="86">
        <f>SUMIFS(Dataset!H:H,Dataset!F:F,'retorno absoluto'!$D$11,Dataset!AH:AH,"bono corporativo",Dataset!T:T,"$",Dataset!J:J,"&lt;"&amp;$D86,Dataset!J:J,"&gt;="&amp;$C86)*10</f>
        <v>0</v>
      </c>
      <c r="AL86" s="86">
        <f>SUMIFS(Dataset!H:H,Dataset!F:F,'retorno absoluto'!$D$11,Dataset!AH:AH,"bono corporativo",Dataset!T:T,"UF",Dataset!J:J,"&lt;"&amp;$D86,Dataset!J:J,"&gt;="&amp;$C86)*10</f>
        <v>0</v>
      </c>
      <c r="AM86" s="86">
        <f>SUMIFS(Dataset!H:H,Dataset!F:F,'retorno absoluto'!$D$11,Dataset!J:J,"&lt;"&amp;$D86,Dataset!J:J,"&gt;="&amp;$C86,Dataset!AH:AH,"&lt;&gt;bono corporativo",Dataset!AH:AH,"&lt;&gt;bono de gobierno",Dataset!AH:AH,"&lt;&gt;deposito")*10</f>
        <v>0</v>
      </c>
      <c r="AN86" s="87">
        <f t="shared" si="10"/>
        <v>4.3131357908686514</v>
      </c>
    </row>
    <row r="87" spans="3:40" ht="27" customHeight="1" x14ac:dyDescent="0.3">
      <c r="C87" s="61">
        <v>12.5</v>
      </c>
      <c r="D87" s="81">
        <v>13.5</v>
      </c>
      <c r="E87" s="82">
        <f>SUMIFS(Dataset!AK:AK,Dataset!F:F,'retorno absoluto'!$D$11,Dataset!AH:AH,"deposito",Dataset!T:T,"$",Dataset!J:J,"&lt;"&amp;$D87,Dataset!J:J,"&gt;="&amp;$C87)</f>
        <v>0</v>
      </c>
      <c r="F87" s="83">
        <f>SUMIFS(Dataset!AK:AK,Dataset!F:F,'retorno absoluto'!$D$11,Dataset!AH:AH,"deposito",Dataset!T:T,"UF",Dataset!J:J,"&lt;"&amp;$D87,Dataset!J:J,"&gt;="&amp;$C87)</f>
        <v>0</v>
      </c>
      <c r="G87" s="83">
        <f>SUMIFS(Dataset!AK:AK,Dataset!F:F,'retorno absoluto'!$D$11,Dataset!AH:AH,"bono de gobierno",Dataset!T:T,"$",Dataset!J:J,"&lt;"&amp;$D87,Dataset!J:J,"&gt;="&amp;$C87)</f>
        <v>0</v>
      </c>
      <c r="H87" s="83">
        <f>SUMIFS(Dataset!AK:AK,Dataset!F:F,'retorno absoluto'!$D$11,Dataset!AH:AH,"bono de gobierno",Dataset!T:T,"UF",Dataset!J:J,"&lt;"&amp;$D87,Dataset!J:J,"&gt;="&amp;$C87)</f>
        <v>0</v>
      </c>
      <c r="I87" s="83">
        <f>SUMIFS(Dataset!AK:AK,Dataset!F:F,'retorno absoluto'!$D$11,Dataset!AH:AH,"bono de gobierno",Dataset!T:T,"eu",Dataset!J:J,"&lt;"&amp;$D87,Dataset!J:J,"&gt;="&amp;$C87)</f>
        <v>0</v>
      </c>
      <c r="J87" s="83">
        <f>SUMIFS(Dataset!AK:AK,Dataset!F:F,'retorno absoluto'!$D$11,Dataset!AH:AH,"bono de gobierno",Dataset!T:T,"mx",Dataset!J:J,"&lt;"&amp;$D87,Dataset!J:J,"&gt;="&amp;$C87)</f>
        <v>0</v>
      </c>
      <c r="K87" s="83">
        <f>SUMIFS(Dataset!AK:AK,Dataset!F:F,'retorno absoluto'!$D$11,Dataset!AH:AH,"bono de gobierno",Dataset!T:T,"rea",Dataset!J:J,"&lt;"&amp;$D87,Dataset!J:J,"&gt;="&amp;$C87)</f>
        <v>0</v>
      </c>
      <c r="L87" s="83">
        <f>SUMIFS(Dataset!AK:AK,Dataset!F:F,'retorno absoluto'!$D$11,Dataset!AH:AH,"bono de gobierno",Dataset!T:T,"sol",Dataset!J:J,"&lt;"&amp;$D87,Dataset!J:J,"&gt;="&amp;$C87)</f>
        <v>0</v>
      </c>
      <c r="M87" s="83">
        <f>SUMIFS(Dataset!AK:AK,Dataset!F:F,'retorno absoluto'!$D$11,Dataset!AH:AH,"bono corporativo",Dataset!T:T,"$",Dataset!J:J,"&lt;"&amp;$D87,Dataset!J:J,"&gt;="&amp;$C87)</f>
        <v>0</v>
      </c>
      <c r="N87" s="83">
        <f>SUMIFS(Dataset!AK:AK,Dataset!F:F,'retorno absoluto'!$D$11,Dataset!AH:AH,"bono corporativo",Dataset!T:T,"UF",Dataset!J:J,"&lt;"&amp;$D87,Dataset!J:J,"&gt;="&amp;$C87)</f>
        <v>0</v>
      </c>
      <c r="O87" s="83">
        <f>SUMIFS(Dataset!AK:AK,Dataset!F:F,'retorno absoluto'!$D$11,Dataset!J:J,"&lt;"&amp;$D87,Dataset!J:J,"&gt;="&amp;$C87,Dataset!AH:AH,"&lt;&gt;bono corporativo",Dataset!AH:AH,"&lt;&gt;bono de gobierno",Dataset!AH:AH,"&lt;&gt;deposito")</f>
        <v>0</v>
      </c>
      <c r="P87" s="84">
        <f t="shared" si="8"/>
        <v>0</v>
      </c>
      <c r="Q87" s="82">
        <f>SUMIFS(Dataset!AA:AA,Dataset!F:F,'retorno absoluto'!$D$11,Dataset!AH:AH,"deposito",Dataset!T:T,"$",Dataset!J:J,"&lt;"&amp;$D87,Dataset!J:J,"&gt;="&amp;$C87)</f>
        <v>0</v>
      </c>
      <c r="R87" s="83">
        <f>SUMIFS(Dataset!AA:AA,Dataset!F:F,'retorno absoluto'!$D$11,Dataset!AH:AH,"deposito",Dataset!T:T,"UF",Dataset!J:J,"&lt;"&amp;$D87,Dataset!J:J,"&gt;="&amp;$C87)</f>
        <v>0</v>
      </c>
      <c r="S87" s="83">
        <f>SUMIFS(Dataset!AA:AA,Dataset!F:F,'retorno absoluto'!$D$11,Dataset!AH:AH,"bono de gobierno",Dataset!T:T,"$",Dataset!J:J,"&lt;"&amp;$D87,Dataset!J:J,"&gt;="&amp;$C87)</f>
        <v>0</v>
      </c>
      <c r="T87" s="83">
        <f>SUMIFS(Dataset!AA:AA,Dataset!F:F,'retorno absoluto'!$D$11,Dataset!AH:AH,"bono de gobierno",Dataset!T:T,"UF",Dataset!J:J,"&lt;"&amp;$D87,Dataset!J:J,"&gt;="&amp;$C87)</f>
        <v>0</v>
      </c>
      <c r="U87" s="83">
        <f>SUMIFS(Dataset!AA:AA,Dataset!F:F,'retorno absoluto'!$D$11,Dataset!AH:AH,"bono de gobierno",Dataset!T:T,"EU",Dataset!J:J,"&lt;"&amp;$D87,Dataset!J:J,"&gt;="&amp;$C87)</f>
        <v>0</v>
      </c>
      <c r="V87" s="83">
        <f>SUMIFS(Dataset!AA:AA,Dataset!F:F,'retorno absoluto'!$D$11,Dataset!AH:AH,"bono de gobierno",Dataset!T:T,"MX",Dataset!J:J,"&lt;"&amp;$D87,Dataset!J:J,"&gt;="&amp;$C87)</f>
        <v>0</v>
      </c>
      <c r="W87" s="83">
        <f>SUMIFS(Dataset!AA:AA,Dataset!F:F,'retorno absoluto'!$D$11,Dataset!AH:AH,"bono de gobierno",Dataset!T:T,"REA",Dataset!J:J,"&lt;"&amp;$D87,Dataset!J:J,"&gt;="&amp;$C87)</f>
        <v>0</v>
      </c>
      <c r="X87" s="83">
        <f>SUMIFS(Dataset!AA:AA,Dataset!F:F,'retorno absoluto'!$D$11,Dataset!AH:AH,"bono de gobierno",Dataset!T:T,"sol",Dataset!J:J,"&lt;"&amp;$D87,Dataset!J:J,"&gt;="&amp;$C87)</f>
        <v>0</v>
      </c>
      <c r="Y87" s="83">
        <f>SUMIFS(Dataset!AA:AA,Dataset!F:F,'retorno absoluto'!$D$11,Dataset!AH:AH,"bono corporativo",Dataset!T:T,"$",Dataset!J:J,"&lt;"&amp;$D87,Dataset!J:J,"&gt;="&amp;$C87)</f>
        <v>0</v>
      </c>
      <c r="Z87" s="83">
        <f>SUMIFS(Dataset!AA:AA,Dataset!F:F,'retorno absoluto'!$D$11,Dataset!AH:AH,"bono corporativo",Dataset!T:T,"UF",Dataset!J:J,"&lt;"&amp;$D87,Dataset!J:J,"&gt;="&amp;$C87)</f>
        <v>0</v>
      </c>
      <c r="AA87" s="83">
        <f>SUMIFS(Dataset!AA:AA,Dataset!F:F,'retorno absoluto'!$D$11,Dataset!J:J,"&lt;"&amp;$D87,Dataset!J:J,"&gt;="&amp;$C87,Dataset!AH:AH,"&lt;&gt;bono corporativo",Dataset!AH:AH,"&lt;&gt;bono de gobierno",Dataset!AH:AH,"&lt;&gt;deposito")</f>
        <v>0</v>
      </c>
      <c r="AB87" s="84">
        <f t="shared" si="9"/>
        <v>0</v>
      </c>
      <c r="AC87" s="85">
        <f>SUMIFS(Dataset!H:H,Dataset!F:F,'retorno absoluto'!$D$11,Dataset!AH:AH,"deposito",Dataset!T:T,"$",Dataset!J:J,"&lt;"&amp;$D87,Dataset!J:J,"&gt;="&amp;$C87)*10</f>
        <v>0</v>
      </c>
      <c r="AD87" s="86">
        <f>SUMIFS(Dataset!H:H,Dataset!F:F,'retorno absoluto'!$D$11,Dataset!AH:AH,"deposito",Dataset!T:T,"UF",Dataset!J:J,"&lt;"&amp;$D87,Dataset!J:J,"&gt;="&amp;$C87)*10</f>
        <v>0</v>
      </c>
      <c r="AE87" s="86">
        <f>SUMIFS(Dataset!H:H,Dataset!F:F,'retorno absoluto'!$D$11,Dataset!AH:AH,"bono de gobierno",Dataset!T:T,"$",Dataset!J:J,"&lt;"&amp;$D87,Dataset!J:J,"&gt;="&amp;$C87)*10</f>
        <v>0</v>
      </c>
      <c r="AF87" s="86">
        <f>SUMIFS(Dataset!H:H,Dataset!F:F,'retorno absoluto'!$D$11,Dataset!AH:AH,"bono de gobierno",Dataset!T:T,"UF",Dataset!J:J,"&lt;"&amp;$D87,Dataset!J:J,"&gt;="&amp;$C87)*10</f>
        <v>0</v>
      </c>
      <c r="AG87" s="86">
        <f>SUMIFS(Dataset!H:H,Dataset!F:F,'retorno absoluto'!$D$11,Dataset!AH:AH,"bono de gobierno",Dataset!T:T,"EU",Dataset!J:J,"&lt;"&amp;$D87,Dataset!J:J,"&gt;="&amp;$C87)*10</f>
        <v>0</v>
      </c>
      <c r="AH87" s="86">
        <f>SUMIFS(Dataset!H:H,Dataset!F:F,'retorno absoluto'!$D$11,Dataset!AH:AH,"bono de gobierno",Dataset!T:T,"MX",Dataset!J:J,"&lt;"&amp;$D87,Dataset!J:J,"&gt;="&amp;$C87)*10</f>
        <v>0</v>
      </c>
      <c r="AI87" s="86">
        <f>SUMIFS(Dataset!H:H,Dataset!F:F,'retorno absoluto'!$D$11,Dataset!AH:AH,"bono de gobierno",Dataset!T:T,"REA",Dataset!J:J,"&lt;"&amp;$D87,Dataset!J:J,"&gt;="&amp;$C87)*10</f>
        <v>0</v>
      </c>
      <c r="AJ87" s="86">
        <f>SUMIFS(Dataset!H:H,Dataset!F:F,'retorno absoluto'!$D$11,Dataset!AH:AH,"bono de gobierno",Dataset!T:T,"sol",Dataset!J:J,"&lt;"&amp;$D87,Dataset!J:J,"&gt;="&amp;$C87)*10</f>
        <v>0</v>
      </c>
      <c r="AK87" s="86">
        <f>SUMIFS(Dataset!H:H,Dataset!F:F,'retorno absoluto'!$D$11,Dataset!AH:AH,"bono corporativo",Dataset!T:T,"$",Dataset!J:J,"&lt;"&amp;$D87,Dataset!J:J,"&gt;="&amp;$C87)*10</f>
        <v>0</v>
      </c>
      <c r="AL87" s="86">
        <f>SUMIFS(Dataset!H:H,Dataset!F:F,'retorno absoluto'!$D$11,Dataset!AH:AH,"bono corporativo",Dataset!T:T,"UF",Dataset!J:J,"&lt;"&amp;$D87,Dataset!J:J,"&gt;="&amp;$C87)*10</f>
        <v>0</v>
      </c>
      <c r="AM87" s="86">
        <f>SUMIFS(Dataset!H:H,Dataset!F:F,'retorno absoluto'!$D$11,Dataset!J:J,"&lt;"&amp;$D87,Dataset!J:J,"&gt;="&amp;$C87,Dataset!AH:AH,"&lt;&gt;bono corporativo",Dataset!AH:AH,"&lt;&gt;bono de gobierno",Dataset!AH:AH,"&lt;&gt;deposito")*10</f>
        <v>0</v>
      </c>
      <c r="AN87" s="87">
        <f t="shared" si="10"/>
        <v>0</v>
      </c>
    </row>
    <row r="88" spans="3:40" ht="27" customHeight="1" x14ac:dyDescent="0.3">
      <c r="C88" s="61">
        <v>13.5</v>
      </c>
      <c r="D88" s="81">
        <v>14.5</v>
      </c>
      <c r="E88" s="82">
        <f>SUMIFS(Dataset!AK:AK,Dataset!F:F,'retorno absoluto'!$D$11,Dataset!AH:AH,"deposito",Dataset!T:T,"$",Dataset!J:J,"&lt;"&amp;$D88,Dataset!J:J,"&gt;="&amp;$C88)</f>
        <v>0</v>
      </c>
      <c r="F88" s="83">
        <f>SUMIFS(Dataset!AK:AK,Dataset!F:F,'retorno absoluto'!$D$11,Dataset!AH:AH,"deposito",Dataset!T:T,"UF",Dataset!J:J,"&lt;"&amp;$D88,Dataset!J:J,"&gt;="&amp;$C88)</f>
        <v>0</v>
      </c>
      <c r="G88" s="83">
        <f>SUMIFS(Dataset!AK:AK,Dataset!F:F,'retorno absoluto'!$D$11,Dataset!AH:AH,"bono de gobierno",Dataset!T:T,"$",Dataset!J:J,"&lt;"&amp;$D88,Dataset!J:J,"&gt;="&amp;$C88)</f>
        <v>0</v>
      </c>
      <c r="H88" s="83">
        <f>SUMIFS(Dataset!AK:AK,Dataset!F:F,'retorno absoluto'!$D$11,Dataset!AH:AH,"bono de gobierno",Dataset!T:T,"UF",Dataset!J:J,"&lt;"&amp;$D88,Dataset!J:J,"&gt;="&amp;$C88)</f>
        <v>0</v>
      </c>
      <c r="I88" s="83">
        <f>SUMIFS(Dataset!AK:AK,Dataset!F:F,'retorno absoluto'!$D$11,Dataset!AH:AH,"bono de gobierno",Dataset!T:T,"eu",Dataset!J:J,"&lt;"&amp;$D88,Dataset!J:J,"&gt;="&amp;$C88)</f>
        <v>0</v>
      </c>
      <c r="J88" s="83">
        <f>SUMIFS(Dataset!AK:AK,Dataset!F:F,'retorno absoluto'!$D$11,Dataset!AH:AH,"bono de gobierno",Dataset!T:T,"mx",Dataset!J:J,"&lt;"&amp;$D88,Dataset!J:J,"&gt;="&amp;$C88)</f>
        <v>0</v>
      </c>
      <c r="K88" s="83">
        <f>SUMIFS(Dataset!AK:AK,Dataset!F:F,'retorno absoluto'!$D$11,Dataset!AH:AH,"bono de gobierno",Dataset!T:T,"rea",Dataset!J:J,"&lt;"&amp;$D88,Dataset!J:J,"&gt;="&amp;$C88)</f>
        <v>0</v>
      </c>
      <c r="L88" s="83">
        <f>SUMIFS(Dataset!AK:AK,Dataset!F:F,'retorno absoluto'!$D$11,Dataset!AH:AH,"bono de gobierno",Dataset!T:T,"sol",Dataset!J:J,"&lt;"&amp;$D88,Dataset!J:J,"&gt;="&amp;$C88)</f>
        <v>0</v>
      </c>
      <c r="M88" s="83">
        <f>SUMIFS(Dataset!AK:AK,Dataset!F:F,'retorno absoluto'!$D$11,Dataset!AH:AH,"bono corporativo",Dataset!T:T,"$",Dataset!J:J,"&lt;"&amp;$D88,Dataset!J:J,"&gt;="&amp;$C88)</f>
        <v>0</v>
      </c>
      <c r="N88" s="83">
        <f>SUMIFS(Dataset!AK:AK,Dataset!F:F,'retorno absoluto'!$D$11,Dataset!AH:AH,"bono corporativo",Dataset!T:T,"UF",Dataset!J:J,"&lt;"&amp;$D88,Dataset!J:J,"&gt;="&amp;$C88)</f>
        <v>0</v>
      </c>
      <c r="O88" s="83">
        <f>SUMIFS(Dataset!AK:AK,Dataset!F:F,'retorno absoluto'!$D$11,Dataset!J:J,"&lt;"&amp;$D88,Dataset!J:J,"&gt;="&amp;$C88,Dataset!AH:AH,"&lt;&gt;bono corporativo",Dataset!AH:AH,"&lt;&gt;bono de gobierno",Dataset!AH:AH,"&lt;&gt;deposito")</f>
        <v>0</v>
      </c>
      <c r="P88" s="84">
        <f t="shared" si="8"/>
        <v>0</v>
      </c>
      <c r="Q88" s="82">
        <f>SUMIFS(Dataset!AA:AA,Dataset!F:F,'retorno absoluto'!$D$11,Dataset!AH:AH,"deposito",Dataset!T:T,"$",Dataset!J:J,"&lt;"&amp;$D88,Dataset!J:J,"&gt;="&amp;$C88)</f>
        <v>0</v>
      </c>
      <c r="R88" s="83">
        <f>SUMIFS(Dataset!AA:AA,Dataset!F:F,'retorno absoluto'!$D$11,Dataset!AH:AH,"deposito",Dataset!T:T,"UF",Dataset!J:J,"&lt;"&amp;$D88,Dataset!J:J,"&gt;="&amp;$C88)</f>
        <v>0</v>
      </c>
      <c r="S88" s="83">
        <f>SUMIFS(Dataset!AA:AA,Dataset!F:F,'retorno absoluto'!$D$11,Dataset!AH:AH,"bono de gobierno",Dataset!T:T,"$",Dataset!J:J,"&lt;"&amp;$D88,Dataset!J:J,"&gt;="&amp;$C88)</f>
        <v>0</v>
      </c>
      <c r="T88" s="83">
        <f>SUMIFS(Dataset!AA:AA,Dataset!F:F,'retorno absoluto'!$D$11,Dataset!AH:AH,"bono de gobierno",Dataset!T:T,"UF",Dataset!J:J,"&lt;"&amp;$D88,Dataset!J:J,"&gt;="&amp;$C88)</f>
        <v>0</v>
      </c>
      <c r="U88" s="83">
        <f>SUMIFS(Dataset!AA:AA,Dataset!F:F,'retorno absoluto'!$D$11,Dataset!AH:AH,"bono de gobierno",Dataset!T:T,"EU",Dataset!J:J,"&lt;"&amp;$D88,Dataset!J:J,"&gt;="&amp;$C88)</f>
        <v>0</v>
      </c>
      <c r="V88" s="83">
        <f>SUMIFS(Dataset!AA:AA,Dataset!F:F,'retorno absoluto'!$D$11,Dataset!AH:AH,"bono de gobierno",Dataset!T:T,"MX",Dataset!J:J,"&lt;"&amp;$D88,Dataset!J:J,"&gt;="&amp;$C88)</f>
        <v>0</v>
      </c>
      <c r="W88" s="83">
        <f>SUMIFS(Dataset!AA:AA,Dataset!F:F,'retorno absoluto'!$D$11,Dataset!AH:AH,"bono de gobierno",Dataset!T:T,"REA",Dataset!J:J,"&lt;"&amp;$D88,Dataset!J:J,"&gt;="&amp;$C88)</f>
        <v>0</v>
      </c>
      <c r="X88" s="83">
        <f>SUMIFS(Dataset!AA:AA,Dataset!F:F,'retorno absoluto'!$D$11,Dataset!AH:AH,"bono de gobierno",Dataset!T:T,"sol",Dataset!J:J,"&lt;"&amp;$D88,Dataset!J:J,"&gt;="&amp;$C88)</f>
        <v>0</v>
      </c>
      <c r="Y88" s="83">
        <f>SUMIFS(Dataset!AA:AA,Dataset!F:F,'retorno absoluto'!$D$11,Dataset!AH:AH,"bono corporativo",Dataset!T:T,"$",Dataset!J:J,"&lt;"&amp;$D88,Dataset!J:J,"&gt;="&amp;$C88)</f>
        <v>0</v>
      </c>
      <c r="Z88" s="83">
        <f>SUMIFS(Dataset!AA:AA,Dataset!F:F,'retorno absoluto'!$D$11,Dataset!AH:AH,"bono corporativo",Dataset!T:T,"UF",Dataset!J:J,"&lt;"&amp;$D88,Dataset!J:J,"&gt;="&amp;$C88)</f>
        <v>0</v>
      </c>
      <c r="AA88" s="83">
        <f>SUMIFS(Dataset!AA:AA,Dataset!F:F,'retorno absoluto'!$D$11,Dataset!J:J,"&lt;"&amp;$D88,Dataset!J:J,"&gt;="&amp;$C88,Dataset!AH:AH,"&lt;&gt;bono corporativo",Dataset!AH:AH,"&lt;&gt;bono de gobierno",Dataset!AH:AH,"&lt;&gt;deposito")</f>
        <v>0</v>
      </c>
      <c r="AB88" s="84">
        <f t="shared" si="9"/>
        <v>0</v>
      </c>
      <c r="AC88" s="85">
        <f>SUMIFS(Dataset!H:H,Dataset!F:F,'retorno absoluto'!$D$11,Dataset!AH:AH,"deposito",Dataset!T:T,"$",Dataset!J:J,"&lt;"&amp;$D88,Dataset!J:J,"&gt;="&amp;$C88)*10</f>
        <v>0</v>
      </c>
      <c r="AD88" s="86">
        <f>SUMIFS(Dataset!H:H,Dataset!F:F,'retorno absoluto'!$D$11,Dataset!AH:AH,"deposito",Dataset!T:T,"UF",Dataset!J:J,"&lt;"&amp;$D88,Dataset!J:J,"&gt;="&amp;$C88)*10</f>
        <v>0</v>
      </c>
      <c r="AE88" s="86">
        <f>SUMIFS(Dataset!H:H,Dataset!F:F,'retorno absoluto'!$D$11,Dataset!AH:AH,"bono de gobierno",Dataset!T:T,"$",Dataset!J:J,"&lt;"&amp;$D88,Dataset!J:J,"&gt;="&amp;$C88)*10</f>
        <v>0</v>
      </c>
      <c r="AF88" s="86">
        <f>SUMIFS(Dataset!H:H,Dataset!F:F,'retorno absoluto'!$D$11,Dataset!AH:AH,"bono de gobierno",Dataset!T:T,"UF",Dataset!J:J,"&lt;"&amp;$D88,Dataset!J:J,"&gt;="&amp;$C88)*10</f>
        <v>0</v>
      </c>
      <c r="AG88" s="86">
        <f>SUMIFS(Dataset!H:H,Dataset!F:F,'retorno absoluto'!$D$11,Dataset!AH:AH,"bono de gobierno",Dataset!T:T,"EU",Dataset!J:J,"&lt;"&amp;$D88,Dataset!J:J,"&gt;="&amp;$C88)*10</f>
        <v>0</v>
      </c>
      <c r="AH88" s="86">
        <f>SUMIFS(Dataset!H:H,Dataset!F:F,'retorno absoluto'!$D$11,Dataset!AH:AH,"bono de gobierno",Dataset!T:T,"MX",Dataset!J:J,"&lt;"&amp;$D88,Dataset!J:J,"&gt;="&amp;$C88)*10</f>
        <v>0</v>
      </c>
      <c r="AI88" s="86">
        <f>SUMIFS(Dataset!H:H,Dataset!F:F,'retorno absoluto'!$D$11,Dataset!AH:AH,"bono de gobierno",Dataset!T:T,"REA",Dataset!J:J,"&lt;"&amp;$D88,Dataset!J:J,"&gt;="&amp;$C88)*10</f>
        <v>0</v>
      </c>
      <c r="AJ88" s="86">
        <f>SUMIFS(Dataset!H:H,Dataset!F:F,'retorno absoluto'!$D$11,Dataset!AH:AH,"bono de gobierno",Dataset!T:T,"sol",Dataset!J:J,"&lt;"&amp;$D88,Dataset!J:J,"&gt;="&amp;$C88)*10</f>
        <v>0</v>
      </c>
      <c r="AK88" s="86">
        <f>SUMIFS(Dataset!H:H,Dataset!F:F,'retorno absoluto'!$D$11,Dataset!AH:AH,"bono corporativo",Dataset!T:T,"$",Dataset!J:J,"&lt;"&amp;$D88,Dataset!J:J,"&gt;="&amp;$C88)*10</f>
        <v>0</v>
      </c>
      <c r="AL88" s="86">
        <f>SUMIFS(Dataset!H:H,Dataset!F:F,'retorno absoluto'!$D$11,Dataset!AH:AH,"bono corporativo",Dataset!T:T,"UF",Dataset!J:J,"&lt;"&amp;$D88,Dataset!J:J,"&gt;="&amp;$C88)*10</f>
        <v>0</v>
      </c>
      <c r="AM88" s="86">
        <f>SUMIFS(Dataset!H:H,Dataset!F:F,'retorno absoluto'!$D$11,Dataset!J:J,"&lt;"&amp;$D88,Dataset!J:J,"&gt;="&amp;$C88,Dataset!AH:AH,"&lt;&gt;bono corporativo",Dataset!AH:AH,"&lt;&gt;bono de gobierno",Dataset!AH:AH,"&lt;&gt;deposito")*10</f>
        <v>0</v>
      </c>
      <c r="AN88" s="87">
        <f t="shared" si="10"/>
        <v>0</v>
      </c>
    </row>
    <row r="89" spans="3:40" ht="27" customHeight="1" x14ac:dyDescent="0.3">
      <c r="C89" s="61">
        <v>14.5</v>
      </c>
      <c r="D89" s="81">
        <v>100</v>
      </c>
      <c r="E89" s="88">
        <f>SUMIFS(Dataset!AK:AK,Dataset!F:F,'retorno absoluto'!$D$11,Dataset!AH:AH,"deposito",Dataset!T:T,"$",Dataset!J:J,"&lt;"&amp;$D89,Dataset!J:J,"&gt;="&amp;$C89)</f>
        <v>0</v>
      </c>
      <c r="F89" s="89">
        <f>SUMIFS(Dataset!AK:AK,Dataset!F:F,'retorno absoluto'!$D$11,Dataset!AH:AH,"deposito",Dataset!T:T,"UF",Dataset!J:J,"&lt;"&amp;$D89,Dataset!J:J,"&gt;="&amp;$C89)</f>
        <v>0</v>
      </c>
      <c r="G89" s="89">
        <f>SUMIFS(Dataset!AK:AK,Dataset!F:F,'retorno absoluto'!$D$11,Dataset!AH:AH,"bono de gobierno",Dataset!T:T,"$",Dataset!J:J,"&lt;"&amp;$D89,Dataset!J:J,"&gt;="&amp;$C89)</f>
        <v>0</v>
      </c>
      <c r="H89" s="89">
        <f>SUMIFS(Dataset!AK:AK,Dataset!F:F,'retorno absoluto'!$D$11,Dataset!AH:AH,"bono de gobierno",Dataset!T:T,"UF",Dataset!J:J,"&lt;"&amp;$D89,Dataset!J:J,"&gt;="&amp;$C89)</f>
        <v>1.8240565221309797E-2</v>
      </c>
      <c r="I89" s="89">
        <f>SUMIFS(Dataset!AK:AK,Dataset!F:F,'retorno absoluto'!$D$11,Dataset!AH:AH,"bono de gobierno",Dataset!T:T,"eu",Dataset!J:J,"&lt;"&amp;$D89,Dataset!J:J,"&gt;="&amp;$C89)</f>
        <v>0</v>
      </c>
      <c r="J89" s="89">
        <f>SUMIFS(Dataset!AK:AK,Dataset!F:F,'retorno absoluto'!$D$11,Dataset!AH:AH,"bono de gobierno",Dataset!T:T,"mx",Dataset!J:J,"&lt;"&amp;$D89,Dataset!J:J,"&gt;="&amp;$C89)</f>
        <v>0</v>
      </c>
      <c r="K89" s="89">
        <f>SUMIFS(Dataset!AK:AK,Dataset!F:F,'retorno absoluto'!$D$11,Dataset!AH:AH,"bono de gobierno",Dataset!T:T,"rea",Dataset!J:J,"&lt;"&amp;$D89,Dataset!J:J,"&gt;="&amp;$C89)</f>
        <v>0</v>
      </c>
      <c r="L89" s="89">
        <f>SUMIFS(Dataset!AK:AK,Dataset!F:F,'retorno absoluto'!$D$11,Dataset!AH:AH,"bono de gobierno",Dataset!T:T,"sol",Dataset!J:J,"&lt;"&amp;$D89,Dataset!J:J,"&gt;="&amp;$C89)</f>
        <v>0</v>
      </c>
      <c r="M89" s="89">
        <f>SUMIFS(Dataset!AK:AK,Dataset!F:F,'retorno absoluto'!$D$11,Dataset!AH:AH,"bono corporativo",Dataset!T:T,"$",Dataset!J:J,"&lt;"&amp;$D89,Dataset!J:J,"&gt;="&amp;$C89)</f>
        <v>0</v>
      </c>
      <c r="N89" s="89">
        <f>SUMIFS(Dataset!AK:AK,Dataset!F:F,'retorno absoluto'!$D$11,Dataset!AH:AH,"bono corporativo",Dataset!T:T,"UF",Dataset!J:J,"&lt;"&amp;$D89,Dataset!J:J,"&gt;="&amp;$C89)</f>
        <v>0</v>
      </c>
      <c r="O89" s="89">
        <f>SUMIFS(Dataset!AK:AK,Dataset!F:F,'retorno absoluto'!$D$11,Dataset!J:J,"&lt;"&amp;$D89,Dataset!J:J,"&gt;="&amp;$C89,Dataset!AH:AH,"&lt;&gt;bono corporativo",Dataset!AH:AH,"&lt;&gt;bono de gobierno",Dataset!AH:AH,"&lt;&gt;deposito")</f>
        <v>0</v>
      </c>
      <c r="P89" s="90">
        <f t="shared" si="8"/>
        <v>1.8240565221309797E-2</v>
      </c>
      <c r="Q89" s="88">
        <f>SUMIFS(Dataset!AA:AA,Dataset!F:F,'retorno absoluto'!$D$11,Dataset!AH:AH,"deposito",Dataset!T:T,"$",Dataset!J:J,"&lt;"&amp;$D89,Dataset!J:J,"&gt;="&amp;$C89)</f>
        <v>0</v>
      </c>
      <c r="R89" s="89">
        <f>SUMIFS(Dataset!AA:AA,Dataset!F:F,'retorno absoluto'!$D$11,Dataset!AH:AH,"deposito",Dataset!T:T,"UF",Dataset!J:J,"&lt;"&amp;$D89,Dataset!J:J,"&gt;="&amp;$C89)</f>
        <v>0</v>
      </c>
      <c r="S89" s="89">
        <f>SUMIFS(Dataset!AA:AA,Dataset!F:F,'retorno absoluto'!$D$11,Dataset!AH:AH,"bono de gobierno",Dataset!T:T,"$",Dataset!J:J,"&lt;"&amp;$D89,Dataset!J:J,"&gt;="&amp;$C89)</f>
        <v>0</v>
      </c>
      <c r="T89" s="89">
        <f>SUMIFS(Dataset!AA:AA,Dataset!F:F,'retorno absoluto'!$D$11,Dataset!AH:AH,"bono de gobierno",Dataset!T:T,"UF",Dataset!J:J,"&lt;"&amp;$D89,Dataset!J:J,"&gt;="&amp;$C89)</f>
        <v>0.1382773016617985</v>
      </c>
      <c r="U89" s="89">
        <f>SUMIFS(Dataset!AA:AA,Dataset!F:F,'retorno absoluto'!$D$11,Dataset!AH:AH,"bono de gobierno",Dataset!T:T,"EU",Dataset!J:J,"&lt;"&amp;$D89,Dataset!J:J,"&gt;="&amp;$C89)</f>
        <v>0</v>
      </c>
      <c r="V89" s="89">
        <f>SUMIFS(Dataset!AA:AA,Dataset!F:F,'retorno absoluto'!$D$11,Dataset!AH:AH,"bono de gobierno",Dataset!T:T,"MX",Dataset!J:J,"&lt;"&amp;$D89,Dataset!J:J,"&gt;="&amp;$C89)</f>
        <v>0</v>
      </c>
      <c r="W89" s="89">
        <f>SUMIFS(Dataset!AA:AA,Dataset!F:F,'retorno absoluto'!$D$11,Dataset!AH:AH,"bono de gobierno",Dataset!T:T,"REA",Dataset!J:J,"&lt;"&amp;$D89,Dataset!J:J,"&gt;="&amp;$C89)</f>
        <v>0</v>
      </c>
      <c r="X89" s="89">
        <f>SUMIFS(Dataset!AA:AA,Dataset!F:F,'retorno absoluto'!$D$11,Dataset!AH:AH,"bono de gobierno",Dataset!T:T,"sol",Dataset!J:J,"&lt;"&amp;$D89,Dataset!J:J,"&gt;="&amp;$C89)</f>
        <v>0</v>
      </c>
      <c r="Y89" s="89">
        <f>SUMIFS(Dataset!AA:AA,Dataset!F:F,'retorno absoluto'!$D$11,Dataset!AH:AH,"bono corporativo",Dataset!T:T,"$",Dataset!J:J,"&lt;"&amp;$D89,Dataset!J:J,"&gt;="&amp;$C89)</f>
        <v>0</v>
      </c>
      <c r="Z89" s="89">
        <f>SUMIFS(Dataset!AA:AA,Dataset!F:F,'retorno absoluto'!$D$11,Dataset!AH:AH,"bono corporativo",Dataset!T:T,"UF",Dataset!J:J,"&lt;"&amp;$D89,Dataset!J:J,"&gt;="&amp;$C89)</f>
        <v>0</v>
      </c>
      <c r="AA89" s="89">
        <f>SUMIFS(Dataset!AA:AA,Dataset!F:F,'retorno absoluto'!$D$11,Dataset!J:J,"&lt;"&amp;$D89,Dataset!J:J,"&gt;="&amp;$C89,Dataset!AH:AH,"&lt;&gt;bono corporativo",Dataset!AH:AH,"&lt;&gt;bono de gobierno",Dataset!AH:AH,"&lt;&gt;deposito")</f>
        <v>0</v>
      </c>
      <c r="AB89" s="90">
        <f t="shared" si="9"/>
        <v>0.1382773016617985</v>
      </c>
      <c r="AC89" s="91">
        <f>SUMIFS(Dataset!H:H,Dataset!F:F,'retorno absoluto'!$D$11,Dataset!AH:AH,"deposito",Dataset!T:T,"$",Dataset!J:J,"&lt;"&amp;$D89,Dataset!J:J,"&gt;="&amp;$C89)*10</f>
        <v>0</v>
      </c>
      <c r="AD89" s="92">
        <f>SUMIFS(Dataset!H:H,Dataset!F:F,'retorno absoluto'!$D$11,Dataset!AH:AH,"deposito",Dataset!T:T,"UF",Dataset!J:J,"&lt;"&amp;$D89,Dataset!J:J,"&gt;="&amp;$C89)*10</f>
        <v>0</v>
      </c>
      <c r="AE89" s="92">
        <f>SUMIFS(Dataset!H:H,Dataset!F:F,'retorno absoluto'!$D$11,Dataset!AH:AH,"bono de gobierno",Dataset!T:T,"$",Dataset!J:J,"&lt;"&amp;$D89,Dataset!J:J,"&gt;="&amp;$C89)*10</f>
        <v>0</v>
      </c>
      <c r="AF89" s="92">
        <f>SUMIFS(Dataset!H:H,Dataset!F:F,'retorno absoluto'!$D$11,Dataset!AH:AH,"bono de gobierno",Dataset!T:T,"UF",Dataset!J:J,"&lt;"&amp;$D89,Dataset!J:J,"&gt;="&amp;$C89)*10</f>
        <v>2.6704187483997543</v>
      </c>
      <c r="AG89" s="92">
        <f>SUMIFS(Dataset!H:H,Dataset!F:F,'retorno absoluto'!$D$11,Dataset!AH:AH,"bono de gobierno",Dataset!T:T,"EU",Dataset!J:J,"&lt;"&amp;$D89,Dataset!J:J,"&gt;="&amp;$C89)*10</f>
        <v>0</v>
      </c>
      <c r="AH89" s="92">
        <f>SUMIFS(Dataset!H:H,Dataset!F:F,'retorno absoluto'!$D$11,Dataset!AH:AH,"bono de gobierno",Dataset!T:T,"MX",Dataset!J:J,"&lt;"&amp;$D89,Dataset!J:J,"&gt;="&amp;$C89)*10</f>
        <v>0</v>
      </c>
      <c r="AI89" s="92">
        <f>SUMIFS(Dataset!H:H,Dataset!F:F,'retorno absoluto'!$D$11,Dataset!AH:AH,"bono de gobierno",Dataset!T:T,"REA",Dataset!J:J,"&lt;"&amp;$D89,Dataset!J:J,"&gt;="&amp;$C89)*10</f>
        <v>0</v>
      </c>
      <c r="AJ89" s="92">
        <f>SUMIFS(Dataset!H:H,Dataset!F:F,'retorno absoluto'!$D$11,Dataset!AH:AH,"bono de gobierno",Dataset!T:T,"sol",Dataset!J:J,"&lt;"&amp;$D89,Dataset!J:J,"&gt;="&amp;$C89)*10</f>
        <v>0</v>
      </c>
      <c r="AK89" s="92">
        <f>SUMIFS(Dataset!H:H,Dataset!F:F,'retorno absoluto'!$D$11,Dataset!AH:AH,"bono corporativo",Dataset!T:T,"$",Dataset!J:J,"&lt;"&amp;$D89,Dataset!J:J,"&gt;="&amp;$C89)*10</f>
        <v>0</v>
      </c>
      <c r="AL89" s="92">
        <f>SUMIFS(Dataset!H:H,Dataset!F:F,'retorno absoluto'!$D$11,Dataset!AH:AH,"bono corporativo",Dataset!T:T,"UF",Dataset!J:J,"&lt;"&amp;$D89,Dataset!J:J,"&gt;="&amp;$C89)*10</f>
        <v>0</v>
      </c>
      <c r="AM89" s="92">
        <f>SUMIFS(Dataset!H:H,Dataset!F:F,'retorno absoluto'!$D$11,Dataset!J:J,"&lt;"&amp;$D89,Dataset!J:J,"&gt;="&amp;$C89,Dataset!AH:AH,"&lt;&gt;bono corporativo",Dataset!AH:AH,"&lt;&gt;bono de gobierno",Dataset!AH:AH,"&lt;&gt;deposito")*10</f>
        <v>0</v>
      </c>
      <c r="AN89" s="93">
        <f t="shared" si="10"/>
        <v>2.6704187483997543</v>
      </c>
    </row>
    <row r="90" spans="3:40" ht="39" customHeight="1" x14ac:dyDescent="0.3">
      <c r="C90" s="175" t="s">
        <v>84</v>
      </c>
      <c r="D90" s="176"/>
      <c r="E90" s="83">
        <f t="shared" ref="E90:O90" si="11">SUM(E74:E89)</f>
        <v>0.24146291649612595</v>
      </c>
      <c r="F90" s="83">
        <f t="shared" si="11"/>
        <v>1.4063961953218742E-2</v>
      </c>
      <c r="G90" s="83">
        <f t="shared" si="11"/>
        <v>0.52798730778220493</v>
      </c>
      <c r="H90" s="83">
        <f t="shared" si="11"/>
        <v>0.20648111723491458</v>
      </c>
      <c r="I90" s="83">
        <f t="shared" si="11"/>
        <v>0</v>
      </c>
      <c r="J90" s="83">
        <f t="shared" si="11"/>
        <v>0</v>
      </c>
      <c r="K90" s="83">
        <f t="shared" si="11"/>
        <v>0</v>
      </c>
      <c r="L90" s="83">
        <f t="shared" si="11"/>
        <v>0</v>
      </c>
      <c r="M90" s="83">
        <f t="shared" si="11"/>
        <v>0</v>
      </c>
      <c r="N90" s="83">
        <f t="shared" si="11"/>
        <v>0</v>
      </c>
      <c r="O90" s="83">
        <f t="shared" si="11"/>
        <v>1.000469653353585E-2</v>
      </c>
      <c r="P90" s="84">
        <f t="shared" si="8"/>
        <v>1</v>
      </c>
      <c r="Q90" s="83">
        <f t="shared" ref="Q90:AA90" si="12">SUM(Q74:Q89)</f>
        <v>1.1576954724032093E-2</v>
      </c>
      <c r="R90" s="83">
        <f t="shared" si="12"/>
        <v>-2.3023911062622082E-3</v>
      </c>
      <c r="S90" s="83">
        <f t="shared" si="12"/>
        <v>0.54119231640550414</v>
      </c>
      <c r="T90" s="83">
        <f t="shared" si="12"/>
        <v>0.45059252687759854</v>
      </c>
      <c r="U90" s="83">
        <f t="shared" si="12"/>
        <v>0</v>
      </c>
      <c r="V90" s="83">
        <f t="shared" si="12"/>
        <v>0</v>
      </c>
      <c r="W90" s="83">
        <f t="shared" si="12"/>
        <v>0</v>
      </c>
      <c r="X90" s="83">
        <f t="shared" si="12"/>
        <v>0</v>
      </c>
      <c r="Y90" s="83">
        <f t="shared" si="12"/>
        <v>0</v>
      </c>
      <c r="Z90" s="83">
        <f t="shared" si="12"/>
        <v>0</v>
      </c>
      <c r="AA90" s="83">
        <f t="shared" si="12"/>
        <v>-1.0594069008727847E-3</v>
      </c>
      <c r="AB90" s="84">
        <f t="shared" si="9"/>
        <v>0.99999999999999989</v>
      </c>
      <c r="AC90" s="86">
        <f t="shared" ref="AC90:AM90" si="13">SUM(AC74:AC89)</f>
        <v>0.7587005265410105</v>
      </c>
      <c r="AD90" s="86">
        <f t="shared" si="13"/>
        <v>3.2347112492403109E-2</v>
      </c>
      <c r="AE90" s="86">
        <f t="shared" si="13"/>
        <v>19.894708992127242</v>
      </c>
      <c r="AF90" s="86">
        <f t="shared" si="13"/>
        <v>11.565655263050143</v>
      </c>
      <c r="AG90" s="86">
        <f t="shared" si="13"/>
        <v>0</v>
      </c>
      <c r="AH90" s="86">
        <f t="shared" si="13"/>
        <v>0</v>
      </c>
      <c r="AI90" s="86">
        <f t="shared" si="13"/>
        <v>0</v>
      </c>
      <c r="AJ90" s="86">
        <f t="shared" si="13"/>
        <v>0</v>
      </c>
      <c r="AK90" s="86">
        <f t="shared" si="13"/>
        <v>0</v>
      </c>
      <c r="AL90" s="86">
        <f t="shared" si="13"/>
        <v>0</v>
      </c>
      <c r="AM90" s="86">
        <f t="shared" si="13"/>
        <v>0</v>
      </c>
      <c r="AN90" s="87">
        <f t="shared" si="10"/>
        <v>32.251411894210804</v>
      </c>
    </row>
    <row r="91" spans="3:40" ht="40.5" customHeight="1" x14ac:dyDescent="0.3"/>
    <row r="92" spans="3:40" ht="40.5" customHeight="1" x14ac:dyDescent="0.3">
      <c r="AD92" s="174" t="s">
        <v>274</v>
      </c>
      <c r="AE92" s="174"/>
      <c r="AF92" s="174"/>
      <c r="AG92" s="174"/>
      <c r="AH92" s="174"/>
      <c r="AI92" s="174"/>
      <c r="AJ92" s="174"/>
      <c r="AK92" s="174"/>
    </row>
    <row r="93" spans="3:40" ht="40.5" customHeight="1" x14ac:dyDescent="0.3">
      <c r="AD93" s="69"/>
    </row>
    <row r="94" spans="3:40" ht="40.5" customHeight="1" x14ac:dyDescent="0.3">
      <c r="AD94" s="180" t="s">
        <v>72</v>
      </c>
      <c r="AE94" s="181"/>
      <c r="AF94" s="94" t="s">
        <v>76</v>
      </c>
      <c r="AG94" s="94" t="s">
        <v>77</v>
      </c>
      <c r="AH94" s="94" t="s">
        <v>90</v>
      </c>
      <c r="AI94" s="94" t="s">
        <v>113</v>
      </c>
      <c r="AJ94" s="94" t="s">
        <v>114</v>
      </c>
      <c r="AK94" s="94"/>
    </row>
    <row r="95" spans="3:40" ht="31.5" customHeight="1" x14ac:dyDescent="0.3">
      <c r="AD95" s="72">
        <v>0</v>
      </c>
      <c r="AE95" s="97">
        <v>15</v>
      </c>
      <c r="AF95" s="98">
        <f>SUMIFS(Dataset!AJ:AJ,Dataset!F:F,'retorno absoluto'!$D$11,Dataset!AH:AH,"deposito",Dataset!T:T,"$",Dataset!J:J,"&lt;"&amp;$AE95/365,Dataset!J:J,"&gt;="&amp;$AD95/365)</f>
        <v>4.260558030816728E-2</v>
      </c>
      <c r="AG95" s="98">
        <f>SUMIFS(Dataset!AJ:AJ,Dataset!F:F,'retorno absoluto'!$D$11,Dataset!AH:AH,"deposito",Dataset!T:T,"uf",Dataset!J:J,"&lt;"&amp;$AE95/365,Dataset!J:J,"&gt;="&amp;$AD95/365)</f>
        <v>0</v>
      </c>
      <c r="AH95" s="98">
        <f>SUMIFS(Dataset!AJ:AJ,Dataset!F:F,'retorno absoluto'!$D$11,Dataset!AH:AH,"deposito",Dataset!T:T,"us$",Dataset!J:J,"&lt;"&amp;$AE95/365,Dataset!J:J,"&gt;="&amp;$AD95/365)</f>
        <v>0</v>
      </c>
      <c r="AI95" s="98">
        <f>SUMIFS(Dataset!AJ:AJ,Dataset!F:F,'retorno absoluto'!$D$11,Dataset!AH:AH,"factura",Dataset!J:J,"&lt;"&amp;$AE95/365,Dataset!J:J,"&gt;="&amp;$AD95/365)</f>
        <v>0</v>
      </c>
      <c r="AJ95" s="99">
        <f>SUMIFS(Dataset!AJ:AJ,Dataset!F:F,'retorno absoluto'!$D$11,Dataset!AH:AH,"letra hipotecaria",Dataset!J:J,"&lt;"&amp;$AE95/365,Dataset!J:J,"&gt;="&amp;$AD95/365)</f>
        <v>0</v>
      </c>
      <c r="AK95" s="84">
        <f>SUM(AF95:AJ95)</f>
        <v>4.260558030816728E-2</v>
      </c>
    </row>
    <row r="96" spans="3:40" ht="31.5" customHeight="1" x14ac:dyDescent="0.3">
      <c r="AD96" s="61">
        <v>15</v>
      </c>
      <c r="AE96" s="100">
        <v>30</v>
      </c>
      <c r="AF96" s="101">
        <f>SUMIFS(Dataset!AJ:AJ,Dataset!F:F,'retorno absoluto'!$D$11,Dataset!AH:AH,"deposito",Dataset!T:T,"$",Dataset!J:J,"&lt;"&amp;$AE96/365,Dataset!J:J,"&gt;="&amp;$AD96/365)</f>
        <v>0</v>
      </c>
      <c r="AG96" s="101">
        <f>SUMIFS(Dataset!AJ:AJ,Dataset!F:F,'retorno absoluto'!$D$11,Dataset!AH:AH,"deposito",Dataset!T:T,"uf",Dataset!J:J,"&lt;"&amp;$AE96/365,Dataset!J:J,"&gt;="&amp;$AD96/365)</f>
        <v>0</v>
      </c>
      <c r="AH96" s="101">
        <f>SUMIFS(Dataset!AJ:AJ,Dataset!F:F,'retorno absoluto'!$D$11,Dataset!AH:AH,"deposito",Dataset!T:T,"us$",Dataset!J:J,"&lt;"&amp;$AE96/365,Dataset!J:J,"&gt;="&amp;$AD96/365)</f>
        <v>0</v>
      </c>
      <c r="AI96" s="101">
        <f>SUMIFS(Dataset!AJ:AJ,Dataset!F:F,'retorno absoluto'!$D$11,Dataset!AH:AH,"factura",Dataset!J:J,"&lt;"&amp;$AE96/365,Dataset!J:J,"&gt;="&amp;$AD96/365)</f>
        <v>0</v>
      </c>
      <c r="AJ96" s="102">
        <f>SUMIFS(Dataset!AJ:AJ,Dataset!F:F,'retorno absoluto'!$D$11,Dataset!AH:AH,"letra hipotecaria",Dataset!J:J,"&lt;"&amp;$AE96/365,Dataset!J:J,"&gt;="&amp;$AD96/365)</f>
        <v>0</v>
      </c>
      <c r="AK96" s="84">
        <f t="shared" ref="AK96:AK122" si="14">SUM(AF96:AJ96)</f>
        <v>0</v>
      </c>
    </row>
    <row r="97" spans="30:37" ht="31.5" customHeight="1" x14ac:dyDescent="0.3">
      <c r="AD97" s="61">
        <v>30</v>
      </c>
      <c r="AE97" s="100">
        <v>45</v>
      </c>
      <c r="AF97" s="101">
        <f>SUMIFS(Dataset!AJ:AJ,Dataset!F:F,'retorno absoluto'!$D$11,Dataset!AH:AH,"deposito",Dataset!T:T,"$",Dataset!J:J,"&lt;"&amp;$AE97/365,Dataset!J:J,"&gt;="&amp;$AD97/365)</f>
        <v>0</v>
      </c>
      <c r="AG97" s="101">
        <f>SUMIFS(Dataset!AJ:AJ,Dataset!F:F,'retorno absoluto'!$D$11,Dataset!AH:AH,"deposito",Dataset!T:T,"uf",Dataset!J:J,"&lt;"&amp;$AE97/365,Dataset!J:J,"&gt;="&amp;$AD97/365)</f>
        <v>0</v>
      </c>
      <c r="AH97" s="101">
        <f>SUMIFS(Dataset!AJ:AJ,Dataset!F:F,'retorno absoluto'!$D$11,Dataset!AH:AH,"deposito",Dataset!T:T,"us$",Dataset!J:J,"&lt;"&amp;$AE97/365,Dataset!J:J,"&gt;="&amp;$AD97/365)</f>
        <v>0</v>
      </c>
      <c r="AI97" s="101">
        <f>SUMIFS(Dataset!AJ:AJ,Dataset!F:F,'retorno absoluto'!$D$11,Dataset!AH:AH,"factura",Dataset!J:J,"&lt;"&amp;$AE97/365,Dataset!J:J,"&gt;="&amp;$AD97/365)</f>
        <v>0</v>
      </c>
      <c r="AJ97" s="102">
        <f>SUMIFS(Dataset!AJ:AJ,Dataset!F:F,'retorno absoluto'!$D$11,Dataset!AH:AH,"letra hipotecaria",Dataset!J:J,"&lt;"&amp;$AE97/365,Dataset!J:J,"&gt;="&amp;$AD97/365)</f>
        <v>0</v>
      </c>
      <c r="AK97" s="84">
        <f t="shared" si="14"/>
        <v>0</v>
      </c>
    </row>
    <row r="98" spans="30:37" ht="31.5" customHeight="1" x14ac:dyDescent="0.3">
      <c r="AD98" s="61">
        <v>45</v>
      </c>
      <c r="AE98" s="100">
        <v>60</v>
      </c>
      <c r="AF98" s="101">
        <f>SUMIFS(Dataset!AJ:AJ,Dataset!F:F,'retorno absoluto'!$D$11,Dataset!AH:AH,"deposito",Dataset!T:T,"$",Dataset!J:J,"&lt;"&amp;$AE98/365,Dataset!J:J,"&gt;="&amp;$AD98/365)</f>
        <v>0</v>
      </c>
      <c r="AG98" s="101">
        <f>SUMIFS(Dataset!AJ:AJ,Dataset!F:F,'retorno absoluto'!$D$11,Dataset!AH:AH,"deposito",Dataset!T:T,"uf",Dataset!J:J,"&lt;"&amp;$AE98/365,Dataset!J:J,"&gt;="&amp;$AD98/365)</f>
        <v>0</v>
      </c>
      <c r="AH98" s="101">
        <f>SUMIFS(Dataset!AJ:AJ,Dataset!F:F,'retorno absoluto'!$D$11,Dataset!AH:AH,"deposito",Dataset!T:T,"us$",Dataset!J:J,"&lt;"&amp;$AE98/365,Dataset!J:J,"&gt;="&amp;$AD98/365)</f>
        <v>0</v>
      </c>
      <c r="AI98" s="101">
        <f>SUMIFS(Dataset!AJ:AJ,Dataset!F:F,'retorno absoluto'!$D$11,Dataset!AH:AH,"factura",Dataset!J:J,"&lt;"&amp;$AE98/365,Dataset!J:J,"&gt;="&amp;$AD98/365)</f>
        <v>0</v>
      </c>
      <c r="AJ98" s="102">
        <f>SUMIFS(Dataset!AJ:AJ,Dataset!F:F,'retorno absoluto'!$D$11,Dataset!AH:AH,"letra hipotecaria",Dataset!J:J,"&lt;"&amp;$AE98/365,Dataset!J:J,"&gt;="&amp;$AD98/365)</f>
        <v>0</v>
      </c>
      <c r="AK98" s="84">
        <f t="shared" si="14"/>
        <v>0</v>
      </c>
    </row>
    <row r="99" spans="30:37" ht="31.5" customHeight="1" x14ac:dyDescent="0.3">
      <c r="AD99" s="61">
        <v>60</v>
      </c>
      <c r="AE99" s="100">
        <v>75</v>
      </c>
      <c r="AF99" s="101">
        <f>SUMIFS(Dataset!AJ:AJ,Dataset!F:F,'retorno absoluto'!$D$11,Dataset!AH:AH,"deposito",Dataset!T:T,"$",Dataset!J:J,"&lt;"&amp;$AE99/365,Dataset!J:J,"&gt;="&amp;$AD99/365)</f>
        <v>0</v>
      </c>
      <c r="AG99" s="101">
        <f>SUMIFS(Dataset!AJ:AJ,Dataset!F:F,'retorno absoluto'!$D$11,Dataset!AH:AH,"deposito",Dataset!T:T,"uf",Dataset!J:J,"&lt;"&amp;$AE99/365,Dataset!J:J,"&gt;="&amp;$AD99/365)</f>
        <v>0</v>
      </c>
      <c r="AH99" s="101">
        <f>SUMIFS(Dataset!AJ:AJ,Dataset!F:F,'retorno absoluto'!$D$11,Dataset!AH:AH,"deposito",Dataset!T:T,"us$",Dataset!J:J,"&lt;"&amp;$AE99/365,Dataset!J:J,"&gt;="&amp;$AD99/365)</f>
        <v>0</v>
      </c>
      <c r="AI99" s="101">
        <f>SUMIFS(Dataset!AJ:AJ,Dataset!F:F,'retorno absoluto'!$D$11,Dataset!AH:AH,"factura",Dataset!J:J,"&lt;"&amp;$AE99/365,Dataset!J:J,"&gt;="&amp;$AD99/365)</f>
        <v>0</v>
      </c>
      <c r="AJ99" s="102">
        <f>SUMIFS(Dataset!AJ:AJ,Dataset!F:F,'retorno absoluto'!$D$11,Dataset!AH:AH,"letra hipotecaria",Dataset!J:J,"&lt;"&amp;$AE99/365,Dataset!J:J,"&gt;="&amp;$AD99/365)</f>
        <v>0</v>
      </c>
      <c r="AK99" s="84">
        <f t="shared" si="14"/>
        <v>0</v>
      </c>
    </row>
    <row r="100" spans="30:37" ht="31.5" customHeight="1" x14ac:dyDescent="0.3">
      <c r="AD100" s="61">
        <v>75</v>
      </c>
      <c r="AE100" s="100">
        <v>90</v>
      </c>
      <c r="AF100" s="101">
        <f>SUMIFS(Dataset!AJ:AJ,Dataset!F:F,'retorno absoluto'!$D$11,Dataset!AH:AH,"deposito",Dataset!T:T,"$",Dataset!J:J,"&lt;"&amp;$AE100/365,Dataset!J:J,"&gt;="&amp;$AD100/365)</f>
        <v>3.6798362604261246E-2</v>
      </c>
      <c r="AG100" s="101">
        <f>SUMIFS(Dataset!AJ:AJ,Dataset!F:F,'retorno absoluto'!$D$11,Dataset!AH:AH,"deposito",Dataset!T:T,"uf",Dataset!J:J,"&lt;"&amp;$AE100/365,Dataset!J:J,"&gt;="&amp;$AD100/365)</f>
        <v>1.4063961953218742E-2</v>
      </c>
      <c r="AH100" s="101">
        <f>SUMIFS(Dataset!AJ:AJ,Dataset!F:F,'retorno absoluto'!$D$11,Dataset!AH:AH,"deposito",Dataset!T:T,"us$",Dataset!J:J,"&lt;"&amp;$AE100/365,Dataset!J:J,"&gt;="&amp;$AD100/365)</f>
        <v>0</v>
      </c>
      <c r="AI100" s="101">
        <f>SUMIFS(Dataset!AJ:AJ,Dataset!F:F,'retorno absoluto'!$D$11,Dataset!AH:AH,"factura",Dataset!J:J,"&lt;"&amp;$AE100/365,Dataset!J:J,"&gt;="&amp;$AD100/365)</f>
        <v>0</v>
      </c>
      <c r="AJ100" s="102">
        <f>SUMIFS(Dataset!AJ:AJ,Dataset!F:F,'retorno absoluto'!$D$11,Dataset!AH:AH,"letra hipotecaria",Dataset!J:J,"&lt;"&amp;$AE100/365,Dataset!J:J,"&gt;="&amp;$AD100/365)</f>
        <v>0</v>
      </c>
      <c r="AK100" s="84">
        <f t="shared" si="14"/>
        <v>5.0862324557479986E-2</v>
      </c>
    </row>
    <row r="101" spans="30:37" ht="31.5" customHeight="1" x14ac:dyDescent="0.3">
      <c r="AD101" s="61">
        <v>90</v>
      </c>
      <c r="AE101" s="100">
        <v>105</v>
      </c>
      <c r="AF101" s="101">
        <f>SUMIFS(Dataset!AJ:AJ,Dataset!F:F,'retorno absoluto'!$D$11,Dataset!AH:AH,"deposito",Dataset!T:T,"$",Dataset!J:J,"&lt;"&amp;$AE101/365,Dataset!J:J,"&gt;="&amp;$AD101/365)</f>
        <v>0</v>
      </c>
      <c r="AG101" s="101">
        <f>SUMIFS(Dataset!AJ:AJ,Dataset!F:F,'retorno absoluto'!$D$11,Dataset!AH:AH,"deposito",Dataset!T:T,"uf",Dataset!J:J,"&lt;"&amp;$AE101/365,Dataset!J:J,"&gt;="&amp;$AD101/365)</f>
        <v>0</v>
      </c>
      <c r="AH101" s="101">
        <f>SUMIFS(Dataset!AJ:AJ,Dataset!F:F,'retorno absoluto'!$D$11,Dataset!AH:AH,"deposito",Dataset!T:T,"us$",Dataset!J:J,"&lt;"&amp;$AE101/365,Dataset!J:J,"&gt;="&amp;$AD101/365)</f>
        <v>0</v>
      </c>
      <c r="AI101" s="101">
        <f>SUMIFS(Dataset!AJ:AJ,Dataset!F:F,'retorno absoluto'!$D$11,Dataset!AH:AH,"factura",Dataset!J:J,"&lt;"&amp;$AE101/365,Dataset!J:J,"&gt;="&amp;$AD101/365)</f>
        <v>0</v>
      </c>
      <c r="AJ101" s="102">
        <f>SUMIFS(Dataset!AJ:AJ,Dataset!F:F,'retorno absoluto'!$D$11,Dataset!AH:AH,"letra hipotecaria",Dataset!J:J,"&lt;"&amp;$AE101/365,Dataset!J:J,"&gt;="&amp;$AD101/365)</f>
        <v>0</v>
      </c>
      <c r="AK101" s="84">
        <f t="shared" si="14"/>
        <v>0</v>
      </c>
    </row>
    <row r="102" spans="30:37" ht="31.5" customHeight="1" x14ac:dyDescent="0.3">
      <c r="AD102" s="61">
        <v>105</v>
      </c>
      <c r="AE102" s="100">
        <v>120</v>
      </c>
      <c r="AF102" s="101">
        <f>SUMIFS(Dataset!AJ:AJ,Dataset!F:F,'retorno absoluto'!$D$11,Dataset!AH:AH,"deposito",Dataset!T:T,"$",Dataset!J:J,"&lt;"&amp;$AE102/365,Dataset!J:J,"&gt;="&amp;$AD102/365)</f>
        <v>0</v>
      </c>
      <c r="AG102" s="101">
        <f>SUMIFS(Dataset!AJ:AJ,Dataset!F:F,'retorno absoluto'!$D$11,Dataset!AH:AH,"deposito",Dataset!T:T,"uf",Dataset!J:J,"&lt;"&amp;$AE102/365,Dataset!J:J,"&gt;="&amp;$AD102/365)</f>
        <v>0</v>
      </c>
      <c r="AH102" s="101">
        <f>SUMIFS(Dataset!AJ:AJ,Dataset!F:F,'retorno absoluto'!$D$11,Dataset!AH:AH,"deposito",Dataset!T:T,"us$",Dataset!J:J,"&lt;"&amp;$AE102/365,Dataset!J:J,"&gt;="&amp;$AD102/365)</f>
        <v>0</v>
      </c>
      <c r="AI102" s="101">
        <f>SUMIFS(Dataset!AJ:AJ,Dataset!F:F,'retorno absoluto'!$D$11,Dataset!AH:AH,"factura",Dataset!J:J,"&lt;"&amp;$AE102/365,Dataset!J:J,"&gt;="&amp;$AD102/365)</f>
        <v>0</v>
      </c>
      <c r="AJ102" s="102">
        <f>SUMIFS(Dataset!AJ:AJ,Dataset!F:F,'retorno absoluto'!$D$11,Dataset!AH:AH,"letra hipotecaria",Dataset!J:J,"&lt;"&amp;$AE102/365,Dataset!J:J,"&gt;="&amp;$AD102/365)</f>
        <v>0</v>
      </c>
      <c r="AK102" s="84">
        <f t="shared" si="14"/>
        <v>0</v>
      </c>
    </row>
    <row r="103" spans="30:37" ht="31.5" customHeight="1" x14ac:dyDescent="0.3">
      <c r="AD103" s="61">
        <v>120</v>
      </c>
      <c r="AE103" s="100">
        <v>135</v>
      </c>
      <c r="AF103" s="101">
        <f>SUMIFS(Dataset!AJ:AJ,Dataset!F:F,'retorno absoluto'!$D$11,Dataset!AH:AH,"deposito",Dataset!T:T,"$",Dataset!J:J,"&lt;"&amp;$AE103/365,Dataset!J:J,"&gt;="&amp;$AD103/365)</f>
        <v>8.9062401347875061E-2</v>
      </c>
      <c r="AG103" s="101">
        <f>SUMIFS(Dataset!AJ:AJ,Dataset!F:F,'retorno absoluto'!$D$11,Dataset!AH:AH,"deposito",Dataset!T:T,"uf",Dataset!J:J,"&lt;"&amp;$AE103/365,Dataset!J:J,"&gt;="&amp;$AD103/365)</f>
        <v>0</v>
      </c>
      <c r="AH103" s="101">
        <f>SUMIFS(Dataset!AJ:AJ,Dataset!F:F,'retorno absoluto'!$D$11,Dataset!AH:AH,"deposito",Dataset!T:T,"us$",Dataset!J:J,"&lt;"&amp;$AE103/365,Dataset!J:J,"&gt;="&amp;$AD103/365)</f>
        <v>0</v>
      </c>
      <c r="AI103" s="101">
        <f>SUMIFS(Dataset!AJ:AJ,Dataset!F:F,'retorno absoluto'!$D$11,Dataset!AH:AH,"factura",Dataset!J:J,"&lt;"&amp;$AE103/365,Dataset!J:J,"&gt;="&amp;$AD103/365)</f>
        <v>0</v>
      </c>
      <c r="AJ103" s="102">
        <f>SUMIFS(Dataset!AJ:AJ,Dataset!F:F,'retorno absoluto'!$D$11,Dataset!AH:AH,"letra hipotecaria",Dataset!J:J,"&lt;"&amp;$AE103/365,Dataset!J:J,"&gt;="&amp;$AD103/365)</f>
        <v>0</v>
      </c>
      <c r="AK103" s="84">
        <f t="shared" si="14"/>
        <v>8.9062401347875061E-2</v>
      </c>
    </row>
    <row r="104" spans="30:37" ht="31.5" customHeight="1" x14ac:dyDescent="0.3">
      <c r="AD104" s="61">
        <v>135</v>
      </c>
      <c r="AE104" s="100">
        <v>150</v>
      </c>
      <c r="AF104" s="101">
        <f>SUMIFS(Dataset!AJ:AJ,Dataset!F:F,'retorno absoluto'!$D$11,Dataset!AH:AH,"deposito",Dataset!T:T,"$",Dataset!J:J,"&lt;"&amp;$AE104/365,Dataset!J:J,"&gt;="&amp;$AD104/365)</f>
        <v>5.2274077615494234E-2</v>
      </c>
      <c r="AG104" s="101">
        <f>SUMIFS(Dataset!AJ:AJ,Dataset!F:F,'retorno absoluto'!$D$11,Dataset!AH:AH,"deposito",Dataset!T:T,"uf",Dataset!J:J,"&lt;"&amp;$AE104/365,Dataset!J:J,"&gt;="&amp;$AD104/365)</f>
        <v>0</v>
      </c>
      <c r="AH104" s="101">
        <f>SUMIFS(Dataset!AJ:AJ,Dataset!F:F,'retorno absoluto'!$D$11,Dataset!AH:AH,"deposito",Dataset!T:T,"us$",Dataset!J:J,"&lt;"&amp;$AE104/365,Dataset!J:J,"&gt;="&amp;$AD104/365)</f>
        <v>0</v>
      </c>
      <c r="AI104" s="101">
        <f>SUMIFS(Dataset!AJ:AJ,Dataset!F:F,'retorno absoluto'!$D$11,Dataset!AH:AH,"factura",Dataset!J:J,"&lt;"&amp;$AE104/365,Dataset!J:J,"&gt;="&amp;$AD104/365)</f>
        <v>0</v>
      </c>
      <c r="AJ104" s="102">
        <f>SUMIFS(Dataset!AJ:AJ,Dataset!F:F,'retorno absoluto'!$D$11,Dataset!AH:AH,"letra hipotecaria",Dataset!J:J,"&lt;"&amp;$AE104/365,Dataset!J:J,"&gt;="&amp;$AD104/365)</f>
        <v>0</v>
      </c>
      <c r="AK104" s="84">
        <f t="shared" si="14"/>
        <v>5.2274077615494234E-2</v>
      </c>
    </row>
    <row r="105" spans="30:37" ht="31.5" customHeight="1" x14ac:dyDescent="0.3">
      <c r="AD105" s="61">
        <v>150</v>
      </c>
      <c r="AE105" s="100">
        <v>165</v>
      </c>
      <c r="AF105" s="101">
        <f>SUMIFS(Dataset!AJ:AJ,Dataset!F:F,'retorno absoluto'!$D$11,Dataset!AH:AH,"deposito",Dataset!T:T,"$",Dataset!J:J,"&lt;"&amp;$AE105/365,Dataset!J:J,"&gt;="&amp;$AD105/365)</f>
        <v>0</v>
      </c>
      <c r="AG105" s="101">
        <f>SUMIFS(Dataset!AJ:AJ,Dataset!F:F,'retorno absoluto'!$D$11,Dataset!AH:AH,"deposito",Dataset!T:T,"uf",Dataset!J:J,"&lt;"&amp;$AE105/365,Dataset!J:J,"&gt;="&amp;$AD105/365)</f>
        <v>0</v>
      </c>
      <c r="AH105" s="101">
        <f>SUMIFS(Dataset!AJ:AJ,Dataset!F:F,'retorno absoluto'!$D$11,Dataset!AH:AH,"deposito",Dataset!T:T,"us$",Dataset!J:J,"&lt;"&amp;$AE105/365,Dataset!J:J,"&gt;="&amp;$AD105/365)</f>
        <v>0</v>
      </c>
      <c r="AI105" s="101">
        <f>SUMIFS(Dataset!AJ:AJ,Dataset!F:F,'retorno absoluto'!$D$11,Dataset!AH:AH,"factura",Dataset!J:J,"&lt;"&amp;$AE105/365,Dataset!J:J,"&gt;="&amp;$AD105/365)</f>
        <v>0</v>
      </c>
      <c r="AJ105" s="102">
        <f>SUMIFS(Dataset!AJ:AJ,Dataset!F:F,'retorno absoluto'!$D$11,Dataset!AH:AH,"letra hipotecaria",Dataset!J:J,"&lt;"&amp;$AE105/365,Dataset!J:J,"&gt;="&amp;$AD105/365)</f>
        <v>0</v>
      </c>
      <c r="AK105" s="84">
        <f t="shared" si="14"/>
        <v>0</v>
      </c>
    </row>
    <row r="106" spans="30:37" ht="31.5" customHeight="1" x14ac:dyDescent="0.3">
      <c r="AD106" s="61">
        <v>165</v>
      </c>
      <c r="AE106" s="100">
        <v>180</v>
      </c>
      <c r="AF106" s="101">
        <f>SUMIFS(Dataset!AJ:AJ,Dataset!F:F,'retorno absoluto'!$D$11,Dataset!AH:AH,"deposito",Dataset!T:T,"$",Dataset!J:J,"&lt;"&amp;$AE106/365,Dataset!J:J,"&gt;="&amp;$AD106/365)</f>
        <v>0</v>
      </c>
      <c r="AG106" s="101">
        <f>SUMIFS(Dataset!AJ:AJ,Dataset!F:F,'retorno absoluto'!$D$11,Dataset!AH:AH,"deposito",Dataset!T:T,"uf",Dataset!J:J,"&lt;"&amp;$AE106/365,Dataset!J:J,"&gt;="&amp;$AD106/365)</f>
        <v>0</v>
      </c>
      <c r="AH106" s="101">
        <f>SUMIFS(Dataset!AJ:AJ,Dataset!F:F,'retorno absoluto'!$D$11,Dataset!AH:AH,"deposito",Dataset!T:T,"us$",Dataset!J:J,"&lt;"&amp;$AE106/365,Dataset!J:J,"&gt;="&amp;$AD106/365)</f>
        <v>0</v>
      </c>
      <c r="AI106" s="101">
        <f>SUMIFS(Dataset!AJ:AJ,Dataset!F:F,'retorno absoluto'!$D$11,Dataset!AH:AH,"factura",Dataset!J:J,"&lt;"&amp;$AE106/365,Dataset!J:J,"&gt;="&amp;$AD106/365)</f>
        <v>0</v>
      </c>
      <c r="AJ106" s="102">
        <f>SUMIFS(Dataset!AJ:AJ,Dataset!F:F,'retorno absoluto'!$D$11,Dataset!AH:AH,"letra hipotecaria",Dataset!J:J,"&lt;"&amp;$AE106/365,Dataset!J:J,"&gt;="&amp;$AD106/365)</f>
        <v>0</v>
      </c>
      <c r="AK106" s="84">
        <f t="shared" si="14"/>
        <v>0</v>
      </c>
    </row>
    <row r="107" spans="30:37" ht="31.5" customHeight="1" x14ac:dyDescent="0.3">
      <c r="AD107" s="61">
        <v>180</v>
      </c>
      <c r="AE107" s="100">
        <v>195</v>
      </c>
      <c r="AF107" s="101">
        <f>SUMIFS(Dataset!AJ:AJ,Dataset!F:F,'retorno absoluto'!$D$11,Dataset!AH:AH,"deposito",Dataset!T:T,"$",Dataset!J:J,"&lt;"&amp;$AE107/365,Dataset!J:J,"&gt;="&amp;$AD107/365)</f>
        <v>0</v>
      </c>
      <c r="AG107" s="101">
        <f>SUMIFS(Dataset!AJ:AJ,Dataset!F:F,'retorno absoluto'!$D$11,Dataset!AH:AH,"deposito",Dataset!T:T,"uf",Dataset!J:J,"&lt;"&amp;$AE107/365,Dataset!J:J,"&gt;="&amp;$AD107/365)</f>
        <v>0</v>
      </c>
      <c r="AH107" s="101">
        <f>SUMIFS(Dataset!AJ:AJ,Dataset!F:F,'retorno absoluto'!$D$11,Dataset!AH:AH,"deposito",Dataset!T:T,"us$",Dataset!J:J,"&lt;"&amp;$AE107/365,Dataset!J:J,"&gt;="&amp;$AD107/365)</f>
        <v>0</v>
      </c>
      <c r="AI107" s="101">
        <f>SUMIFS(Dataset!AJ:AJ,Dataset!F:F,'retorno absoluto'!$D$11,Dataset!AH:AH,"factura",Dataset!J:J,"&lt;"&amp;$AE107/365,Dataset!J:J,"&gt;="&amp;$AD107/365)</f>
        <v>0</v>
      </c>
      <c r="AJ107" s="102">
        <f>SUMIFS(Dataset!AJ:AJ,Dataset!F:F,'retorno absoluto'!$D$11,Dataset!AH:AH,"letra hipotecaria",Dataset!J:J,"&lt;"&amp;$AE107/365,Dataset!J:J,"&gt;="&amp;$AD107/365)</f>
        <v>0</v>
      </c>
      <c r="AK107" s="84">
        <f t="shared" si="14"/>
        <v>0</v>
      </c>
    </row>
    <row r="108" spans="30:37" ht="31.5" customHeight="1" x14ac:dyDescent="0.3">
      <c r="AD108" s="61">
        <v>195</v>
      </c>
      <c r="AE108" s="100">
        <v>210</v>
      </c>
      <c r="AF108" s="101">
        <f>SUMIFS(Dataset!AJ:AJ,Dataset!F:F,'retorno absoluto'!$D$11,Dataset!AH:AH,"deposito",Dataset!T:T,"$",Dataset!J:J,"&lt;"&amp;$AE108/365,Dataset!J:J,"&gt;="&amp;$AD108/365)</f>
        <v>0</v>
      </c>
      <c r="AG108" s="101">
        <f>SUMIFS(Dataset!AJ:AJ,Dataset!F:F,'retorno absoluto'!$D$11,Dataset!AH:AH,"deposito",Dataset!T:T,"uf",Dataset!J:J,"&lt;"&amp;$AE108/365,Dataset!J:J,"&gt;="&amp;$AD108/365)</f>
        <v>0</v>
      </c>
      <c r="AH108" s="101">
        <f>SUMIFS(Dataset!AJ:AJ,Dataset!F:F,'retorno absoluto'!$D$11,Dataset!AH:AH,"deposito",Dataset!T:T,"us$",Dataset!J:J,"&lt;"&amp;$AE108/365,Dataset!J:J,"&gt;="&amp;$AD108/365)</f>
        <v>0</v>
      </c>
      <c r="AI108" s="101">
        <f>SUMIFS(Dataset!AJ:AJ,Dataset!F:F,'retorno absoluto'!$D$11,Dataset!AH:AH,"factura",Dataset!J:J,"&lt;"&amp;$AE108/365,Dataset!J:J,"&gt;="&amp;$AD108/365)</f>
        <v>0</v>
      </c>
      <c r="AJ108" s="102">
        <f>SUMIFS(Dataset!AJ:AJ,Dataset!F:F,'retorno absoluto'!$D$11,Dataset!AH:AH,"letra hipotecaria",Dataset!J:J,"&lt;"&amp;$AE108/365,Dataset!J:J,"&gt;="&amp;$AD108/365)</f>
        <v>0</v>
      </c>
      <c r="AK108" s="84">
        <f t="shared" si="14"/>
        <v>0</v>
      </c>
    </row>
    <row r="109" spans="30:37" ht="31.5" customHeight="1" x14ac:dyDescent="0.3">
      <c r="AD109" s="61">
        <v>210</v>
      </c>
      <c r="AE109" s="100">
        <v>225</v>
      </c>
      <c r="AF109" s="101">
        <f>SUMIFS(Dataset!AJ:AJ,Dataset!F:F,'retorno absoluto'!$D$11,Dataset!AH:AH,"deposito",Dataset!T:T,"$",Dataset!J:J,"&lt;"&amp;$AE109/365,Dataset!J:J,"&gt;="&amp;$AD109/365)</f>
        <v>0</v>
      </c>
      <c r="AG109" s="101">
        <f>SUMIFS(Dataset!AJ:AJ,Dataset!F:F,'retorno absoluto'!$D$11,Dataset!AH:AH,"deposito",Dataset!T:T,"uf",Dataset!J:J,"&lt;"&amp;$AE109/365,Dataset!J:J,"&gt;="&amp;$AD109/365)</f>
        <v>0</v>
      </c>
      <c r="AH109" s="101">
        <f>SUMIFS(Dataset!AJ:AJ,Dataset!F:F,'retorno absoluto'!$D$11,Dataset!AH:AH,"deposito",Dataset!T:T,"us$",Dataset!J:J,"&lt;"&amp;$AE109/365,Dataset!J:J,"&gt;="&amp;$AD109/365)</f>
        <v>0</v>
      </c>
      <c r="AI109" s="101">
        <f>SUMIFS(Dataset!AJ:AJ,Dataset!F:F,'retorno absoluto'!$D$11,Dataset!AH:AH,"factura",Dataset!J:J,"&lt;"&amp;$AE109/365,Dataset!J:J,"&gt;="&amp;$AD109/365)</f>
        <v>0</v>
      </c>
      <c r="AJ109" s="102">
        <f>SUMIFS(Dataset!AJ:AJ,Dataset!F:F,'retorno absoluto'!$D$11,Dataset!AH:AH,"letra hipotecaria",Dataset!J:J,"&lt;"&amp;$AE109/365,Dataset!J:J,"&gt;="&amp;$AD109/365)</f>
        <v>0</v>
      </c>
      <c r="AK109" s="84">
        <f t="shared" si="14"/>
        <v>0</v>
      </c>
    </row>
    <row r="110" spans="30:37" ht="31.5" customHeight="1" x14ac:dyDescent="0.3">
      <c r="AD110" s="61">
        <v>225</v>
      </c>
      <c r="AE110" s="100">
        <v>240</v>
      </c>
      <c r="AF110" s="101">
        <f>SUMIFS(Dataset!AJ:AJ,Dataset!F:F,'retorno absoluto'!$D$11,Dataset!AH:AH,"deposito",Dataset!T:T,"$",Dataset!J:J,"&lt;"&amp;$AE110/365,Dataset!J:J,"&gt;="&amp;$AD110/365)</f>
        <v>0</v>
      </c>
      <c r="AG110" s="101">
        <f>SUMIFS(Dataset!AJ:AJ,Dataset!F:F,'retorno absoluto'!$D$11,Dataset!AH:AH,"deposito",Dataset!T:T,"uf",Dataset!J:J,"&lt;"&amp;$AE110/365,Dataset!J:J,"&gt;="&amp;$AD110/365)</f>
        <v>0</v>
      </c>
      <c r="AH110" s="101">
        <f>SUMIFS(Dataset!AJ:AJ,Dataset!F:F,'retorno absoluto'!$D$11,Dataset!AH:AH,"deposito",Dataset!T:T,"us$",Dataset!J:J,"&lt;"&amp;$AE110/365,Dataset!J:J,"&gt;="&amp;$AD110/365)</f>
        <v>0</v>
      </c>
      <c r="AI110" s="101">
        <f>SUMIFS(Dataset!AJ:AJ,Dataset!F:F,'retorno absoluto'!$D$11,Dataset!AH:AH,"factura",Dataset!J:J,"&lt;"&amp;$AE110/365,Dataset!J:J,"&gt;="&amp;$AD110/365)</f>
        <v>0</v>
      </c>
      <c r="AJ110" s="102">
        <f>SUMIFS(Dataset!AJ:AJ,Dataset!F:F,'retorno absoluto'!$D$11,Dataset!AH:AH,"letra hipotecaria",Dataset!J:J,"&lt;"&amp;$AE110/365,Dataset!J:J,"&gt;="&amp;$AD110/365)</f>
        <v>0</v>
      </c>
      <c r="AK110" s="84">
        <f t="shared" si="14"/>
        <v>0</v>
      </c>
    </row>
    <row r="111" spans="30:37" ht="31.5" customHeight="1" x14ac:dyDescent="0.3">
      <c r="AD111" s="61">
        <v>240</v>
      </c>
      <c r="AE111" s="100">
        <v>255</v>
      </c>
      <c r="AF111" s="101">
        <f>SUMIFS(Dataset!AJ:AJ,Dataset!F:F,'retorno absoluto'!$D$11,Dataset!AH:AH,"deposito",Dataset!T:T,"$",Dataset!J:J,"&lt;"&amp;$AE111/365,Dataset!J:J,"&gt;="&amp;$AD111/365)</f>
        <v>2.0722494620328113E-2</v>
      </c>
      <c r="AG111" s="101">
        <f>SUMIFS(Dataset!AJ:AJ,Dataset!F:F,'retorno absoluto'!$D$11,Dataset!AH:AH,"deposito",Dataset!T:T,"uf",Dataset!J:J,"&lt;"&amp;$AE111/365,Dataset!J:J,"&gt;="&amp;$AD111/365)</f>
        <v>0</v>
      </c>
      <c r="AH111" s="101">
        <f>SUMIFS(Dataset!AJ:AJ,Dataset!F:F,'retorno absoluto'!$D$11,Dataset!AH:AH,"deposito",Dataset!T:T,"us$",Dataset!J:J,"&lt;"&amp;$AE111/365,Dataset!J:J,"&gt;="&amp;$AD111/365)</f>
        <v>0</v>
      </c>
      <c r="AI111" s="101">
        <f>SUMIFS(Dataset!AJ:AJ,Dataset!F:F,'retorno absoluto'!$D$11,Dataset!AH:AH,"factura",Dataset!J:J,"&lt;"&amp;$AE111/365,Dataset!J:J,"&gt;="&amp;$AD111/365)</f>
        <v>0</v>
      </c>
      <c r="AJ111" s="102">
        <f>SUMIFS(Dataset!AJ:AJ,Dataset!F:F,'retorno absoluto'!$D$11,Dataset!AH:AH,"letra hipotecaria",Dataset!J:J,"&lt;"&amp;$AE111/365,Dataset!J:J,"&gt;="&amp;$AD111/365)</f>
        <v>0</v>
      </c>
      <c r="AK111" s="84">
        <f t="shared" si="14"/>
        <v>2.0722494620328113E-2</v>
      </c>
    </row>
    <row r="112" spans="30:37" ht="31.5" customHeight="1" x14ac:dyDescent="0.3">
      <c r="AD112" s="61">
        <v>255</v>
      </c>
      <c r="AE112" s="100">
        <v>270</v>
      </c>
      <c r="AF112" s="101">
        <f>SUMIFS(Dataset!AJ:AJ,Dataset!F:F,'retorno absoluto'!$D$11,Dataset!AH:AH,"deposito",Dataset!T:T,"$",Dataset!J:J,"&lt;"&amp;$AE112/365,Dataset!J:J,"&gt;="&amp;$AD112/365)</f>
        <v>0</v>
      </c>
      <c r="AG112" s="101">
        <f>SUMIFS(Dataset!AJ:AJ,Dataset!F:F,'retorno absoluto'!$D$11,Dataset!AH:AH,"deposito",Dataset!T:T,"uf",Dataset!J:J,"&lt;"&amp;$AE112/365,Dataset!J:J,"&gt;="&amp;$AD112/365)</f>
        <v>0</v>
      </c>
      <c r="AH112" s="101">
        <f>SUMIFS(Dataset!AJ:AJ,Dataset!F:F,'retorno absoluto'!$D$11,Dataset!AH:AH,"deposito",Dataset!T:T,"us$",Dataset!J:J,"&lt;"&amp;$AE112/365,Dataset!J:J,"&gt;="&amp;$AD112/365)</f>
        <v>0</v>
      </c>
      <c r="AI112" s="101">
        <f>SUMIFS(Dataset!AJ:AJ,Dataset!F:F,'retorno absoluto'!$D$11,Dataset!AH:AH,"factura",Dataset!J:J,"&lt;"&amp;$AE112/365,Dataset!J:J,"&gt;="&amp;$AD112/365)</f>
        <v>0</v>
      </c>
      <c r="AJ112" s="102">
        <f>SUMIFS(Dataset!AJ:AJ,Dataset!F:F,'retorno absoluto'!$D$11,Dataset!AH:AH,"letra hipotecaria",Dataset!J:J,"&lt;"&amp;$AE112/365,Dataset!J:J,"&gt;="&amp;$AD112/365)</f>
        <v>0</v>
      </c>
      <c r="AK112" s="84">
        <f t="shared" si="14"/>
        <v>0</v>
      </c>
    </row>
    <row r="113" spans="3:40" ht="31.5" customHeight="1" x14ac:dyDescent="0.3">
      <c r="AD113" s="61">
        <v>270</v>
      </c>
      <c r="AE113" s="100">
        <v>285</v>
      </c>
      <c r="AF113" s="101">
        <f>SUMIFS(Dataset!AJ:AJ,Dataset!F:F,'retorno absoluto'!$D$11,Dataset!AH:AH,"deposito",Dataset!T:T,"$",Dataset!J:J,"&lt;"&amp;$AE113/365,Dataset!J:J,"&gt;="&amp;$AD113/365)</f>
        <v>0</v>
      </c>
      <c r="AG113" s="101">
        <f>SUMIFS(Dataset!AJ:AJ,Dataset!F:F,'retorno absoluto'!$D$11,Dataset!AH:AH,"deposito",Dataset!T:T,"uf",Dataset!J:J,"&lt;"&amp;$AE113/365,Dataset!J:J,"&gt;="&amp;$AD113/365)</f>
        <v>0</v>
      </c>
      <c r="AH113" s="101">
        <f>SUMIFS(Dataset!AJ:AJ,Dataset!F:F,'retorno absoluto'!$D$11,Dataset!AH:AH,"deposito",Dataset!T:T,"us$",Dataset!J:J,"&lt;"&amp;$AE113/365,Dataset!J:J,"&gt;="&amp;$AD113/365)</f>
        <v>0</v>
      </c>
      <c r="AI113" s="101">
        <f>SUMIFS(Dataset!AJ:AJ,Dataset!F:F,'retorno absoluto'!$D$11,Dataset!AH:AH,"factura",Dataset!J:J,"&lt;"&amp;$AE113/365,Dataset!J:J,"&gt;="&amp;$AD113/365)</f>
        <v>0</v>
      </c>
      <c r="AJ113" s="102">
        <f>SUMIFS(Dataset!AJ:AJ,Dataset!F:F,'retorno absoluto'!$D$11,Dataset!AH:AH,"letra hipotecaria",Dataset!J:J,"&lt;"&amp;$AE113/365,Dataset!J:J,"&gt;="&amp;$AD113/365)</f>
        <v>0</v>
      </c>
      <c r="AK113" s="84">
        <f t="shared" si="14"/>
        <v>0</v>
      </c>
    </row>
    <row r="114" spans="3:40" ht="31.5" customHeight="1" x14ac:dyDescent="0.3">
      <c r="AD114" s="61">
        <v>285</v>
      </c>
      <c r="AE114" s="100">
        <v>300</v>
      </c>
      <c r="AF114" s="101">
        <f>SUMIFS(Dataset!AJ:AJ,Dataset!F:F,'retorno absoluto'!$D$11,Dataset!AH:AH,"deposito",Dataset!T:T,"$",Dataset!J:J,"&lt;"&amp;$AE114/365,Dataset!J:J,"&gt;="&amp;$AD114/365)</f>
        <v>0</v>
      </c>
      <c r="AG114" s="101">
        <f>SUMIFS(Dataset!AJ:AJ,Dataset!F:F,'retorno absoluto'!$D$11,Dataset!AH:AH,"deposito",Dataset!T:T,"uf",Dataset!J:J,"&lt;"&amp;$AE114/365,Dataset!J:J,"&gt;="&amp;$AD114/365)</f>
        <v>0</v>
      </c>
      <c r="AH114" s="101">
        <f>SUMIFS(Dataset!AJ:AJ,Dataset!F:F,'retorno absoluto'!$D$11,Dataset!AH:AH,"deposito",Dataset!T:T,"us$",Dataset!J:J,"&lt;"&amp;$AE114/365,Dataset!J:J,"&gt;="&amp;$AD114/365)</f>
        <v>0</v>
      </c>
      <c r="AI114" s="101">
        <f>SUMIFS(Dataset!AJ:AJ,Dataset!F:F,'retorno absoluto'!$D$11,Dataset!AH:AH,"factura",Dataset!J:J,"&lt;"&amp;$AE114/365,Dataset!J:J,"&gt;="&amp;$AD114/365)</f>
        <v>0</v>
      </c>
      <c r="AJ114" s="102">
        <f>SUMIFS(Dataset!AJ:AJ,Dataset!F:F,'retorno absoluto'!$D$11,Dataset!AH:AH,"letra hipotecaria",Dataset!J:J,"&lt;"&amp;$AE114/365,Dataset!J:J,"&gt;="&amp;$AD114/365)</f>
        <v>0</v>
      </c>
      <c r="AK114" s="84">
        <f t="shared" si="14"/>
        <v>0</v>
      </c>
    </row>
    <row r="115" spans="3:40" ht="31.5" customHeight="1" x14ac:dyDescent="0.3">
      <c r="AD115" s="61">
        <v>300</v>
      </c>
      <c r="AE115" s="100">
        <v>315</v>
      </c>
      <c r="AF115" s="101">
        <f>SUMIFS(Dataset!AJ:AJ,Dataset!F:F,'retorno absoluto'!$D$11,Dataset!AH:AH,"deposito",Dataset!T:T,"$",Dataset!J:J,"&lt;"&amp;$AE115/365,Dataset!J:J,"&gt;="&amp;$AD115/365)</f>
        <v>0</v>
      </c>
      <c r="AG115" s="101">
        <f>SUMIFS(Dataset!AJ:AJ,Dataset!F:F,'retorno absoluto'!$D$11,Dataset!AH:AH,"deposito",Dataset!T:T,"uf",Dataset!J:J,"&lt;"&amp;$AE115/365,Dataset!J:J,"&gt;="&amp;$AD115/365)</f>
        <v>0</v>
      </c>
      <c r="AH115" s="101">
        <f>SUMIFS(Dataset!AJ:AJ,Dataset!F:F,'retorno absoluto'!$D$11,Dataset!AH:AH,"deposito",Dataset!T:T,"us$",Dataset!J:J,"&lt;"&amp;$AE115/365,Dataset!J:J,"&gt;="&amp;$AD115/365)</f>
        <v>0</v>
      </c>
      <c r="AI115" s="101">
        <f>SUMIFS(Dataset!AJ:AJ,Dataset!F:F,'retorno absoluto'!$D$11,Dataset!AH:AH,"factura",Dataset!J:J,"&lt;"&amp;$AE115/365,Dataset!J:J,"&gt;="&amp;$AD115/365)</f>
        <v>0</v>
      </c>
      <c r="AJ115" s="102">
        <f>SUMIFS(Dataset!AJ:AJ,Dataset!F:F,'retorno absoluto'!$D$11,Dataset!AH:AH,"letra hipotecaria",Dataset!J:J,"&lt;"&amp;$AE115/365,Dataset!J:J,"&gt;="&amp;$AD115/365)</f>
        <v>0</v>
      </c>
      <c r="AK115" s="84">
        <f t="shared" si="14"/>
        <v>0</v>
      </c>
    </row>
    <row r="116" spans="3:40" ht="31.5" customHeight="1" x14ac:dyDescent="0.3">
      <c r="AD116" s="61">
        <v>315</v>
      </c>
      <c r="AE116" s="100">
        <v>330</v>
      </c>
      <c r="AF116" s="101">
        <f>SUMIFS(Dataset!AJ:AJ,Dataset!F:F,'retorno absoluto'!$D$11,Dataset!AH:AH,"deposito",Dataset!T:T,"$",Dataset!J:J,"&lt;"&amp;$AE116/365,Dataset!J:J,"&gt;="&amp;$AD116/365)</f>
        <v>0</v>
      </c>
      <c r="AG116" s="101">
        <f>SUMIFS(Dataset!AJ:AJ,Dataset!F:F,'retorno absoluto'!$D$11,Dataset!AH:AH,"deposito",Dataset!T:T,"uf",Dataset!J:J,"&lt;"&amp;$AE116/365,Dataset!J:J,"&gt;="&amp;$AD116/365)</f>
        <v>0</v>
      </c>
      <c r="AH116" s="101">
        <f>SUMIFS(Dataset!AJ:AJ,Dataset!F:F,'retorno absoluto'!$D$11,Dataset!AH:AH,"deposito",Dataset!T:T,"us$",Dataset!J:J,"&lt;"&amp;$AE116/365,Dataset!J:J,"&gt;="&amp;$AD116/365)</f>
        <v>0</v>
      </c>
      <c r="AI116" s="101">
        <f>SUMIFS(Dataset!AJ:AJ,Dataset!F:F,'retorno absoluto'!$D$11,Dataset!AH:AH,"factura",Dataset!J:J,"&lt;"&amp;$AE116/365,Dataset!J:J,"&gt;="&amp;$AD116/365)</f>
        <v>0</v>
      </c>
      <c r="AJ116" s="102">
        <f>SUMIFS(Dataset!AJ:AJ,Dataset!F:F,'retorno absoluto'!$D$11,Dataset!AH:AH,"letra hipotecaria",Dataset!J:J,"&lt;"&amp;$AE116/365,Dataset!J:J,"&gt;="&amp;$AD116/365)</f>
        <v>0</v>
      </c>
      <c r="AK116" s="84">
        <f t="shared" si="14"/>
        <v>0</v>
      </c>
    </row>
    <row r="117" spans="3:40" ht="31.5" customHeight="1" x14ac:dyDescent="0.3">
      <c r="AD117" s="61">
        <v>330</v>
      </c>
      <c r="AE117" s="100">
        <v>345</v>
      </c>
      <c r="AF117" s="101">
        <f>SUMIFS(Dataset!AJ:AJ,Dataset!F:F,'retorno absoluto'!$D$11,Dataset!AH:AH,"deposito",Dataset!T:T,"$",Dataset!J:J,"&lt;"&amp;$AE117/365,Dataset!J:J,"&gt;="&amp;$AD117/365)</f>
        <v>0</v>
      </c>
      <c r="AG117" s="101">
        <f>SUMIFS(Dataset!AJ:AJ,Dataset!F:F,'retorno absoluto'!$D$11,Dataset!AH:AH,"deposito",Dataset!T:T,"uf",Dataset!J:J,"&lt;"&amp;$AE117/365,Dataset!J:J,"&gt;="&amp;$AD117/365)</f>
        <v>0</v>
      </c>
      <c r="AH117" s="101">
        <f>SUMIFS(Dataset!AJ:AJ,Dataset!F:F,'retorno absoluto'!$D$11,Dataset!AH:AH,"deposito",Dataset!T:T,"us$",Dataset!J:J,"&lt;"&amp;$AE117/365,Dataset!J:J,"&gt;="&amp;$AD117/365)</f>
        <v>0</v>
      </c>
      <c r="AI117" s="101">
        <f>SUMIFS(Dataset!AJ:AJ,Dataset!F:F,'retorno absoluto'!$D$11,Dataset!AH:AH,"factura",Dataset!J:J,"&lt;"&amp;$AE117/365,Dataset!J:J,"&gt;="&amp;$AD117/365)</f>
        <v>0</v>
      </c>
      <c r="AJ117" s="102">
        <f>SUMIFS(Dataset!AJ:AJ,Dataset!F:F,'retorno absoluto'!$D$11,Dataset!AH:AH,"letra hipotecaria",Dataset!J:J,"&lt;"&amp;$AE117/365,Dataset!J:J,"&gt;="&amp;$AD117/365)</f>
        <v>0</v>
      </c>
      <c r="AK117" s="84">
        <f t="shared" si="14"/>
        <v>0</v>
      </c>
    </row>
    <row r="118" spans="3:40" ht="31.5" customHeight="1" x14ac:dyDescent="0.3">
      <c r="AD118" s="61">
        <v>345</v>
      </c>
      <c r="AE118" s="100">
        <v>360</v>
      </c>
      <c r="AF118" s="101">
        <f>SUMIFS(Dataset!AJ:AJ,Dataset!F:F,'retorno absoluto'!$D$11,Dataset!AH:AH,"deposito",Dataset!T:T,"$",Dataset!J:J,"&lt;"&amp;$AE118/365,Dataset!J:J,"&gt;="&amp;$AD118/365)</f>
        <v>0</v>
      </c>
      <c r="AG118" s="101">
        <f>SUMIFS(Dataset!AJ:AJ,Dataset!F:F,'retorno absoluto'!$D$11,Dataset!AH:AH,"deposito",Dataset!T:T,"uf",Dataset!J:J,"&lt;"&amp;$AE118/365,Dataset!J:J,"&gt;="&amp;$AD118/365)</f>
        <v>0</v>
      </c>
      <c r="AH118" s="101">
        <f>SUMIFS(Dataset!AJ:AJ,Dataset!F:F,'retorno absoluto'!$D$11,Dataset!AH:AH,"deposito",Dataset!T:T,"us$",Dataset!J:J,"&lt;"&amp;$AE118/365,Dataset!J:J,"&gt;="&amp;$AD118/365)</f>
        <v>0</v>
      </c>
      <c r="AI118" s="101">
        <f>SUMIFS(Dataset!AJ:AJ,Dataset!F:F,'retorno absoluto'!$D$11,Dataset!AH:AH,"factura",Dataset!J:J,"&lt;"&amp;$AE118/365,Dataset!J:J,"&gt;="&amp;$AD118/365)</f>
        <v>0</v>
      </c>
      <c r="AJ118" s="102">
        <f>SUMIFS(Dataset!AJ:AJ,Dataset!F:F,'retorno absoluto'!$D$11,Dataset!AH:AH,"letra hipotecaria",Dataset!J:J,"&lt;"&amp;$AE118/365,Dataset!J:J,"&gt;="&amp;$AD118/365)</f>
        <v>0</v>
      </c>
      <c r="AK118" s="84">
        <f t="shared" si="14"/>
        <v>0</v>
      </c>
    </row>
    <row r="119" spans="3:40" ht="31.5" customHeight="1" x14ac:dyDescent="0.3">
      <c r="AD119" s="61">
        <v>360</v>
      </c>
      <c r="AE119" s="100">
        <v>720</v>
      </c>
      <c r="AF119" s="101">
        <f>SUMIFS(Dataset!AJ:AJ,Dataset!F:F,'retorno absoluto'!$D$11,Dataset!AH:AH,"deposito",Dataset!T:T,"$",Dataset!J:J,"&lt;"&amp;$AE119/365,Dataset!J:J,"&gt;="&amp;$AD119/365)</f>
        <v>0</v>
      </c>
      <c r="AG119" s="101">
        <f>SUMIFS(Dataset!AJ:AJ,Dataset!F:F,'retorno absoluto'!$D$11,Dataset!AH:AH,"deposito",Dataset!T:T,"uf",Dataset!J:J,"&lt;"&amp;$AE119/365,Dataset!J:J,"&gt;="&amp;$AD119/365)</f>
        <v>0</v>
      </c>
      <c r="AH119" s="101">
        <f>SUMIFS(Dataset!AJ:AJ,Dataset!F:F,'retorno absoluto'!$D$11,Dataset!AH:AH,"deposito",Dataset!T:T,"us$",Dataset!J:J,"&lt;"&amp;$AE119/365,Dataset!J:J,"&gt;="&amp;$AD119/365)</f>
        <v>0</v>
      </c>
      <c r="AI119" s="101">
        <f>SUMIFS(Dataset!AJ:AJ,Dataset!F:F,'retorno absoluto'!$D$11,Dataset!AH:AH,"factura",Dataset!J:J,"&lt;"&amp;$AE119/365,Dataset!J:J,"&gt;="&amp;$AD119/365)</f>
        <v>0</v>
      </c>
      <c r="AJ119" s="102">
        <f>SUMIFS(Dataset!AJ:AJ,Dataset!F:F,'retorno absoluto'!$D$11,Dataset!AH:AH,"letra hipotecaria",Dataset!J:J,"&lt;"&amp;$AE119/365,Dataset!J:J,"&gt;="&amp;$AD119/365)</f>
        <v>0</v>
      </c>
      <c r="AK119" s="84">
        <f t="shared" si="14"/>
        <v>0</v>
      </c>
    </row>
    <row r="120" spans="3:40" ht="31.5" customHeight="1" x14ac:dyDescent="0.3">
      <c r="AD120" s="61">
        <v>720</v>
      </c>
      <c r="AE120" s="100">
        <v>1080</v>
      </c>
      <c r="AF120" s="101">
        <f>SUMIFS(Dataset!AJ:AJ,Dataset!F:F,'retorno absoluto'!$D$11,Dataset!AH:AH,"deposito",Dataset!T:T,"$",Dataset!J:J,"&lt;"&amp;$AE120/365,Dataset!J:J,"&gt;="&amp;$AD120/365)</f>
        <v>0</v>
      </c>
      <c r="AG120" s="101">
        <f>SUMIFS(Dataset!AJ:AJ,Dataset!F:F,'retorno absoluto'!$D$11,Dataset!AH:AH,"deposito",Dataset!T:T,"uf",Dataset!J:J,"&lt;"&amp;$AE120/365,Dataset!J:J,"&gt;="&amp;$AD120/365)</f>
        <v>0</v>
      </c>
      <c r="AH120" s="101">
        <f>SUMIFS(Dataset!AJ:AJ,Dataset!F:F,'retorno absoluto'!$D$11,Dataset!AH:AH,"deposito",Dataset!T:T,"us$",Dataset!J:J,"&lt;"&amp;$AE120/365,Dataset!J:J,"&gt;="&amp;$AD120/365)</f>
        <v>0</v>
      </c>
      <c r="AI120" s="101">
        <f>SUMIFS(Dataset!AJ:AJ,Dataset!F:F,'retorno absoluto'!$D$11,Dataset!AH:AH,"factura",Dataset!J:J,"&lt;"&amp;$AE120/365,Dataset!J:J,"&gt;="&amp;$AD120/365)</f>
        <v>0</v>
      </c>
      <c r="AJ120" s="102">
        <f>SUMIFS(Dataset!AJ:AJ,Dataset!F:F,'retorno absoluto'!$D$11,Dataset!AH:AH,"letra hipotecaria",Dataset!J:J,"&lt;"&amp;$AE120/365,Dataset!J:J,"&gt;="&amp;$AD120/365)</f>
        <v>0</v>
      </c>
      <c r="AK120" s="84">
        <f t="shared" si="14"/>
        <v>0</v>
      </c>
    </row>
    <row r="121" spans="3:40" ht="31.5" customHeight="1" x14ac:dyDescent="0.3">
      <c r="AD121" s="61">
        <v>1080</v>
      </c>
      <c r="AE121" s="100">
        <v>3600</v>
      </c>
      <c r="AF121" s="101">
        <f>SUMIFS(Dataset!AJ:AJ,Dataset!F:F,'retorno absoluto'!$D$11,Dataset!AH:AH,"deposito",Dataset!T:T,"$",Dataset!J:J,"&lt;"&amp;$AE121/365,Dataset!J:J,"&gt;="&amp;$AD121/365)</f>
        <v>0</v>
      </c>
      <c r="AG121" s="101">
        <f>SUMIFS(Dataset!AJ:AJ,Dataset!F:F,'retorno absoluto'!$D$11,Dataset!AH:AH,"deposito",Dataset!T:T,"uf",Dataset!J:J,"&lt;"&amp;$AE121/365,Dataset!J:J,"&gt;="&amp;$AD121/365)</f>
        <v>0</v>
      </c>
      <c r="AH121" s="101">
        <f>SUMIFS(Dataset!AJ:AJ,Dataset!F:F,'retorno absoluto'!$D$11,Dataset!AH:AH,"deposito",Dataset!T:T,"us$",Dataset!J:J,"&lt;"&amp;$AE121/365,Dataset!J:J,"&gt;="&amp;$AD121/365)</f>
        <v>0</v>
      </c>
      <c r="AI121" s="101">
        <f>SUMIFS(Dataset!AJ:AJ,Dataset!F:F,'retorno absoluto'!$D$11,Dataset!AH:AH,"factura",Dataset!J:J,"&lt;"&amp;$AE121/365,Dataset!J:J,"&gt;="&amp;$AD121/365)</f>
        <v>0</v>
      </c>
      <c r="AJ121" s="102">
        <f>SUMIFS(Dataset!AJ:AJ,Dataset!F:F,'retorno absoluto'!$D$11,Dataset!AH:AH,"letra hipotecaria",Dataset!J:J,"&lt;"&amp;$AE121/365,Dataset!J:J,"&gt;="&amp;$AD121/365)</f>
        <v>0</v>
      </c>
      <c r="AK121" s="84">
        <f t="shared" si="14"/>
        <v>0</v>
      </c>
    </row>
    <row r="122" spans="3:40" ht="31.5" customHeight="1" x14ac:dyDescent="0.3">
      <c r="AD122" s="61">
        <v>3600</v>
      </c>
      <c r="AE122" s="103">
        <v>10000</v>
      </c>
      <c r="AF122" s="104">
        <f>SUMIFS(Dataset!AJ:AJ,Dataset!F:F,'retorno absoluto'!$D$11,Dataset!AH:AH,"deposito",Dataset!T:T,"$",Dataset!J:J,"&lt;"&amp;$AE122/365,Dataset!J:J,"&gt;="&amp;$AD122/365)</f>
        <v>0</v>
      </c>
      <c r="AG122" s="104">
        <f>SUMIFS(Dataset!AJ:AJ,Dataset!F:F,'retorno absoluto'!$D$11,Dataset!AH:AH,"deposito",Dataset!T:T,"uf",Dataset!J:J,"&lt;"&amp;$AE122/365,Dataset!J:J,"&gt;="&amp;$AD122/365)</f>
        <v>0</v>
      </c>
      <c r="AH122" s="104">
        <f>SUMIFS(Dataset!AJ:AJ,Dataset!F:F,'retorno absoluto'!$D$11,Dataset!AH:AH,"deposito",Dataset!T:T,"us$",Dataset!J:J,"&lt;"&amp;$AE122/365,Dataset!J:J,"&gt;="&amp;$AD122/365)</f>
        <v>0</v>
      </c>
      <c r="AI122" s="104">
        <f>SUMIFS(Dataset!AJ:AJ,Dataset!F:F,'retorno absoluto'!$D$11,Dataset!AH:AH,"factura",Dataset!J:J,"&lt;"&amp;$AE122/365,Dataset!J:J,"&gt;="&amp;$AD122/365)</f>
        <v>0</v>
      </c>
      <c r="AJ122" s="105">
        <f>SUMIFS(Dataset!AJ:AJ,Dataset!F:F,'retorno absoluto'!$D$11,Dataset!AH:AH,"letra hipotecaria",Dataset!J:J,"&lt;"&amp;$AE122/365,Dataset!J:J,"&gt;="&amp;$AD122/365)</f>
        <v>0</v>
      </c>
      <c r="AK122" s="90">
        <f t="shared" si="14"/>
        <v>0</v>
      </c>
    </row>
    <row r="123" spans="3:40" ht="31.5" customHeight="1" x14ac:dyDescent="0.3">
      <c r="AD123" s="175"/>
      <c r="AE123" s="177"/>
      <c r="AF123" s="83">
        <f t="shared" ref="AF123:AK123" si="15">SUM(AF95:AF122)</f>
        <v>0.24146291649612595</v>
      </c>
      <c r="AG123" s="83">
        <f t="shared" si="15"/>
        <v>1.4063961953218742E-2</v>
      </c>
      <c r="AH123" s="83">
        <f t="shared" si="15"/>
        <v>0</v>
      </c>
      <c r="AI123" s="83">
        <f t="shared" si="15"/>
        <v>0</v>
      </c>
      <c r="AJ123" s="83">
        <f t="shared" si="15"/>
        <v>0</v>
      </c>
      <c r="AK123" s="84">
        <f t="shared" si="15"/>
        <v>0.25552687844934469</v>
      </c>
    </row>
    <row r="127" spans="3:40" ht="30" customHeight="1" x14ac:dyDescent="0.3"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</row>
    <row r="128" spans="3:40" ht="27" customHeight="1" x14ac:dyDescent="0.3"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</row>
    <row r="129" spans="3:15" ht="40.5" customHeight="1" x14ac:dyDescent="0.4">
      <c r="C129" s="107" t="s">
        <v>74</v>
      </c>
      <c r="D129" s="42"/>
      <c r="E129" s="42"/>
    </row>
    <row r="131" spans="3:15" ht="27" customHeight="1" x14ac:dyDescent="0.3">
      <c r="O131" s="52"/>
    </row>
  </sheetData>
  <mergeCells count="20">
    <mergeCell ref="C128:AN128"/>
    <mergeCell ref="E50:L50"/>
    <mergeCell ref="C12:I12"/>
    <mergeCell ref="L12:R12"/>
    <mergeCell ref="AD94:AE94"/>
    <mergeCell ref="AD92:AK92"/>
    <mergeCell ref="C69:D69"/>
    <mergeCell ref="E71:O71"/>
    <mergeCell ref="W50:AD50"/>
    <mergeCell ref="N50:U50"/>
    <mergeCell ref="C73:D73"/>
    <mergeCell ref="C52:D52"/>
    <mergeCell ref="C37:G37"/>
    <mergeCell ref="L29:R29"/>
    <mergeCell ref="C90:D90"/>
    <mergeCell ref="AD123:AE123"/>
    <mergeCell ref="C3:AN3"/>
    <mergeCell ref="C4:AN4"/>
    <mergeCell ref="Q71:AA71"/>
    <mergeCell ref="AC71:AM71"/>
  </mergeCells>
  <conditionalFormatting sqref="E53:L68">
    <cfRule type="colorScale" priority="10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N53:U68">
    <cfRule type="colorScale" priority="8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W53:AD68">
    <cfRule type="colorScale" priority="7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E74:O89">
    <cfRule type="colorScale" priority="6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Q74:AA89">
    <cfRule type="colorScale" priority="3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AC74:AM89">
    <cfRule type="colorScale" priority="2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AF95:AJ122">
    <cfRule type="colorScale" priority="1">
      <colorScale>
        <cfvo type="min"/>
        <cfvo type="max"/>
        <color theme="0"/>
        <color theme="5" tint="0.59999389629810485"/>
      </colorScale>
    </cfRule>
  </conditionalFormatting>
  <printOptions horizontalCentered="1"/>
  <pageMargins left="0" right="0" top="0" bottom="0" header="0" footer="0"/>
  <pageSetup scale="1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B3:AI135"/>
  <sheetViews>
    <sheetView showGridLines="0" showZeros="0" topLeftCell="C4" zoomScale="25" zoomScaleNormal="25" zoomScalePageLayoutView="10" workbookViewId="0">
      <selection activeCell="K108" sqref="K108"/>
    </sheetView>
  </sheetViews>
  <sheetFormatPr baseColWidth="10" defaultRowHeight="27" customHeight="1" x14ac:dyDescent="0.3"/>
  <cols>
    <col min="1" max="1" width="11" style="22" customWidth="1"/>
    <col min="2" max="2" width="9.75" style="22" customWidth="1"/>
    <col min="3" max="3" width="32.5" style="22" customWidth="1"/>
    <col min="4" max="4" width="32.25" style="22" customWidth="1"/>
    <col min="5" max="5" width="27" style="22" customWidth="1"/>
    <col min="6" max="6" width="31.125" style="22" customWidth="1"/>
    <col min="7" max="7" width="25.875" style="22" customWidth="1"/>
    <col min="8" max="8" width="33.5" style="22" customWidth="1"/>
    <col min="9" max="9" width="29.25" style="22" customWidth="1"/>
    <col min="10" max="10" width="28.125" style="22" customWidth="1"/>
    <col min="11" max="11" width="27.375" style="22" customWidth="1"/>
    <col min="12" max="12" width="42.625" style="22" customWidth="1"/>
    <col min="13" max="13" width="24.625" style="22" customWidth="1"/>
    <col min="14" max="14" width="28.75" style="22" customWidth="1"/>
    <col min="15" max="15" width="33.125" style="22" customWidth="1"/>
    <col min="16" max="16" width="35.375" style="22" customWidth="1"/>
    <col min="17" max="17" width="20.75" style="22" customWidth="1"/>
    <col min="18" max="18" width="19.875" style="22" customWidth="1"/>
    <col min="19" max="19" width="25.25" style="22" customWidth="1"/>
    <col min="20" max="20" width="29" style="22" customWidth="1"/>
    <col min="21" max="21" width="32.375" style="22" customWidth="1"/>
    <col min="22" max="22" width="28.75" style="22" customWidth="1"/>
    <col min="23" max="23" width="18.875" style="22" customWidth="1"/>
    <col min="24" max="24" width="21.125" style="22" customWidth="1"/>
    <col min="25" max="25" width="26.625" style="22" customWidth="1"/>
    <col min="26" max="26" width="26.125" style="22" customWidth="1"/>
    <col min="27" max="27" width="31.75" style="22" customWidth="1"/>
    <col min="28" max="28" width="38.5" style="22" customWidth="1"/>
    <col min="29" max="29" width="25.125" style="22" customWidth="1"/>
    <col min="30" max="30" width="20" style="22" customWidth="1"/>
    <col min="31" max="31" width="30.25" style="22" customWidth="1"/>
    <col min="32" max="32" width="27.625" style="22" customWidth="1"/>
    <col min="33" max="33" width="36" style="22" customWidth="1"/>
    <col min="34" max="34" width="16.5" style="22" customWidth="1"/>
    <col min="35" max="35" width="32" style="22" customWidth="1"/>
    <col min="36" max="16384" width="11" style="22"/>
  </cols>
  <sheetData>
    <row r="3" spans="3:35" ht="81" customHeight="1" x14ac:dyDescent="0.3">
      <c r="C3" s="178" t="s">
        <v>264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3:35" ht="54" customHeight="1" x14ac:dyDescent="0.3">
      <c r="C4" s="179" t="str">
        <f>TEXT(Historical!H2," mmmm dd, aaaa")</f>
        <v xml:space="preserve"> November 13, Monday</v>
      </c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</row>
    <row r="6" spans="3:35" ht="6" customHeight="1" x14ac:dyDescent="0.3"/>
    <row r="7" spans="3:35" ht="27" customHeight="1" x14ac:dyDescent="0.3">
      <c r="F7" s="45"/>
    </row>
    <row r="8" spans="3:35" ht="15" customHeight="1" x14ac:dyDescent="0.3"/>
    <row r="9" spans="3:35" ht="9" customHeight="1" x14ac:dyDescent="0.8">
      <c r="D9" s="46"/>
      <c r="E9" s="47"/>
    </row>
    <row r="10" spans="3:35" ht="15" customHeight="1" x14ac:dyDescent="0.3"/>
    <row r="11" spans="3:35" ht="63" customHeight="1" x14ac:dyDescent="0.8">
      <c r="D11" s="48" t="s">
        <v>53</v>
      </c>
      <c r="E11" s="49"/>
    </row>
    <row r="13" spans="3:35" ht="57" customHeight="1" x14ac:dyDescent="0.3">
      <c r="C13" s="174" t="s">
        <v>112</v>
      </c>
      <c r="D13" s="174"/>
      <c r="E13" s="174"/>
      <c r="F13" s="174"/>
      <c r="G13" s="174"/>
      <c r="H13" s="174"/>
      <c r="I13" s="174"/>
      <c r="O13" s="50"/>
      <c r="P13" s="50"/>
      <c r="Q13" s="50"/>
      <c r="R13" s="50"/>
      <c r="S13" s="50"/>
      <c r="T13" s="50"/>
    </row>
    <row r="14" spans="3:35" ht="51" customHeight="1" x14ac:dyDescent="0.3">
      <c r="J14" s="50"/>
    </row>
    <row r="15" spans="3:35" ht="41.25" customHeight="1" x14ac:dyDescent="0.4">
      <c r="C15" s="53"/>
      <c r="D15" s="54" t="s">
        <v>70</v>
      </c>
      <c r="E15" s="54" t="s">
        <v>265</v>
      </c>
      <c r="F15" s="54" t="s">
        <v>75</v>
      </c>
      <c r="G15" s="54" t="s">
        <v>5</v>
      </c>
      <c r="H15" s="54" t="s">
        <v>6</v>
      </c>
      <c r="I15" s="54" t="s">
        <v>21</v>
      </c>
      <c r="K15" s="174" t="s">
        <v>267</v>
      </c>
      <c r="L15" s="174"/>
      <c r="M15" s="174"/>
      <c r="N15" s="174"/>
      <c r="O15" s="174"/>
      <c r="P15" s="174"/>
      <c r="Q15" s="174"/>
      <c r="R15" s="174"/>
    </row>
    <row r="16" spans="3:35" ht="35.25" customHeight="1" x14ac:dyDescent="0.5">
      <c r="C16" s="57" t="s">
        <v>95</v>
      </c>
      <c r="D16" s="58">
        <f>SUMIFS(Dataset!AK:AK,Dataset!F:F,credito!D11,Dataset!AH:AH,"deposito", Dataset!T:T,"$")</f>
        <v>0</v>
      </c>
      <c r="E16" s="58">
        <f>SUMIFS(Dataset!AJ:AJ,Dataset!F:F,credito!D11,Dataset!AH:AH,"deposito", Dataset!T:T,"$")</f>
        <v>0</v>
      </c>
      <c r="F16" s="59">
        <f>SUMIFS(Dataset!V:V,Dataset!F:F,credito!D11,Dataset!AH:AH,"deposito", Dataset!T:T,"$")/1000000</f>
        <v>0</v>
      </c>
      <c r="G16" s="60">
        <f>SUMIFS(Dataset!H:H,Dataset!F:F,credito!D11,Dataset!AH:AH,"deposito", Dataset!T:T,"$")</f>
        <v>0</v>
      </c>
      <c r="H16" s="58">
        <f>SUMIFS(Dataset!I:I,Dataset!F:F,credito!D11,Dataset!AH:AH,"deposito", Dataset!T:T,"$")</f>
        <v>0</v>
      </c>
      <c r="I16" s="58">
        <f>SUMIFS(Dataset!AA:AA,Dataset!F:F,credito!D11,Dataset!AH:AH,"deposito", Dataset!T:T,"$")</f>
        <v>0</v>
      </c>
      <c r="W16" s="56"/>
    </row>
    <row r="17" spans="3:26" ht="35.25" customHeight="1" x14ac:dyDescent="0.5">
      <c r="C17" s="57" t="s">
        <v>64</v>
      </c>
      <c r="D17" s="58">
        <f>SUMIFS(Dataset!AK:AK,Dataset!F:F,credito!D11,Dataset!AH:AH,"deposito", Dataset!T:T,"uf")</f>
        <v>0</v>
      </c>
      <c r="E17" s="58">
        <f>SUMIFS(Dataset!AJ:AJ,Dataset!F:F,credito!D11,Dataset!AH:AH,"deposito", Dataset!T:T,"uf")</f>
        <v>0</v>
      </c>
      <c r="F17" s="59">
        <f>SUMIFS(Dataset!V:V,Dataset!F:F,credito!D11,Dataset!AH:AH,"deposito", Dataset!T:T,"uf")/1000000</f>
        <v>0</v>
      </c>
      <c r="G17" s="60">
        <f>SUMIFS(Dataset!H:H,Dataset!F:F,credito!D11,Dataset!AH:AH,"deposito", Dataset!T:T,"uf")</f>
        <v>0</v>
      </c>
      <c r="H17" s="58">
        <f>SUMIFS(Dataset!I:I,Dataset!F:F,credito!D11,Dataset!AH:AH,"deposito", Dataset!T:T,"uf")</f>
        <v>0</v>
      </c>
      <c r="I17" s="58">
        <f>SUMIFS(Dataset!AA:AA,Dataset!F:F,credito!D11,Dataset!AH:AH,"deposito", Dataset!T:T,"uf")</f>
        <v>0</v>
      </c>
      <c r="K17" s="55" t="s">
        <v>85</v>
      </c>
      <c r="L17" s="55" t="s">
        <v>86</v>
      </c>
      <c r="M17" s="55" t="s">
        <v>70</v>
      </c>
      <c r="N17" s="55" t="s">
        <v>265</v>
      </c>
      <c r="O17" s="55" t="s">
        <v>6</v>
      </c>
      <c r="P17" s="55" t="s">
        <v>71</v>
      </c>
      <c r="Q17" s="55" t="s">
        <v>21</v>
      </c>
      <c r="R17" s="55" t="s">
        <v>72</v>
      </c>
      <c r="Z17" s="62"/>
    </row>
    <row r="18" spans="3:26" ht="35.25" customHeight="1" x14ac:dyDescent="0.5">
      <c r="C18" s="57" t="s">
        <v>96</v>
      </c>
      <c r="D18" s="58">
        <f>SUMIFS(Dataset!AK:AK,Dataset!F:F,credito!D11,Dataset!AH:AH,"bono de gobierno", Dataset!T:T,"$")</f>
        <v>0</v>
      </c>
      <c r="E18" s="58">
        <f>SUMIFS(Dataset!AJ:AJ,Dataset!F:F,credito!D11,Dataset!AH:AH,"bono de gobierno", Dataset!T:T,"$")</f>
        <v>0</v>
      </c>
      <c r="F18" s="59">
        <f>SUMIFS(Dataset!V:V,Dataset!F:F,credito!D11,Dataset!AH:AH,"bono de gobierno", Dataset!T:T,"$")/1000000</f>
        <v>0</v>
      </c>
      <c r="G18" s="60">
        <f>SUMIFS(Dataset!H:H,Dataset!F:F,credito!D11,Dataset!AH:AH,"bono de gobierno", Dataset!T:T,"$")</f>
        <v>0</v>
      </c>
      <c r="H18" s="58">
        <f>SUMIFS(Dataset!I:I,Dataset!F:F,credito!D11,Dataset!AH:AH,"bono de gobierno", Dataset!T:T,"$")</f>
        <v>0</v>
      </c>
      <c r="I18" s="58">
        <f>SUMIFS(Dataset!AA:AA,Dataset!F:F,credito!D11,Dataset!AH:AH,"bono de gobierno", Dataset!T:T,"$")</f>
        <v>0</v>
      </c>
      <c r="K18" s="61">
        <v>1</v>
      </c>
      <c r="L18" s="58" t="str">
        <f>IFERROR(INDEX(Dataset!G:G,MATCH(_xlfn.AGGREGATE(14,6,Dataset!AK:AK/(Dataset!F:F=$D$11),K18),Dataset!AK:AK,0),1),"-")</f>
        <v>-</v>
      </c>
      <c r="M18" s="58" t="str">
        <f>IFERROR(INDEX(Dataset!AK:AK,MATCH(_xlfn.AGGREGATE(14,6,Dataset!AK:AK/(Dataset!F:F=$D$11),K18),Dataset!AK:AK,0),1),"-")</f>
        <v>-</v>
      </c>
      <c r="N18" s="58" t="str">
        <f>IFERROR(INDEX(Dataset!AJ:AJ,MATCH(_xlfn.AGGREGATE(14,6,Dataset!AK:AK/(Dataset!F:F=$D$11),K18),Dataset!AK:AK,0),1),"-")</f>
        <v>-</v>
      </c>
      <c r="O18" s="58" t="str">
        <f>IFERROR(INDEX(Dataset!I:I,MATCH(_xlfn.AGGREGATE(14,6,Dataset!AK:AK/(Dataset!F:F=$D$11),K18),Dataset!AK:AK,0),1),"-")</f>
        <v>-</v>
      </c>
      <c r="P18" s="58" t="e">
        <f>IFERROR(INDEX(Dataset!R:R,MATCH(_xlfn.AGGREGATE(14,6,Dataset!AK:AK/(Dataset!F:F=$D$11),K18),Dataset!AK:AK,0),1),"-")/100</f>
        <v>#VALUE!</v>
      </c>
      <c r="Q18" s="58" t="str">
        <f>IFERROR(INDEX(Dataset!AA:AA,MATCH(_xlfn.AGGREGATE(14,6,Dataset!AK:AK/(Dataset!F:F=$D$11),K18),Dataset!AK:AK,0),1),"-")</f>
        <v>-</v>
      </c>
      <c r="R18" s="60" t="str">
        <f>IFERROR(INDEX(Dataset!J:J,MATCH(_xlfn.AGGREGATE(14,6,Dataset!AK:AK/(Dataset!F:F=$D$11),K18),Dataset!AK:AK,0),1),"-")</f>
        <v>-</v>
      </c>
    </row>
    <row r="19" spans="3:26" ht="35.25" customHeight="1" x14ac:dyDescent="0.5">
      <c r="C19" s="57" t="s">
        <v>67</v>
      </c>
      <c r="D19" s="58">
        <f>SUMIFS(Dataset!AK:AK,Dataset!F:F,credito!D11,Dataset!AH:AH,"bono de gobierno", Dataset!T:T,"uf")</f>
        <v>0</v>
      </c>
      <c r="E19" s="58">
        <f>SUMIFS(Dataset!AJ:AJ,Dataset!F:F,credito!D11,Dataset!AH:AH,"bono de gobierno", Dataset!T:T,"uf")</f>
        <v>0</v>
      </c>
      <c r="F19" s="59">
        <f>SUMIFS(Dataset!V:V,Dataset!F:F,credito!D11,Dataset!AH:AH,"bono de gobierno", Dataset!T:T,"uf")/1000000</f>
        <v>0</v>
      </c>
      <c r="G19" s="60">
        <f>SUMIFS(Dataset!H:H,Dataset!F:F,credito!D11,Dataset!AH:AH,"bono de gobierno", Dataset!T:T,"uf")</f>
        <v>0</v>
      </c>
      <c r="H19" s="58">
        <f>SUMIFS(Dataset!I:I,Dataset!F:F,credito!D11,Dataset!AH:AH,"bono de gobierno", Dataset!T:T,"uf")</f>
        <v>0</v>
      </c>
      <c r="I19" s="58">
        <f>SUMIFS(Dataset!AA:AA,Dataset!F:F,credito!D11,Dataset!AH:AH,"bono de gobierno", Dataset!T:T,"uf")</f>
        <v>0</v>
      </c>
      <c r="K19" s="61">
        <v>2</v>
      </c>
      <c r="L19" s="58" t="str">
        <f>IFERROR(INDEX(Dataset!G:G,MATCH(_xlfn.AGGREGATE(14,6,Dataset!AK:AK/(Dataset!F:F=$D$11),K19),Dataset!AK:AK,0),1),"-")</f>
        <v>-</v>
      </c>
      <c r="M19" s="58" t="str">
        <f>IFERROR(INDEX(Dataset!AK:AK,MATCH(_xlfn.AGGREGATE(14,6,Dataset!AK:AK/(Dataset!F:F=$D$11),K19),Dataset!AK:AK,0),1),"-")</f>
        <v>-</v>
      </c>
      <c r="N19" s="58" t="str">
        <f>IFERROR(INDEX(Dataset!AJ:AJ,MATCH(_xlfn.AGGREGATE(14,6,Dataset!AK:AK/(Dataset!F:F=$D$11),K19),Dataset!AK:AK,0),1),"-")</f>
        <v>-</v>
      </c>
      <c r="O19" s="58" t="str">
        <f>IFERROR(INDEX(Dataset!I:I,MATCH(_xlfn.AGGREGATE(14,6,Dataset!AK:AK/(Dataset!F:F=$D$11),K19),Dataset!AK:AK,0),1),"-")</f>
        <v>-</v>
      </c>
      <c r="P19" s="58" t="e">
        <f>IFERROR(INDEX(Dataset!R:R,MATCH(_xlfn.AGGREGATE(14,6,Dataset!AK:AK/(Dataset!F:F=$D$11),K19),Dataset!AK:AK,0),1),"-")/100</f>
        <v>#VALUE!</v>
      </c>
      <c r="Q19" s="58" t="str">
        <f>IFERROR(INDEX(Dataset!AA:AA,MATCH(_xlfn.AGGREGATE(14,6,Dataset!AK:AK/(Dataset!F:F=$D$11),K19),Dataset!AK:AK,0),1),"-")</f>
        <v>-</v>
      </c>
      <c r="R19" s="60" t="str">
        <f>IFERROR(INDEX(Dataset!J:J,MATCH(_xlfn.AGGREGATE(14,6,Dataset!AK:AK/(Dataset!F:F=$D$11),K19),Dataset!AK:AK,0),1),"-")</f>
        <v>-</v>
      </c>
      <c r="X19" s="52"/>
      <c r="Y19" s="63"/>
    </row>
    <row r="20" spans="3:26" ht="35.25" customHeight="1" x14ac:dyDescent="0.5">
      <c r="C20" s="57" t="s">
        <v>118</v>
      </c>
      <c r="D20" s="58">
        <f>SUMIFS(Dataset!AK:AK,Dataset!F:F,credito!D11,Dataset!AH:AH,"bono de gobierno", Dataset!T:T,"us$")</f>
        <v>0</v>
      </c>
      <c r="E20" s="58">
        <f>SUMIFS(Dataset!AJ:AJ,Dataset!F:F,credito!D11,Dataset!AH:AH,"bono de gobierno", Dataset!T:T,"us$")</f>
        <v>0</v>
      </c>
      <c r="F20" s="59">
        <f>SUMIFS(Dataset!V:V,Dataset!F:F,credito!D11,Dataset!AH:AH,"bono de gobierno", Dataset!T:T,"us$")/1000000</f>
        <v>0</v>
      </c>
      <c r="G20" s="60">
        <f>SUMIFS(Dataset!H:H,Dataset!F:F,credito!D11,Dataset!AH:AH,"bono de gobierno", Dataset!T:T,"us$")</f>
        <v>0</v>
      </c>
      <c r="H20" s="58">
        <f>SUMIFS(Dataset!I:I,Dataset!F:F,credito!D11,Dataset!AH:AH,"bono de gobierno", Dataset!T:T,"us$")</f>
        <v>0</v>
      </c>
      <c r="I20" s="58">
        <f>SUMIFS(Dataset!AA:AA,Dataset!F:F,credito!D11,Dataset!AH:AH,"bono de gobierno", Dataset!T:T,"us$")</f>
        <v>0</v>
      </c>
      <c r="K20" s="61">
        <v>3</v>
      </c>
      <c r="L20" s="58" t="str">
        <f>IFERROR(INDEX(Dataset!G:G,MATCH(_xlfn.AGGREGATE(14,6,Dataset!AK:AK/(Dataset!F:F=$D$11),K20),Dataset!AK:AK,0),1),"-")</f>
        <v>-</v>
      </c>
      <c r="M20" s="58" t="str">
        <f>IFERROR(INDEX(Dataset!AK:AK,MATCH(_xlfn.AGGREGATE(14,6,Dataset!AK:AK/(Dataset!F:F=$D$11),K20),Dataset!AK:AK,0),1),"-")</f>
        <v>-</v>
      </c>
      <c r="N20" s="58" t="str">
        <f>IFERROR(INDEX(Dataset!AJ:AJ,MATCH(_xlfn.AGGREGATE(14,6,Dataset!AK:AK/(Dataset!F:F=$D$11),K20),Dataset!AK:AK,0),1),"-")</f>
        <v>-</v>
      </c>
      <c r="O20" s="58" t="str">
        <f>IFERROR(INDEX(Dataset!I:I,MATCH(_xlfn.AGGREGATE(14,6,Dataset!AK:AK/(Dataset!F:F=$D$11),K20),Dataset!AK:AK,0),1),"-")</f>
        <v>-</v>
      </c>
      <c r="P20" s="58" t="e">
        <f>IFERROR(INDEX(Dataset!R:R,MATCH(_xlfn.AGGREGATE(14,6,Dataset!AK:AK/(Dataset!F:F=$D$11),K20),Dataset!AK:AK,0),1),"-")/100</f>
        <v>#VALUE!</v>
      </c>
      <c r="Q20" s="58" t="str">
        <f>IFERROR(INDEX(Dataset!AA:AA,MATCH(_xlfn.AGGREGATE(14,6,Dataset!AK:AK/(Dataset!F:F=$D$11),K20),Dataset!AK:AK,0),1),"-")</f>
        <v>-</v>
      </c>
      <c r="R20" s="60" t="str">
        <f>IFERROR(INDEX(Dataset!J:J,MATCH(_xlfn.AGGREGATE(14,6,Dataset!AK:AK/(Dataset!F:F=$D$11),K20),Dataset!AK:AK,0),1),"-")</f>
        <v>-</v>
      </c>
    </row>
    <row r="21" spans="3:26" ht="35.25" customHeight="1" x14ac:dyDescent="0.5">
      <c r="C21" s="57" t="s">
        <v>91</v>
      </c>
      <c r="D21" s="58">
        <f>SUMIFS(Dataset!AK:AK,Dataset!F:F,credito!D11,Dataset!AH:AH,"bono de gobierno", Dataset!T:T,"eu")</f>
        <v>0</v>
      </c>
      <c r="E21" s="58">
        <f>SUMIFS(Dataset!AJ:AJ,Dataset!F:F,credito!D11,Dataset!AH:AH,"bono de gobierno", Dataset!T:T,"eu")</f>
        <v>0</v>
      </c>
      <c r="F21" s="59">
        <f>SUMIFS(Dataset!V:V,Dataset!F:F,credito!D11,Dataset!AH:AH,"bono de gobierno", Dataset!T:T,"eu")/1000000</f>
        <v>0</v>
      </c>
      <c r="G21" s="60">
        <f>SUMIFS(Dataset!H:H,Dataset!F:F,credito!D11,Dataset!AH:AH,"bono de gobierno", Dataset!T:T,"eu")</f>
        <v>0</v>
      </c>
      <c r="H21" s="58">
        <f>SUMIFS(Dataset!I:I,Dataset!F:F,credito!D11,Dataset!AH:AH,"bono de gobierno", Dataset!T:T,"eu")</f>
        <v>0</v>
      </c>
      <c r="I21" s="58">
        <f>SUMIFS(Dataset!AA:AA,Dataset!F:F,credito!D11,Dataset!AH:AH,"bono de gobierno", Dataset!T:T,"eu")</f>
        <v>0</v>
      </c>
      <c r="K21" s="61">
        <v>4</v>
      </c>
      <c r="L21" s="58" t="str">
        <f>IFERROR(INDEX(Dataset!G:G,MATCH(_xlfn.AGGREGATE(14,6,Dataset!AK:AK/(Dataset!F:F=$D$11),K21),Dataset!AK:AK,0),1),"-")</f>
        <v>-</v>
      </c>
      <c r="M21" s="58" t="str">
        <f>IFERROR(INDEX(Dataset!AK:AK,MATCH(_xlfn.AGGREGATE(14,6,Dataset!AK:AK/(Dataset!F:F=$D$11),K21),Dataset!AK:AK,0),1),"-")</f>
        <v>-</v>
      </c>
      <c r="N21" s="58" t="str">
        <f>IFERROR(INDEX(Dataset!AJ:AJ,MATCH(_xlfn.AGGREGATE(14,6,Dataset!AK:AK/(Dataset!F:F=$D$11),K21),Dataset!AK:AK,0),1),"-")</f>
        <v>-</v>
      </c>
      <c r="O21" s="58" t="str">
        <f>IFERROR(INDEX(Dataset!I:I,MATCH(_xlfn.AGGREGATE(14,6,Dataset!AK:AK/(Dataset!F:F=$D$11),K21),Dataset!AK:AK,0),1),"-")</f>
        <v>-</v>
      </c>
      <c r="P21" s="58" t="e">
        <f>IFERROR(INDEX(Dataset!R:R,MATCH(_xlfn.AGGREGATE(14,6,Dataset!AK:AK/(Dataset!F:F=$D$11),K21),Dataset!AK:AK,0),1),"-")/100</f>
        <v>#VALUE!</v>
      </c>
      <c r="Q21" s="58" t="str">
        <f>IFERROR(INDEX(Dataset!AA:AA,MATCH(_xlfn.AGGREGATE(14,6,Dataset!AK:AK/(Dataset!F:F=$D$11),K21),Dataset!AK:AK,0),1),"-")</f>
        <v>-</v>
      </c>
      <c r="R21" s="60" t="str">
        <f>IFERROR(INDEX(Dataset!J:J,MATCH(_xlfn.AGGREGATE(14,6,Dataset!AK:AK/(Dataset!F:F=$D$11),K21),Dataset!AK:AK,0),1),"-")</f>
        <v>-</v>
      </c>
    </row>
    <row r="22" spans="3:26" ht="35.25" customHeight="1" x14ac:dyDescent="0.5">
      <c r="C22" s="57" t="s">
        <v>166</v>
      </c>
      <c r="D22" s="58">
        <f>SUMIFS(Dataset!AK:AK,Dataset!F:F,credito!D11,Dataset!AH:AH,"bono de gobierno", Dataset!T:T,"mx")</f>
        <v>0</v>
      </c>
      <c r="E22" s="58">
        <f>SUMIFS(Dataset!AJ:AJ,Dataset!F:F,credito!D11,Dataset!AH:AH,"bono de gobierno", Dataset!T:T,"mx")</f>
        <v>0</v>
      </c>
      <c r="F22" s="59">
        <f>SUMIFS(Dataset!V:V,Dataset!F:F,credito!D11,Dataset!AH:AH,"bono de gobierno", Dataset!T:T,"mx")/1000000</f>
        <v>0</v>
      </c>
      <c r="G22" s="60">
        <f>SUMIFS(Dataset!H:H,Dataset!F:F,credito!D11,Dataset!AH:AH,"bono de gobierno", Dataset!T:T,"mx")</f>
        <v>0</v>
      </c>
      <c r="H22" s="58">
        <f>SUMIFS(Dataset!I:I,Dataset!F:F,credito!D11,Dataset!AH:AH,"bono de gobierno", Dataset!T:T,"mx")</f>
        <v>0</v>
      </c>
      <c r="I22" s="58">
        <f>SUMIFS(Dataset!AA:AA,Dataset!F:F,credito!D11,Dataset!AH:AH,"bono de gobierno", Dataset!T:T,"mx")</f>
        <v>0</v>
      </c>
      <c r="K22" s="61">
        <v>5</v>
      </c>
      <c r="L22" s="58" t="str">
        <f>IFERROR(INDEX(Dataset!G:G,MATCH(_xlfn.AGGREGATE(14,6,Dataset!AK:AK/(Dataset!F:F=$D$11),K22),Dataset!AK:AK,0),1),"-")</f>
        <v>-</v>
      </c>
      <c r="M22" s="58" t="str">
        <f>IFERROR(INDEX(Dataset!AK:AK,MATCH(_xlfn.AGGREGATE(14,6,Dataset!AK:AK/(Dataset!F:F=$D$11),K22),Dataset!AK:AK,0),1),"-")</f>
        <v>-</v>
      </c>
      <c r="N22" s="58" t="str">
        <f>IFERROR(INDEX(Dataset!AJ:AJ,MATCH(_xlfn.AGGREGATE(14,6,Dataset!AK:AK/(Dataset!F:F=$D$11),K22),Dataset!AK:AK,0),1),"-")</f>
        <v>-</v>
      </c>
      <c r="O22" s="58" t="str">
        <f>IFERROR(INDEX(Dataset!I:I,MATCH(_xlfn.AGGREGATE(14,6,Dataset!AK:AK/(Dataset!F:F=$D$11),K22),Dataset!AK:AK,0),1),"-")</f>
        <v>-</v>
      </c>
      <c r="P22" s="58" t="e">
        <f>IFERROR(INDEX(Dataset!R:R,MATCH(_xlfn.AGGREGATE(14,6,Dataset!AK:AK/(Dataset!F:F=$D$11),K22),Dataset!AK:AK,0),1),"-")/100</f>
        <v>#VALUE!</v>
      </c>
      <c r="Q22" s="58" t="str">
        <f>IFERROR(INDEX(Dataset!AA:AA,MATCH(_xlfn.AGGREGATE(14,6,Dataset!AK:AK/(Dataset!F:F=$D$11),K22),Dataset!AK:AK,0),1),"-")</f>
        <v>-</v>
      </c>
      <c r="R22" s="60" t="str">
        <f>IFERROR(INDEX(Dataset!J:J,MATCH(_xlfn.AGGREGATE(14,6,Dataset!AK:AK/(Dataset!F:F=$D$11),K22),Dataset!AK:AK,0),1),"-")</f>
        <v>-</v>
      </c>
    </row>
    <row r="23" spans="3:26" ht="35.25" customHeight="1" x14ac:dyDescent="0.5">
      <c r="C23" s="57" t="s">
        <v>98</v>
      </c>
      <c r="D23" s="58">
        <f>SUMIFS(Dataset!AK:AK,Dataset!F:F,credito!D11,Dataset!AH:AH,"bono corporativo", Dataset!T:T,"$")</f>
        <v>0</v>
      </c>
      <c r="E23" s="58">
        <f>SUMIFS(Dataset!AJ:AJ,Dataset!F:F,credito!D11,Dataset!AH:AH,"bono corporativo", Dataset!T:T,"$")</f>
        <v>0</v>
      </c>
      <c r="F23" s="59">
        <f>SUMIFS(Dataset!V:V,Dataset!F:F,credito!D11,Dataset!AH:AH,"bono corporativo", Dataset!T:T,"$")/1000000</f>
        <v>0</v>
      </c>
      <c r="G23" s="60">
        <f>SUMIFS(Dataset!H:H,Dataset!F:F,credito!D11,Dataset!AH:AH,"bono corporativo", Dataset!T:T,"$")</f>
        <v>0</v>
      </c>
      <c r="H23" s="58">
        <f>SUMIFS(Dataset!I:I,Dataset!F:F,credito!D11,Dataset!AH:AH,"bono corporativo", Dataset!T:T,"$")</f>
        <v>0</v>
      </c>
      <c r="I23" s="58">
        <f>SUMIFS(Dataset!AA:AA,Dataset!F:F,credito!D11,Dataset!AH:AH,"bono corporativo", Dataset!T:T,"$")</f>
        <v>0</v>
      </c>
      <c r="K23" s="61">
        <v>6</v>
      </c>
      <c r="L23" s="58" t="str">
        <f>IFERROR(INDEX(Dataset!G:G,MATCH(_xlfn.AGGREGATE(14,6,Dataset!AK:AK/(Dataset!F:F=$D$11),K23),Dataset!AK:AK,0),1),"-")</f>
        <v>-</v>
      </c>
      <c r="M23" s="58" t="str">
        <f>IFERROR(INDEX(Dataset!AK:AK,MATCH(_xlfn.AGGREGATE(14,6,Dataset!AK:AK/(Dataset!F:F=$D$11),K23),Dataset!AK:AK,0),1),"-")</f>
        <v>-</v>
      </c>
      <c r="N23" s="58" t="str">
        <f>IFERROR(INDEX(Dataset!AJ:AJ,MATCH(_xlfn.AGGREGATE(14,6,Dataset!AK:AK/(Dataset!F:F=$D$11),K23),Dataset!AK:AK,0),1),"-")</f>
        <v>-</v>
      </c>
      <c r="O23" s="58" t="str">
        <f>IFERROR(INDEX(Dataset!I:I,MATCH(_xlfn.AGGREGATE(14,6,Dataset!AK:AK/(Dataset!F:F=$D$11),K23),Dataset!AK:AK,0),1),"-")</f>
        <v>-</v>
      </c>
      <c r="P23" s="58" t="e">
        <f>IFERROR(INDEX(Dataset!R:R,MATCH(_xlfn.AGGREGATE(14,6,Dataset!AK:AK/(Dataset!F:F=$D$11),K23),Dataset!AK:AK,0),1),"-")/100</f>
        <v>#VALUE!</v>
      </c>
      <c r="Q23" s="58" t="str">
        <f>IFERROR(INDEX(Dataset!AA:AA,MATCH(_xlfn.AGGREGATE(14,6,Dataset!AK:AK/(Dataset!F:F=$D$11),K23),Dataset!AK:AK,0),1),"-")</f>
        <v>-</v>
      </c>
      <c r="R23" s="60" t="str">
        <f>IFERROR(INDEX(Dataset!J:J,MATCH(_xlfn.AGGREGATE(14,6,Dataset!AK:AK/(Dataset!F:F=$D$11),K23),Dataset!AK:AK,0),1),"-")</f>
        <v>-</v>
      </c>
    </row>
    <row r="24" spans="3:26" ht="35.25" customHeight="1" x14ac:dyDescent="0.5">
      <c r="C24" s="57" t="s">
        <v>73</v>
      </c>
      <c r="D24" s="58">
        <f>SUMIFS(Dataset!AK:AK,Dataset!F:F,credito!D11,Dataset!AH:AH,"bono corporativo", Dataset!T:T,"uf")</f>
        <v>0</v>
      </c>
      <c r="E24" s="58">
        <f>SUMIFS(Dataset!AJ:AJ,Dataset!F:F,credito!D11,Dataset!AH:AH,"bono corporativo", Dataset!T:T,"uf")</f>
        <v>0</v>
      </c>
      <c r="F24" s="59">
        <f>SUMIFS(Dataset!V:V,Dataset!F:F,credito!D11,Dataset!AH:AH,"bono corporativo", Dataset!T:T,"uf")/1000000</f>
        <v>0</v>
      </c>
      <c r="G24" s="60">
        <f>SUMIFS(Dataset!H:H,Dataset!F:F,credito!D11,Dataset!AH:AH,"bono corporativo", Dataset!T:T,"uf")</f>
        <v>0</v>
      </c>
      <c r="H24" s="58">
        <f>SUMIFS(Dataset!I:I,Dataset!F:F,credito!D11,Dataset!AH:AH,"bono corporativo", Dataset!T:T,"uf")</f>
        <v>0</v>
      </c>
      <c r="I24" s="58">
        <f>SUMIFS(Dataset!AA:AA,Dataset!F:F,credito!D11,Dataset!AH:AH,"bono corporativo", Dataset!T:T,"uf")</f>
        <v>0</v>
      </c>
      <c r="K24" s="61">
        <v>7</v>
      </c>
      <c r="L24" s="58" t="str">
        <f>IFERROR(INDEX(Dataset!G:G,MATCH(_xlfn.AGGREGATE(14,6,Dataset!AK:AK/(Dataset!F:F=$D$11),K24),Dataset!AK:AK,0),1),"-")</f>
        <v>-</v>
      </c>
      <c r="M24" s="58" t="str">
        <f>IFERROR(INDEX(Dataset!AK:AK,MATCH(_xlfn.AGGREGATE(14,6,Dataset!AK:AK/(Dataset!F:F=$D$11),K24),Dataset!AK:AK,0),1),"-")</f>
        <v>-</v>
      </c>
      <c r="N24" s="58" t="str">
        <f>IFERROR(INDEX(Dataset!AJ:AJ,MATCH(_xlfn.AGGREGATE(14,6,Dataset!AK:AK/(Dataset!F:F=$D$11),K24),Dataset!AK:AK,0),1),"-")</f>
        <v>-</v>
      </c>
      <c r="O24" s="58" t="str">
        <f>IFERROR(INDEX(Dataset!I:I,MATCH(_xlfn.AGGREGATE(14,6,Dataset!AK:AK/(Dataset!F:F=$D$11),K24),Dataset!AK:AK,0),1),"-")</f>
        <v>-</v>
      </c>
      <c r="P24" s="58" t="e">
        <f>IFERROR(INDEX(Dataset!R:R,MATCH(_xlfn.AGGREGATE(14,6,Dataset!AK:AK/(Dataset!F:F=$D$11),K24),Dataset!AK:AK,0),1),"-")/100</f>
        <v>#VALUE!</v>
      </c>
      <c r="Q24" s="58" t="str">
        <f>IFERROR(INDEX(Dataset!AA:AA,MATCH(_xlfn.AGGREGATE(14,6,Dataset!AK:AK/(Dataset!F:F=$D$11),K24),Dataset!AK:AK,0),1),"-")</f>
        <v>-</v>
      </c>
      <c r="R24" s="60" t="str">
        <f>IFERROR(INDEX(Dataset!J:J,MATCH(_xlfn.AGGREGATE(14,6,Dataset!AK:AK/(Dataset!F:F=$D$11),K24),Dataset!AK:AK,0),1),"-")</f>
        <v>-</v>
      </c>
    </row>
    <row r="25" spans="3:26" ht="35.25" customHeight="1" x14ac:dyDescent="0.5">
      <c r="C25" s="57" t="s">
        <v>97</v>
      </c>
      <c r="D25" s="58">
        <f>SUMIFS(Dataset!AK:AK,Dataset!F:F,credito!D11,Dataset!AH:AH,"bono corporativo", Dataset!T:T,"us$")</f>
        <v>0</v>
      </c>
      <c r="E25" s="58">
        <f>SUMIFS(Dataset!AJ:AJ,Dataset!F:F,credito!D11,Dataset!AH:AH,"bono corporativo", Dataset!T:T,"us$")</f>
        <v>0</v>
      </c>
      <c r="F25" s="59">
        <f>SUMIFS(Dataset!V:V,Dataset!F:F,credito!D11,Dataset!AH:AH,"bono corporativo", Dataset!T:T,"us$")/1000000</f>
        <v>0</v>
      </c>
      <c r="G25" s="60">
        <f>SUMIFS(Dataset!H:H,Dataset!F:F,credito!D11,Dataset!AH:AH,"bono corporativo", Dataset!T:T,"us$")</f>
        <v>0</v>
      </c>
      <c r="H25" s="58">
        <f>SUMIFS(Dataset!I:I,Dataset!F:F,credito!D11,Dataset!AH:AH,"bono corporativo", Dataset!T:T,"us$")</f>
        <v>0</v>
      </c>
      <c r="I25" s="58">
        <f>SUMIFS(Dataset!AA:AA,Dataset!F:F,credito!D11,Dataset!AH:AH,"bono corporativo", Dataset!T:T,"us$")</f>
        <v>0</v>
      </c>
      <c r="K25" s="61">
        <v>8</v>
      </c>
      <c r="L25" s="58" t="str">
        <f>IFERROR(INDEX(Dataset!G:G,MATCH(_xlfn.AGGREGATE(14,6,Dataset!AK:AK/(Dataset!F:F=$D$11),K25),Dataset!AK:AK,0),1),"-")</f>
        <v>-</v>
      </c>
      <c r="M25" s="58" t="str">
        <f>IFERROR(INDEX(Dataset!AK:AK,MATCH(_xlfn.AGGREGATE(14,6,Dataset!AK:AK/(Dataset!F:F=$D$11),K25),Dataset!AK:AK,0),1),"-")</f>
        <v>-</v>
      </c>
      <c r="N25" s="58" t="str">
        <f>IFERROR(INDEX(Dataset!AJ:AJ,MATCH(_xlfn.AGGREGATE(14,6,Dataset!AK:AK/(Dataset!F:F=$D$11),K25),Dataset!AK:AK,0),1),"-")</f>
        <v>-</v>
      </c>
      <c r="O25" s="58" t="str">
        <f>IFERROR(INDEX(Dataset!I:I,MATCH(_xlfn.AGGREGATE(14,6,Dataset!AK:AK/(Dataset!F:F=$D$11),K25),Dataset!AK:AK,0),1),"-")</f>
        <v>-</v>
      </c>
      <c r="P25" s="58" t="e">
        <f>IFERROR(INDEX(Dataset!R:R,MATCH(_xlfn.AGGREGATE(14,6,Dataset!AK:AK/(Dataset!F:F=$D$11),K25),Dataset!AK:AK,0),1),"-")/100</f>
        <v>#VALUE!</v>
      </c>
      <c r="Q25" s="58" t="str">
        <f>IFERROR(INDEX(Dataset!AA:AA,MATCH(_xlfn.AGGREGATE(14,6,Dataset!AK:AK/(Dataset!F:F=$D$11),K25),Dataset!AK:AK,0),1),"-")</f>
        <v>-</v>
      </c>
      <c r="R25" s="60" t="str">
        <f>IFERROR(INDEX(Dataset!J:J,MATCH(_xlfn.AGGREGATE(14,6,Dataset!AK:AK/(Dataset!F:F=$D$11),K25),Dataset!AK:AK,0),1),"-")</f>
        <v>-</v>
      </c>
    </row>
    <row r="26" spans="3:26" ht="35.25" customHeight="1" x14ac:dyDescent="0.5">
      <c r="C26" s="57" t="s">
        <v>65</v>
      </c>
      <c r="D26" s="58">
        <f>SUMIFS(Dataset!AK:AK,Dataset!F:F,credito!D11,Dataset!AH:AH,"factura")</f>
        <v>0</v>
      </c>
      <c r="E26" s="58">
        <f>SUMIFS(Dataset!AJ:AJ,Dataset!F:F,credito!D11,Dataset!AH:AH,"factura")</f>
        <v>0</v>
      </c>
      <c r="F26" s="59">
        <f>SUMIFS(Dataset!V:V,Dataset!F:F,credito!D11,Dataset!AH:AH,"factura")/1000000</f>
        <v>0</v>
      </c>
      <c r="G26" s="60">
        <f>SUMIFS(Dataset!H:H,Dataset!F:F,credito!D11,Dataset!AH:AH,"factura")</f>
        <v>0</v>
      </c>
      <c r="H26" s="58">
        <f>SUMIFS(Dataset!I:I,Dataset!F:F,credito!D11,Dataset!AH:AH,"factura")</f>
        <v>0</v>
      </c>
      <c r="I26" s="58">
        <f>SUMIFS(Dataset!AA:AA,Dataset!F:F,credito!D11,Dataset!AH:AH,"factura")</f>
        <v>0</v>
      </c>
      <c r="K26" s="61">
        <v>9</v>
      </c>
      <c r="L26" s="58" t="str">
        <f>IFERROR(INDEX(Dataset!G:G,MATCH(_xlfn.AGGREGATE(14,6,Dataset!AK:AK/(Dataset!F:F=$D$11),K26),Dataset!AK:AK,0),1),"-")</f>
        <v>-</v>
      </c>
      <c r="M26" s="58" t="str">
        <f>IFERROR(INDEX(Dataset!AK:AK,MATCH(_xlfn.AGGREGATE(14,6,Dataset!AK:AK/(Dataset!F:F=$D$11),K26),Dataset!AK:AK,0),1),"-")</f>
        <v>-</v>
      </c>
      <c r="N26" s="58" t="str">
        <f>IFERROR(INDEX(Dataset!AJ:AJ,MATCH(_xlfn.AGGREGATE(14,6,Dataset!AK:AK/(Dataset!F:F=$D$11),K26),Dataset!AK:AK,0),1),"-")</f>
        <v>-</v>
      </c>
      <c r="O26" s="58" t="str">
        <f>IFERROR(INDEX(Dataset!I:I,MATCH(_xlfn.AGGREGATE(14,6,Dataset!AK:AK/(Dataset!F:F=$D$11),K26),Dataset!AK:AK,0),1),"-")</f>
        <v>-</v>
      </c>
      <c r="P26" s="58" t="e">
        <f>IFERROR(INDEX(Dataset!R:R,MATCH(_xlfn.AGGREGATE(14,6,Dataset!AK:AK/(Dataset!F:F=$D$11),K26),Dataset!AK:AK,0),1),"-")/100</f>
        <v>#VALUE!</v>
      </c>
      <c r="Q26" s="58" t="str">
        <f>IFERROR(INDEX(Dataset!AA:AA,MATCH(_xlfn.AGGREGATE(14,6,Dataset!AK:AK/(Dataset!F:F=$D$11),K26),Dataset!AK:AK,0),1),"-")</f>
        <v>-</v>
      </c>
      <c r="R26" s="60" t="str">
        <f>IFERROR(INDEX(Dataset!J:J,MATCH(_xlfn.AGGREGATE(14,6,Dataset!AK:AK/(Dataset!F:F=$D$11),K26),Dataset!AK:AK,0),1),"-")</f>
        <v>-</v>
      </c>
    </row>
    <row r="27" spans="3:26" ht="35.25" customHeight="1" x14ac:dyDescent="0.5">
      <c r="C27" s="57" t="s">
        <v>99</v>
      </c>
      <c r="D27" s="58">
        <f>SUMIFS(Dataset!AK:AK,Dataset!F:F,credito!D11,Dataset!AH:AH,"fx forward", Dataset!T:T,"$")</f>
        <v>0</v>
      </c>
      <c r="E27" s="58">
        <f>SUMIFS(Dataset!AJ:AJ,Dataset!F:F,credito!D11,Dataset!AH:AH,"fx forward", Dataset!T:T,"$")</f>
        <v>0</v>
      </c>
      <c r="F27" s="59">
        <f>SUMIFS(Dataset!V:V,Dataset!F:F,credito!D11,Dataset!AH:AH,"fx forward", Dataset!T:T,"$")/1000000</f>
        <v>0</v>
      </c>
      <c r="G27" s="60">
        <f>SUMIFS(Dataset!H:H,Dataset!F:F,credito!D11,Dataset!AH:AH,"fx forward", Dataset!T:T,"$")</f>
        <v>0</v>
      </c>
      <c r="H27" s="58">
        <f>SUMIFS(Dataset!I:I,Dataset!F:F,credito!D11,Dataset!AH:AH,"fx forward", Dataset!T:T,"$")</f>
        <v>0</v>
      </c>
      <c r="I27" s="58">
        <f>SUMIFS(Dataset!AA:AA,Dataset!F:F,credito!D11,Dataset!AH:AH,"fx forward", Dataset!T:T,"$")</f>
        <v>0</v>
      </c>
      <c r="K27" s="61">
        <v>10</v>
      </c>
      <c r="L27" s="58" t="str">
        <f>IFERROR(INDEX(Dataset!G:G,MATCH(_xlfn.AGGREGATE(14,6,Dataset!AK:AK/(Dataset!F:F=$D$11),K27),Dataset!AK:AK,0),1),"-")</f>
        <v>-</v>
      </c>
      <c r="M27" s="58" t="str">
        <f>IFERROR(INDEX(Dataset!AK:AK,MATCH(_xlfn.AGGREGATE(14,6,Dataset!AK:AK/(Dataset!F:F=$D$11),K27),Dataset!AK:AK,0),1),"-")</f>
        <v>-</v>
      </c>
      <c r="N27" s="58" t="str">
        <f>IFERROR(INDEX(Dataset!AJ:AJ,MATCH(_xlfn.AGGREGATE(14,6,Dataset!AK:AK/(Dataset!F:F=$D$11),K27),Dataset!AK:AK,0),1),"-")</f>
        <v>-</v>
      </c>
      <c r="O27" s="58" t="str">
        <f>IFERROR(INDEX(Dataset!I:I,MATCH(_xlfn.AGGREGATE(14,6,Dataset!AK:AK/(Dataset!F:F=$D$11),K27),Dataset!AK:AK,0),1),"-")</f>
        <v>-</v>
      </c>
      <c r="P27" s="58" t="e">
        <f>IFERROR(INDEX(Dataset!R:R,MATCH(_xlfn.AGGREGATE(14,6,Dataset!AK:AK/(Dataset!F:F=$D$11),K27),Dataset!AK:AK,0),1),"-")/100</f>
        <v>#VALUE!</v>
      </c>
      <c r="Q27" s="58" t="str">
        <f>IFERROR(INDEX(Dataset!AA:AA,MATCH(_xlfn.AGGREGATE(14,6,Dataset!AK:AK/(Dataset!F:F=$D$11),K27),Dataset!AK:AK,0),1),"-")</f>
        <v>-</v>
      </c>
      <c r="R27" s="60" t="str">
        <f>IFERROR(INDEX(Dataset!J:J,MATCH(_xlfn.AGGREGATE(14,6,Dataset!AK:AK/(Dataset!F:F=$D$11),K27),Dataset!AK:AK,0),1),"-")</f>
        <v>-</v>
      </c>
    </row>
    <row r="28" spans="3:26" ht="35.25" customHeight="1" x14ac:dyDescent="0.5">
      <c r="C28" s="57" t="s">
        <v>119</v>
      </c>
      <c r="D28" s="58">
        <f>SUMIFS(Dataset!AK:AK,Dataset!F:F,credito!D11,Dataset!AH:AH,"fx forward", Dataset!T:T,"UF")</f>
        <v>0</v>
      </c>
      <c r="E28" s="58">
        <f>SUMIFS(Dataset!AJ:AJ,Dataset!F:F,credito!D11,Dataset!AH:AH,"fx forward", Dataset!T:T,"UF")</f>
        <v>0</v>
      </c>
      <c r="F28" s="59">
        <f>SUMIFS(Dataset!V:V,Dataset!F:F,credito!D11,Dataset!AH:AH,"fx forward", Dataset!T:T,"UF")/1000000</f>
        <v>0</v>
      </c>
      <c r="G28" s="60">
        <f>SUMIFS(Dataset!H:H,Dataset!F:F,credito!D11,Dataset!AH:AH,"fx forward", Dataset!T:T,"UF")</f>
        <v>0</v>
      </c>
      <c r="H28" s="58">
        <f>SUMIFS(Dataset!I:I,Dataset!F:F,credito!D11,Dataset!AH:AH,"fx forward", Dataset!T:T,"UF")</f>
        <v>0</v>
      </c>
      <c r="I28" s="58">
        <f>SUMIFS(Dataset!AA:AA,Dataset!F:F,credito!D11,Dataset!AH:AH,"fx forward", Dataset!T:T,"UF")</f>
        <v>0</v>
      </c>
    </row>
    <row r="29" spans="3:26" ht="44.25" customHeight="1" x14ac:dyDescent="0.5">
      <c r="C29" s="57" t="s">
        <v>100</v>
      </c>
      <c r="D29" s="58">
        <f>SUMIFS(Dataset!AK:AK,Dataset!F:F,credito!D11,Dataset!AH:AH,"fx forward", Dataset!T:T,"us$")</f>
        <v>0</v>
      </c>
      <c r="E29" s="58">
        <f>SUMIFS(Dataset!AJ:AJ,Dataset!F:F,credito!D11,Dataset!AH:AH,"fx forward", Dataset!T:T,"us$")</f>
        <v>0</v>
      </c>
      <c r="F29" s="59">
        <f>SUMIFS(Dataset!V:V,Dataset!F:F,credito!D11,Dataset!AH:AH,"fx forward", Dataset!T:T,"us$")/1000000</f>
        <v>0</v>
      </c>
      <c r="G29" s="60">
        <f>SUMIFS(Dataset!H:H,Dataset!F:F,credito!D11,Dataset!AH:AH,"fx forward", Dataset!T:T,"us$")</f>
        <v>0</v>
      </c>
      <c r="H29" s="58">
        <f>SUMIFS(Dataset!I:I,Dataset!F:F,credito!D11,Dataset!AH:AH,"fx forward", Dataset!T:T,"us$")</f>
        <v>0</v>
      </c>
      <c r="I29" s="58">
        <f>SUMIFS(Dataset!AA:AA,Dataset!F:F,credito!D11,Dataset!AH:AH,"fx forward", Dataset!T:T,"us$")</f>
        <v>0</v>
      </c>
      <c r="K29" s="174" t="s">
        <v>268</v>
      </c>
      <c r="L29" s="174"/>
      <c r="M29" s="174"/>
      <c r="N29" s="174"/>
      <c r="O29" s="174"/>
      <c r="P29" s="174"/>
      <c r="Q29" s="174"/>
      <c r="R29" s="174"/>
    </row>
    <row r="30" spans="3:26" ht="35.25" customHeight="1" x14ac:dyDescent="0.5">
      <c r="C30" s="57" t="s">
        <v>101</v>
      </c>
      <c r="D30" s="58">
        <f>SUMIFS(Dataset!AK:AK,Dataset!F:F,credito!D11,Dataset!AH:AH,"fx", Dataset!T:T,"$")</f>
        <v>0</v>
      </c>
      <c r="E30" s="58">
        <f>SUMIFS(Dataset!AJ:AJ,Dataset!F:F,credito!D11,Dataset!AH:AH,"fx", Dataset!T:T,"$")</f>
        <v>0</v>
      </c>
      <c r="F30" s="59">
        <f>SUMIFS(Dataset!V:V,Dataset!F:F,credito!D11,Dataset!AH:AH,"fx", Dataset!T:T,"$")/1000000</f>
        <v>0</v>
      </c>
      <c r="G30" s="60">
        <f>SUMIFS(Dataset!H:H,Dataset!F:F,credito!D11,Dataset!AH:AH,"fx", Dataset!T:T,"$")</f>
        <v>0</v>
      </c>
      <c r="H30" s="58">
        <f>SUMIFS(Dataset!I:I,Dataset!F:F,credito!D11,Dataset!AH:AH,"fx", Dataset!T:T,"$")</f>
        <v>0</v>
      </c>
      <c r="I30" s="58">
        <f>SUMIFS(Dataset!AA:AA,Dataset!F:F,credito!D11,Dataset!AH:AH,"fx", Dataset!T:T,"$")</f>
        <v>0</v>
      </c>
    </row>
    <row r="31" spans="3:26" ht="33" customHeight="1" x14ac:dyDescent="0.5">
      <c r="C31" s="57" t="s">
        <v>102</v>
      </c>
      <c r="D31" s="58">
        <f>SUMIFS(Dataset!AK:AK,Dataset!F:F,credito!D11,Dataset!AH:AH,"fx", Dataset!T:T,"us$")</f>
        <v>0</v>
      </c>
      <c r="E31" s="58">
        <f>SUMIFS(Dataset!AJ:AJ,Dataset!F:F,credito!D11,Dataset!AH:AH,"fx", Dataset!T:T,"us$")</f>
        <v>0</v>
      </c>
      <c r="F31" s="59">
        <f>SUMIFS(Dataset!V:V,Dataset!F:F,credito!D11,Dataset!AH:AH,"fx", Dataset!T:T,"us$")/1000000</f>
        <v>0</v>
      </c>
      <c r="G31" s="60">
        <f>SUMIFS(Dataset!H:H,Dataset!F:F,credito!D11,Dataset!AH:AH,"fx", Dataset!T:T,"us$")</f>
        <v>0</v>
      </c>
      <c r="H31" s="58">
        <f>SUMIFS(Dataset!I:I,Dataset!F:F,credito!D11,Dataset!AH:AH,"fx", Dataset!T:T,"us$")</f>
        <v>0</v>
      </c>
      <c r="I31" s="58">
        <f>SUMIFS(Dataset!AA:AA,Dataset!F:F,credito!D11,Dataset!AH:AH,"fx", Dataset!T:T,"us$")</f>
        <v>0</v>
      </c>
      <c r="K31" s="55" t="s">
        <v>85</v>
      </c>
      <c r="L31" s="55" t="s">
        <v>86</v>
      </c>
      <c r="M31" s="55" t="s">
        <v>70</v>
      </c>
      <c r="N31" s="55" t="s">
        <v>265</v>
      </c>
      <c r="O31" s="55" t="s">
        <v>6</v>
      </c>
      <c r="P31" s="55" t="s">
        <v>71</v>
      </c>
      <c r="Q31" s="55" t="s">
        <v>21</v>
      </c>
      <c r="R31" s="55" t="s">
        <v>72</v>
      </c>
    </row>
    <row r="32" spans="3:26" ht="48" customHeight="1" x14ac:dyDescent="0.5">
      <c r="C32" s="57" t="s">
        <v>227</v>
      </c>
      <c r="D32" s="58">
        <f>SUMIFS(Dataset!AK:AK,Dataset!F:F,credito!D11,Dataset!AH:AH,"Leverage")</f>
        <v>0</v>
      </c>
      <c r="E32" s="58">
        <f>SUMIFS(Dataset!AJ:AJ,Dataset!F:F,credito!D11,Dataset!AH:AH,"Leverage")</f>
        <v>0</v>
      </c>
      <c r="F32" s="59">
        <f>SUMIFS(Dataset!V:V,Dataset!F:F,credito!D11,Dataset!AH:AH,"Leverage")/1000000</f>
        <v>0</v>
      </c>
      <c r="G32" s="60">
        <f>SUMIFS(Dataset!H:H,Dataset!F:F,credito!D11,Dataset!AH:AH,"Leverage")</f>
        <v>0</v>
      </c>
      <c r="H32" s="58">
        <f>SUMIFS(Dataset!I:I,Dataset!F:F,credito!D11,Dataset!AH:AH,"Leverage")</f>
        <v>0</v>
      </c>
      <c r="I32" s="58">
        <f>SUMIFS(Dataset!AA:AA,Dataset!F:F,credito!D11,Dataset!AH:AH,"Leverage")</f>
        <v>0</v>
      </c>
      <c r="K32" s="61">
        <v>1</v>
      </c>
      <c r="L32" s="58" t="str">
        <f>IFERROR(INDEX(Dataset!G:G,MATCH(_xlfn.AGGREGATE(14,6,Dataset!I:I/(Dataset!F:F=$D$11),K32),Dataset!I:I,0),1),"-")</f>
        <v>-</v>
      </c>
      <c r="M32" s="58" t="str">
        <f>IFERROR(INDEX(Dataset!AK:AK,MATCH(_xlfn.AGGREGATE(14,6,Dataset!I:I/(Dataset!F:F=$D$11),K32),Dataset!I:I,0),1),"-")</f>
        <v>-</v>
      </c>
      <c r="N32" s="58" t="str">
        <f>IFERROR(INDEX(Dataset!AJ:AJ,MATCH(_xlfn.AGGREGATE(14,6,Dataset!I:I/(Dataset!F:F=$D$11),K32),Dataset!I:I,0),1),"-")</f>
        <v>-</v>
      </c>
      <c r="O32" s="58" t="str">
        <f>IFERROR(INDEX(Dataset!I:I,MATCH(_xlfn.AGGREGATE(14,6,Dataset!I:I/(Dataset!F:F=$D$11),K32),Dataset!I:I,0),1),"-")</f>
        <v>-</v>
      </c>
      <c r="P32" s="58" t="e">
        <f>IFERROR(INDEX(Dataset!R:R,MATCH(_xlfn.AGGREGATE(14,6,Dataset!I:I/(Dataset!F:F=$D$11),K32),Dataset!I:I,0),1),"-")/100</f>
        <v>#VALUE!</v>
      </c>
      <c r="Q32" s="58" t="str">
        <f>IFERROR(INDEX(Dataset!AA:AA,MATCH(_xlfn.AGGREGATE(14,6,Dataset!I:I/(Dataset!F:F=$D$11),K32),Dataset!I:I,0),1),"-")</f>
        <v>-</v>
      </c>
      <c r="R32" s="60" t="str">
        <f>IFERROR(INDEX(Dataset!J:J,MATCH(_xlfn.AGGREGATE(14,6,Dataset!I:I/(Dataset!F:F=$D$11),K32),Dataset!I:I,0),1),"-")</f>
        <v>-</v>
      </c>
    </row>
    <row r="33" spans="3:35" ht="33" customHeight="1" x14ac:dyDescent="0.5">
      <c r="C33" s="57" t="s">
        <v>37</v>
      </c>
      <c r="D33" s="58">
        <f>SUMIFS(Dataset!AK:AK,Dataset!F:F,credito!D11,Dataset!AH:AH,"&lt;&gt;deposito",Dataset!AH:AH,"&lt;&gt;bono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E33" s="58">
        <f>SUMIFS(Dataset!AJ:AJ,Dataset!F:F,credito!D11,Dataset!AH:AH,"&lt;&gt;deposito",Dataset!AH:AH,"&lt;&gt;bono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F33" s="59">
        <f>SUMIFS(Dataset!V:V,Dataset!F:F,credito!D11,Dataset!AH:AH,"&lt;&gt;deposito",Dataset!AH:AH,"&lt;&gt;bono de gobierno",Dataset!AH:AH,"&lt;&gt;bono corporativo",Dataset!AH:AH,"&lt;&gt;factura",Dataset!AH:AH,"&lt;&gt;fx",Dataset!AH:AH,"&lt;&gt;fx forward",Dataset!AH:AH,"&lt;&gt;Leverage")/1000000</f>
        <v>0</v>
      </c>
      <c r="G33" s="60">
        <f>SUMIFS(Dataset!H:H,Dataset!F:F,credito!D11,Dataset!AH:AH,"&lt;&gt;deposito",Dataset!AH:AH,"&lt;&gt;bono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H33" s="58">
        <f>SUMIFS(Dataset!I:I,Dataset!F:F,credito!D11,Dataset!AH:AH,"&lt;&gt;deposito",Dataset!AH:AH,"&lt;&gt;bono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I33" s="58">
        <f>SUMIFS(Dataset!AA:AA,Dataset!F:F,credito!D11,Dataset!AH:AH,"&lt;&gt;deposito",Dataset!AH:AH,"&lt;&gt;bono de gobierno",Dataset!AH:AH,"&lt;&gt;bono corporativo",Dataset!AH:AH,"&lt;&gt;factura",Dataset!AH:AH,"&lt;&gt;fx",Dataset!AH:AH,"&lt;&gt;fx forward",Dataset!AH:AH,"&lt;&gt;Leverage")</f>
        <v>0</v>
      </c>
      <c r="K33" s="61">
        <v>2</v>
      </c>
      <c r="L33" s="58" t="str">
        <f>IFERROR(INDEX(Dataset!G:G,MATCH(_xlfn.AGGREGATE(14,6,Dataset!I:I/(Dataset!F:F=$D$11),K33),Dataset!I:I,0),1),"-")</f>
        <v>-</v>
      </c>
      <c r="M33" s="58" t="str">
        <f>IFERROR(INDEX(Dataset!AK:AK,MATCH(_xlfn.AGGREGATE(14,6,Dataset!I:I/(Dataset!F:F=$D$11),K33),Dataset!I:I,0),1),"-")</f>
        <v>-</v>
      </c>
      <c r="N33" s="58" t="str">
        <f>IFERROR(INDEX(Dataset!AJ:AJ,MATCH(_xlfn.AGGREGATE(14,6,Dataset!I:I/(Dataset!F:F=$D$11),K33),Dataset!I:I,0),1),"-")</f>
        <v>-</v>
      </c>
      <c r="O33" s="58" t="str">
        <f>IFERROR(INDEX(Dataset!I:I,MATCH(_xlfn.AGGREGATE(14,6,Dataset!I:I/(Dataset!F:F=$D$11),K33),Dataset!I:I,0),1),"-")</f>
        <v>-</v>
      </c>
      <c r="P33" s="58" t="e">
        <f>IFERROR(INDEX(Dataset!R:R,MATCH(_xlfn.AGGREGATE(14,6,Dataset!I:I/(Dataset!F:F=$D$11),K33),Dataset!I:I,0),1),"-")/100</f>
        <v>#VALUE!</v>
      </c>
      <c r="Q33" s="58" t="str">
        <f>IFERROR(INDEX(Dataset!AA:AA,MATCH(_xlfn.AGGREGATE(14,6,Dataset!I:I/(Dataset!F:F=$D$11),K33),Dataset!I:I,0),1),"-")</f>
        <v>-</v>
      </c>
      <c r="R33" s="60" t="str">
        <f>IFERROR(INDEX(Dataset!J:J,MATCH(_xlfn.AGGREGATE(14,6,Dataset!I:I/(Dataset!F:F=$D$11),K33),Dataset!I:I,0),1),"-")</f>
        <v>-</v>
      </c>
    </row>
    <row r="34" spans="3:35" ht="42" customHeight="1" x14ac:dyDescent="0.5">
      <c r="C34" s="65" t="s">
        <v>66</v>
      </c>
      <c r="D34" s="66">
        <f t="shared" ref="D34:I34" si="0">SUM(D16:D33)</f>
        <v>0</v>
      </c>
      <c r="E34" s="66">
        <f t="shared" si="0"/>
        <v>0</v>
      </c>
      <c r="F34" s="67">
        <f t="shared" si="0"/>
        <v>0</v>
      </c>
      <c r="G34" s="68">
        <f t="shared" si="0"/>
        <v>0</v>
      </c>
      <c r="H34" s="66">
        <f t="shared" si="0"/>
        <v>0</v>
      </c>
      <c r="I34" s="66">
        <f t="shared" si="0"/>
        <v>0</v>
      </c>
      <c r="K34" s="61">
        <v>3</v>
      </c>
      <c r="L34" s="58" t="str">
        <f>IFERROR(INDEX(Dataset!G:G,MATCH(_xlfn.AGGREGATE(14,6,Dataset!I:I/(Dataset!F:F=$D$11),K34),Dataset!I:I,0),1),"-")</f>
        <v>-</v>
      </c>
      <c r="M34" s="58" t="str">
        <f>IFERROR(INDEX(Dataset!AK:AK,MATCH(_xlfn.AGGREGATE(14,6,Dataset!I:I/(Dataset!F:F=$D$11),K34),Dataset!I:I,0),1),"-")</f>
        <v>-</v>
      </c>
      <c r="N34" s="58" t="str">
        <f>IFERROR(INDEX(Dataset!AJ:AJ,MATCH(_xlfn.AGGREGATE(14,6,Dataset!I:I/(Dataset!F:F=$D$11),K34),Dataset!I:I,0),1),"-")</f>
        <v>-</v>
      </c>
      <c r="O34" s="58" t="str">
        <f>IFERROR(INDEX(Dataset!I:I,MATCH(_xlfn.AGGREGATE(14,6,Dataset!I:I/(Dataset!F:F=$D$11),K34),Dataset!I:I,0),1),"-")</f>
        <v>-</v>
      </c>
      <c r="P34" s="58" t="e">
        <f>IFERROR(INDEX(Dataset!R:R,MATCH(_xlfn.AGGREGATE(14,6,Dataset!I:I/(Dataset!F:F=$D$11),K34),Dataset!I:I,0),1),"-")/100</f>
        <v>#VALUE!</v>
      </c>
      <c r="Q34" s="58" t="str">
        <f>IFERROR(INDEX(Dataset!AA:AA,MATCH(_xlfn.AGGREGATE(14,6,Dataset!I:I/(Dataset!F:F=$D$11),K34),Dataset!I:I,0),1),"-")</f>
        <v>-</v>
      </c>
      <c r="R34" s="60" t="str">
        <f>IFERROR(INDEX(Dataset!J:J,MATCH(_xlfn.AGGREGATE(14,6,Dataset!I:I/(Dataset!F:F=$D$11),K34),Dataset!I:I,0),1),"-")</f>
        <v>-</v>
      </c>
    </row>
    <row r="35" spans="3:35" ht="39" customHeight="1" x14ac:dyDescent="0.5">
      <c r="K35" s="61">
        <v>4</v>
      </c>
      <c r="L35" s="58" t="str">
        <f>IFERROR(INDEX(Dataset!G:G,MATCH(_xlfn.AGGREGATE(14,6,Dataset!I:I/(Dataset!F:F=$D$11),K35),Dataset!I:I,0),1),"-")</f>
        <v>-</v>
      </c>
      <c r="M35" s="58" t="str">
        <f>IFERROR(INDEX(Dataset!AK:AK,MATCH(_xlfn.AGGREGATE(14,6,Dataset!I:I/(Dataset!F:F=$D$11),K35),Dataset!I:I,0),1),"-")</f>
        <v>-</v>
      </c>
      <c r="N35" s="58" t="str">
        <f>IFERROR(INDEX(Dataset!AJ:AJ,MATCH(_xlfn.AGGREGATE(14,6,Dataset!I:I/(Dataset!F:F=$D$11),K35),Dataset!I:I,0),1),"-")</f>
        <v>-</v>
      </c>
      <c r="O35" s="58" t="str">
        <f>IFERROR(INDEX(Dataset!I:I,MATCH(_xlfn.AGGREGATE(14,6,Dataset!I:I/(Dataset!F:F=$D$11),K35),Dataset!I:I,0),1),"-")</f>
        <v>-</v>
      </c>
      <c r="P35" s="58" t="e">
        <f>IFERROR(INDEX(Dataset!R:R,MATCH(_xlfn.AGGREGATE(14,6,Dataset!I:I/(Dataset!F:F=$D$11),K35),Dataset!I:I,0),1),"-")/100</f>
        <v>#VALUE!</v>
      </c>
      <c r="Q35" s="58" t="str">
        <f>IFERROR(INDEX(Dataset!AA:AA,MATCH(_xlfn.AGGREGATE(14,6,Dataset!I:I/(Dataset!F:F=$D$11),K35),Dataset!I:I,0),1),"-")</f>
        <v>-</v>
      </c>
      <c r="R35" s="60" t="str">
        <f>IFERROR(INDEX(Dataset!J:J,MATCH(_xlfn.AGGREGATE(14,6,Dataset!I:I/(Dataset!F:F=$D$11),K35),Dataset!I:I,0),1),"-")</f>
        <v>-</v>
      </c>
    </row>
    <row r="36" spans="3:35" ht="33" customHeight="1" x14ac:dyDescent="0.5">
      <c r="C36" s="174" t="s">
        <v>266</v>
      </c>
      <c r="D36" s="174"/>
      <c r="E36" s="174"/>
      <c r="F36" s="174"/>
      <c r="G36" s="174"/>
      <c r="H36" s="174"/>
      <c r="K36" s="61">
        <v>5</v>
      </c>
      <c r="L36" s="58" t="str">
        <f>IFERROR(INDEX(Dataset!G:G,MATCH(_xlfn.AGGREGATE(14,6,Dataset!I:I/(Dataset!F:F=$D$11),K36),Dataset!I:I,0),1),"-")</f>
        <v>-</v>
      </c>
      <c r="M36" s="58" t="str">
        <f>IFERROR(INDEX(Dataset!AK:AK,MATCH(_xlfn.AGGREGATE(14,6,Dataset!I:I/(Dataset!F:F=$D$11),K36),Dataset!I:I,0),1),"-")</f>
        <v>-</v>
      </c>
      <c r="N36" s="58" t="str">
        <f>IFERROR(INDEX(Dataset!AJ:AJ,MATCH(_xlfn.AGGREGATE(14,6,Dataset!I:I/(Dataset!F:F=$D$11),K36),Dataset!I:I,0),1),"-")</f>
        <v>-</v>
      </c>
      <c r="O36" s="58" t="str">
        <f>IFERROR(INDEX(Dataset!I:I,MATCH(_xlfn.AGGREGATE(14,6,Dataset!I:I/(Dataset!F:F=$D$11),K36),Dataset!I:I,0),1),"-")</f>
        <v>-</v>
      </c>
      <c r="P36" s="58" t="e">
        <f>IFERROR(INDEX(Dataset!R:R,MATCH(_xlfn.AGGREGATE(14,6,Dataset!I:I/(Dataset!F:F=$D$11),K36),Dataset!I:I,0),1),"-")/100</f>
        <v>#VALUE!</v>
      </c>
      <c r="Q36" s="58" t="str">
        <f>IFERROR(INDEX(Dataset!AA:AA,MATCH(_xlfn.AGGREGATE(14,6,Dataset!I:I/(Dataset!F:F=$D$11),K36),Dataset!I:I,0),1),"-")</f>
        <v>-</v>
      </c>
      <c r="R36" s="60" t="str">
        <f>IFERROR(INDEX(Dataset!J:J,MATCH(_xlfn.AGGREGATE(14,6,Dataset!I:I/(Dataset!F:F=$D$11),K36),Dataset!I:I,0),1),"-")</f>
        <v>-</v>
      </c>
    </row>
    <row r="37" spans="3:35" ht="33" customHeight="1" x14ac:dyDescent="0.5">
      <c r="K37" s="61">
        <v>6</v>
      </c>
      <c r="L37" s="58" t="str">
        <f>IFERROR(INDEX(Dataset!G:G,MATCH(_xlfn.AGGREGATE(14,6,Dataset!I:I/(Dataset!F:F=$D$11),K37),Dataset!I:I,0),1),"-")</f>
        <v>-</v>
      </c>
      <c r="M37" s="58" t="str">
        <f>IFERROR(INDEX(Dataset!AK:AK,MATCH(_xlfn.AGGREGATE(14,6,Dataset!I:I/(Dataset!F:F=$D$11),K37),Dataset!I:I,0),1),"-")</f>
        <v>-</v>
      </c>
      <c r="N37" s="58" t="str">
        <f>IFERROR(INDEX(Dataset!AJ:AJ,MATCH(_xlfn.AGGREGATE(14,6,Dataset!I:I/(Dataset!F:F=$D$11),K37),Dataset!I:I,0),1),"-")</f>
        <v>-</v>
      </c>
      <c r="O37" s="58" t="str">
        <f>IFERROR(INDEX(Dataset!I:I,MATCH(_xlfn.AGGREGATE(14,6,Dataset!I:I/(Dataset!F:F=$D$11),K37),Dataset!I:I,0),1),"-")</f>
        <v>-</v>
      </c>
      <c r="P37" s="58" t="e">
        <f>IFERROR(INDEX(Dataset!R:R,MATCH(_xlfn.AGGREGATE(14,6,Dataset!I:I/(Dataset!F:F=$D$11),K37),Dataset!I:I,0),1),"-")/100</f>
        <v>#VALUE!</v>
      </c>
      <c r="Q37" s="58" t="str">
        <f>IFERROR(INDEX(Dataset!AA:AA,MATCH(_xlfn.AGGREGATE(14,6,Dataset!I:I/(Dataset!F:F=$D$11),K37),Dataset!I:I,0),1),"-")</f>
        <v>-</v>
      </c>
      <c r="R37" s="60" t="str">
        <f>IFERROR(INDEX(Dataset!J:J,MATCH(_xlfn.AGGREGATE(14,6,Dataset!I:I/(Dataset!F:F=$D$11),K37),Dataset!I:I,0),1),"-")</f>
        <v>-</v>
      </c>
    </row>
    <row r="38" spans="3:35" ht="33" customHeight="1" x14ac:dyDescent="0.5">
      <c r="C38" s="53" t="s">
        <v>110</v>
      </c>
      <c r="D38" s="54" t="s">
        <v>70</v>
      </c>
      <c r="E38" s="54" t="s">
        <v>265</v>
      </c>
      <c r="F38" s="54" t="s">
        <v>75</v>
      </c>
      <c r="G38" s="54" t="s">
        <v>6</v>
      </c>
      <c r="H38" s="54" t="s">
        <v>21</v>
      </c>
      <c r="J38" s="22" t="s">
        <v>137</v>
      </c>
      <c r="K38" s="61">
        <v>7</v>
      </c>
      <c r="L38" s="58" t="str">
        <f>IFERROR(INDEX(Dataset!G:G,MATCH(_xlfn.AGGREGATE(14,6,Dataset!I:I/(Dataset!F:F=$D$11),K38),Dataset!I:I,0),1),"-")</f>
        <v>-</v>
      </c>
      <c r="M38" s="58" t="str">
        <f>IFERROR(INDEX(Dataset!AK:AK,MATCH(_xlfn.AGGREGATE(14,6,Dataset!I:I/(Dataset!F:F=$D$11),K38),Dataset!I:I,0),1),"-")</f>
        <v>-</v>
      </c>
      <c r="N38" s="58" t="str">
        <f>IFERROR(INDEX(Dataset!AJ:AJ,MATCH(_xlfn.AGGREGATE(14,6,Dataset!I:I/(Dataset!F:F=$D$11),K38),Dataset!I:I,0),1),"-")</f>
        <v>-</v>
      </c>
      <c r="O38" s="58" t="str">
        <f>IFERROR(INDEX(Dataset!I:I,MATCH(_xlfn.AGGREGATE(14,6,Dataset!I:I/(Dataset!F:F=$D$11),K38),Dataset!I:I,0),1),"-")</f>
        <v>-</v>
      </c>
      <c r="P38" s="58" t="e">
        <f>IFERROR(INDEX(Dataset!R:R,MATCH(_xlfn.AGGREGATE(14,6,Dataset!I:I/(Dataset!F:F=$D$11),K38),Dataset!I:I,0),1),"-")/100</f>
        <v>#VALUE!</v>
      </c>
      <c r="Q38" s="58" t="str">
        <f>IFERROR(INDEX(Dataset!AA:AA,MATCH(_xlfn.AGGREGATE(14,6,Dataset!I:I/(Dataset!F:F=$D$11),K38),Dataset!I:I,0),1),"-")</f>
        <v>-</v>
      </c>
      <c r="R38" s="60" t="str">
        <f>IFERROR(INDEX(Dataset!J:J,MATCH(_xlfn.AGGREGATE(14,6,Dataset!I:I/(Dataset!F:F=$D$11),K38),Dataset!I:I,0),1),"-")</f>
        <v>-</v>
      </c>
    </row>
    <row r="39" spans="3:35" ht="33" customHeight="1" x14ac:dyDescent="0.5">
      <c r="C39" s="57" t="s">
        <v>39</v>
      </c>
      <c r="D39" s="58">
        <f>SUMIFS(Dataset!AK:AK,Dataset!F:F,credito!$D$11,Dataset!T:T,$C39)</f>
        <v>0</v>
      </c>
      <c r="E39" s="58">
        <f>SUMIFS(Dataset!AJ:AJ,Dataset!F:F,credito!$D$11,Dataset!T:T,$C39)</f>
        <v>0</v>
      </c>
      <c r="F39" s="59">
        <f>SUMIFS(Dataset!V:V,Dataset!F:F,credito!$D$11,Dataset!T:T,$C39)/1000000</f>
        <v>0</v>
      </c>
      <c r="G39" s="58">
        <f>SUMIFS(Dataset!I:I,Dataset!F:F,credito!$D$11,Dataset!T:T,$C39)</f>
        <v>0</v>
      </c>
      <c r="H39" s="58">
        <f>SUMIFS(Dataset!AA:AA,Dataset!F:F,credito!$D$11,Dataset!T:T,$C39)</f>
        <v>0</v>
      </c>
      <c r="K39" s="61">
        <v>8</v>
      </c>
      <c r="L39" s="58" t="str">
        <f>IFERROR(INDEX(Dataset!G:G,MATCH(_xlfn.AGGREGATE(14,6,Dataset!I:I/(Dataset!F:F=$D$11),K39),Dataset!I:I,0),1),"-")</f>
        <v>-</v>
      </c>
      <c r="M39" s="58" t="str">
        <f>IFERROR(INDEX(Dataset!AK:AK,MATCH(_xlfn.AGGREGATE(14,6,Dataset!I:I/(Dataset!F:F=$D$11),K39),Dataset!I:I,0),1),"-")</f>
        <v>-</v>
      </c>
      <c r="N39" s="58" t="str">
        <f>IFERROR(INDEX(Dataset!AJ:AJ,MATCH(_xlfn.AGGREGATE(14,6,Dataset!I:I/(Dataset!F:F=$D$11),K39),Dataset!I:I,0),1),"-")</f>
        <v>-</v>
      </c>
      <c r="O39" s="58" t="str">
        <f>IFERROR(INDEX(Dataset!I:I,MATCH(_xlfn.AGGREGATE(14,6,Dataset!I:I/(Dataset!F:F=$D$11),K39),Dataset!I:I,0),1),"-")</f>
        <v>-</v>
      </c>
      <c r="P39" s="58" t="e">
        <f>IFERROR(INDEX(Dataset!R:R,MATCH(_xlfn.AGGREGATE(14,6,Dataset!I:I/(Dataset!F:F=$D$11),K39),Dataset!I:I,0),1),"-")/100</f>
        <v>#VALUE!</v>
      </c>
      <c r="Q39" s="58" t="str">
        <f>IFERROR(INDEX(Dataset!AA:AA,MATCH(_xlfn.AGGREGATE(14,6,Dataset!I:I/(Dataset!F:F=$D$11),K39),Dataset!I:I,0),1),"-")</f>
        <v>-</v>
      </c>
      <c r="R39" s="60" t="str">
        <f>IFERROR(INDEX(Dataset!J:J,MATCH(_xlfn.AGGREGATE(14,6,Dataset!I:I/(Dataset!F:F=$D$11),K39),Dataset!I:I,0),1),"-")</f>
        <v>-</v>
      </c>
    </row>
    <row r="40" spans="3:35" ht="33" customHeight="1" x14ac:dyDescent="0.5">
      <c r="C40" s="57" t="s">
        <v>32</v>
      </c>
      <c r="D40" s="58">
        <f>SUMIFS(Dataset!AK:AK,Dataset!F:F,credito!$D$11,Dataset!T:T,$C40)</f>
        <v>0</v>
      </c>
      <c r="E40" s="58">
        <f>SUMIFS(Dataset!AJ:AJ,Dataset!F:F,credito!$D$11,Dataset!T:T,$C40)</f>
        <v>0</v>
      </c>
      <c r="F40" s="59">
        <f>SUMIFS(Dataset!V:V,Dataset!F:F,credito!$D$11,Dataset!T:T,$C40)/1000000</f>
        <v>0</v>
      </c>
      <c r="G40" s="58">
        <f>SUMIFS(Dataset!I:I,Dataset!F:F,credito!$D$11,Dataset!T:T,$C40)</f>
        <v>0</v>
      </c>
      <c r="H40" s="58">
        <f>SUMIFS(Dataset!AA:AA,Dataset!F:F,credito!$D$11,Dataset!T:T,$C40)</f>
        <v>0</v>
      </c>
      <c r="K40" s="61">
        <v>9</v>
      </c>
      <c r="L40" s="58" t="str">
        <f>IFERROR(INDEX(Dataset!G:G,MATCH(_xlfn.AGGREGATE(14,6,Dataset!I:I/(Dataset!F:F=$D$11),K40),Dataset!I:I,0),1),"-")</f>
        <v>-</v>
      </c>
      <c r="M40" s="58" t="str">
        <f>IFERROR(INDEX(Dataset!AK:AK,MATCH(_xlfn.AGGREGATE(14,6,Dataset!I:I/(Dataset!F:F=$D$11),K40),Dataset!I:I,0),1),"-")</f>
        <v>-</v>
      </c>
      <c r="N40" s="58" t="str">
        <f>IFERROR(INDEX(Dataset!AJ:AJ,MATCH(_xlfn.AGGREGATE(14,6,Dataset!I:I/(Dataset!F:F=$D$11),K40),Dataset!I:I,0),1),"-")</f>
        <v>-</v>
      </c>
      <c r="O40" s="58" t="str">
        <f>IFERROR(INDEX(Dataset!I:I,MATCH(_xlfn.AGGREGATE(14,6,Dataset!I:I/(Dataset!F:F=$D$11),K40),Dataset!I:I,0),1),"-")</f>
        <v>-</v>
      </c>
      <c r="P40" s="58" t="e">
        <f>IFERROR(INDEX(Dataset!R:R,MATCH(_xlfn.AGGREGATE(14,6,Dataset!I:I/(Dataset!F:F=$D$11),K40),Dataset!I:I,0),1),"-")/100</f>
        <v>#VALUE!</v>
      </c>
      <c r="Q40" s="58" t="str">
        <f>IFERROR(INDEX(Dataset!AA:AA,MATCH(_xlfn.AGGREGATE(14,6,Dataset!I:I/(Dataset!F:F=$D$11),K40),Dataset!I:I,0),1),"-")</f>
        <v>-</v>
      </c>
      <c r="R40" s="60" t="str">
        <f>IFERROR(INDEX(Dataset!J:J,MATCH(_xlfn.AGGREGATE(14,6,Dataset!I:I/(Dataset!F:F=$D$11),K40),Dataset!I:I,0),1),"-")</f>
        <v>-</v>
      </c>
    </row>
    <row r="41" spans="3:35" ht="31.5" customHeight="1" x14ac:dyDescent="0.5">
      <c r="C41" s="57" t="s">
        <v>30</v>
      </c>
      <c r="D41" s="58">
        <f>SUMIFS(Dataset!AK:AK,Dataset!F:F,credito!$D$11,Dataset!T:T,$C41)</f>
        <v>0</v>
      </c>
      <c r="E41" s="58">
        <f>SUMIFS(Dataset!AJ:AJ,Dataset!F:F,credito!$D$11,Dataset!T:T,$C41)</f>
        <v>0</v>
      </c>
      <c r="F41" s="59">
        <f>SUMIFS(Dataset!V:V,Dataset!F:F,credito!$D$11,Dataset!T:T,$C41)/1000000</f>
        <v>0</v>
      </c>
      <c r="G41" s="58">
        <f>SUMIFS(Dataset!I:I,Dataset!F:F,credito!$D$11,Dataset!T:T,$C41)</f>
        <v>0</v>
      </c>
      <c r="H41" s="58">
        <f>SUMIFS(Dataset!AA:AA,Dataset!F:F,credito!$D$11,Dataset!T:T,$C41)</f>
        <v>0</v>
      </c>
      <c r="K41" s="61">
        <v>10</v>
      </c>
      <c r="L41" s="58" t="str">
        <f>IFERROR(INDEX(Dataset!G:G,MATCH(_xlfn.AGGREGATE(14,6,Dataset!I:I/(Dataset!F:F=$D$11),K41),Dataset!I:I,0),1),"-")</f>
        <v>-</v>
      </c>
      <c r="M41" s="58" t="str">
        <f>IFERROR(INDEX(Dataset!AK:AK,MATCH(_xlfn.AGGREGATE(14,6,Dataset!I:I/(Dataset!F:F=$D$11),K41),Dataset!I:I,0),1),"-")</f>
        <v>-</v>
      </c>
      <c r="N41" s="58" t="str">
        <f>IFERROR(INDEX(Dataset!AJ:AJ,MATCH(_xlfn.AGGREGATE(14,6,Dataset!I:I/(Dataset!F:F=$D$11),K41),Dataset!I:I,0),1),"-")</f>
        <v>-</v>
      </c>
      <c r="O41" s="58" t="str">
        <f>IFERROR(INDEX(Dataset!I:I,MATCH(_xlfn.AGGREGATE(14,6,Dataset!I:I/(Dataset!F:F=$D$11),K41),Dataset!I:I,0),1),"-")</f>
        <v>-</v>
      </c>
      <c r="P41" s="58" t="e">
        <f>IFERROR(INDEX(Dataset!R:R,MATCH(_xlfn.AGGREGATE(14,6,Dataset!I:I/(Dataset!F:F=$D$11),K41),Dataset!I:I,0),1),"-")/100</f>
        <v>#VALUE!</v>
      </c>
      <c r="Q41" s="58" t="str">
        <f>IFERROR(INDEX(Dataset!AA:AA,MATCH(_xlfn.AGGREGATE(14,6,Dataset!I:I/(Dataset!F:F=$D$11),K41),Dataset!I:I,0),1),"-")</f>
        <v>-</v>
      </c>
      <c r="R41" s="60" t="str">
        <f>IFERROR(INDEX(Dataset!J:J,MATCH(_xlfn.AGGREGATE(14,6,Dataset!I:I/(Dataset!F:F=$D$11),K41),Dataset!I:I,0),1),"-")</f>
        <v>-</v>
      </c>
    </row>
    <row r="42" spans="3:35" ht="39" customHeight="1" x14ac:dyDescent="0.5">
      <c r="C42" s="57" t="s">
        <v>49</v>
      </c>
      <c r="D42" s="58">
        <f>SUMIFS(Dataset!AK:AK,Dataset!F:F,credito!$D$11,Dataset!T:T,$C42)</f>
        <v>0</v>
      </c>
      <c r="E42" s="58">
        <f>SUMIFS(Dataset!AJ:AJ,Dataset!F:F,credito!$D$11,Dataset!T:T,$C42)</f>
        <v>0</v>
      </c>
      <c r="F42" s="59">
        <f>SUMIFS(Dataset!V:V,Dataset!F:F,credito!$D$11,Dataset!T:T,$C42)/1000000</f>
        <v>0</v>
      </c>
      <c r="G42" s="58">
        <f>SUMIFS(Dataset!I:I,Dataset!F:F,credito!$D$11,Dataset!T:T,$C42)</f>
        <v>0</v>
      </c>
      <c r="H42" s="58">
        <f>SUMIFS(Dataset!AA:AA,Dataset!F:F,credito!$D$11,Dataset!T:T,$C42)</f>
        <v>0</v>
      </c>
      <c r="I42" s="52"/>
      <c r="J42" s="52"/>
      <c r="S42" s="52"/>
      <c r="T42" s="52"/>
      <c r="U42" s="52"/>
      <c r="V42" s="52"/>
      <c r="W42" s="52"/>
      <c r="X42" s="52"/>
      <c r="Y42" s="52"/>
    </row>
    <row r="43" spans="3:35" ht="39" customHeight="1" x14ac:dyDescent="0.5">
      <c r="C43" s="57" t="s">
        <v>145</v>
      </c>
      <c r="D43" s="58">
        <f>SUMIFS(Dataset!AK:AK,Dataset!F:F,credito!$D$11,Dataset!T:T,$C43)</f>
        <v>0</v>
      </c>
      <c r="E43" s="58">
        <f>SUMIFS(Dataset!AJ:AJ,Dataset!F:F,credito!$D$11,Dataset!T:T,$C43)</f>
        <v>0</v>
      </c>
      <c r="F43" s="59">
        <f>SUMIFS(Dataset!V:V,Dataset!F:F,credito!$D$11,Dataset!T:T,$C43)/1000000</f>
        <v>0</v>
      </c>
      <c r="G43" s="58">
        <f>SUMIFS(Dataset!I:I,Dataset!F:F,credito!$D$11,Dataset!T:T,$C43)</f>
        <v>0</v>
      </c>
      <c r="H43" s="58">
        <f>SUMIFS(Dataset!AA:AA,Dataset!F:F,credito!$D$11,Dataset!T:T,$C43)</f>
        <v>0</v>
      </c>
      <c r="I43" s="52"/>
      <c r="J43" s="52"/>
      <c r="S43" s="52"/>
      <c r="T43" s="52"/>
      <c r="U43" s="52"/>
      <c r="V43" s="52"/>
      <c r="W43" s="52"/>
      <c r="X43" s="52"/>
      <c r="Y43" s="52"/>
    </row>
    <row r="44" spans="3:35" ht="39" customHeight="1" x14ac:dyDescent="0.5">
      <c r="C44" s="57" t="s">
        <v>227</v>
      </c>
      <c r="D44" s="58">
        <f>SUMIFS(Dataset!AK:AK,Dataset!F:F,credito!$D$11,Dataset!T:T,$C44)</f>
        <v>0</v>
      </c>
      <c r="E44" s="58">
        <f>SUMIFS(Dataset!AJ:AJ,Dataset!F:F,credito!$D$11,Dataset!T:T,$C44)</f>
        <v>0</v>
      </c>
      <c r="F44" s="59">
        <f>SUMIFS(Dataset!V:V,Dataset!F:F,credito!$D$11,Dataset!T:T,$C44)/1000000</f>
        <v>0</v>
      </c>
      <c r="G44" s="58">
        <f>SUMIFS(Dataset!I:I,Dataset!F:F,credito!$D$11,Dataset!T:T,$C44)</f>
        <v>0</v>
      </c>
      <c r="H44" s="58">
        <f>SUMIFS(Dataset!AA:AA,Dataset!F:F,credito!$D$11,Dataset!T:T,$C44)</f>
        <v>0</v>
      </c>
      <c r="I44" s="52"/>
      <c r="J44" s="52"/>
      <c r="S44" s="52"/>
      <c r="T44" s="52"/>
      <c r="U44" s="52"/>
      <c r="V44" s="52"/>
      <c r="W44" s="52"/>
      <c r="X44" s="52"/>
      <c r="Y44" s="52"/>
    </row>
    <row r="45" spans="3:35" ht="39" customHeight="1" x14ac:dyDescent="0.3">
      <c r="C45" s="65" t="s">
        <v>66</v>
      </c>
      <c r="D45" s="66">
        <f>SUM(D39:D44)</f>
        <v>0</v>
      </c>
      <c r="E45" s="66">
        <f t="shared" ref="E45:H45" si="1">SUM(E39:E44)</f>
        <v>0</v>
      </c>
      <c r="F45" s="67">
        <f t="shared" si="1"/>
        <v>0</v>
      </c>
      <c r="G45" s="66">
        <f t="shared" si="1"/>
        <v>0</v>
      </c>
      <c r="H45" s="66">
        <f t="shared" si="1"/>
        <v>0</v>
      </c>
      <c r="I45" s="52"/>
      <c r="J45" s="52"/>
      <c r="S45" s="52"/>
      <c r="T45" s="52"/>
      <c r="U45" s="52"/>
      <c r="V45" s="52"/>
      <c r="W45" s="52"/>
      <c r="X45" s="52"/>
      <c r="Y45" s="52"/>
    </row>
    <row r="46" spans="3:35" ht="54" customHeight="1" x14ac:dyDescent="0.3">
      <c r="E46" s="174" t="s">
        <v>272</v>
      </c>
      <c r="F46" s="174"/>
      <c r="G46" s="174"/>
      <c r="H46" s="174"/>
      <c r="I46" s="174"/>
      <c r="J46" s="174"/>
      <c r="K46" s="174"/>
      <c r="L46" s="174"/>
      <c r="M46" s="174"/>
      <c r="N46" s="174"/>
      <c r="O46" s="182" t="s">
        <v>111</v>
      </c>
      <c r="P46" s="182"/>
      <c r="Q46" s="182"/>
      <c r="R46" s="182"/>
      <c r="S46" s="182"/>
      <c r="T46" s="182"/>
      <c r="U46" s="182"/>
      <c r="V46" s="182"/>
      <c r="X46" s="50"/>
      <c r="Y46" s="174" t="s">
        <v>276</v>
      </c>
      <c r="Z46" s="174"/>
      <c r="AA46" s="174"/>
      <c r="AB46" s="174"/>
      <c r="AC46" s="174"/>
      <c r="AD46" s="174"/>
      <c r="AE46" s="174"/>
      <c r="AF46" s="174"/>
      <c r="AG46" s="174"/>
      <c r="AH46" s="174"/>
    </row>
    <row r="47" spans="3:35" ht="15" customHeight="1" x14ac:dyDescent="0.3"/>
    <row r="48" spans="3:35" ht="27" customHeight="1" x14ac:dyDescent="0.3">
      <c r="C48" s="180" t="s">
        <v>72</v>
      </c>
      <c r="D48" s="180"/>
      <c r="E48" s="94" t="s">
        <v>76</v>
      </c>
      <c r="F48" s="94" t="s">
        <v>77</v>
      </c>
      <c r="G48" s="94" t="s">
        <v>78</v>
      </c>
      <c r="H48" s="94" t="s">
        <v>79</v>
      </c>
      <c r="I48" s="94" t="s">
        <v>94</v>
      </c>
      <c r="J48" s="94" t="s">
        <v>167</v>
      </c>
      <c r="K48" s="94" t="s">
        <v>80</v>
      </c>
      <c r="L48" s="94" t="s">
        <v>81</v>
      </c>
      <c r="M48" s="94" t="s">
        <v>82</v>
      </c>
      <c r="N48" s="94" t="s">
        <v>83</v>
      </c>
      <c r="O48" s="94"/>
      <c r="P48" s="94" t="s">
        <v>52</v>
      </c>
      <c r="Q48" s="94" t="s">
        <v>42</v>
      </c>
      <c r="R48" s="94" t="s">
        <v>36</v>
      </c>
      <c r="S48" s="94" t="s">
        <v>33</v>
      </c>
      <c r="T48" s="94" t="s">
        <v>34</v>
      </c>
      <c r="U48" s="94" t="s">
        <v>55</v>
      </c>
      <c r="V48" s="94" t="s">
        <v>54</v>
      </c>
      <c r="W48" s="94" t="s">
        <v>83</v>
      </c>
      <c r="X48" s="94"/>
      <c r="Y48" s="94" t="s">
        <v>76</v>
      </c>
      <c r="Z48" s="94" t="s">
        <v>77</v>
      </c>
      <c r="AA48" s="94" t="s">
        <v>78</v>
      </c>
      <c r="AB48" s="94" t="s">
        <v>79</v>
      </c>
      <c r="AC48" s="94" t="s">
        <v>94</v>
      </c>
      <c r="AD48" s="94" t="s">
        <v>167</v>
      </c>
      <c r="AE48" s="94" t="s">
        <v>80</v>
      </c>
      <c r="AF48" s="94" t="s">
        <v>81</v>
      </c>
      <c r="AG48" s="94" t="s">
        <v>82</v>
      </c>
      <c r="AH48" s="94" t="s">
        <v>83</v>
      </c>
      <c r="AI48" s="94"/>
    </row>
    <row r="49" spans="3:35" ht="38.25" customHeight="1" x14ac:dyDescent="0.3">
      <c r="C49" s="72">
        <v>0</v>
      </c>
      <c r="D49" s="73">
        <v>0.5</v>
      </c>
      <c r="E49" s="74">
        <f>SUMIFS(Dataset!AK:AK,Dataset!F:F,credito!$D$11,Dataset!AH:AH,"deposito",Dataset!T:T,"$",Dataset!J:J,"&lt;"&amp;$D49,Dataset!J:J,"&gt;="&amp;$C49)</f>
        <v>0</v>
      </c>
      <c r="F49" s="75">
        <f>SUMIFS(Dataset!AK:AK,Dataset!F:F,credito!$D$11,Dataset!AH:AH,"deposito",Dataset!T:T,"UF",Dataset!J:J,"&lt;"&amp;$D49,Dataset!J:J,"&gt;="&amp;$C49)</f>
        <v>0</v>
      </c>
      <c r="G49" s="75">
        <f>SUMIFS(Dataset!AK:AK,Dataset!F:F,credito!$D$11,Dataset!AH:AH,"bono de gobierno",Dataset!T:T,"$",Dataset!J:J,"&lt;"&amp;$D49,Dataset!J:J,"&gt;="&amp;$C49)</f>
        <v>0</v>
      </c>
      <c r="H49" s="75">
        <f>SUMIFS(Dataset!AK:AK,Dataset!F:F,credito!$D$11,Dataset!AH:AH,"bono de gobierno",Dataset!T:T,"UF",Dataset!J:J,"&lt;"&amp;$D49,Dataset!J:J,"&gt;="&amp;$C49)</f>
        <v>0</v>
      </c>
      <c r="I49" s="75">
        <f>SUMIFS(Dataset!AK:AK,Dataset!F:F,credito!$D$11,Dataset!AH:AH,"bono de gobierno",Dataset!T:T,"eu",Dataset!J:J,"&lt;"&amp;$D49,Dataset!J:J,"&gt;="&amp;$C49)</f>
        <v>0</v>
      </c>
      <c r="J49" s="75">
        <f>SUMIFS(Dataset!AK:AK,Dataset!F:F,credito!$D$11,Dataset!AH:AH,"bono de gobierno",Dataset!T:T,"mx",Dataset!J:J,"&lt;"&amp;$D49,Dataset!J:J,"&gt;="&amp;$C49)</f>
        <v>0</v>
      </c>
      <c r="K49" s="75">
        <f>SUMIFS(Dataset!AK:AK,Dataset!F:F,credito!$D$11,Dataset!AH:AH,"bono corporativo",Dataset!T:T,"$",Dataset!J:J,"&lt;"&amp;$D49,Dataset!J:J,"&gt;="&amp;$C49)</f>
        <v>0</v>
      </c>
      <c r="L49" s="75">
        <f>SUMIFS(Dataset!AK:AK,Dataset!F:F,credito!$D$11,Dataset!AH:AH,"bono corporativo",Dataset!T:T,"UF",Dataset!J:J,"&lt;"&amp;$D49,Dataset!J:J,"&gt;="&amp;$C49)</f>
        <v>0</v>
      </c>
      <c r="M49" s="75">
        <f>SUMIFS(Dataset!AK:AK,Dataset!F:F,credito!$D$11,Dataset!AH:AH,"bono corporativo",Dataset!T:T,"US$",Dataset!J:J,"&lt;"&amp;$D49,Dataset!J:J,"&gt;="&amp;$C49)</f>
        <v>0</v>
      </c>
      <c r="N49" s="75">
        <f>SUMIFS(Dataset!AK:AK,Dataset!F:F,credito!$D$11,Dataset!J:J,"&lt;"&amp;$D49,Dataset!J:J,"&gt;="&amp;$C49,Dataset!AH:AH,"&lt;&gt;bono corporativo",Dataset!AH:AH,"&lt;&gt;bono de gobierno",Dataset!AH:AH,"&lt;&gt;deposito")</f>
        <v>0</v>
      </c>
      <c r="O49" s="84">
        <f t="shared" ref="O49:O65" si="2">SUM(E49:N49)</f>
        <v>0</v>
      </c>
      <c r="P49" s="74">
        <f>SUMIFS(Dataset!$AK:$AK,Dataset!$F:$F,credito!$D$11,Dataset!$AC:$AC,P$48,Dataset!$J:$J,"&lt;"&amp;$D49,Dataset!J:J,"&gt;="&amp;$C49)</f>
        <v>0</v>
      </c>
      <c r="Q49" s="75">
        <f>SUMIFS(Dataset!$AK:$AK,Dataset!$F:$F,credito!$D$11,Dataset!$AC:$AC,Q$48,Dataset!$J:$J,"&lt;"&amp;$D49,Dataset!J:J,"&gt;="&amp;$C49)</f>
        <v>0</v>
      </c>
      <c r="R49" s="75">
        <f>SUMIFS(Dataset!$AK:$AK,Dataset!$F:$F,credito!$D$11,Dataset!$AC:$AC,R$48,Dataset!$J:$J,"&lt;"&amp;$D49,Dataset!J:J,"&gt;="&amp;$C49)</f>
        <v>0</v>
      </c>
      <c r="S49" s="75">
        <f>SUMIFS(Dataset!$AK:$AK,Dataset!$F:$F,credito!$D$11,Dataset!$AC:$AC,S$48,Dataset!$J:$J,"&lt;"&amp;$D49,Dataset!J:J,"&gt;="&amp;$C49)</f>
        <v>0</v>
      </c>
      <c r="T49" s="75">
        <f>SUMIFS(Dataset!$AK:$AK,Dataset!$F:$F,credito!$D$11,Dataset!$AC:$AC,T$48,Dataset!$J:$J,"&lt;"&amp;$D49,Dataset!J:J,"&gt;="&amp;$C49)</f>
        <v>0</v>
      </c>
      <c r="U49" s="75">
        <f>SUMIFS(Dataset!$AK:$AK,Dataset!$F:$F,credito!$D$11,Dataset!$AC:$AC,"A",Dataset!$J:$J,"&lt;"&amp;$D49,Dataset!$J:$J,"&gt;="&amp;$C49)+SUMIFS(Dataset!$AK:$AK,Dataset!$F:$F,credito!$D$11,Dataset!$AC:$AC,"A-",Dataset!$J:$J,"&lt;"&amp;$D49,Dataset!$J:$J,"&gt;="&amp;$C49)+SUMIFS(Dataset!$AK:$AK,Dataset!$F:$F,credito!$D$11,Dataset!$AC:$AC,"A+",Dataset!$J:$J,"&lt;"&amp;$D49,Dataset!$J:$J,"&gt;="&amp;$C49)</f>
        <v>0</v>
      </c>
      <c r="V49" s="75">
        <f>SUMIFS(Dataset!$AK:$AK,Dataset!$F:$F,credito!$D$11,Dataset!$AC:$AC,"BBB",Dataset!$J:$J,"&lt;"&amp;$D49,Dataset!$J:$J,"&gt;="&amp;$C49)+SUMIFS(Dataset!$AK:$AK,Dataset!$F:$F,credito!$D$11,Dataset!$AC:$AC,"BBB-",Dataset!$J:$J,"&lt;"&amp;$D49,Dataset!$J:$J,"&gt;="&amp;$C49)+SUMIFS(Dataset!$AK:$AK,Dataset!$F:$F,credito!$D$11,Dataset!$AC:$AC,"BBB+",Dataset!$J:$J,"&lt;"&amp;$D49,Dataset!$J:$J,"&gt;="&amp;$C49)</f>
        <v>0</v>
      </c>
      <c r="W49" s="75">
        <f>SUMIFS(Dataset!$AK:$AK,Dataset!$F:$F,credito!$D$11,Dataset!$J:$J,"&lt;"&amp;$D49,Dataset!$J:$J,"&gt;="&amp;$C49,Dataset!$AC:$AC,"&lt;&gt;N-1+",Dataset!$AC:$AC,"&lt;&gt;*AA*",Dataset!$AC:$AC,"&lt;&gt;*AAA*",Dataset!$AC:$AC,"&lt;&gt;A",Dataset!$AC:$AC,"&lt;&gt;A-",Dataset!$AC:$AC,"&lt;&gt;A+",Dataset!$AC:$AC,"&lt;&gt;*BBB*")</f>
        <v>0</v>
      </c>
      <c r="X49" s="84">
        <f t="shared" ref="X49:X65" si="3">SUM(P49:W49)</f>
        <v>0</v>
      </c>
      <c r="Y49" s="77">
        <f>10*SUMIFS(Dataset!$H:$H,Dataset!$F:$F,credito!$D$11,Dataset!AH:AH,"deposito",Dataset!T:T,"$",Dataset!$J:$J,"&lt;"&amp;$D49,Dataset!J:J,"&gt;="&amp;$C49)</f>
        <v>0</v>
      </c>
      <c r="Z49" s="78">
        <f>10*SUMIFS(Dataset!$H:$H,Dataset!$F:$F,credito!$D$11,Dataset!AH:AH,"deposito",Dataset!T:T,"UF",Dataset!$J:$J,"&lt;"&amp;$D49,Dataset!J:J,"&gt;="&amp;$C49)</f>
        <v>0</v>
      </c>
      <c r="AA49" s="78">
        <f>10*SUMIFS(Dataset!$H:$H,Dataset!$F:$F,credito!$D$11,Dataset!AH:AH,"bono de gobierno",Dataset!T:T,"$",Dataset!$J:$J,"&lt;"&amp;$D49,Dataset!J:J,"&gt;="&amp;$C49)</f>
        <v>0</v>
      </c>
      <c r="AB49" s="78">
        <f>10*SUMIFS(Dataset!$H:$H,Dataset!$F:$F,credito!$D$11,Dataset!AH:AH,"bono de gobierno",Dataset!T:T,"uf",Dataset!$J:$J,"&lt;"&amp;$D49,Dataset!J:J,"&gt;="&amp;$C49)</f>
        <v>0</v>
      </c>
      <c r="AC49" s="78">
        <f>10*SUMIFS(Dataset!$H:$H,Dataset!$F:$F,credito!$D$11,Dataset!AH:AH,"bono de gobierno",Dataset!T:T,"eu",Dataset!$J:$J,"&lt;"&amp;$D49,Dataset!J:J,"&gt;="&amp;$C49)</f>
        <v>0</v>
      </c>
      <c r="AD49" s="78">
        <f>10*SUMIFS(Dataset!$H:$H,Dataset!$F:$F,credito!$D$11,Dataset!AH:AH,"bono de gobierno",Dataset!T:T,"mx",Dataset!$J:$J,"&lt;"&amp;$D49,Dataset!J:J,"&gt;="&amp;$C49)</f>
        <v>0</v>
      </c>
      <c r="AE49" s="78">
        <f>10*SUMIFS(Dataset!$H:$H,Dataset!$F:$F,credito!$D$11,Dataset!AH:AH,"bono corporativo",Dataset!T:T,"$",Dataset!$J:$J,"&lt;"&amp;$D49,Dataset!J:J,"&gt;="&amp;$C49)</f>
        <v>0</v>
      </c>
      <c r="AF49" s="78">
        <f>10*SUMIFS(Dataset!$H:$H,Dataset!$F:$F,credito!$D$11,Dataset!AH:AH,"bono corporativo",Dataset!T:T,"uf",Dataset!$J:$J,"&lt;"&amp;$D49,Dataset!J:J,"&gt;="&amp;$C49)</f>
        <v>0</v>
      </c>
      <c r="AG49" s="78">
        <f>10*SUMIFS(Dataset!$H:$H,Dataset!$F:$F,credito!$D$11,Dataset!AH:AH,"bono corporativo",Dataset!T:T,"us$",Dataset!$J:$J,"&lt;"&amp;$D49,Dataset!J:J,"&gt;="&amp;$C49)</f>
        <v>0</v>
      </c>
      <c r="AH49" s="78">
        <f>10*SUMIFS(Dataset!H:H,Dataset!F:F,credito!$D$11,Dataset!J:J,"&lt;"&amp;$D72,Dataset!J:J,"&gt;="&amp;$C72,Dataset!AH:AH,"&lt;&gt;bono corporativo",Dataset!AH:AH,"&lt;&gt;bono de gobierno",Dataset!AH:AH,"&lt;&gt;deposito")</f>
        <v>0</v>
      </c>
      <c r="AI49" s="87">
        <f t="shared" ref="AI49:AI65" si="4">SUM(Y49:AH49)</f>
        <v>0</v>
      </c>
    </row>
    <row r="50" spans="3:35" ht="27" customHeight="1" x14ac:dyDescent="0.3">
      <c r="C50" s="61">
        <v>0.5</v>
      </c>
      <c r="D50" s="81">
        <v>1.5</v>
      </c>
      <c r="E50" s="82">
        <f>SUMIFS(Dataset!AK:AK,Dataset!F:F,credito!$D$11,Dataset!AH:AH,"deposito",Dataset!T:T,"$",Dataset!J:J,"&lt;"&amp;$D50,Dataset!J:J,"&gt;="&amp;$C50)</f>
        <v>0</v>
      </c>
      <c r="F50" s="83">
        <f>SUMIFS(Dataset!AK:AK,Dataset!F:F,credito!$D$11,Dataset!AH:AH,"deposito",Dataset!T:T,"UF",Dataset!J:J,"&lt;"&amp;$D50,Dataset!J:J,"&gt;="&amp;$C50)</f>
        <v>0</v>
      </c>
      <c r="G50" s="83">
        <f>SUMIFS(Dataset!AK:AK,Dataset!F:F,credito!$D$11,Dataset!AH:AH,"bono de gobierno",Dataset!T:T,"$",Dataset!J:J,"&lt;"&amp;$D50,Dataset!J:J,"&gt;="&amp;$C50)</f>
        <v>0</v>
      </c>
      <c r="H50" s="83">
        <f>SUMIFS(Dataset!AK:AK,Dataset!F:F,credito!$D$11,Dataset!AH:AH,"bono de gobierno",Dataset!T:T,"UF",Dataset!J:J,"&lt;"&amp;$D50,Dataset!J:J,"&gt;="&amp;$C50)</f>
        <v>0</v>
      </c>
      <c r="I50" s="83">
        <f>SUMIFS(Dataset!AK:AK,Dataset!F:F,credito!$D$11,Dataset!AH:AH,"bono de gobierno",Dataset!T:T,"eu",Dataset!J:J,"&lt;"&amp;$D50,Dataset!J:J,"&gt;="&amp;$C50)</f>
        <v>0</v>
      </c>
      <c r="J50" s="83">
        <f>SUMIFS(Dataset!AK:AK,Dataset!F:F,credito!$D$11,Dataset!AH:AH,"bono de gobierno",Dataset!T:T,"mx",Dataset!J:J,"&lt;"&amp;$D50,Dataset!J:J,"&gt;="&amp;$C50)</f>
        <v>0</v>
      </c>
      <c r="K50" s="83">
        <f>SUMIFS(Dataset!AK:AK,Dataset!F:F,credito!$D$11,Dataset!AH:AH,"bono corporativo",Dataset!T:T,"$",Dataset!J:J,"&lt;"&amp;$D50,Dataset!J:J,"&gt;="&amp;$C50)</f>
        <v>0</v>
      </c>
      <c r="L50" s="83">
        <f>SUMIFS(Dataset!AK:AK,Dataset!F:F,credito!$D$11,Dataset!AH:AH,"bono corporativo",Dataset!T:T,"UF",Dataset!J:J,"&lt;"&amp;$D50,Dataset!J:J,"&gt;="&amp;$C50)</f>
        <v>0</v>
      </c>
      <c r="M50" s="83">
        <f>SUMIFS(Dataset!AK:AK,Dataset!F:F,credito!$D$11,Dataset!AH:AH,"bono corporativo",Dataset!T:T,"US$",Dataset!J:J,"&lt;"&amp;$D50,Dataset!J:J,"&gt;="&amp;$C50)</f>
        <v>0</v>
      </c>
      <c r="N50" s="83">
        <f>SUMIFS(Dataset!AK:AK,Dataset!F:F,credito!$D$11,Dataset!J:J,"&lt;"&amp;$D50,Dataset!J:J,"&gt;="&amp;$C50,Dataset!AH:AH,"&lt;&gt;bono corporativo",Dataset!AH:AH,"&lt;&gt;bono de gobierno",Dataset!AH:AH,"&lt;&gt;deposito")</f>
        <v>0</v>
      </c>
      <c r="O50" s="84">
        <f t="shared" si="2"/>
        <v>0</v>
      </c>
      <c r="P50" s="82">
        <f>SUMIFS(Dataset!$AK:$AK,Dataset!$F:$F,credito!$D$11,Dataset!$AC:$AC,P$48,Dataset!$J:$J,"&lt;"&amp;$D50,Dataset!J:J,"&gt;="&amp;$C50)</f>
        <v>0</v>
      </c>
      <c r="Q50" s="83">
        <f>SUMIFS(Dataset!$AK:$AK,Dataset!$F:$F,credito!$D$11,Dataset!$AC:$AC,Q$48,Dataset!$J:$J,"&lt;"&amp;$D50,Dataset!J:J,"&gt;="&amp;$C50)</f>
        <v>0</v>
      </c>
      <c r="R50" s="83">
        <f>SUMIFS(Dataset!$AK:$AK,Dataset!$F:$F,credito!$D$11,Dataset!$AC:$AC,R$48,Dataset!$J:$J,"&lt;"&amp;$D50,Dataset!J:J,"&gt;="&amp;$C50)</f>
        <v>0</v>
      </c>
      <c r="S50" s="83">
        <f>SUMIFS(Dataset!$AK:$AK,Dataset!$F:$F,credito!$D$11,Dataset!$AC:$AC,S$48,Dataset!$J:$J,"&lt;"&amp;$D50,Dataset!J:J,"&gt;="&amp;$C50)</f>
        <v>0</v>
      </c>
      <c r="T50" s="83">
        <f>SUMIFS(Dataset!$AK:$AK,Dataset!$F:$F,credito!$D$11,Dataset!$AC:$AC,T$48,Dataset!$J:$J,"&lt;"&amp;$D50,Dataset!J:J,"&gt;="&amp;$C50)</f>
        <v>0</v>
      </c>
      <c r="U50" s="83">
        <f>SUMIFS(Dataset!$AK:$AK,Dataset!$F:$F,credito!$D$11,Dataset!$AC:$AC,"A",Dataset!$J:$J,"&lt;"&amp;$D50,Dataset!$J:$J,"&gt;="&amp;$C50)+SUMIFS(Dataset!$AK:$AK,Dataset!$F:$F,credito!$D$11,Dataset!$AC:$AC,"A-",Dataset!$J:$J,"&lt;"&amp;$D50,Dataset!$J:$J,"&gt;="&amp;$C50)+SUMIFS(Dataset!$AK:$AK,Dataset!$F:$F,credito!$D$11,Dataset!$AC:$AC,"A+",Dataset!$J:$J,"&lt;"&amp;$D50,Dataset!$J:$J,"&gt;="&amp;$C50)</f>
        <v>0</v>
      </c>
      <c r="V50" s="83">
        <f>SUMIFS(Dataset!$AK:$AK,Dataset!$F:$F,credito!$D$11,Dataset!$AC:$AC,"BBB",Dataset!$J:$J,"&lt;"&amp;$D50,Dataset!$J:$J,"&gt;="&amp;$C50)+SUMIFS(Dataset!$AK:$AK,Dataset!$F:$F,credito!$D$11,Dataset!$AC:$AC,"BBB-",Dataset!$J:$J,"&lt;"&amp;$D50,Dataset!$J:$J,"&gt;="&amp;$C50)+SUMIFS(Dataset!$AK:$AK,Dataset!$F:$F,credito!$D$11,Dataset!$AC:$AC,"BBB+",Dataset!$J:$J,"&lt;"&amp;$D50,Dataset!$J:$J,"&gt;="&amp;$C50)</f>
        <v>0</v>
      </c>
      <c r="W50" s="83">
        <f>SUMIFS(Dataset!$AK:$AK,Dataset!$F:$F,credito!$D$11,Dataset!$J:$J,"&lt;"&amp;$D50,Dataset!$J:$J,"&gt;="&amp;$C50,Dataset!$AC:$AC,"&lt;&gt;N-1+",Dataset!$AC:$AC,"&lt;&gt;*AA*",Dataset!$AC:$AC,"&lt;&gt;*AAA*",Dataset!$AC:$AC,"&lt;&gt;A",Dataset!$AC:$AC,"&lt;&gt;A-",Dataset!$AC:$AC,"&lt;&gt;A+",Dataset!$AC:$AC,"&lt;&gt;*BBB*")</f>
        <v>0</v>
      </c>
      <c r="X50" s="84">
        <f t="shared" si="3"/>
        <v>0</v>
      </c>
      <c r="Y50" s="85">
        <f>10*SUMIFS(Dataset!$H:$H,Dataset!$F:$F,credito!$D$11,Dataset!AH:AH,"deposito",Dataset!T:T,"$",Dataset!$J:$J,"&lt;"&amp;$D50,Dataset!J:J,"&gt;="&amp;$C50)</f>
        <v>0</v>
      </c>
      <c r="Z50" s="86">
        <f>10*SUMIFS(Dataset!$H:$H,Dataset!$F:$F,credito!$D$11,Dataset!AH:AH,"deposito",Dataset!T:T,"UF",Dataset!$J:$J,"&lt;"&amp;$D50,Dataset!J:J,"&gt;="&amp;$C50)</f>
        <v>0</v>
      </c>
      <c r="AA50" s="86">
        <f>10*SUMIFS(Dataset!$H:$H,Dataset!$F:$F,credito!$D$11,Dataset!AH:AH,"bono de gobierno",Dataset!T:T,"$",Dataset!$J:$J,"&lt;"&amp;$D50,Dataset!J:J,"&gt;="&amp;$C50)</f>
        <v>0</v>
      </c>
      <c r="AB50" s="86">
        <f>10*SUMIFS(Dataset!$H:$H,Dataset!$F:$F,credito!$D$11,Dataset!AH:AH,"bono de gobierno",Dataset!T:T,"uf",Dataset!$J:$J,"&lt;"&amp;$D50,Dataset!J:J,"&gt;="&amp;$C50)</f>
        <v>0</v>
      </c>
      <c r="AC50" s="86">
        <f>10*SUMIFS(Dataset!$H:$H,Dataset!$F:$F,credito!$D$11,Dataset!AH:AH,"bono de gobierno",Dataset!T:T,"eu",Dataset!$J:$J,"&lt;"&amp;$D50,Dataset!J:J,"&gt;="&amp;$C50)</f>
        <v>0</v>
      </c>
      <c r="AD50" s="86">
        <f>10*SUMIFS(Dataset!$H:$H,Dataset!$F:$F,credito!$D$11,Dataset!AH:AH,"bono de gobierno",Dataset!T:T,"mx",Dataset!$J:$J,"&lt;"&amp;$D50,Dataset!J:J,"&gt;="&amp;$C50)</f>
        <v>0</v>
      </c>
      <c r="AE50" s="86">
        <f>10*SUMIFS(Dataset!$H:$H,Dataset!$F:$F,credito!$D$11,Dataset!AH:AH,"bono corporativo",Dataset!T:T,"$",Dataset!$J:$J,"&lt;"&amp;$D50,Dataset!J:J,"&gt;="&amp;$C50)</f>
        <v>0</v>
      </c>
      <c r="AF50" s="86">
        <f>10*SUMIFS(Dataset!$H:$H,Dataset!$F:$F,credito!$D$11,Dataset!AH:AH,"bono corporativo",Dataset!T:T,"uf",Dataset!$J:$J,"&lt;"&amp;$D50,Dataset!J:J,"&gt;="&amp;$C50)</f>
        <v>0</v>
      </c>
      <c r="AG50" s="86">
        <f>10*SUMIFS(Dataset!$H:$H,Dataset!$F:$F,credito!$D$11,Dataset!AH:AH,"bono corporativo",Dataset!T:T,"us$",Dataset!$J:$J,"&lt;"&amp;$D50,Dataset!J:J,"&gt;="&amp;$C50)</f>
        <v>0</v>
      </c>
      <c r="AH50" s="86">
        <f>10*SUMIFS(Dataset!H:H,Dataset!F:F,credito!$D$11,Dataset!J:J,"&lt;"&amp;$D73,Dataset!J:J,"&gt;="&amp;$C73,Dataset!AH:AH,"&lt;&gt;bono corporativo",Dataset!AH:AH,"&lt;&gt;bono de gobierno",Dataset!AH:AH,"&lt;&gt;deposito")</f>
        <v>0</v>
      </c>
      <c r="AI50" s="87">
        <f t="shared" si="4"/>
        <v>0</v>
      </c>
    </row>
    <row r="51" spans="3:35" ht="33" customHeight="1" x14ac:dyDescent="0.3">
      <c r="C51" s="61">
        <v>1.5</v>
      </c>
      <c r="D51" s="81">
        <v>2.5</v>
      </c>
      <c r="E51" s="82">
        <f>SUMIFS(Dataset!AK:AK,Dataset!F:F,credito!$D$11,Dataset!AH:AH,"deposito",Dataset!T:T,"$",Dataset!J:J,"&lt;"&amp;$D51,Dataset!J:J,"&gt;="&amp;$C51)</f>
        <v>0</v>
      </c>
      <c r="F51" s="83">
        <f>SUMIFS(Dataset!AK:AK,Dataset!F:F,credito!$D$11,Dataset!AH:AH,"deposito",Dataset!T:T,"UF",Dataset!J:J,"&lt;"&amp;$D51,Dataset!J:J,"&gt;="&amp;$C51)</f>
        <v>0</v>
      </c>
      <c r="G51" s="83">
        <f>SUMIFS(Dataset!AK:AK,Dataset!F:F,credito!$D$11,Dataset!AH:AH,"bono de gobierno",Dataset!T:T,"$",Dataset!J:J,"&lt;"&amp;$D51,Dataset!J:J,"&gt;="&amp;$C51)</f>
        <v>0</v>
      </c>
      <c r="H51" s="83">
        <f>SUMIFS(Dataset!AK:AK,Dataset!F:F,credito!$D$11,Dataset!AH:AH,"bono de gobierno",Dataset!T:T,"UF",Dataset!J:J,"&lt;"&amp;$D51,Dataset!J:J,"&gt;="&amp;$C51)</f>
        <v>0</v>
      </c>
      <c r="I51" s="83">
        <f>SUMIFS(Dataset!AK:AK,Dataset!F:F,credito!$D$11,Dataset!AH:AH,"bono de gobierno",Dataset!T:T,"eu",Dataset!J:J,"&lt;"&amp;$D51,Dataset!J:J,"&gt;="&amp;$C51)</f>
        <v>0</v>
      </c>
      <c r="J51" s="83">
        <f>SUMIFS(Dataset!AK:AK,Dataset!F:F,credito!$D$11,Dataset!AH:AH,"bono de gobierno",Dataset!T:T,"mx",Dataset!J:J,"&lt;"&amp;$D51,Dataset!J:J,"&gt;="&amp;$C51)</f>
        <v>0</v>
      </c>
      <c r="K51" s="83">
        <f>SUMIFS(Dataset!AK:AK,Dataset!F:F,credito!$D$11,Dataset!AH:AH,"bono corporativo",Dataset!T:T,"$",Dataset!J:J,"&lt;"&amp;$D51,Dataset!J:J,"&gt;="&amp;$C51)</f>
        <v>0</v>
      </c>
      <c r="L51" s="83">
        <f>SUMIFS(Dataset!AK:AK,Dataset!F:F,credito!$D$11,Dataset!AH:AH,"bono corporativo",Dataset!T:T,"UF",Dataset!J:J,"&lt;"&amp;$D51,Dataset!J:J,"&gt;="&amp;$C51)</f>
        <v>0</v>
      </c>
      <c r="M51" s="83">
        <f>SUMIFS(Dataset!AK:AK,Dataset!F:F,credito!$D$11,Dataset!AH:AH,"bono corporativo",Dataset!T:T,"US$",Dataset!J:J,"&lt;"&amp;$D51,Dataset!J:J,"&gt;="&amp;$C51)</f>
        <v>0</v>
      </c>
      <c r="N51" s="83">
        <f>SUMIFS(Dataset!AK:AK,Dataset!F:F,credito!$D$11,Dataset!J:J,"&lt;"&amp;$D51,Dataset!J:J,"&gt;="&amp;$C51,Dataset!AH:AH,"&lt;&gt;bono corporativo",Dataset!AH:AH,"&lt;&gt;bono de gobierno",Dataset!AH:AH,"&lt;&gt;deposito")</f>
        <v>0</v>
      </c>
      <c r="O51" s="84">
        <f t="shared" si="2"/>
        <v>0</v>
      </c>
      <c r="P51" s="82">
        <f>SUMIFS(Dataset!$AK:$AK,Dataset!$F:$F,credito!$D$11,Dataset!$AC:$AC,P$48,Dataset!$J:$J,"&lt;"&amp;$D51,Dataset!J:J,"&gt;="&amp;$C51)</f>
        <v>0</v>
      </c>
      <c r="Q51" s="83">
        <f>SUMIFS(Dataset!$AK:$AK,Dataset!$F:$F,credito!$D$11,Dataset!$AC:$AC,Q$48,Dataset!$J:$J,"&lt;"&amp;$D51,Dataset!J:J,"&gt;="&amp;$C51)</f>
        <v>0</v>
      </c>
      <c r="R51" s="83">
        <f>SUMIFS(Dataset!$AK:$AK,Dataset!$F:$F,credito!$D$11,Dataset!$AC:$AC,R$48,Dataset!$J:$J,"&lt;"&amp;$D51,Dataset!J:J,"&gt;="&amp;$C51)</f>
        <v>0</v>
      </c>
      <c r="S51" s="83">
        <f>SUMIFS(Dataset!$AK:$AK,Dataset!$F:$F,credito!$D$11,Dataset!$AC:$AC,S$48,Dataset!$J:$J,"&lt;"&amp;$D51,Dataset!J:J,"&gt;="&amp;$C51)</f>
        <v>0</v>
      </c>
      <c r="T51" s="83">
        <f>SUMIFS(Dataset!$AK:$AK,Dataset!$F:$F,credito!$D$11,Dataset!$AC:$AC,T$48,Dataset!$J:$J,"&lt;"&amp;$D51,Dataset!J:J,"&gt;="&amp;$C51)</f>
        <v>0</v>
      </c>
      <c r="U51" s="83">
        <f>SUMIFS(Dataset!$AK:$AK,Dataset!$F:$F,credito!$D$11,Dataset!$AC:$AC,"A",Dataset!$J:$J,"&lt;"&amp;$D51,Dataset!$J:$J,"&gt;="&amp;$C51)+SUMIFS(Dataset!$AK:$AK,Dataset!$F:$F,credito!$D$11,Dataset!$AC:$AC,"A-",Dataset!$J:$J,"&lt;"&amp;$D51,Dataset!$J:$J,"&gt;="&amp;$C51)+SUMIFS(Dataset!$AK:$AK,Dataset!$F:$F,credito!$D$11,Dataset!$AC:$AC,"A+",Dataset!$J:$J,"&lt;"&amp;$D51,Dataset!$J:$J,"&gt;="&amp;$C51)</f>
        <v>0</v>
      </c>
      <c r="V51" s="83">
        <f>SUMIFS(Dataset!$AK:$AK,Dataset!$F:$F,credito!$D$11,Dataset!$AC:$AC,"BBB",Dataset!$J:$J,"&lt;"&amp;$D51,Dataset!$J:$J,"&gt;="&amp;$C51)+SUMIFS(Dataset!$AK:$AK,Dataset!$F:$F,credito!$D$11,Dataset!$AC:$AC,"BBB-",Dataset!$J:$J,"&lt;"&amp;$D51,Dataset!$J:$J,"&gt;="&amp;$C51)+SUMIFS(Dataset!$AK:$AK,Dataset!$F:$F,credito!$D$11,Dataset!$AC:$AC,"BBB+",Dataset!$J:$J,"&lt;"&amp;$D51,Dataset!$J:$J,"&gt;="&amp;$C51)</f>
        <v>0</v>
      </c>
      <c r="W51" s="83">
        <f>SUMIFS(Dataset!$AK:$AK,Dataset!$F:$F,credito!$D$11,Dataset!$J:$J,"&lt;"&amp;$D51,Dataset!$J:$J,"&gt;="&amp;$C51,Dataset!$AC:$AC,"&lt;&gt;N-1+",Dataset!$AC:$AC,"&lt;&gt;*AA*",Dataset!$AC:$AC,"&lt;&gt;*AAA*",Dataset!$AC:$AC,"&lt;&gt;A",Dataset!$AC:$AC,"&lt;&gt;A-",Dataset!$AC:$AC,"&lt;&gt;A+",Dataset!$AC:$AC,"&lt;&gt;*BBB*")</f>
        <v>0</v>
      </c>
      <c r="X51" s="84">
        <f t="shared" si="3"/>
        <v>0</v>
      </c>
      <c r="Y51" s="85">
        <f>10*SUMIFS(Dataset!$H:$H,Dataset!$F:$F,credito!$D$11,Dataset!AH:AH,"deposito",Dataset!T:T,"$",Dataset!$J:$J,"&lt;"&amp;$D51,Dataset!J:J,"&gt;="&amp;$C51)</f>
        <v>0</v>
      </c>
      <c r="Z51" s="86">
        <f>10*SUMIFS(Dataset!$H:$H,Dataset!$F:$F,credito!$D$11,Dataset!AH:AH,"deposito",Dataset!T:T,"UF",Dataset!$J:$J,"&lt;"&amp;$D51,Dataset!J:J,"&gt;="&amp;$C51)</f>
        <v>0</v>
      </c>
      <c r="AA51" s="86">
        <f>10*SUMIFS(Dataset!$H:$H,Dataset!$F:$F,credito!$D$11,Dataset!AH:AH,"bono de gobierno",Dataset!T:T,"$",Dataset!$J:$J,"&lt;"&amp;$D51,Dataset!J:J,"&gt;="&amp;$C51)</f>
        <v>0</v>
      </c>
      <c r="AB51" s="86">
        <f>10*SUMIFS(Dataset!$H:$H,Dataset!$F:$F,credito!$D$11,Dataset!AH:AH,"bono de gobierno",Dataset!T:T,"uf",Dataset!$J:$J,"&lt;"&amp;$D51,Dataset!J:J,"&gt;="&amp;$C51)</f>
        <v>0</v>
      </c>
      <c r="AC51" s="86">
        <f>10*SUMIFS(Dataset!$H:$H,Dataset!$F:$F,credito!$D$11,Dataset!AH:AH,"bono de gobierno",Dataset!T:T,"eu",Dataset!$J:$J,"&lt;"&amp;$D51,Dataset!J:J,"&gt;="&amp;$C51)</f>
        <v>0</v>
      </c>
      <c r="AD51" s="86">
        <f>10*SUMIFS(Dataset!$H:$H,Dataset!$F:$F,credito!$D$11,Dataset!AH:AH,"bono de gobierno",Dataset!T:T,"mx",Dataset!$J:$J,"&lt;"&amp;$D51,Dataset!J:J,"&gt;="&amp;$C51)</f>
        <v>0</v>
      </c>
      <c r="AE51" s="86">
        <f>10*SUMIFS(Dataset!$H:$H,Dataset!$F:$F,credito!$D$11,Dataset!AH:AH,"bono corporativo",Dataset!T:T,"$",Dataset!$J:$J,"&lt;"&amp;$D51,Dataset!J:J,"&gt;="&amp;$C51)</f>
        <v>0</v>
      </c>
      <c r="AF51" s="86">
        <f>10*SUMIFS(Dataset!$H:$H,Dataset!$F:$F,credito!$D$11,Dataset!AH:AH,"bono corporativo",Dataset!T:T,"uf",Dataset!$J:$J,"&lt;"&amp;$D51,Dataset!J:J,"&gt;="&amp;$C51)</f>
        <v>0</v>
      </c>
      <c r="AG51" s="86">
        <f>10*SUMIFS(Dataset!$H:$H,Dataset!$F:$F,credito!$D$11,Dataset!AH:AH,"bono corporativo",Dataset!T:T,"us$",Dataset!$J:$J,"&lt;"&amp;$D51,Dataset!J:J,"&gt;="&amp;$C51)</f>
        <v>0</v>
      </c>
      <c r="AH51" s="86">
        <f>10*SUMIFS(Dataset!H:H,Dataset!F:F,credito!$D$11,Dataset!J:J,"&lt;"&amp;$D74,Dataset!J:J,"&gt;="&amp;$C74,Dataset!AH:AH,"&lt;&gt;bono corporativo",Dataset!AH:AH,"&lt;&gt;bono de gobierno",Dataset!AH:AH,"&lt;&gt;deposito")</f>
        <v>0</v>
      </c>
      <c r="AI51" s="87">
        <f t="shared" si="4"/>
        <v>0</v>
      </c>
    </row>
    <row r="52" spans="3:35" ht="33" customHeight="1" x14ac:dyDescent="0.3">
      <c r="C52" s="61">
        <v>2.5</v>
      </c>
      <c r="D52" s="81">
        <v>3.5</v>
      </c>
      <c r="E52" s="82">
        <f>SUMIFS(Dataset!AK:AK,Dataset!F:F,credito!$D$11,Dataset!AH:AH,"deposito",Dataset!T:T,"$",Dataset!J:J,"&lt;"&amp;$D52,Dataset!J:J,"&gt;="&amp;$C52)</f>
        <v>0</v>
      </c>
      <c r="F52" s="83">
        <f>SUMIFS(Dataset!AK:AK,Dataset!F:F,credito!$D$11,Dataset!AH:AH,"deposito",Dataset!T:T,"UF",Dataset!J:J,"&lt;"&amp;$D52,Dataset!J:J,"&gt;="&amp;$C52)</f>
        <v>0</v>
      </c>
      <c r="G52" s="83">
        <f>SUMIFS(Dataset!AK:AK,Dataset!F:F,credito!$D$11,Dataset!AH:AH,"bono de gobierno",Dataset!T:T,"$",Dataset!J:J,"&lt;"&amp;$D52,Dataset!J:J,"&gt;="&amp;$C52)</f>
        <v>0</v>
      </c>
      <c r="H52" s="83">
        <f>SUMIFS(Dataset!AK:AK,Dataset!F:F,credito!$D$11,Dataset!AH:AH,"bono de gobierno",Dataset!T:T,"UF",Dataset!J:J,"&lt;"&amp;$D52,Dataset!J:J,"&gt;="&amp;$C52)</f>
        <v>0</v>
      </c>
      <c r="I52" s="83">
        <f>SUMIFS(Dataset!AK:AK,Dataset!F:F,credito!$D$11,Dataset!AH:AH,"bono de gobierno",Dataset!T:T,"eu",Dataset!J:J,"&lt;"&amp;$D52,Dataset!J:J,"&gt;="&amp;$C52)</f>
        <v>0</v>
      </c>
      <c r="J52" s="83">
        <f>SUMIFS(Dataset!AK:AK,Dataset!F:F,credito!$D$11,Dataset!AH:AH,"bono de gobierno",Dataset!T:T,"mx",Dataset!J:J,"&lt;"&amp;$D52,Dataset!J:J,"&gt;="&amp;$C52)</f>
        <v>0</v>
      </c>
      <c r="K52" s="83">
        <f>SUMIFS(Dataset!AK:AK,Dataset!F:F,credito!$D$11,Dataset!AH:AH,"bono corporativo",Dataset!T:T,"$",Dataset!J:J,"&lt;"&amp;$D52,Dataset!J:J,"&gt;="&amp;$C52)</f>
        <v>0</v>
      </c>
      <c r="L52" s="83">
        <f>SUMIFS(Dataset!AK:AK,Dataset!F:F,credito!$D$11,Dataset!AH:AH,"bono corporativo",Dataset!T:T,"UF",Dataset!J:J,"&lt;"&amp;$D52,Dataset!J:J,"&gt;="&amp;$C52)</f>
        <v>0</v>
      </c>
      <c r="M52" s="83">
        <f>SUMIFS(Dataset!AK:AK,Dataset!F:F,credito!$D$11,Dataset!AH:AH,"bono corporativo",Dataset!T:T,"US$",Dataset!J:J,"&lt;"&amp;$D52,Dataset!J:J,"&gt;="&amp;$C52)</f>
        <v>0</v>
      </c>
      <c r="N52" s="83">
        <f>SUMIFS(Dataset!AK:AK,Dataset!F:F,credito!$D$11,Dataset!J:J,"&lt;"&amp;$D52,Dataset!J:J,"&gt;="&amp;$C52,Dataset!AH:AH,"&lt;&gt;bono corporativo",Dataset!AH:AH,"&lt;&gt;bono de gobierno",Dataset!AH:AH,"&lt;&gt;deposito")</f>
        <v>0</v>
      </c>
      <c r="O52" s="84">
        <f t="shared" si="2"/>
        <v>0</v>
      </c>
      <c r="P52" s="82">
        <f>SUMIFS(Dataset!$AK:$AK,Dataset!$F:$F,credito!$D$11,Dataset!$AC:$AC,P$48,Dataset!$J:$J,"&lt;"&amp;$D52,Dataset!J:J,"&gt;="&amp;$C52)</f>
        <v>0</v>
      </c>
      <c r="Q52" s="83">
        <f>SUMIFS(Dataset!$AK:$AK,Dataset!$F:$F,credito!$D$11,Dataset!$AC:$AC,Q$48,Dataset!$J:$J,"&lt;"&amp;$D52,Dataset!J:J,"&gt;="&amp;$C52)</f>
        <v>0</v>
      </c>
      <c r="R52" s="83">
        <f>SUMIFS(Dataset!$AK:$AK,Dataset!$F:$F,credito!$D$11,Dataset!$AC:$AC,R$48,Dataset!$J:$J,"&lt;"&amp;$D52,Dataset!J:J,"&gt;="&amp;$C52)</f>
        <v>0</v>
      </c>
      <c r="S52" s="83">
        <f>SUMIFS(Dataset!$AK:$AK,Dataset!$F:$F,credito!$D$11,Dataset!$AC:$AC,S$48,Dataset!$J:$J,"&lt;"&amp;$D52,Dataset!J:J,"&gt;="&amp;$C52)</f>
        <v>0</v>
      </c>
      <c r="T52" s="83">
        <f>SUMIFS(Dataset!$AK:$AK,Dataset!$F:$F,credito!$D$11,Dataset!$AC:$AC,T$48,Dataset!$J:$J,"&lt;"&amp;$D52,Dataset!J:J,"&gt;="&amp;$C52)</f>
        <v>0</v>
      </c>
      <c r="U52" s="83">
        <f>SUMIFS(Dataset!$AK:$AK,Dataset!$F:$F,credito!$D$11,Dataset!$AC:$AC,"A",Dataset!$J:$J,"&lt;"&amp;$D52,Dataset!$J:$J,"&gt;="&amp;$C52)+SUMIFS(Dataset!$AK:$AK,Dataset!$F:$F,credito!$D$11,Dataset!$AC:$AC,"A-",Dataset!$J:$J,"&lt;"&amp;$D52,Dataset!$J:$J,"&gt;="&amp;$C52)+SUMIFS(Dataset!$AK:$AK,Dataset!$F:$F,credito!$D$11,Dataset!$AC:$AC,"A+",Dataset!$J:$J,"&lt;"&amp;$D52,Dataset!$J:$J,"&gt;="&amp;$C52)</f>
        <v>0</v>
      </c>
      <c r="V52" s="83">
        <f>SUMIFS(Dataset!$AK:$AK,Dataset!$F:$F,credito!$D$11,Dataset!$AC:$AC,"BBB",Dataset!$J:$J,"&lt;"&amp;$D52,Dataset!$J:$J,"&gt;="&amp;$C52)+SUMIFS(Dataset!$AK:$AK,Dataset!$F:$F,credito!$D$11,Dataset!$AC:$AC,"BBB-",Dataset!$J:$J,"&lt;"&amp;$D52,Dataset!$J:$J,"&gt;="&amp;$C52)+SUMIFS(Dataset!$AK:$AK,Dataset!$F:$F,credito!$D$11,Dataset!$AC:$AC,"BBB+",Dataset!$J:$J,"&lt;"&amp;$D52,Dataset!$J:$J,"&gt;="&amp;$C52)</f>
        <v>0</v>
      </c>
      <c r="W52" s="83">
        <f>SUMIFS(Dataset!$AK:$AK,Dataset!$F:$F,credito!$D$11,Dataset!$J:$J,"&lt;"&amp;$D52,Dataset!$J:$J,"&gt;="&amp;$C52,Dataset!$AC:$AC,"&lt;&gt;N-1+",Dataset!$AC:$AC,"&lt;&gt;*AA*",Dataset!$AC:$AC,"&lt;&gt;*AAA*",Dataset!$AC:$AC,"&lt;&gt;A",Dataset!$AC:$AC,"&lt;&gt;A-",Dataset!$AC:$AC,"&lt;&gt;A+",Dataset!$AC:$AC,"&lt;&gt;*BBB*")</f>
        <v>0</v>
      </c>
      <c r="X52" s="84">
        <f t="shared" si="3"/>
        <v>0</v>
      </c>
      <c r="Y52" s="85">
        <f>10*SUMIFS(Dataset!$H:$H,Dataset!$F:$F,credito!$D$11,Dataset!AH:AH,"deposito",Dataset!T:T,"$",Dataset!$J:$J,"&lt;"&amp;$D52,Dataset!J:J,"&gt;="&amp;$C52)</f>
        <v>0</v>
      </c>
      <c r="Z52" s="86">
        <f>10*SUMIFS(Dataset!$H:$H,Dataset!$F:$F,credito!$D$11,Dataset!AH:AH,"deposito",Dataset!T:T,"UF",Dataset!$J:$J,"&lt;"&amp;$D52,Dataset!J:J,"&gt;="&amp;$C52)</f>
        <v>0</v>
      </c>
      <c r="AA52" s="86">
        <f>10*SUMIFS(Dataset!$H:$H,Dataset!$F:$F,credito!$D$11,Dataset!AH:AH,"bono de gobierno",Dataset!T:T,"$",Dataset!$J:$J,"&lt;"&amp;$D52,Dataset!J:J,"&gt;="&amp;$C52)</f>
        <v>0</v>
      </c>
      <c r="AB52" s="86">
        <f>10*SUMIFS(Dataset!$H:$H,Dataset!$F:$F,credito!$D$11,Dataset!AH:AH,"bono de gobierno",Dataset!T:T,"uf",Dataset!$J:$J,"&lt;"&amp;$D52,Dataset!J:J,"&gt;="&amp;$C52)</f>
        <v>0</v>
      </c>
      <c r="AC52" s="86">
        <f>10*SUMIFS(Dataset!$H:$H,Dataset!$F:$F,credito!$D$11,Dataset!AH:AH,"bono de gobierno",Dataset!T:T,"eu",Dataset!$J:$J,"&lt;"&amp;$D52,Dataset!J:J,"&gt;="&amp;$C52)</f>
        <v>0</v>
      </c>
      <c r="AD52" s="86">
        <f>10*SUMIFS(Dataset!$H:$H,Dataset!$F:$F,credito!$D$11,Dataset!AH:AH,"bono de gobierno",Dataset!T:T,"mx",Dataset!$J:$J,"&lt;"&amp;$D52,Dataset!J:J,"&gt;="&amp;$C52)</f>
        <v>0</v>
      </c>
      <c r="AE52" s="86">
        <f>10*SUMIFS(Dataset!$H:$H,Dataset!$F:$F,credito!$D$11,Dataset!AH:AH,"bono corporativo",Dataset!T:T,"$",Dataset!$J:$J,"&lt;"&amp;$D52,Dataset!J:J,"&gt;="&amp;$C52)</f>
        <v>0</v>
      </c>
      <c r="AF52" s="86">
        <f>10*SUMIFS(Dataset!$H:$H,Dataset!$F:$F,credito!$D$11,Dataset!AH:AH,"bono corporativo",Dataset!T:T,"uf",Dataset!$J:$J,"&lt;"&amp;$D52,Dataset!J:J,"&gt;="&amp;$C52)</f>
        <v>0</v>
      </c>
      <c r="AG52" s="86">
        <f>10*SUMIFS(Dataset!$H:$H,Dataset!$F:$F,credito!$D$11,Dataset!AH:AH,"bono corporativo",Dataset!T:T,"us$",Dataset!$J:$J,"&lt;"&amp;$D52,Dataset!J:J,"&gt;="&amp;$C52)</f>
        <v>0</v>
      </c>
      <c r="AH52" s="86">
        <f>10*SUMIFS(Dataset!H:H,Dataset!F:F,credito!$D$11,Dataset!J:J,"&lt;"&amp;$D75,Dataset!J:J,"&gt;="&amp;$C75,Dataset!AH:AH,"&lt;&gt;bono corporativo",Dataset!AH:AH,"&lt;&gt;bono de gobierno",Dataset!AH:AH,"&lt;&gt;deposito")</f>
        <v>0</v>
      </c>
      <c r="AI52" s="87">
        <f t="shared" si="4"/>
        <v>0</v>
      </c>
    </row>
    <row r="53" spans="3:35" ht="33" customHeight="1" x14ac:dyDescent="0.3">
      <c r="C53" s="61">
        <v>3.5</v>
      </c>
      <c r="D53" s="81">
        <v>4.5</v>
      </c>
      <c r="E53" s="82">
        <f>SUMIFS(Dataset!AK:AK,Dataset!F:F,credito!$D$11,Dataset!AH:AH,"deposito",Dataset!T:T,"$",Dataset!J:J,"&lt;"&amp;$D53,Dataset!J:J,"&gt;="&amp;$C53)</f>
        <v>0</v>
      </c>
      <c r="F53" s="83">
        <f>SUMIFS(Dataset!AK:AK,Dataset!F:F,credito!$D$11,Dataset!AH:AH,"deposito",Dataset!T:T,"UF",Dataset!J:J,"&lt;"&amp;$D53,Dataset!J:J,"&gt;="&amp;$C53)</f>
        <v>0</v>
      </c>
      <c r="G53" s="83">
        <f>SUMIFS(Dataset!AK:AK,Dataset!F:F,credito!$D$11,Dataset!AH:AH,"bono de gobierno",Dataset!T:T,"$",Dataset!J:J,"&lt;"&amp;$D53,Dataset!J:J,"&gt;="&amp;$C53)</f>
        <v>0</v>
      </c>
      <c r="H53" s="83">
        <f>SUMIFS(Dataset!AK:AK,Dataset!F:F,credito!$D$11,Dataset!AH:AH,"bono de gobierno",Dataset!T:T,"UF",Dataset!J:J,"&lt;"&amp;$D53,Dataset!J:J,"&gt;="&amp;$C53)</f>
        <v>0</v>
      </c>
      <c r="I53" s="83">
        <f>SUMIFS(Dataset!AK:AK,Dataset!F:F,credito!$D$11,Dataset!AH:AH,"bono de gobierno",Dataset!T:T,"eu",Dataset!J:J,"&lt;"&amp;$D53,Dataset!J:J,"&gt;="&amp;$C53)</f>
        <v>0</v>
      </c>
      <c r="J53" s="83">
        <f>SUMIFS(Dataset!AK:AK,Dataset!F:F,credito!$D$11,Dataset!AH:AH,"bono de gobierno",Dataset!T:T,"mx",Dataset!J:J,"&lt;"&amp;$D53,Dataset!J:J,"&gt;="&amp;$C53)</f>
        <v>0</v>
      </c>
      <c r="K53" s="83">
        <f>SUMIFS(Dataset!AK:AK,Dataset!F:F,credito!$D$11,Dataset!AH:AH,"bono corporativo",Dataset!T:T,"$",Dataset!J:J,"&lt;"&amp;$D53,Dataset!J:J,"&gt;="&amp;$C53)</f>
        <v>0</v>
      </c>
      <c r="L53" s="83">
        <f>SUMIFS(Dataset!AK:AK,Dataset!F:F,credito!$D$11,Dataset!AH:AH,"bono corporativo",Dataset!T:T,"UF",Dataset!J:J,"&lt;"&amp;$D53,Dataset!J:J,"&gt;="&amp;$C53)</f>
        <v>0</v>
      </c>
      <c r="M53" s="83">
        <f>SUMIFS(Dataset!AK:AK,Dataset!F:F,credito!$D$11,Dataset!AH:AH,"bono corporativo",Dataset!T:T,"US$",Dataset!J:J,"&lt;"&amp;$D53,Dataset!J:J,"&gt;="&amp;$C53)</f>
        <v>0</v>
      </c>
      <c r="N53" s="83">
        <f>SUMIFS(Dataset!AK:AK,Dataset!F:F,credito!$D$11,Dataset!J:J,"&lt;"&amp;$D53,Dataset!J:J,"&gt;="&amp;$C53,Dataset!AH:AH,"&lt;&gt;bono corporativo",Dataset!AH:AH,"&lt;&gt;bono de gobierno",Dataset!AH:AH,"&lt;&gt;deposito")</f>
        <v>0</v>
      </c>
      <c r="O53" s="84">
        <f t="shared" si="2"/>
        <v>0</v>
      </c>
      <c r="P53" s="82">
        <f>SUMIFS(Dataset!$AK:$AK,Dataset!$F:$F,credito!$D$11,Dataset!$AC:$AC,P$48,Dataset!$J:$J,"&lt;"&amp;$D53,Dataset!J:J,"&gt;="&amp;$C53)</f>
        <v>0</v>
      </c>
      <c r="Q53" s="83">
        <f>SUMIFS(Dataset!$AK:$AK,Dataset!$F:$F,credito!$D$11,Dataset!$AC:$AC,Q$48,Dataset!$J:$J,"&lt;"&amp;$D53,Dataset!J:J,"&gt;="&amp;$C53)</f>
        <v>0</v>
      </c>
      <c r="R53" s="83">
        <f>SUMIFS(Dataset!$AK:$AK,Dataset!$F:$F,credito!$D$11,Dataset!$AC:$AC,R$48,Dataset!$J:$J,"&lt;"&amp;$D53,Dataset!J:J,"&gt;="&amp;$C53)</f>
        <v>0</v>
      </c>
      <c r="S53" s="83">
        <f>SUMIFS(Dataset!$AK:$AK,Dataset!$F:$F,credito!$D$11,Dataset!$AC:$AC,S$48,Dataset!$J:$J,"&lt;"&amp;$D53,Dataset!J:J,"&gt;="&amp;$C53)</f>
        <v>0</v>
      </c>
      <c r="T53" s="83">
        <f>SUMIFS(Dataset!$AK:$AK,Dataset!$F:$F,credito!$D$11,Dataset!$AC:$AC,T$48,Dataset!$J:$J,"&lt;"&amp;$D53,Dataset!J:J,"&gt;="&amp;$C53)</f>
        <v>0</v>
      </c>
      <c r="U53" s="83">
        <f>SUMIFS(Dataset!$AK:$AK,Dataset!$F:$F,credito!$D$11,Dataset!$AC:$AC,"A",Dataset!$J:$J,"&lt;"&amp;$D53,Dataset!$J:$J,"&gt;="&amp;$C53)+SUMIFS(Dataset!$AK:$AK,Dataset!$F:$F,credito!$D$11,Dataset!$AC:$AC,"A-",Dataset!$J:$J,"&lt;"&amp;$D53,Dataset!$J:$J,"&gt;="&amp;$C53)+SUMIFS(Dataset!$AK:$AK,Dataset!$F:$F,credito!$D$11,Dataset!$AC:$AC,"A+",Dataset!$J:$J,"&lt;"&amp;$D53,Dataset!$J:$J,"&gt;="&amp;$C53)</f>
        <v>0</v>
      </c>
      <c r="V53" s="83">
        <f>SUMIFS(Dataset!$AK:$AK,Dataset!$F:$F,credito!$D$11,Dataset!$AC:$AC,"BBB",Dataset!$J:$J,"&lt;"&amp;$D53,Dataset!$J:$J,"&gt;="&amp;$C53)+SUMIFS(Dataset!$AK:$AK,Dataset!$F:$F,credito!$D$11,Dataset!$AC:$AC,"BBB-",Dataset!$J:$J,"&lt;"&amp;$D53,Dataset!$J:$J,"&gt;="&amp;$C53)+SUMIFS(Dataset!$AK:$AK,Dataset!$F:$F,credito!$D$11,Dataset!$AC:$AC,"BBB+",Dataset!$J:$J,"&lt;"&amp;$D53,Dataset!$J:$J,"&gt;="&amp;$C53)</f>
        <v>0</v>
      </c>
      <c r="W53" s="83">
        <f>SUMIFS(Dataset!$AK:$AK,Dataset!$F:$F,credito!$D$11,Dataset!$J:$J,"&lt;"&amp;$D53,Dataset!$J:$J,"&gt;="&amp;$C53,Dataset!$AC:$AC,"&lt;&gt;N-1+",Dataset!$AC:$AC,"&lt;&gt;*AA*",Dataset!$AC:$AC,"&lt;&gt;*AAA*",Dataset!$AC:$AC,"&lt;&gt;A",Dataset!$AC:$AC,"&lt;&gt;A-",Dataset!$AC:$AC,"&lt;&gt;A+",Dataset!$AC:$AC,"&lt;&gt;*BBB*")</f>
        <v>0</v>
      </c>
      <c r="X53" s="84">
        <f t="shared" si="3"/>
        <v>0</v>
      </c>
      <c r="Y53" s="85">
        <f>10*SUMIFS(Dataset!$H:$H,Dataset!$F:$F,credito!$D$11,Dataset!AH:AH,"deposito",Dataset!T:T,"$",Dataset!$J:$J,"&lt;"&amp;$D53,Dataset!J:J,"&gt;="&amp;$C53)</f>
        <v>0</v>
      </c>
      <c r="Z53" s="86">
        <f>10*SUMIFS(Dataset!$H:$H,Dataset!$F:$F,credito!$D$11,Dataset!AH:AH,"deposito",Dataset!T:T,"UF",Dataset!$J:$J,"&lt;"&amp;$D53,Dataset!J:J,"&gt;="&amp;$C53)</f>
        <v>0</v>
      </c>
      <c r="AA53" s="86">
        <f>10*SUMIFS(Dataset!$H:$H,Dataset!$F:$F,credito!$D$11,Dataset!AH:AH,"bono de gobierno",Dataset!T:T,"$",Dataset!$J:$J,"&lt;"&amp;$D53,Dataset!J:J,"&gt;="&amp;$C53)</f>
        <v>0</v>
      </c>
      <c r="AB53" s="86">
        <f>10*SUMIFS(Dataset!$H:$H,Dataset!$F:$F,credito!$D$11,Dataset!AH:AH,"bono de gobierno",Dataset!T:T,"uf",Dataset!$J:$J,"&lt;"&amp;$D53,Dataset!J:J,"&gt;="&amp;$C53)</f>
        <v>0</v>
      </c>
      <c r="AC53" s="86">
        <f>10*SUMIFS(Dataset!$H:$H,Dataset!$F:$F,credito!$D$11,Dataset!AH:AH,"bono de gobierno",Dataset!T:T,"eu",Dataset!$J:$J,"&lt;"&amp;$D53,Dataset!J:J,"&gt;="&amp;$C53)</f>
        <v>0</v>
      </c>
      <c r="AD53" s="86">
        <f>10*SUMIFS(Dataset!$H:$H,Dataset!$F:$F,credito!$D$11,Dataset!AH:AH,"bono de gobierno",Dataset!T:T,"mx",Dataset!$J:$J,"&lt;"&amp;$D53,Dataset!J:J,"&gt;="&amp;$C53)</f>
        <v>0</v>
      </c>
      <c r="AE53" s="86">
        <f>10*SUMIFS(Dataset!$H:$H,Dataset!$F:$F,credito!$D$11,Dataset!AH:AH,"bono corporativo",Dataset!T:T,"$",Dataset!$J:$J,"&lt;"&amp;$D53,Dataset!J:J,"&gt;="&amp;$C53)</f>
        <v>0</v>
      </c>
      <c r="AF53" s="86">
        <f>10*SUMIFS(Dataset!$H:$H,Dataset!$F:$F,credito!$D$11,Dataset!AH:AH,"bono corporativo",Dataset!T:T,"uf",Dataset!$J:$J,"&lt;"&amp;$D53,Dataset!J:J,"&gt;="&amp;$C53)</f>
        <v>0</v>
      </c>
      <c r="AG53" s="86">
        <f>10*SUMIFS(Dataset!$H:$H,Dataset!$F:$F,credito!$D$11,Dataset!AH:AH,"bono corporativo",Dataset!T:T,"us$",Dataset!$J:$J,"&lt;"&amp;$D53,Dataset!J:J,"&gt;="&amp;$C53)</f>
        <v>0</v>
      </c>
      <c r="AH53" s="86">
        <f>10*SUMIFS(Dataset!H:H,Dataset!F:F,credito!$D$11,Dataset!J:J,"&lt;"&amp;$D76,Dataset!J:J,"&gt;="&amp;$C76,Dataset!AH:AH,"&lt;&gt;bono corporativo",Dataset!AH:AH,"&lt;&gt;bono de gobierno",Dataset!AH:AH,"&lt;&gt;deposito")</f>
        <v>0</v>
      </c>
      <c r="AI53" s="87">
        <f t="shared" si="4"/>
        <v>0</v>
      </c>
    </row>
    <row r="54" spans="3:35" ht="33" customHeight="1" x14ac:dyDescent="0.3">
      <c r="C54" s="61">
        <v>4.5</v>
      </c>
      <c r="D54" s="81">
        <v>5.5</v>
      </c>
      <c r="E54" s="82">
        <f>SUMIFS(Dataset!AK:AK,Dataset!F:F,credito!$D$11,Dataset!AH:AH,"deposito",Dataset!T:T,"$",Dataset!J:J,"&lt;"&amp;$D54,Dataset!J:J,"&gt;="&amp;$C54)</f>
        <v>0</v>
      </c>
      <c r="F54" s="83">
        <f>SUMIFS(Dataset!AK:AK,Dataset!F:F,credito!$D$11,Dataset!AH:AH,"deposito",Dataset!T:T,"UF",Dataset!J:J,"&lt;"&amp;$D54,Dataset!J:J,"&gt;="&amp;$C54)</f>
        <v>0</v>
      </c>
      <c r="G54" s="83">
        <f>SUMIFS(Dataset!AK:AK,Dataset!F:F,credito!$D$11,Dataset!AH:AH,"bono de gobierno",Dataset!T:T,"$",Dataset!J:J,"&lt;"&amp;$D54,Dataset!J:J,"&gt;="&amp;$C54)</f>
        <v>0</v>
      </c>
      <c r="H54" s="83">
        <f>SUMIFS(Dataset!AK:AK,Dataset!F:F,credito!$D$11,Dataset!AH:AH,"bono de gobierno",Dataset!T:T,"UF",Dataset!J:J,"&lt;"&amp;$D54,Dataset!J:J,"&gt;="&amp;$C54)</f>
        <v>0</v>
      </c>
      <c r="I54" s="83">
        <f>SUMIFS(Dataset!AK:AK,Dataset!F:F,credito!$D$11,Dataset!AH:AH,"bono de gobierno",Dataset!T:T,"eu",Dataset!J:J,"&lt;"&amp;$D54,Dataset!J:J,"&gt;="&amp;$C54)</f>
        <v>0</v>
      </c>
      <c r="J54" s="83">
        <f>SUMIFS(Dataset!AK:AK,Dataset!F:F,credito!$D$11,Dataset!AH:AH,"bono de gobierno",Dataset!T:T,"mx",Dataset!J:J,"&lt;"&amp;$D54,Dataset!J:J,"&gt;="&amp;$C54)</f>
        <v>0</v>
      </c>
      <c r="K54" s="83">
        <f>SUMIFS(Dataset!AK:AK,Dataset!F:F,credito!$D$11,Dataset!AH:AH,"bono corporativo",Dataset!T:T,"$",Dataset!J:J,"&lt;"&amp;$D54,Dataset!J:J,"&gt;="&amp;$C54)</f>
        <v>0</v>
      </c>
      <c r="L54" s="83">
        <f>SUMIFS(Dataset!AK:AK,Dataset!F:F,credito!$D$11,Dataset!AH:AH,"bono corporativo",Dataset!T:T,"UF",Dataset!J:J,"&lt;"&amp;$D54,Dataset!J:J,"&gt;="&amp;$C54)</f>
        <v>0</v>
      </c>
      <c r="M54" s="83">
        <f>SUMIFS(Dataset!AK:AK,Dataset!F:F,credito!$D$11,Dataset!AH:AH,"bono corporativo",Dataset!T:T,"US$",Dataset!J:J,"&lt;"&amp;$D54,Dataset!J:J,"&gt;="&amp;$C54)</f>
        <v>0</v>
      </c>
      <c r="N54" s="83">
        <f>SUMIFS(Dataset!AK:AK,Dataset!F:F,credito!$D$11,Dataset!J:J,"&lt;"&amp;$D54,Dataset!J:J,"&gt;="&amp;$C54,Dataset!AH:AH,"&lt;&gt;bono corporativo",Dataset!AH:AH,"&lt;&gt;bono de gobierno",Dataset!AH:AH,"&lt;&gt;deposito")</f>
        <v>0</v>
      </c>
      <c r="O54" s="84">
        <f t="shared" si="2"/>
        <v>0</v>
      </c>
      <c r="P54" s="82">
        <f>SUMIFS(Dataset!$AK:$AK,Dataset!$F:$F,credito!$D$11,Dataset!$AC:$AC,P$48,Dataset!$J:$J,"&lt;"&amp;$D54,Dataset!J:J,"&gt;="&amp;$C54)</f>
        <v>0</v>
      </c>
      <c r="Q54" s="83">
        <f>SUMIFS(Dataset!$AK:$AK,Dataset!$F:$F,credito!$D$11,Dataset!$AC:$AC,Q$48,Dataset!$J:$J,"&lt;"&amp;$D54,Dataset!J:J,"&gt;="&amp;$C54)</f>
        <v>0</v>
      </c>
      <c r="R54" s="83">
        <f>SUMIFS(Dataset!$AK:$AK,Dataset!$F:$F,credito!$D$11,Dataset!$AC:$AC,R$48,Dataset!$J:$J,"&lt;"&amp;$D54,Dataset!J:J,"&gt;="&amp;$C54)</f>
        <v>0</v>
      </c>
      <c r="S54" s="83">
        <f>SUMIFS(Dataset!$AK:$AK,Dataset!$F:$F,credito!$D$11,Dataset!$AC:$AC,S$48,Dataset!$J:$J,"&lt;"&amp;$D54,Dataset!J:J,"&gt;="&amp;$C54)</f>
        <v>0</v>
      </c>
      <c r="T54" s="83">
        <f>SUMIFS(Dataset!$AK:$AK,Dataset!$F:$F,credito!$D$11,Dataset!$AC:$AC,T$48,Dataset!$J:$J,"&lt;"&amp;$D54,Dataset!J:J,"&gt;="&amp;$C54)</f>
        <v>0</v>
      </c>
      <c r="U54" s="83">
        <f>SUMIFS(Dataset!$AK:$AK,Dataset!$F:$F,credito!$D$11,Dataset!$AC:$AC,"A",Dataset!$J:$J,"&lt;"&amp;$D54,Dataset!$J:$J,"&gt;="&amp;$C54)+SUMIFS(Dataset!$AK:$AK,Dataset!$F:$F,credito!$D$11,Dataset!$AC:$AC,"A-",Dataset!$J:$J,"&lt;"&amp;$D54,Dataset!$J:$J,"&gt;="&amp;$C54)+SUMIFS(Dataset!$AK:$AK,Dataset!$F:$F,credito!$D$11,Dataset!$AC:$AC,"A+",Dataset!$J:$J,"&lt;"&amp;$D54,Dataset!$J:$J,"&gt;="&amp;$C54)</f>
        <v>0</v>
      </c>
      <c r="V54" s="83">
        <f>SUMIFS(Dataset!$AK:$AK,Dataset!$F:$F,credito!$D$11,Dataset!$AC:$AC,"BBB",Dataset!$J:$J,"&lt;"&amp;$D54,Dataset!$J:$J,"&gt;="&amp;$C54)+SUMIFS(Dataset!$AK:$AK,Dataset!$F:$F,credito!$D$11,Dataset!$AC:$AC,"BBB-",Dataset!$J:$J,"&lt;"&amp;$D54,Dataset!$J:$J,"&gt;="&amp;$C54)+SUMIFS(Dataset!$AK:$AK,Dataset!$F:$F,credito!$D$11,Dataset!$AC:$AC,"BBB+",Dataset!$J:$J,"&lt;"&amp;$D54,Dataset!$J:$J,"&gt;="&amp;$C54)</f>
        <v>0</v>
      </c>
      <c r="W54" s="83">
        <f>SUMIFS(Dataset!$AK:$AK,Dataset!$F:$F,credito!$D$11,Dataset!$J:$J,"&lt;"&amp;$D54,Dataset!$J:$J,"&gt;="&amp;$C54,Dataset!$AC:$AC,"&lt;&gt;N-1+",Dataset!$AC:$AC,"&lt;&gt;*AA*",Dataset!$AC:$AC,"&lt;&gt;*AAA*",Dataset!$AC:$AC,"&lt;&gt;A",Dataset!$AC:$AC,"&lt;&gt;A-",Dataset!$AC:$AC,"&lt;&gt;A+",Dataset!$AC:$AC,"&lt;&gt;*BBB*")</f>
        <v>0</v>
      </c>
      <c r="X54" s="84">
        <f t="shared" si="3"/>
        <v>0</v>
      </c>
      <c r="Y54" s="85">
        <f>10*SUMIFS(Dataset!$H:$H,Dataset!$F:$F,credito!$D$11,Dataset!AH:AH,"deposito",Dataset!T:T,"$",Dataset!$J:$J,"&lt;"&amp;$D54,Dataset!J:J,"&gt;="&amp;$C54)</f>
        <v>0</v>
      </c>
      <c r="Z54" s="86">
        <f>10*SUMIFS(Dataset!$H:$H,Dataset!$F:$F,credito!$D$11,Dataset!AH:AH,"deposito",Dataset!T:T,"UF",Dataset!$J:$J,"&lt;"&amp;$D54,Dataset!J:J,"&gt;="&amp;$C54)</f>
        <v>0</v>
      </c>
      <c r="AA54" s="86">
        <f>10*SUMIFS(Dataset!$H:$H,Dataset!$F:$F,credito!$D$11,Dataset!AH:AH,"bono de gobierno",Dataset!T:T,"$",Dataset!$J:$J,"&lt;"&amp;$D54,Dataset!J:J,"&gt;="&amp;$C54)</f>
        <v>0</v>
      </c>
      <c r="AB54" s="86">
        <f>10*SUMIFS(Dataset!$H:$H,Dataset!$F:$F,credito!$D$11,Dataset!AH:AH,"bono de gobierno",Dataset!T:T,"uf",Dataset!$J:$J,"&lt;"&amp;$D54,Dataset!J:J,"&gt;="&amp;$C54)</f>
        <v>0</v>
      </c>
      <c r="AC54" s="86">
        <f>10*SUMIFS(Dataset!$H:$H,Dataset!$F:$F,credito!$D$11,Dataset!AH:AH,"bono de gobierno",Dataset!T:T,"eu",Dataset!$J:$J,"&lt;"&amp;$D54,Dataset!J:J,"&gt;="&amp;$C54)</f>
        <v>0</v>
      </c>
      <c r="AD54" s="86">
        <f>10*SUMIFS(Dataset!$H:$H,Dataset!$F:$F,credito!$D$11,Dataset!AH:AH,"bono de gobierno",Dataset!T:T,"mx",Dataset!$J:$J,"&lt;"&amp;$D54,Dataset!J:J,"&gt;="&amp;$C54)</f>
        <v>0</v>
      </c>
      <c r="AE54" s="86">
        <f>10*SUMIFS(Dataset!$H:$H,Dataset!$F:$F,credito!$D$11,Dataset!AH:AH,"bono corporativo",Dataset!T:T,"$",Dataset!$J:$J,"&lt;"&amp;$D54,Dataset!J:J,"&gt;="&amp;$C54)</f>
        <v>0</v>
      </c>
      <c r="AF54" s="86">
        <f>10*SUMIFS(Dataset!$H:$H,Dataset!$F:$F,credito!$D$11,Dataset!AH:AH,"bono corporativo",Dataset!T:T,"uf",Dataset!$J:$J,"&lt;"&amp;$D54,Dataset!J:J,"&gt;="&amp;$C54)</f>
        <v>0</v>
      </c>
      <c r="AG54" s="86">
        <f>10*SUMIFS(Dataset!$H:$H,Dataset!$F:$F,credito!$D$11,Dataset!AH:AH,"bono corporativo",Dataset!T:T,"us$",Dataset!$J:$J,"&lt;"&amp;$D54,Dataset!J:J,"&gt;="&amp;$C54)</f>
        <v>0</v>
      </c>
      <c r="AH54" s="86">
        <f>10*SUMIFS(Dataset!H:H,Dataset!F:F,credito!$D$11,Dataset!J:J,"&lt;"&amp;$D77,Dataset!J:J,"&gt;="&amp;$C77,Dataset!AH:AH,"&lt;&gt;bono corporativo",Dataset!AH:AH,"&lt;&gt;bono de gobierno",Dataset!AH:AH,"&lt;&gt;deposito")</f>
        <v>0</v>
      </c>
      <c r="AI54" s="87">
        <f t="shared" si="4"/>
        <v>0</v>
      </c>
    </row>
    <row r="55" spans="3:35" ht="33" customHeight="1" x14ac:dyDescent="0.3">
      <c r="C55" s="61">
        <v>5.5</v>
      </c>
      <c r="D55" s="81">
        <v>6.5</v>
      </c>
      <c r="E55" s="82">
        <f>SUMIFS(Dataset!AK:AK,Dataset!F:F,credito!$D$11,Dataset!AH:AH,"deposito",Dataset!T:T,"$",Dataset!J:J,"&lt;"&amp;$D55,Dataset!J:J,"&gt;="&amp;$C55)</f>
        <v>0</v>
      </c>
      <c r="F55" s="83">
        <f>SUMIFS(Dataset!AK:AK,Dataset!F:F,credito!$D$11,Dataset!AH:AH,"deposito",Dataset!T:T,"UF",Dataset!J:J,"&lt;"&amp;$D55,Dataset!J:J,"&gt;="&amp;$C55)</f>
        <v>0</v>
      </c>
      <c r="G55" s="83">
        <f>SUMIFS(Dataset!AK:AK,Dataset!F:F,credito!$D$11,Dataset!AH:AH,"bono de gobierno",Dataset!T:T,"$",Dataset!J:J,"&lt;"&amp;$D55,Dataset!J:J,"&gt;="&amp;$C55)</f>
        <v>0</v>
      </c>
      <c r="H55" s="83">
        <f>SUMIFS(Dataset!AK:AK,Dataset!F:F,credito!$D$11,Dataset!AH:AH,"bono de gobierno",Dataset!T:T,"UF",Dataset!J:J,"&lt;"&amp;$D55,Dataset!J:J,"&gt;="&amp;$C55)</f>
        <v>0</v>
      </c>
      <c r="I55" s="83">
        <f>SUMIFS(Dataset!AK:AK,Dataset!F:F,credito!$D$11,Dataset!AH:AH,"bono de gobierno",Dataset!T:T,"eu",Dataset!J:J,"&lt;"&amp;$D55,Dataset!J:J,"&gt;="&amp;$C55)</f>
        <v>0</v>
      </c>
      <c r="J55" s="83">
        <f>SUMIFS(Dataset!AK:AK,Dataset!F:F,credito!$D$11,Dataset!AH:AH,"bono de gobierno",Dataset!T:T,"mx",Dataset!J:J,"&lt;"&amp;$D55,Dataset!J:J,"&gt;="&amp;$C55)</f>
        <v>0</v>
      </c>
      <c r="K55" s="83">
        <f>SUMIFS(Dataset!AK:AK,Dataset!F:F,credito!$D$11,Dataset!AH:AH,"bono corporativo",Dataset!T:T,"$",Dataset!J:J,"&lt;"&amp;$D55,Dataset!J:J,"&gt;="&amp;$C55)</f>
        <v>0</v>
      </c>
      <c r="L55" s="83">
        <f>SUMIFS(Dataset!AK:AK,Dataset!F:F,credito!$D$11,Dataset!AH:AH,"bono corporativo",Dataset!T:T,"UF",Dataset!J:J,"&lt;"&amp;$D55,Dataset!J:J,"&gt;="&amp;$C55)</f>
        <v>0</v>
      </c>
      <c r="M55" s="83">
        <f>SUMIFS(Dataset!AK:AK,Dataset!F:F,credito!$D$11,Dataset!AH:AH,"bono corporativo",Dataset!T:T,"US$",Dataset!J:J,"&lt;"&amp;$D55,Dataset!J:J,"&gt;="&amp;$C55)</f>
        <v>0</v>
      </c>
      <c r="N55" s="83">
        <f>SUMIFS(Dataset!AK:AK,Dataset!F:F,credito!$D$11,Dataset!J:J,"&lt;"&amp;$D55,Dataset!J:J,"&gt;="&amp;$C55,Dataset!AH:AH,"&lt;&gt;bono corporativo",Dataset!AH:AH,"&lt;&gt;bono de gobierno",Dataset!AH:AH,"&lt;&gt;deposito")</f>
        <v>0</v>
      </c>
      <c r="O55" s="84">
        <f t="shared" si="2"/>
        <v>0</v>
      </c>
      <c r="P55" s="82">
        <f>SUMIFS(Dataset!$AK:$AK,Dataset!$F:$F,credito!$D$11,Dataset!$AC:$AC,P$48,Dataset!$J:$J,"&lt;"&amp;$D55,Dataset!J:J,"&gt;="&amp;$C55)</f>
        <v>0</v>
      </c>
      <c r="Q55" s="83">
        <f>SUMIFS(Dataset!$AK:$AK,Dataset!$F:$F,credito!$D$11,Dataset!$AC:$AC,Q$48,Dataset!$J:$J,"&lt;"&amp;$D55,Dataset!J:J,"&gt;="&amp;$C55)</f>
        <v>0</v>
      </c>
      <c r="R55" s="83">
        <f>SUMIFS(Dataset!$AK:$AK,Dataset!$F:$F,credito!$D$11,Dataset!$AC:$AC,R$48,Dataset!$J:$J,"&lt;"&amp;$D55,Dataset!J:J,"&gt;="&amp;$C55)</f>
        <v>0</v>
      </c>
      <c r="S55" s="83">
        <f>SUMIFS(Dataset!$AK:$AK,Dataset!$F:$F,credito!$D$11,Dataset!$AC:$AC,S$48,Dataset!$J:$J,"&lt;"&amp;$D55,Dataset!J:J,"&gt;="&amp;$C55)</f>
        <v>0</v>
      </c>
      <c r="T55" s="83">
        <f>SUMIFS(Dataset!$AK:$AK,Dataset!$F:$F,credito!$D$11,Dataset!$AC:$AC,T$48,Dataset!$J:$J,"&lt;"&amp;$D55,Dataset!J:J,"&gt;="&amp;$C55)</f>
        <v>0</v>
      </c>
      <c r="U55" s="83">
        <f>SUMIFS(Dataset!$AK:$AK,Dataset!$F:$F,credito!$D$11,Dataset!$AC:$AC,"A",Dataset!$J:$J,"&lt;"&amp;$D55,Dataset!$J:$J,"&gt;="&amp;$C55)+SUMIFS(Dataset!$AK:$AK,Dataset!$F:$F,credito!$D$11,Dataset!$AC:$AC,"A-",Dataset!$J:$J,"&lt;"&amp;$D55,Dataset!$J:$J,"&gt;="&amp;$C55)+SUMIFS(Dataset!$AK:$AK,Dataset!$F:$F,credito!$D$11,Dataset!$AC:$AC,"A+",Dataset!$J:$J,"&lt;"&amp;$D55,Dataset!$J:$J,"&gt;="&amp;$C55)</f>
        <v>0</v>
      </c>
      <c r="V55" s="83">
        <f>SUMIFS(Dataset!$AK:$AK,Dataset!$F:$F,credito!$D$11,Dataset!$AC:$AC,"BBB",Dataset!$J:$J,"&lt;"&amp;$D55,Dataset!$J:$J,"&gt;="&amp;$C55)+SUMIFS(Dataset!$AK:$AK,Dataset!$F:$F,credito!$D$11,Dataset!$AC:$AC,"BBB-",Dataset!$J:$J,"&lt;"&amp;$D55,Dataset!$J:$J,"&gt;="&amp;$C55)+SUMIFS(Dataset!$AK:$AK,Dataset!$F:$F,credito!$D$11,Dataset!$AC:$AC,"BBB+",Dataset!$J:$J,"&lt;"&amp;$D55,Dataset!$J:$J,"&gt;="&amp;$C55)</f>
        <v>0</v>
      </c>
      <c r="W55" s="83">
        <f>SUMIFS(Dataset!$AK:$AK,Dataset!$F:$F,credito!$D$11,Dataset!$J:$J,"&lt;"&amp;$D55,Dataset!$J:$J,"&gt;="&amp;$C55,Dataset!$AC:$AC,"&lt;&gt;N-1+",Dataset!$AC:$AC,"&lt;&gt;*AA*",Dataset!$AC:$AC,"&lt;&gt;*AAA*",Dataset!$AC:$AC,"&lt;&gt;A",Dataset!$AC:$AC,"&lt;&gt;A-",Dataset!$AC:$AC,"&lt;&gt;A+",Dataset!$AC:$AC,"&lt;&gt;*BBB*")</f>
        <v>0</v>
      </c>
      <c r="X55" s="84">
        <f t="shared" si="3"/>
        <v>0</v>
      </c>
      <c r="Y55" s="85">
        <f>10*SUMIFS(Dataset!$H:$H,Dataset!$F:$F,credito!$D$11,Dataset!AH:AH,"deposito",Dataset!T:T,"$",Dataset!$J:$J,"&lt;"&amp;$D55,Dataset!J:J,"&gt;="&amp;$C55)</f>
        <v>0</v>
      </c>
      <c r="Z55" s="86">
        <f>10*SUMIFS(Dataset!$H:$H,Dataset!$F:$F,credito!$D$11,Dataset!AH:AH,"deposito",Dataset!T:T,"UF",Dataset!$J:$J,"&lt;"&amp;$D55,Dataset!J:J,"&gt;="&amp;$C55)</f>
        <v>0</v>
      </c>
      <c r="AA55" s="86">
        <f>10*SUMIFS(Dataset!$H:$H,Dataset!$F:$F,credito!$D$11,Dataset!AH:AH,"bono de gobierno",Dataset!T:T,"$",Dataset!$J:$J,"&lt;"&amp;$D55,Dataset!J:J,"&gt;="&amp;$C55)</f>
        <v>0</v>
      </c>
      <c r="AB55" s="86">
        <f>10*SUMIFS(Dataset!$H:$H,Dataset!$F:$F,credito!$D$11,Dataset!AH:AH,"bono de gobierno",Dataset!T:T,"uf",Dataset!$J:$J,"&lt;"&amp;$D55,Dataset!J:J,"&gt;="&amp;$C55)</f>
        <v>0</v>
      </c>
      <c r="AC55" s="86">
        <f>10*SUMIFS(Dataset!$H:$H,Dataset!$F:$F,credito!$D$11,Dataset!AH:AH,"bono de gobierno",Dataset!T:T,"eu",Dataset!$J:$J,"&lt;"&amp;$D55,Dataset!J:J,"&gt;="&amp;$C55)</f>
        <v>0</v>
      </c>
      <c r="AD55" s="86">
        <f>10*SUMIFS(Dataset!$H:$H,Dataset!$F:$F,credito!$D$11,Dataset!AH:AH,"bono de gobierno",Dataset!T:T,"mx",Dataset!$J:$J,"&lt;"&amp;$D55,Dataset!J:J,"&gt;="&amp;$C55)</f>
        <v>0</v>
      </c>
      <c r="AE55" s="86">
        <f>10*SUMIFS(Dataset!$H:$H,Dataset!$F:$F,credito!$D$11,Dataset!AH:AH,"bono corporativo",Dataset!T:T,"$",Dataset!$J:$J,"&lt;"&amp;$D55,Dataset!J:J,"&gt;="&amp;$C55)</f>
        <v>0</v>
      </c>
      <c r="AF55" s="86">
        <f>10*SUMIFS(Dataset!$H:$H,Dataset!$F:$F,credito!$D$11,Dataset!AH:AH,"bono corporativo",Dataset!T:T,"uf",Dataset!$J:$J,"&lt;"&amp;$D55,Dataset!J:J,"&gt;="&amp;$C55)</f>
        <v>0</v>
      </c>
      <c r="AG55" s="86">
        <f>10*SUMIFS(Dataset!$H:$H,Dataset!$F:$F,credito!$D$11,Dataset!AH:AH,"bono corporativo",Dataset!T:T,"us$",Dataset!$J:$J,"&lt;"&amp;$D55,Dataset!J:J,"&gt;="&amp;$C55)</f>
        <v>0</v>
      </c>
      <c r="AH55" s="86">
        <f>10*SUMIFS(Dataset!H:H,Dataset!F:F,credito!$D$11,Dataset!J:J,"&lt;"&amp;$D78,Dataset!J:J,"&gt;="&amp;$C78,Dataset!AH:AH,"&lt;&gt;bono corporativo",Dataset!AH:AH,"&lt;&gt;bono de gobierno",Dataset!AH:AH,"&lt;&gt;deposito")</f>
        <v>0</v>
      </c>
      <c r="AI55" s="87">
        <f t="shared" si="4"/>
        <v>0</v>
      </c>
    </row>
    <row r="56" spans="3:35" ht="33" customHeight="1" x14ac:dyDescent="0.3">
      <c r="C56" s="61">
        <v>6.5</v>
      </c>
      <c r="D56" s="81">
        <v>7.5</v>
      </c>
      <c r="E56" s="82">
        <f>SUMIFS(Dataset!AK:AK,Dataset!F:F,credito!$D$11,Dataset!AH:AH,"deposito",Dataset!T:T,"$",Dataset!J:J,"&lt;"&amp;$D56,Dataset!J:J,"&gt;="&amp;$C56)</f>
        <v>0</v>
      </c>
      <c r="F56" s="83">
        <f>SUMIFS(Dataset!AK:AK,Dataset!F:F,credito!$D$11,Dataset!AH:AH,"deposito",Dataset!T:T,"UF",Dataset!J:J,"&lt;"&amp;$D56,Dataset!J:J,"&gt;="&amp;$C56)</f>
        <v>0</v>
      </c>
      <c r="G56" s="83">
        <f>SUMIFS(Dataset!AK:AK,Dataset!F:F,credito!$D$11,Dataset!AH:AH,"bono de gobierno",Dataset!T:T,"$",Dataset!J:J,"&lt;"&amp;$D56,Dataset!J:J,"&gt;="&amp;$C56)</f>
        <v>0</v>
      </c>
      <c r="H56" s="83">
        <f>SUMIFS(Dataset!AK:AK,Dataset!F:F,credito!$D$11,Dataset!AH:AH,"bono de gobierno",Dataset!T:T,"UF",Dataset!J:J,"&lt;"&amp;$D56,Dataset!J:J,"&gt;="&amp;$C56)</f>
        <v>0</v>
      </c>
      <c r="I56" s="83">
        <f>SUMIFS(Dataset!AK:AK,Dataset!F:F,credito!$D$11,Dataset!AH:AH,"bono de gobierno",Dataset!T:T,"eu",Dataset!J:J,"&lt;"&amp;$D56,Dataset!J:J,"&gt;="&amp;$C56)</f>
        <v>0</v>
      </c>
      <c r="J56" s="83">
        <f>SUMIFS(Dataset!AK:AK,Dataset!F:F,credito!$D$11,Dataset!AH:AH,"bono de gobierno",Dataset!T:T,"mx",Dataset!J:J,"&lt;"&amp;$D56,Dataset!J:J,"&gt;="&amp;$C56)</f>
        <v>0</v>
      </c>
      <c r="K56" s="83">
        <f>SUMIFS(Dataset!AK:AK,Dataset!F:F,credito!$D$11,Dataset!AH:AH,"bono corporativo",Dataset!T:T,"$",Dataset!J:J,"&lt;"&amp;$D56,Dataset!J:J,"&gt;="&amp;$C56)</f>
        <v>0</v>
      </c>
      <c r="L56" s="83">
        <f>SUMIFS(Dataset!AK:AK,Dataset!F:F,credito!$D$11,Dataset!AH:AH,"bono corporativo",Dataset!T:T,"UF",Dataset!J:J,"&lt;"&amp;$D56,Dataset!J:J,"&gt;="&amp;$C56)</f>
        <v>0</v>
      </c>
      <c r="M56" s="83">
        <f>SUMIFS(Dataset!AK:AK,Dataset!F:F,credito!$D$11,Dataset!AH:AH,"bono corporativo",Dataset!T:T,"US$",Dataset!J:J,"&lt;"&amp;$D56,Dataset!J:J,"&gt;="&amp;$C56)</f>
        <v>0</v>
      </c>
      <c r="N56" s="83">
        <f>SUMIFS(Dataset!AK:AK,Dataset!F:F,credito!$D$11,Dataset!J:J,"&lt;"&amp;$D56,Dataset!J:J,"&gt;="&amp;$C56,Dataset!AH:AH,"&lt;&gt;bono corporativo",Dataset!AH:AH,"&lt;&gt;bono de gobierno",Dataset!AH:AH,"&lt;&gt;deposito")</f>
        <v>0</v>
      </c>
      <c r="O56" s="84">
        <f t="shared" si="2"/>
        <v>0</v>
      </c>
      <c r="P56" s="82">
        <f>SUMIFS(Dataset!$AK:$AK,Dataset!$F:$F,credito!$D$11,Dataset!$AC:$AC,P$48,Dataset!$J:$J,"&lt;"&amp;$D56,Dataset!J:J,"&gt;="&amp;$C56)</f>
        <v>0</v>
      </c>
      <c r="Q56" s="83">
        <f>SUMIFS(Dataset!$AK:$AK,Dataset!$F:$F,credito!$D$11,Dataset!$AC:$AC,Q$48,Dataset!$J:$J,"&lt;"&amp;$D56,Dataset!J:J,"&gt;="&amp;$C56)</f>
        <v>0</v>
      </c>
      <c r="R56" s="83">
        <f>SUMIFS(Dataset!$AK:$AK,Dataset!$F:$F,credito!$D$11,Dataset!$AC:$AC,R$48,Dataset!$J:$J,"&lt;"&amp;$D56,Dataset!J:J,"&gt;="&amp;$C56)</f>
        <v>0</v>
      </c>
      <c r="S56" s="83">
        <f>SUMIFS(Dataset!$AK:$AK,Dataset!$F:$F,credito!$D$11,Dataset!$AC:$AC,S$48,Dataset!$J:$J,"&lt;"&amp;$D56,Dataset!J:J,"&gt;="&amp;$C56)</f>
        <v>0</v>
      </c>
      <c r="T56" s="83">
        <f>SUMIFS(Dataset!$AK:$AK,Dataset!$F:$F,credito!$D$11,Dataset!$AC:$AC,T$48,Dataset!$J:$J,"&lt;"&amp;$D56,Dataset!J:J,"&gt;="&amp;$C56)</f>
        <v>0</v>
      </c>
      <c r="U56" s="83">
        <f>SUMIFS(Dataset!$AK:$AK,Dataset!$F:$F,credito!$D$11,Dataset!$AC:$AC,"A",Dataset!$J:$J,"&lt;"&amp;$D56,Dataset!$J:$J,"&gt;="&amp;$C56)+SUMIFS(Dataset!$AK:$AK,Dataset!$F:$F,credito!$D$11,Dataset!$AC:$AC,"A-",Dataset!$J:$J,"&lt;"&amp;$D56,Dataset!$J:$J,"&gt;="&amp;$C56)+SUMIFS(Dataset!$AK:$AK,Dataset!$F:$F,credito!$D$11,Dataset!$AC:$AC,"A+",Dataset!$J:$J,"&lt;"&amp;$D56,Dataset!$J:$J,"&gt;="&amp;$C56)</f>
        <v>0</v>
      </c>
      <c r="V56" s="83">
        <f>SUMIFS(Dataset!$AK:$AK,Dataset!$F:$F,credito!$D$11,Dataset!$AC:$AC,"BBB",Dataset!$J:$J,"&lt;"&amp;$D56,Dataset!$J:$J,"&gt;="&amp;$C56)+SUMIFS(Dataset!$AK:$AK,Dataset!$F:$F,credito!$D$11,Dataset!$AC:$AC,"BBB-",Dataset!$J:$J,"&lt;"&amp;$D56,Dataset!$J:$J,"&gt;="&amp;$C56)+SUMIFS(Dataset!$AK:$AK,Dataset!$F:$F,credito!$D$11,Dataset!$AC:$AC,"BBB+",Dataset!$J:$J,"&lt;"&amp;$D56,Dataset!$J:$J,"&gt;="&amp;$C56)</f>
        <v>0</v>
      </c>
      <c r="W56" s="83">
        <f>SUMIFS(Dataset!$AK:$AK,Dataset!$F:$F,credito!$D$11,Dataset!$J:$J,"&lt;"&amp;$D56,Dataset!$J:$J,"&gt;="&amp;$C56,Dataset!$AC:$AC,"&lt;&gt;N-1+",Dataset!$AC:$AC,"&lt;&gt;*AA*",Dataset!$AC:$AC,"&lt;&gt;*AAA*",Dataset!$AC:$AC,"&lt;&gt;A",Dataset!$AC:$AC,"&lt;&gt;A-",Dataset!$AC:$AC,"&lt;&gt;A+",Dataset!$AC:$AC,"&lt;&gt;*BBB*")</f>
        <v>0</v>
      </c>
      <c r="X56" s="84">
        <f t="shared" si="3"/>
        <v>0</v>
      </c>
      <c r="Y56" s="85">
        <f>10*SUMIFS(Dataset!$H:$H,Dataset!$F:$F,credito!$D$11,Dataset!AH:AH,"deposito",Dataset!T:T,"$",Dataset!$J:$J,"&lt;"&amp;$D56,Dataset!J:J,"&gt;="&amp;$C56)</f>
        <v>0</v>
      </c>
      <c r="Z56" s="86">
        <f>10*SUMIFS(Dataset!$H:$H,Dataset!$F:$F,credito!$D$11,Dataset!AH:AH,"deposito",Dataset!T:T,"UF",Dataset!$J:$J,"&lt;"&amp;$D56,Dataset!J:J,"&gt;="&amp;$C56)</f>
        <v>0</v>
      </c>
      <c r="AA56" s="86">
        <f>10*SUMIFS(Dataset!$H:$H,Dataset!$F:$F,credito!$D$11,Dataset!AH:AH,"bono de gobierno",Dataset!T:T,"$",Dataset!$J:$J,"&lt;"&amp;$D56,Dataset!J:J,"&gt;="&amp;$C56)</f>
        <v>0</v>
      </c>
      <c r="AB56" s="86">
        <f>10*SUMIFS(Dataset!$H:$H,Dataset!$F:$F,credito!$D$11,Dataset!AH:AH,"bono de gobierno",Dataset!T:T,"uf",Dataset!$J:$J,"&lt;"&amp;$D56,Dataset!J:J,"&gt;="&amp;$C56)</f>
        <v>0</v>
      </c>
      <c r="AC56" s="86">
        <f>10*SUMIFS(Dataset!$H:$H,Dataset!$F:$F,credito!$D$11,Dataset!AH:AH,"bono de gobierno",Dataset!T:T,"eu",Dataset!$J:$J,"&lt;"&amp;$D56,Dataset!J:J,"&gt;="&amp;$C56)</f>
        <v>0</v>
      </c>
      <c r="AD56" s="86">
        <f>10*SUMIFS(Dataset!$H:$H,Dataset!$F:$F,credito!$D$11,Dataset!AH:AH,"bono de gobierno",Dataset!T:T,"mx",Dataset!$J:$J,"&lt;"&amp;$D56,Dataset!J:J,"&gt;="&amp;$C56)</f>
        <v>0</v>
      </c>
      <c r="AE56" s="86">
        <f>10*SUMIFS(Dataset!$H:$H,Dataset!$F:$F,credito!$D$11,Dataset!AH:AH,"bono corporativo",Dataset!T:T,"$",Dataset!$J:$J,"&lt;"&amp;$D56,Dataset!J:J,"&gt;="&amp;$C56)</f>
        <v>0</v>
      </c>
      <c r="AF56" s="86">
        <f>10*SUMIFS(Dataset!$H:$H,Dataset!$F:$F,credito!$D$11,Dataset!AH:AH,"bono corporativo",Dataset!T:T,"uf",Dataset!$J:$J,"&lt;"&amp;$D56,Dataset!J:J,"&gt;="&amp;$C56)</f>
        <v>0</v>
      </c>
      <c r="AG56" s="86">
        <f>10*SUMIFS(Dataset!$H:$H,Dataset!$F:$F,credito!$D$11,Dataset!AH:AH,"bono corporativo",Dataset!T:T,"us$",Dataset!$J:$J,"&lt;"&amp;$D56,Dataset!J:J,"&gt;="&amp;$C56)</f>
        <v>0</v>
      </c>
      <c r="AH56" s="86">
        <f>10*SUMIFS(Dataset!H:H,Dataset!F:F,credito!$D$11,Dataset!J:J,"&lt;"&amp;$D79,Dataset!J:J,"&gt;="&amp;$C79,Dataset!AH:AH,"&lt;&gt;bono corporativo",Dataset!AH:AH,"&lt;&gt;bono de gobierno",Dataset!AH:AH,"&lt;&gt;deposito")</f>
        <v>0</v>
      </c>
      <c r="AI56" s="87">
        <f t="shared" si="4"/>
        <v>0</v>
      </c>
    </row>
    <row r="57" spans="3:35" ht="33" customHeight="1" x14ac:dyDescent="0.3">
      <c r="C57" s="61">
        <v>7.5</v>
      </c>
      <c r="D57" s="81">
        <v>8.5</v>
      </c>
      <c r="E57" s="82">
        <f>SUMIFS(Dataset!AK:AK,Dataset!F:F,credito!$D$11,Dataset!AH:AH,"deposito",Dataset!T:T,"$",Dataset!J:J,"&lt;"&amp;$D57,Dataset!J:J,"&gt;="&amp;$C57)</f>
        <v>0</v>
      </c>
      <c r="F57" s="83">
        <f>SUMIFS(Dataset!AK:AK,Dataset!F:F,credito!$D$11,Dataset!AH:AH,"deposito",Dataset!T:T,"UF",Dataset!J:J,"&lt;"&amp;$D57,Dataset!J:J,"&gt;="&amp;$C57)</f>
        <v>0</v>
      </c>
      <c r="G57" s="83">
        <f>SUMIFS(Dataset!AK:AK,Dataset!F:F,credito!$D$11,Dataset!AH:AH,"bono de gobierno",Dataset!T:T,"$",Dataset!J:J,"&lt;"&amp;$D57,Dataset!J:J,"&gt;="&amp;$C57)</f>
        <v>0</v>
      </c>
      <c r="H57" s="83">
        <f>SUMIFS(Dataset!AK:AK,Dataset!F:F,credito!$D$11,Dataset!AH:AH,"bono de gobierno",Dataset!T:T,"UF",Dataset!J:J,"&lt;"&amp;$D57,Dataset!J:J,"&gt;="&amp;$C57)</f>
        <v>0</v>
      </c>
      <c r="I57" s="83">
        <f>SUMIFS(Dataset!AK:AK,Dataset!F:F,credito!$D$11,Dataset!AH:AH,"bono de gobierno",Dataset!T:T,"eu",Dataset!J:J,"&lt;"&amp;$D57,Dataset!J:J,"&gt;="&amp;$C57)</f>
        <v>0</v>
      </c>
      <c r="J57" s="83">
        <f>SUMIFS(Dataset!AK:AK,Dataset!F:F,credito!$D$11,Dataset!AH:AH,"bono de gobierno",Dataset!T:T,"mx",Dataset!J:J,"&lt;"&amp;$D57,Dataset!J:J,"&gt;="&amp;$C57)</f>
        <v>0</v>
      </c>
      <c r="K57" s="83">
        <f>SUMIFS(Dataset!AK:AK,Dataset!F:F,credito!$D$11,Dataset!AH:AH,"bono corporativo",Dataset!T:T,"$",Dataset!J:J,"&lt;"&amp;$D57,Dataset!J:J,"&gt;="&amp;$C57)</f>
        <v>0</v>
      </c>
      <c r="L57" s="83">
        <f>SUMIFS(Dataset!AK:AK,Dataset!F:F,credito!$D$11,Dataset!AH:AH,"bono corporativo",Dataset!T:T,"UF",Dataset!J:J,"&lt;"&amp;$D57,Dataset!J:J,"&gt;="&amp;$C57)</f>
        <v>0</v>
      </c>
      <c r="M57" s="83">
        <f>SUMIFS(Dataset!AK:AK,Dataset!F:F,credito!$D$11,Dataset!AH:AH,"bono corporativo",Dataset!T:T,"US$",Dataset!J:J,"&lt;"&amp;$D57,Dataset!J:J,"&gt;="&amp;$C57)</f>
        <v>0</v>
      </c>
      <c r="N57" s="83">
        <f>SUMIFS(Dataset!AK:AK,Dataset!F:F,credito!$D$11,Dataset!J:J,"&lt;"&amp;$D57,Dataset!J:J,"&gt;="&amp;$C57,Dataset!AH:AH,"&lt;&gt;bono corporativo",Dataset!AH:AH,"&lt;&gt;bono de gobierno",Dataset!AH:AH,"&lt;&gt;deposito")</f>
        <v>0</v>
      </c>
      <c r="O57" s="84">
        <f t="shared" si="2"/>
        <v>0</v>
      </c>
      <c r="P57" s="82">
        <f>SUMIFS(Dataset!$AK:$AK,Dataset!$F:$F,credito!$D$11,Dataset!$AC:$AC,P$48,Dataset!$J:$J,"&lt;"&amp;$D57,Dataset!J:J,"&gt;="&amp;$C57)</f>
        <v>0</v>
      </c>
      <c r="Q57" s="83">
        <f>SUMIFS(Dataset!$AK:$AK,Dataset!$F:$F,credito!$D$11,Dataset!$AC:$AC,Q$48,Dataset!$J:$J,"&lt;"&amp;$D57,Dataset!J:J,"&gt;="&amp;$C57)</f>
        <v>0</v>
      </c>
      <c r="R57" s="83">
        <f>SUMIFS(Dataset!$AK:$AK,Dataset!$F:$F,credito!$D$11,Dataset!$AC:$AC,R$48,Dataset!$J:$J,"&lt;"&amp;$D57,Dataset!J:J,"&gt;="&amp;$C57)</f>
        <v>0</v>
      </c>
      <c r="S57" s="83">
        <f>SUMIFS(Dataset!$AK:$AK,Dataset!$F:$F,credito!$D$11,Dataset!$AC:$AC,S$48,Dataset!$J:$J,"&lt;"&amp;$D57,Dataset!J:J,"&gt;="&amp;$C57)</f>
        <v>0</v>
      </c>
      <c r="T57" s="83">
        <f>SUMIFS(Dataset!$AK:$AK,Dataset!$F:$F,credito!$D$11,Dataset!$AC:$AC,T$48,Dataset!$J:$J,"&lt;"&amp;$D57,Dataset!J:J,"&gt;="&amp;$C57)</f>
        <v>0</v>
      </c>
      <c r="U57" s="83">
        <f>SUMIFS(Dataset!$AK:$AK,Dataset!$F:$F,credito!$D$11,Dataset!$AC:$AC,"A",Dataset!$J:$J,"&lt;"&amp;$D57,Dataset!$J:$J,"&gt;="&amp;$C57)+SUMIFS(Dataset!$AK:$AK,Dataset!$F:$F,credito!$D$11,Dataset!$AC:$AC,"A-",Dataset!$J:$J,"&lt;"&amp;$D57,Dataset!$J:$J,"&gt;="&amp;$C57)+SUMIFS(Dataset!$AK:$AK,Dataset!$F:$F,credito!$D$11,Dataset!$AC:$AC,"A+",Dataset!$J:$J,"&lt;"&amp;$D57,Dataset!$J:$J,"&gt;="&amp;$C57)</f>
        <v>0</v>
      </c>
      <c r="V57" s="83">
        <f>SUMIFS(Dataset!$AK:$AK,Dataset!$F:$F,credito!$D$11,Dataset!$AC:$AC,"BBB",Dataset!$J:$J,"&lt;"&amp;$D57,Dataset!$J:$J,"&gt;="&amp;$C57)+SUMIFS(Dataset!$AK:$AK,Dataset!$F:$F,credito!$D$11,Dataset!$AC:$AC,"BBB-",Dataset!$J:$J,"&lt;"&amp;$D57,Dataset!$J:$J,"&gt;="&amp;$C57)+SUMIFS(Dataset!$AK:$AK,Dataset!$F:$F,credito!$D$11,Dataset!$AC:$AC,"BBB+",Dataset!$J:$J,"&lt;"&amp;$D57,Dataset!$J:$J,"&gt;="&amp;$C57)</f>
        <v>0</v>
      </c>
      <c r="W57" s="83">
        <f>SUMIFS(Dataset!$AK:$AK,Dataset!$F:$F,credito!$D$11,Dataset!$J:$J,"&lt;"&amp;$D57,Dataset!$J:$J,"&gt;="&amp;$C57,Dataset!$AC:$AC,"&lt;&gt;N-1+",Dataset!$AC:$AC,"&lt;&gt;*AA*",Dataset!$AC:$AC,"&lt;&gt;*AAA*",Dataset!$AC:$AC,"&lt;&gt;A",Dataset!$AC:$AC,"&lt;&gt;A-",Dataset!$AC:$AC,"&lt;&gt;A+",Dataset!$AC:$AC,"&lt;&gt;*BBB*")</f>
        <v>0</v>
      </c>
      <c r="X57" s="84">
        <f t="shared" si="3"/>
        <v>0</v>
      </c>
      <c r="Y57" s="85">
        <f>10*SUMIFS(Dataset!$H:$H,Dataset!$F:$F,credito!$D$11,Dataset!AH:AH,"deposito",Dataset!T:T,"$",Dataset!$J:$J,"&lt;"&amp;$D57,Dataset!J:J,"&gt;="&amp;$C57)</f>
        <v>0</v>
      </c>
      <c r="Z57" s="86">
        <f>10*SUMIFS(Dataset!$H:$H,Dataset!$F:$F,credito!$D$11,Dataset!AH:AH,"deposito",Dataset!T:T,"UF",Dataset!$J:$J,"&lt;"&amp;$D57,Dataset!J:J,"&gt;="&amp;$C57)</f>
        <v>0</v>
      </c>
      <c r="AA57" s="86">
        <f>10*SUMIFS(Dataset!$H:$H,Dataset!$F:$F,credito!$D$11,Dataset!AH:AH,"bono de gobierno",Dataset!T:T,"$",Dataset!$J:$J,"&lt;"&amp;$D57,Dataset!J:J,"&gt;="&amp;$C57)</f>
        <v>0</v>
      </c>
      <c r="AB57" s="86">
        <f>10*SUMIFS(Dataset!$H:$H,Dataset!$F:$F,credito!$D$11,Dataset!AH:AH,"bono de gobierno",Dataset!T:T,"uf",Dataset!$J:$J,"&lt;"&amp;$D57,Dataset!J:J,"&gt;="&amp;$C57)</f>
        <v>0</v>
      </c>
      <c r="AC57" s="86">
        <f>10*SUMIFS(Dataset!$H:$H,Dataset!$F:$F,credito!$D$11,Dataset!AH:AH,"bono de gobierno",Dataset!T:T,"eu",Dataset!$J:$J,"&lt;"&amp;$D57,Dataset!J:J,"&gt;="&amp;$C57)</f>
        <v>0</v>
      </c>
      <c r="AD57" s="86">
        <f>10*SUMIFS(Dataset!$H:$H,Dataset!$F:$F,credito!$D$11,Dataset!AH:AH,"bono de gobierno",Dataset!T:T,"mx",Dataset!$J:$J,"&lt;"&amp;$D57,Dataset!J:J,"&gt;="&amp;$C57)</f>
        <v>0</v>
      </c>
      <c r="AE57" s="86">
        <f>10*SUMIFS(Dataset!$H:$H,Dataset!$F:$F,credito!$D$11,Dataset!AH:AH,"bono corporativo",Dataset!T:T,"$",Dataset!$J:$J,"&lt;"&amp;$D57,Dataset!J:J,"&gt;="&amp;$C57)</f>
        <v>0</v>
      </c>
      <c r="AF57" s="86">
        <f>10*SUMIFS(Dataset!$H:$H,Dataset!$F:$F,credito!$D$11,Dataset!AH:AH,"bono corporativo",Dataset!T:T,"uf",Dataset!$J:$J,"&lt;"&amp;$D57,Dataset!J:J,"&gt;="&amp;$C57)</f>
        <v>0</v>
      </c>
      <c r="AG57" s="86">
        <f>10*SUMIFS(Dataset!$H:$H,Dataset!$F:$F,credito!$D$11,Dataset!AH:AH,"bono corporativo",Dataset!T:T,"us$",Dataset!$J:$J,"&lt;"&amp;$D57,Dataset!J:J,"&gt;="&amp;$C57)</f>
        <v>0</v>
      </c>
      <c r="AH57" s="86">
        <f>10*SUMIFS(Dataset!H:H,Dataset!F:F,credito!$D$11,Dataset!J:J,"&lt;"&amp;$D80,Dataset!J:J,"&gt;="&amp;$C80,Dataset!AH:AH,"&lt;&gt;bono corporativo",Dataset!AH:AH,"&lt;&gt;bono de gobierno",Dataset!AH:AH,"&lt;&gt;deposito")</f>
        <v>0</v>
      </c>
      <c r="AI57" s="87">
        <f t="shared" si="4"/>
        <v>0</v>
      </c>
    </row>
    <row r="58" spans="3:35" ht="33" customHeight="1" x14ac:dyDescent="0.3">
      <c r="C58" s="61">
        <v>8.5</v>
      </c>
      <c r="D58" s="81">
        <v>9.5</v>
      </c>
      <c r="E58" s="82">
        <f>SUMIFS(Dataset!AK:AK,Dataset!F:F,credito!$D$11,Dataset!AH:AH,"deposito",Dataset!T:T,"$",Dataset!J:J,"&lt;"&amp;$D58,Dataset!J:J,"&gt;="&amp;$C58)</f>
        <v>0</v>
      </c>
      <c r="F58" s="83">
        <f>SUMIFS(Dataset!AK:AK,Dataset!F:F,credito!$D$11,Dataset!AH:AH,"deposito",Dataset!T:T,"UF",Dataset!J:J,"&lt;"&amp;$D58,Dataset!J:J,"&gt;="&amp;$C58)</f>
        <v>0</v>
      </c>
      <c r="G58" s="83">
        <f>SUMIFS(Dataset!AK:AK,Dataset!F:F,credito!$D$11,Dataset!AH:AH,"bono de gobierno",Dataset!T:T,"$",Dataset!J:J,"&lt;"&amp;$D58,Dataset!J:J,"&gt;="&amp;$C58)</f>
        <v>0</v>
      </c>
      <c r="H58" s="83">
        <f>SUMIFS(Dataset!AK:AK,Dataset!F:F,credito!$D$11,Dataset!AH:AH,"bono de gobierno",Dataset!T:T,"UF",Dataset!J:J,"&lt;"&amp;$D58,Dataset!J:J,"&gt;="&amp;$C58)</f>
        <v>0</v>
      </c>
      <c r="I58" s="83">
        <f>SUMIFS(Dataset!AK:AK,Dataset!F:F,credito!$D$11,Dataset!AH:AH,"bono de gobierno",Dataset!T:T,"eu",Dataset!J:J,"&lt;"&amp;$D58,Dataset!J:J,"&gt;="&amp;$C58)</f>
        <v>0</v>
      </c>
      <c r="J58" s="83">
        <f>SUMIFS(Dataset!AK:AK,Dataset!F:F,credito!$D$11,Dataset!AH:AH,"bono de gobierno",Dataset!T:T,"mx",Dataset!J:J,"&lt;"&amp;$D58,Dataset!J:J,"&gt;="&amp;$C58)</f>
        <v>0</v>
      </c>
      <c r="K58" s="83">
        <f>SUMIFS(Dataset!AK:AK,Dataset!F:F,credito!$D$11,Dataset!AH:AH,"bono corporativo",Dataset!T:T,"$",Dataset!J:J,"&lt;"&amp;$D58,Dataset!J:J,"&gt;="&amp;$C58)</f>
        <v>0</v>
      </c>
      <c r="L58" s="83">
        <f>SUMIFS(Dataset!AK:AK,Dataset!F:F,credito!$D$11,Dataset!AH:AH,"bono corporativo",Dataset!T:T,"UF",Dataset!J:J,"&lt;"&amp;$D58,Dataset!J:J,"&gt;="&amp;$C58)</f>
        <v>0</v>
      </c>
      <c r="M58" s="83">
        <f>SUMIFS(Dataset!AK:AK,Dataset!F:F,credito!$D$11,Dataset!AH:AH,"bono corporativo",Dataset!T:T,"US$",Dataset!J:J,"&lt;"&amp;$D58,Dataset!J:J,"&gt;="&amp;$C58)</f>
        <v>0</v>
      </c>
      <c r="N58" s="83">
        <f>SUMIFS(Dataset!AK:AK,Dataset!F:F,credito!$D$11,Dataset!J:J,"&lt;"&amp;$D58,Dataset!J:J,"&gt;="&amp;$C58,Dataset!AH:AH,"&lt;&gt;bono corporativo",Dataset!AH:AH,"&lt;&gt;bono de gobierno",Dataset!AH:AH,"&lt;&gt;deposito")</f>
        <v>0</v>
      </c>
      <c r="O58" s="84">
        <f t="shared" si="2"/>
        <v>0</v>
      </c>
      <c r="P58" s="82">
        <f>SUMIFS(Dataset!$AK:$AK,Dataset!$F:$F,credito!$D$11,Dataset!$AC:$AC,P$48,Dataset!$J:$J,"&lt;"&amp;$D58,Dataset!J:J,"&gt;="&amp;$C58)</f>
        <v>0</v>
      </c>
      <c r="Q58" s="83">
        <f>SUMIFS(Dataset!$AK:$AK,Dataset!$F:$F,credito!$D$11,Dataset!$AC:$AC,Q$48,Dataset!$J:$J,"&lt;"&amp;$D58,Dataset!J:J,"&gt;="&amp;$C58)</f>
        <v>0</v>
      </c>
      <c r="R58" s="83">
        <f>SUMIFS(Dataset!$AK:$AK,Dataset!$F:$F,credito!$D$11,Dataset!$AC:$AC,R$48,Dataset!$J:$J,"&lt;"&amp;$D58,Dataset!J:J,"&gt;="&amp;$C58)</f>
        <v>0</v>
      </c>
      <c r="S58" s="83">
        <f>SUMIFS(Dataset!$AK:$AK,Dataset!$F:$F,credito!$D$11,Dataset!$AC:$AC,S$48,Dataset!$J:$J,"&lt;"&amp;$D58,Dataset!J:J,"&gt;="&amp;$C58)</f>
        <v>0</v>
      </c>
      <c r="T58" s="83">
        <f>SUMIFS(Dataset!$AK:$AK,Dataset!$F:$F,credito!$D$11,Dataset!$AC:$AC,T$48,Dataset!$J:$J,"&lt;"&amp;$D58,Dataset!J:J,"&gt;="&amp;$C58)</f>
        <v>0</v>
      </c>
      <c r="U58" s="83">
        <f>SUMIFS(Dataset!$AK:$AK,Dataset!$F:$F,credito!$D$11,Dataset!$AC:$AC,"A",Dataset!$J:$J,"&lt;"&amp;$D58,Dataset!$J:$J,"&gt;="&amp;$C58)+SUMIFS(Dataset!$AK:$AK,Dataset!$F:$F,credito!$D$11,Dataset!$AC:$AC,"A-",Dataset!$J:$J,"&lt;"&amp;$D58,Dataset!$J:$J,"&gt;="&amp;$C58)+SUMIFS(Dataset!$AK:$AK,Dataset!$F:$F,credito!$D$11,Dataset!$AC:$AC,"A+",Dataset!$J:$J,"&lt;"&amp;$D58,Dataset!$J:$J,"&gt;="&amp;$C58)</f>
        <v>0</v>
      </c>
      <c r="V58" s="83">
        <f>SUMIFS(Dataset!$AK:$AK,Dataset!$F:$F,credito!$D$11,Dataset!$AC:$AC,"BBB",Dataset!$J:$J,"&lt;"&amp;$D58,Dataset!$J:$J,"&gt;="&amp;$C58)+SUMIFS(Dataset!$AK:$AK,Dataset!$F:$F,credito!$D$11,Dataset!$AC:$AC,"BBB-",Dataset!$J:$J,"&lt;"&amp;$D58,Dataset!$J:$J,"&gt;="&amp;$C58)+SUMIFS(Dataset!$AK:$AK,Dataset!$F:$F,credito!$D$11,Dataset!$AC:$AC,"BBB+",Dataset!$J:$J,"&lt;"&amp;$D58,Dataset!$J:$J,"&gt;="&amp;$C58)</f>
        <v>0</v>
      </c>
      <c r="W58" s="83">
        <f>SUMIFS(Dataset!$AK:$AK,Dataset!$F:$F,credito!$D$11,Dataset!$J:$J,"&lt;"&amp;$D58,Dataset!$J:$J,"&gt;="&amp;$C58,Dataset!$AC:$AC,"&lt;&gt;N-1+",Dataset!$AC:$AC,"&lt;&gt;*AA*",Dataset!$AC:$AC,"&lt;&gt;*AAA*",Dataset!$AC:$AC,"&lt;&gt;A",Dataset!$AC:$AC,"&lt;&gt;A-",Dataset!$AC:$AC,"&lt;&gt;A+",Dataset!$AC:$AC,"&lt;&gt;*BBB*")</f>
        <v>0</v>
      </c>
      <c r="X58" s="84">
        <f t="shared" si="3"/>
        <v>0</v>
      </c>
      <c r="Y58" s="85">
        <f>10*SUMIFS(Dataset!$H:$H,Dataset!$F:$F,credito!$D$11,Dataset!AH:AH,"deposito",Dataset!T:T,"$",Dataset!$J:$J,"&lt;"&amp;$D58,Dataset!J:J,"&gt;="&amp;$C58)</f>
        <v>0</v>
      </c>
      <c r="Z58" s="86">
        <f>10*SUMIFS(Dataset!$H:$H,Dataset!$F:$F,credito!$D$11,Dataset!AH:AH,"deposito",Dataset!T:T,"UF",Dataset!$J:$J,"&lt;"&amp;$D58,Dataset!J:J,"&gt;="&amp;$C58)</f>
        <v>0</v>
      </c>
      <c r="AA58" s="86">
        <f>10*SUMIFS(Dataset!$H:$H,Dataset!$F:$F,credito!$D$11,Dataset!AH:AH,"bono de gobierno",Dataset!T:T,"$",Dataset!$J:$J,"&lt;"&amp;$D58,Dataset!J:J,"&gt;="&amp;$C58)</f>
        <v>0</v>
      </c>
      <c r="AB58" s="86">
        <f>10*SUMIFS(Dataset!$H:$H,Dataset!$F:$F,credito!$D$11,Dataset!AH:AH,"bono de gobierno",Dataset!T:T,"uf",Dataset!$J:$J,"&lt;"&amp;$D58,Dataset!J:J,"&gt;="&amp;$C58)</f>
        <v>0</v>
      </c>
      <c r="AC58" s="86">
        <f>10*SUMIFS(Dataset!$H:$H,Dataset!$F:$F,credito!$D$11,Dataset!AH:AH,"bono de gobierno",Dataset!T:T,"eu",Dataset!$J:$J,"&lt;"&amp;$D58,Dataset!J:J,"&gt;="&amp;$C58)</f>
        <v>0</v>
      </c>
      <c r="AD58" s="86">
        <f>10*SUMIFS(Dataset!$H:$H,Dataset!$F:$F,credito!$D$11,Dataset!AH:AH,"bono de gobierno",Dataset!T:T,"mx",Dataset!$J:$J,"&lt;"&amp;$D58,Dataset!J:J,"&gt;="&amp;$C58)</f>
        <v>0</v>
      </c>
      <c r="AE58" s="86">
        <f>10*SUMIFS(Dataset!$H:$H,Dataset!$F:$F,credito!$D$11,Dataset!AH:AH,"bono corporativo",Dataset!T:T,"$",Dataset!$J:$J,"&lt;"&amp;$D58,Dataset!J:J,"&gt;="&amp;$C58)</f>
        <v>0</v>
      </c>
      <c r="AF58" s="86">
        <f>10*SUMIFS(Dataset!$H:$H,Dataset!$F:$F,credito!$D$11,Dataset!AH:AH,"bono corporativo",Dataset!T:T,"uf",Dataset!$J:$J,"&lt;"&amp;$D58,Dataset!J:J,"&gt;="&amp;$C58)</f>
        <v>0</v>
      </c>
      <c r="AG58" s="86">
        <f>10*SUMIFS(Dataset!$H:$H,Dataset!$F:$F,credito!$D$11,Dataset!AH:AH,"bono corporativo",Dataset!T:T,"us$",Dataset!$J:$J,"&lt;"&amp;$D58,Dataset!J:J,"&gt;="&amp;$C58)</f>
        <v>0</v>
      </c>
      <c r="AH58" s="86">
        <f>10*SUMIFS(Dataset!H:H,Dataset!F:F,credito!$D$11,Dataset!J:J,"&lt;"&amp;$D81,Dataset!J:J,"&gt;="&amp;$C81,Dataset!AH:AH,"&lt;&gt;bono corporativo",Dataset!AH:AH,"&lt;&gt;bono de gobierno",Dataset!AH:AH,"&lt;&gt;deposito")</f>
        <v>0</v>
      </c>
      <c r="AI58" s="87">
        <f t="shared" si="4"/>
        <v>0</v>
      </c>
    </row>
    <row r="59" spans="3:35" ht="33" customHeight="1" x14ac:dyDescent="0.3">
      <c r="C59" s="61">
        <v>9.5</v>
      </c>
      <c r="D59" s="81">
        <v>10.5</v>
      </c>
      <c r="E59" s="82">
        <f>SUMIFS(Dataset!AK:AK,Dataset!F:F,credito!$D$11,Dataset!AH:AH,"deposito",Dataset!T:T,"$",Dataset!J:J,"&lt;"&amp;$D59,Dataset!J:J,"&gt;="&amp;$C59)</f>
        <v>0</v>
      </c>
      <c r="F59" s="83">
        <f>SUMIFS(Dataset!AK:AK,Dataset!F:F,credito!$D$11,Dataset!AH:AH,"deposito",Dataset!T:T,"UF",Dataset!J:J,"&lt;"&amp;$D59,Dataset!J:J,"&gt;="&amp;$C59)</f>
        <v>0</v>
      </c>
      <c r="G59" s="83">
        <f>SUMIFS(Dataset!AK:AK,Dataset!F:F,credito!$D$11,Dataset!AH:AH,"bono de gobierno",Dataset!T:T,"$",Dataset!J:J,"&lt;"&amp;$D59,Dataset!J:J,"&gt;="&amp;$C59)</f>
        <v>0</v>
      </c>
      <c r="H59" s="83">
        <f>SUMIFS(Dataset!AK:AK,Dataset!F:F,credito!$D$11,Dataset!AH:AH,"bono de gobierno",Dataset!T:T,"UF",Dataset!J:J,"&lt;"&amp;$D59,Dataset!J:J,"&gt;="&amp;$C59)</f>
        <v>0</v>
      </c>
      <c r="I59" s="83">
        <f>SUMIFS(Dataset!AK:AK,Dataset!F:F,credito!$D$11,Dataset!AH:AH,"bono de gobierno",Dataset!T:T,"eu",Dataset!J:J,"&lt;"&amp;$D59,Dataset!J:J,"&gt;="&amp;$C59)</f>
        <v>0</v>
      </c>
      <c r="J59" s="83">
        <f>SUMIFS(Dataset!AK:AK,Dataset!F:F,credito!$D$11,Dataset!AH:AH,"bono de gobierno",Dataset!T:T,"mx",Dataset!J:J,"&lt;"&amp;$D59,Dataset!J:J,"&gt;="&amp;$C59)</f>
        <v>0</v>
      </c>
      <c r="K59" s="83">
        <f>SUMIFS(Dataset!AK:AK,Dataset!F:F,credito!$D$11,Dataset!AH:AH,"bono corporativo",Dataset!T:T,"$",Dataset!J:J,"&lt;"&amp;$D59,Dataset!J:J,"&gt;="&amp;$C59)</f>
        <v>0</v>
      </c>
      <c r="L59" s="83">
        <f>SUMIFS(Dataset!AK:AK,Dataset!F:F,credito!$D$11,Dataset!AH:AH,"bono corporativo",Dataset!T:T,"UF",Dataset!J:J,"&lt;"&amp;$D59,Dataset!J:J,"&gt;="&amp;$C59)</f>
        <v>0</v>
      </c>
      <c r="M59" s="83">
        <f>SUMIFS(Dataset!AK:AK,Dataset!F:F,credito!$D$11,Dataset!AH:AH,"bono corporativo",Dataset!T:T,"US$",Dataset!J:J,"&lt;"&amp;$D59,Dataset!J:J,"&gt;="&amp;$C59)</f>
        <v>0</v>
      </c>
      <c r="N59" s="83">
        <f>SUMIFS(Dataset!AK:AK,Dataset!F:F,credito!$D$11,Dataset!J:J,"&lt;"&amp;$D59,Dataset!J:J,"&gt;="&amp;$C59,Dataset!AH:AH,"&lt;&gt;bono corporativo",Dataset!AH:AH,"&lt;&gt;bono de gobierno",Dataset!AH:AH,"&lt;&gt;deposito")</f>
        <v>0</v>
      </c>
      <c r="O59" s="84">
        <f t="shared" si="2"/>
        <v>0</v>
      </c>
      <c r="P59" s="82">
        <f>SUMIFS(Dataset!$AK:$AK,Dataset!$F:$F,credito!$D$11,Dataset!$AC:$AC,P$48,Dataset!$J:$J,"&lt;"&amp;$D59,Dataset!J:J,"&gt;="&amp;$C59)</f>
        <v>0</v>
      </c>
      <c r="Q59" s="83">
        <f>SUMIFS(Dataset!$AK:$AK,Dataset!$F:$F,credito!$D$11,Dataset!$AC:$AC,Q$48,Dataset!$J:$J,"&lt;"&amp;$D59,Dataset!J:J,"&gt;="&amp;$C59)</f>
        <v>0</v>
      </c>
      <c r="R59" s="83">
        <f>SUMIFS(Dataset!$AK:$AK,Dataset!$F:$F,credito!$D$11,Dataset!$AC:$AC,R$48,Dataset!$J:$J,"&lt;"&amp;$D59,Dataset!J:J,"&gt;="&amp;$C59)</f>
        <v>0</v>
      </c>
      <c r="S59" s="83">
        <f>SUMIFS(Dataset!$AK:$AK,Dataset!$F:$F,credito!$D$11,Dataset!$AC:$AC,S$48,Dataset!$J:$J,"&lt;"&amp;$D59,Dataset!J:J,"&gt;="&amp;$C59)</f>
        <v>0</v>
      </c>
      <c r="T59" s="83">
        <f>SUMIFS(Dataset!$AK:$AK,Dataset!$F:$F,credito!$D$11,Dataset!$AC:$AC,T$48,Dataset!$J:$J,"&lt;"&amp;$D59,Dataset!J:J,"&gt;="&amp;$C59)</f>
        <v>0</v>
      </c>
      <c r="U59" s="83">
        <f>SUMIFS(Dataset!$AK:$AK,Dataset!$F:$F,credito!$D$11,Dataset!$AC:$AC,"A",Dataset!$J:$J,"&lt;"&amp;$D59,Dataset!$J:$J,"&gt;="&amp;$C59)+SUMIFS(Dataset!$AK:$AK,Dataset!$F:$F,credito!$D$11,Dataset!$AC:$AC,"A-",Dataset!$J:$J,"&lt;"&amp;$D59,Dataset!$J:$J,"&gt;="&amp;$C59)+SUMIFS(Dataset!$AK:$AK,Dataset!$F:$F,credito!$D$11,Dataset!$AC:$AC,"A+",Dataset!$J:$J,"&lt;"&amp;$D59,Dataset!$J:$J,"&gt;="&amp;$C59)</f>
        <v>0</v>
      </c>
      <c r="V59" s="83">
        <f>SUMIFS(Dataset!$AK:$AK,Dataset!$F:$F,credito!$D$11,Dataset!$AC:$AC,"BBB",Dataset!$J:$J,"&lt;"&amp;$D59,Dataset!$J:$J,"&gt;="&amp;$C59)+SUMIFS(Dataset!$AK:$AK,Dataset!$F:$F,credito!$D$11,Dataset!$AC:$AC,"BBB-",Dataset!$J:$J,"&lt;"&amp;$D59,Dataset!$J:$J,"&gt;="&amp;$C59)+SUMIFS(Dataset!$AK:$AK,Dataset!$F:$F,credito!$D$11,Dataset!$AC:$AC,"BBB+",Dataset!$J:$J,"&lt;"&amp;$D59,Dataset!$J:$J,"&gt;="&amp;$C59)</f>
        <v>0</v>
      </c>
      <c r="W59" s="83">
        <f>SUMIFS(Dataset!$AK:$AK,Dataset!$F:$F,credito!$D$11,Dataset!$J:$J,"&lt;"&amp;$D59,Dataset!$J:$J,"&gt;="&amp;$C59,Dataset!$AC:$AC,"&lt;&gt;N-1+",Dataset!$AC:$AC,"&lt;&gt;*AA*",Dataset!$AC:$AC,"&lt;&gt;*AAA*",Dataset!$AC:$AC,"&lt;&gt;A",Dataset!$AC:$AC,"&lt;&gt;A-",Dataset!$AC:$AC,"&lt;&gt;A+",Dataset!$AC:$AC,"&lt;&gt;*BBB*")</f>
        <v>0</v>
      </c>
      <c r="X59" s="84">
        <f t="shared" si="3"/>
        <v>0</v>
      </c>
      <c r="Y59" s="85">
        <f>10*SUMIFS(Dataset!$H:$H,Dataset!$F:$F,credito!$D$11,Dataset!AH:AH,"deposito",Dataset!T:T,"$",Dataset!$J:$J,"&lt;"&amp;$D59,Dataset!J:J,"&gt;="&amp;$C59)</f>
        <v>0</v>
      </c>
      <c r="Z59" s="86">
        <f>10*SUMIFS(Dataset!$H:$H,Dataset!$F:$F,credito!$D$11,Dataset!AH:AH,"deposito",Dataset!T:T,"UF",Dataset!$J:$J,"&lt;"&amp;$D59,Dataset!J:J,"&gt;="&amp;$C59)</f>
        <v>0</v>
      </c>
      <c r="AA59" s="86">
        <f>10*SUMIFS(Dataset!$H:$H,Dataset!$F:$F,credito!$D$11,Dataset!AH:AH,"bono de gobierno",Dataset!T:T,"$",Dataset!$J:$J,"&lt;"&amp;$D59,Dataset!J:J,"&gt;="&amp;$C59)</f>
        <v>0</v>
      </c>
      <c r="AB59" s="86">
        <f>10*SUMIFS(Dataset!$H:$H,Dataset!$F:$F,credito!$D$11,Dataset!AH:AH,"bono de gobierno",Dataset!T:T,"uf",Dataset!$J:$J,"&lt;"&amp;$D59,Dataset!J:J,"&gt;="&amp;$C59)</f>
        <v>0</v>
      </c>
      <c r="AC59" s="86">
        <f>10*SUMIFS(Dataset!$H:$H,Dataset!$F:$F,credito!$D$11,Dataset!AH:AH,"bono de gobierno",Dataset!T:T,"eu",Dataset!$J:$J,"&lt;"&amp;$D59,Dataset!J:J,"&gt;="&amp;$C59)</f>
        <v>0</v>
      </c>
      <c r="AD59" s="86">
        <f>10*SUMIFS(Dataset!$H:$H,Dataset!$F:$F,credito!$D$11,Dataset!AH:AH,"bono de gobierno",Dataset!T:T,"mx",Dataset!$J:$J,"&lt;"&amp;$D59,Dataset!J:J,"&gt;="&amp;$C59)</f>
        <v>0</v>
      </c>
      <c r="AE59" s="86">
        <f>10*SUMIFS(Dataset!$H:$H,Dataset!$F:$F,credito!$D$11,Dataset!AH:AH,"bono corporativo",Dataset!T:T,"$",Dataset!$J:$J,"&lt;"&amp;$D59,Dataset!J:J,"&gt;="&amp;$C59)</f>
        <v>0</v>
      </c>
      <c r="AF59" s="86">
        <f>10*SUMIFS(Dataset!$H:$H,Dataset!$F:$F,credito!$D$11,Dataset!AH:AH,"bono corporativo",Dataset!T:T,"uf",Dataset!$J:$J,"&lt;"&amp;$D59,Dataset!J:J,"&gt;="&amp;$C59)</f>
        <v>0</v>
      </c>
      <c r="AG59" s="86">
        <f>10*SUMIFS(Dataset!$H:$H,Dataset!$F:$F,credito!$D$11,Dataset!AH:AH,"bono corporativo",Dataset!T:T,"us$",Dataset!$J:$J,"&lt;"&amp;$D59,Dataset!J:J,"&gt;="&amp;$C59)</f>
        <v>0</v>
      </c>
      <c r="AH59" s="86">
        <f>10*SUMIFS(Dataset!H:H,Dataset!F:F,credito!$D$11,Dataset!J:J,"&lt;"&amp;$D82,Dataset!J:J,"&gt;="&amp;$C82,Dataset!AH:AH,"&lt;&gt;bono corporativo",Dataset!AH:AH,"&lt;&gt;bono de gobierno",Dataset!AH:AH,"&lt;&gt;deposito")</f>
        <v>0</v>
      </c>
      <c r="AI59" s="87">
        <f t="shared" si="4"/>
        <v>0</v>
      </c>
    </row>
    <row r="60" spans="3:35" ht="33" customHeight="1" x14ac:dyDescent="0.3">
      <c r="C60" s="61">
        <v>10.5</v>
      </c>
      <c r="D60" s="81">
        <v>11.5</v>
      </c>
      <c r="E60" s="82">
        <f>SUMIFS(Dataset!AK:AK,Dataset!F:F,credito!$D$11,Dataset!AH:AH,"deposito",Dataset!T:T,"$",Dataset!J:J,"&lt;"&amp;$D60,Dataset!J:J,"&gt;="&amp;$C60)</f>
        <v>0</v>
      </c>
      <c r="F60" s="83">
        <f>SUMIFS(Dataset!AK:AK,Dataset!F:F,credito!$D$11,Dataset!AH:AH,"deposito",Dataset!T:T,"UF",Dataset!J:J,"&lt;"&amp;$D60,Dataset!J:J,"&gt;="&amp;$C60)</f>
        <v>0</v>
      </c>
      <c r="G60" s="83">
        <f>SUMIFS(Dataset!AK:AK,Dataset!F:F,credito!$D$11,Dataset!AH:AH,"bono de gobierno",Dataset!T:T,"$",Dataset!J:J,"&lt;"&amp;$D60,Dataset!J:J,"&gt;="&amp;$C60)</f>
        <v>0</v>
      </c>
      <c r="H60" s="83">
        <f>SUMIFS(Dataset!AK:AK,Dataset!F:F,credito!$D$11,Dataset!AH:AH,"bono de gobierno",Dataset!T:T,"UF",Dataset!J:J,"&lt;"&amp;$D60,Dataset!J:J,"&gt;="&amp;$C60)</f>
        <v>0</v>
      </c>
      <c r="I60" s="83">
        <f>SUMIFS(Dataset!AK:AK,Dataset!F:F,credito!$D$11,Dataset!AH:AH,"bono de gobierno",Dataset!T:T,"eu",Dataset!J:J,"&lt;"&amp;$D60,Dataset!J:J,"&gt;="&amp;$C60)</f>
        <v>0</v>
      </c>
      <c r="J60" s="83">
        <f>SUMIFS(Dataset!AK:AK,Dataset!F:F,credito!$D$11,Dataset!AH:AH,"bono de gobierno",Dataset!T:T,"mx",Dataset!J:J,"&lt;"&amp;$D60,Dataset!J:J,"&gt;="&amp;$C60)</f>
        <v>0</v>
      </c>
      <c r="K60" s="83">
        <f>SUMIFS(Dataset!AK:AK,Dataset!F:F,credito!$D$11,Dataset!AH:AH,"bono corporativo",Dataset!T:T,"$",Dataset!J:J,"&lt;"&amp;$D60,Dataset!J:J,"&gt;="&amp;$C60)</f>
        <v>0</v>
      </c>
      <c r="L60" s="83">
        <f>SUMIFS(Dataset!AK:AK,Dataset!F:F,credito!$D$11,Dataset!AH:AH,"bono corporativo",Dataset!T:T,"UF",Dataset!J:J,"&lt;"&amp;$D60,Dataset!J:J,"&gt;="&amp;$C60)</f>
        <v>0</v>
      </c>
      <c r="M60" s="83">
        <f>SUMIFS(Dataset!AK:AK,Dataset!F:F,credito!$D$11,Dataset!AH:AH,"bono corporativo",Dataset!T:T,"US$",Dataset!J:J,"&lt;"&amp;$D60,Dataset!J:J,"&gt;="&amp;$C60)</f>
        <v>0</v>
      </c>
      <c r="N60" s="83">
        <f>SUMIFS(Dataset!AK:AK,Dataset!F:F,credito!$D$11,Dataset!J:J,"&lt;"&amp;$D60,Dataset!J:J,"&gt;="&amp;$C60,Dataset!AH:AH,"&lt;&gt;bono corporativo",Dataset!AH:AH,"&lt;&gt;bono de gobierno",Dataset!AH:AH,"&lt;&gt;deposito")</f>
        <v>0</v>
      </c>
      <c r="O60" s="84">
        <f t="shared" si="2"/>
        <v>0</v>
      </c>
      <c r="P60" s="82">
        <f>SUMIFS(Dataset!$AK:$AK,Dataset!$F:$F,credito!$D$11,Dataset!$AC:$AC,P$48,Dataset!$J:$J,"&lt;"&amp;$D60,Dataset!J:J,"&gt;="&amp;$C60)</f>
        <v>0</v>
      </c>
      <c r="Q60" s="83">
        <f>SUMIFS(Dataset!$AK:$AK,Dataset!$F:$F,credito!$D$11,Dataset!$AC:$AC,Q$48,Dataset!$J:$J,"&lt;"&amp;$D60,Dataset!J:J,"&gt;="&amp;$C60)</f>
        <v>0</v>
      </c>
      <c r="R60" s="83">
        <f>SUMIFS(Dataset!$AK:$AK,Dataset!$F:$F,credito!$D$11,Dataset!$AC:$AC,R$48,Dataset!$J:$J,"&lt;"&amp;$D60,Dataset!J:J,"&gt;="&amp;$C60)</f>
        <v>0</v>
      </c>
      <c r="S60" s="83">
        <f>SUMIFS(Dataset!$AK:$AK,Dataset!$F:$F,credito!$D$11,Dataset!$AC:$AC,S$48,Dataset!$J:$J,"&lt;"&amp;$D60,Dataset!J:J,"&gt;="&amp;$C60)</f>
        <v>0</v>
      </c>
      <c r="T60" s="83">
        <f>SUMIFS(Dataset!$AK:$AK,Dataset!$F:$F,credito!$D$11,Dataset!$AC:$AC,T$48,Dataset!$J:$J,"&lt;"&amp;$D60,Dataset!J:J,"&gt;="&amp;$C60)</f>
        <v>0</v>
      </c>
      <c r="U60" s="83">
        <f>SUMIFS(Dataset!$AK:$AK,Dataset!$F:$F,credito!$D$11,Dataset!$AC:$AC,"A",Dataset!$J:$J,"&lt;"&amp;$D60,Dataset!$J:$J,"&gt;="&amp;$C60)+SUMIFS(Dataset!$AK:$AK,Dataset!$F:$F,credito!$D$11,Dataset!$AC:$AC,"A-",Dataset!$J:$J,"&lt;"&amp;$D60,Dataset!$J:$J,"&gt;="&amp;$C60)+SUMIFS(Dataset!$AK:$AK,Dataset!$F:$F,credito!$D$11,Dataset!$AC:$AC,"A+",Dataset!$J:$J,"&lt;"&amp;$D60,Dataset!$J:$J,"&gt;="&amp;$C60)</f>
        <v>0</v>
      </c>
      <c r="V60" s="83">
        <f>SUMIFS(Dataset!$AK:$AK,Dataset!$F:$F,credito!$D$11,Dataset!$AC:$AC,"BBB",Dataset!$J:$J,"&lt;"&amp;$D60,Dataset!$J:$J,"&gt;="&amp;$C60)+SUMIFS(Dataset!$AK:$AK,Dataset!$F:$F,credito!$D$11,Dataset!$AC:$AC,"BBB-",Dataset!$J:$J,"&lt;"&amp;$D60,Dataset!$J:$J,"&gt;="&amp;$C60)+SUMIFS(Dataset!$AK:$AK,Dataset!$F:$F,credito!$D$11,Dataset!$AC:$AC,"BBB+",Dataset!$J:$J,"&lt;"&amp;$D60,Dataset!$J:$J,"&gt;="&amp;$C60)</f>
        <v>0</v>
      </c>
      <c r="W60" s="83">
        <f>SUMIFS(Dataset!$AK:$AK,Dataset!$F:$F,credito!$D$11,Dataset!$J:$J,"&lt;"&amp;$D60,Dataset!$J:$J,"&gt;="&amp;$C60,Dataset!$AC:$AC,"&lt;&gt;N-1+",Dataset!$AC:$AC,"&lt;&gt;*AA*",Dataset!$AC:$AC,"&lt;&gt;*AAA*",Dataset!$AC:$AC,"&lt;&gt;A",Dataset!$AC:$AC,"&lt;&gt;A-",Dataset!$AC:$AC,"&lt;&gt;A+",Dataset!$AC:$AC,"&lt;&gt;*BBB*")</f>
        <v>0</v>
      </c>
      <c r="X60" s="84">
        <f t="shared" si="3"/>
        <v>0</v>
      </c>
      <c r="Y60" s="85">
        <f>10*SUMIFS(Dataset!$H:$H,Dataset!$F:$F,credito!$D$11,Dataset!AH:AH,"deposito",Dataset!T:T,"$",Dataset!$J:$J,"&lt;"&amp;$D60,Dataset!J:J,"&gt;="&amp;$C60)</f>
        <v>0</v>
      </c>
      <c r="Z60" s="86">
        <f>10*SUMIFS(Dataset!$H:$H,Dataset!$F:$F,credito!$D$11,Dataset!AH:AH,"deposito",Dataset!T:T,"UF",Dataset!$J:$J,"&lt;"&amp;$D60,Dataset!J:J,"&gt;="&amp;$C60)</f>
        <v>0</v>
      </c>
      <c r="AA60" s="86">
        <f>10*SUMIFS(Dataset!$H:$H,Dataset!$F:$F,credito!$D$11,Dataset!AH:AH,"bono de gobierno",Dataset!T:T,"$",Dataset!$J:$J,"&lt;"&amp;$D60,Dataset!J:J,"&gt;="&amp;$C60)</f>
        <v>0</v>
      </c>
      <c r="AB60" s="86">
        <f>10*SUMIFS(Dataset!$H:$H,Dataset!$F:$F,credito!$D$11,Dataset!AH:AH,"bono de gobierno",Dataset!T:T,"uf",Dataset!$J:$J,"&lt;"&amp;$D60,Dataset!J:J,"&gt;="&amp;$C60)</f>
        <v>0</v>
      </c>
      <c r="AC60" s="86">
        <f>10*SUMIFS(Dataset!$H:$H,Dataset!$F:$F,credito!$D$11,Dataset!AH:AH,"bono de gobierno",Dataset!T:T,"eu",Dataset!$J:$J,"&lt;"&amp;$D60,Dataset!J:J,"&gt;="&amp;$C60)</f>
        <v>0</v>
      </c>
      <c r="AD60" s="86">
        <f>10*SUMIFS(Dataset!$H:$H,Dataset!$F:$F,credito!$D$11,Dataset!AH:AH,"bono de gobierno",Dataset!T:T,"mx",Dataset!$J:$J,"&lt;"&amp;$D60,Dataset!J:J,"&gt;="&amp;$C60)</f>
        <v>0</v>
      </c>
      <c r="AE60" s="86">
        <f>10*SUMIFS(Dataset!$H:$H,Dataset!$F:$F,credito!$D$11,Dataset!AH:AH,"bono corporativo",Dataset!T:T,"$",Dataset!$J:$J,"&lt;"&amp;$D60,Dataset!J:J,"&gt;="&amp;$C60)</f>
        <v>0</v>
      </c>
      <c r="AF60" s="86">
        <f>10*SUMIFS(Dataset!$H:$H,Dataset!$F:$F,credito!$D$11,Dataset!AH:AH,"bono corporativo",Dataset!T:T,"uf",Dataset!$J:$J,"&lt;"&amp;$D60,Dataset!J:J,"&gt;="&amp;$C60)</f>
        <v>0</v>
      </c>
      <c r="AG60" s="86">
        <f>10*SUMIFS(Dataset!$H:$H,Dataset!$F:$F,credito!$D$11,Dataset!AH:AH,"bono corporativo",Dataset!T:T,"us$",Dataset!$J:$J,"&lt;"&amp;$D60,Dataset!J:J,"&gt;="&amp;$C60)</f>
        <v>0</v>
      </c>
      <c r="AH60" s="86">
        <f>10*SUMIFS(Dataset!H:H,Dataset!F:F,credito!$D$11,Dataset!J:J,"&lt;"&amp;$D83,Dataset!J:J,"&gt;="&amp;$C83,Dataset!AH:AH,"&lt;&gt;bono corporativo",Dataset!AH:AH,"&lt;&gt;bono de gobierno",Dataset!AH:AH,"&lt;&gt;deposito")</f>
        <v>0</v>
      </c>
      <c r="AI60" s="87">
        <f t="shared" si="4"/>
        <v>0</v>
      </c>
    </row>
    <row r="61" spans="3:35" ht="33" customHeight="1" x14ac:dyDescent="0.3">
      <c r="C61" s="61">
        <v>11.5</v>
      </c>
      <c r="D61" s="81">
        <v>12.5</v>
      </c>
      <c r="E61" s="82">
        <f>SUMIFS(Dataset!AK:AK,Dataset!F:F,credito!$D$11,Dataset!AH:AH,"deposito",Dataset!T:T,"$",Dataset!J:J,"&lt;"&amp;$D61,Dataset!J:J,"&gt;="&amp;$C61)</f>
        <v>0</v>
      </c>
      <c r="F61" s="83">
        <f>SUMIFS(Dataset!AK:AK,Dataset!F:F,credito!$D$11,Dataset!AH:AH,"deposito",Dataset!T:T,"UF",Dataset!J:J,"&lt;"&amp;$D61,Dataset!J:J,"&gt;="&amp;$C61)</f>
        <v>0</v>
      </c>
      <c r="G61" s="83">
        <f>SUMIFS(Dataset!AK:AK,Dataset!F:F,credito!$D$11,Dataset!AH:AH,"bono de gobierno",Dataset!T:T,"$",Dataset!J:J,"&lt;"&amp;$D61,Dataset!J:J,"&gt;="&amp;$C61)</f>
        <v>0</v>
      </c>
      <c r="H61" s="83">
        <f>SUMIFS(Dataset!AK:AK,Dataset!F:F,credito!$D$11,Dataset!AH:AH,"bono de gobierno",Dataset!T:T,"UF",Dataset!J:J,"&lt;"&amp;$D61,Dataset!J:J,"&gt;="&amp;$C61)</f>
        <v>0</v>
      </c>
      <c r="I61" s="83">
        <f>SUMIFS(Dataset!AK:AK,Dataset!F:F,credito!$D$11,Dataset!AH:AH,"bono de gobierno",Dataset!T:T,"eu",Dataset!J:J,"&lt;"&amp;$D61,Dataset!J:J,"&gt;="&amp;$C61)</f>
        <v>0</v>
      </c>
      <c r="J61" s="83">
        <f>SUMIFS(Dataset!AK:AK,Dataset!F:F,credito!$D$11,Dataset!AH:AH,"bono de gobierno",Dataset!T:T,"mx",Dataset!J:J,"&lt;"&amp;$D61,Dataset!J:J,"&gt;="&amp;$C61)</f>
        <v>0</v>
      </c>
      <c r="K61" s="83">
        <f>SUMIFS(Dataset!AK:AK,Dataset!F:F,credito!$D$11,Dataset!AH:AH,"bono corporativo",Dataset!T:T,"$",Dataset!J:J,"&lt;"&amp;$D61,Dataset!J:J,"&gt;="&amp;$C61)</f>
        <v>0</v>
      </c>
      <c r="L61" s="83">
        <f>SUMIFS(Dataset!AK:AK,Dataset!F:F,credito!$D$11,Dataset!AH:AH,"bono corporativo",Dataset!T:T,"UF",Dataset!J:J,"&lt;"&amp;$D61,Dataset!J:J,"&gt;="&amp;$C61)</f>
        <v>0</v>
      </c>
      <c r="M61" s="83">
        <f>SUMIFS(Dataset!AK:AK,Dataset!F:F,credito!$D$11,Dataset!AH:AH,"bono corporativo",Dataset!T:T,"US$",Dataset!J:J,"&lt;"&amp;$D61,Dataset!J:J,"&gt;="&amp;$C61)</f>
        <v>0</v>
      </c>
      <c r="N61" s="83">
        <f>SUMIFS(Dataset!AK:AK,Dataset!F:F,credito!$D$11,Dataset!J:J,"&lt;"&amp;$D61,Dataset!J:J,"&gt;="&amp;$C61,Dataset!AH:AH,"&lt;&gt;bono corporativo",Dataset!AH:AH,"&lt;&gt;bono de gobierno",Dataset!AH:AH,"&lt;&gt;deposito")</f>
        <v>0</v>
      </c>
      <c r="O61" s="84">
        <f t="shared" si="2"/>
        <v>0</v>
      </c>
      <c r="P61" s="82">
        <f>SUMIFS(Dataset!$AK:$AK,Dataset!$F:$F,credito!$D$11,Dataset!$AC:$AC,P$48,Dataset!$J:$J,"&lt;"&amp;$D61,Dataset!J:J,"&gt;="&amp;$C61)</f>
        <v>0</v>
      </c>
      <c r="Q61" s="83">
        <f>SUMIFS(Dataset!$AK:$AK,Dataset!$F:$F,credito!$D$11,Dataset!$AC:$AC,Q$48,Dataset!$J:$J,"&lt;"&amp;$D61,Dataset!J:J,"&gt;="&amp;$C61)</f>
        <v>0</v>
      </c>
      <c r="R61" s="83">
        <f>SUMIFS(Dataset!$AK:$AK,Dataset!$F:$F,credito!$D$11,Dataset!$AC:$AC,R$48,Dataset!$J:$J,"&lt;"&amp;$D61,Dataset!J:J,"&gt;="&amp;$C61)</f>
        <v>0</v>
      </c>
      <c r="S61" s="83">
        <f>SUMIFS(Dataset!$AK:$AK,Dataset!$F:$F,credito!$D$11,Dataset!$AC:$AC,S$48,Dataset!$J:$J,"&lt;"&amp;$D61,Dataset!J:J,"&gt;="&amp;$C61)</f>
        <v>0</v>
      </c>
      <c r="T61" s="83">
        <f>SUMIFS(Dataset!$AK:$AK,Dataset!$F:$F,credito!$D$11,Dataset!$AC:$AC,T$48,Dataset!$J:$J,"&lt;"&amp;$D61,Dataset!J:J,"&gt;="&amp;$C61)</f>
        <v>0</v>
      </c>
      <c r="U61" s="83">
        <f>SUMIFS(Dataset!$AK:$AK,Dataset!$F:$F,credito!$D$11,Dataset!$AC:$AC,"A",Dataset!$J:$J,"&lt;"&amp;$D61,Dataset!$J:$J,"&gt;="&amp;$C61)+SUMIFS(Dataset!$AK:$AK,Dataset!$F:$F,credito!$D$11,Dataset!$AC:$AC,"A-",Dataset!$J:$J,"&lt;"&amp;$D61,Dataset!$J:$J,"&gt;="&amp;$C61)+SUMIFS(Dataset!$AK:$AK,Dataset!$F:$F,credito!$D$11,Dataset!$AC:$AC,"A+",Dataset!$J:$J,"&lt;"&amp;$D61,Dataset!$J:$J,"&gt;="&amp;$C61)</f>
        <v>0</v>
      </c>
      <c r="V61" s="83">
        <f>SUMIFS(Dataset!$AK:$AK,Dataset!$F:$F,credito!$D$11,Dataset!$AC:$AC,"BBB",Dataset!$J:$J,"&lt;"&amp;$D61,Dataset!$J:$J,"&gt;="&amp;$C61)+SUMIFS(Dataset!$AK:$AK,Dataset!$F:$F,credito!$D$11,Dataset!$AC:$AC,"BBB-",Dataset!$J:$J,"&lt;"&amp;$D61,Dataset!$J:$J,"&gt;="&amp;$C61)+SUMIFS(Dataset!$AK:$AK,Dataset!$F:$F,credito!$D$11,Dataset!$AC:$AC,"BBB+",Dataset!$J:$J,"&lt;"&amp;$D61,Dataset!$J:$J,"&gt;="&amp;$C61)</f>
        <v>0</v>
      </c>
      <c r="W61" s="83">
        <f>SUMIFS(Dataset!$AK:$AK,Dataset!$F:$F,credito!$D$11,Dataset!$J:$J,"&lt;"&amp;$D61,Dataset!$J:$J,"&gt;="&amp;$C61,Dataset!$AC:$AC,"&lt;&gt;N-1+",Dataset!$AC:$AC,"&lt;&gt;*AA*",Dataset!$AC:$AC,"&lt;&gt;*AAA*",Dataset!$AC:$AC,"&lt;&gt;A",Dataset!$AC:$AC,"&lt;&gt;A-",Dataset!$AC:$AC,"&lt;&gt;A+",Dataset!$AC:$AC,"&lt;&gt;*BBB*")</f>
        <v>0</v>
      </c>
      <c r="X61" s="84">
        <f t="shared" si="3"/>
        <v>0</v>
      </c>
      <c r="Y61" s="85">
        <f>10*SUMIFS(Dataset!$H:$H,Dataset!$F:$F,credito!$D$11,Dataset!AH:AH,"deposito",Dataset!T:T,"$",Dataset!$J:$J,"&lt;"&amp;$D61,Dataset!J:J,"&gt;="&amp;$C61)</f>
        <v>0</v>
      </c>
      <c r="Z61" s="86">
        <f>10*SUMIFS(Dataset!$H:$H,Dataset!$F:$F,credito!$D$11,Dataset!AH:AH,"deposito",Dataset!T:T,"UF",Dataset!$J:$J,"&lt;"&amp;$D61,Dataset!J:J,"&gt;="&amp;$C61)</f>
        <v>0</v>
      </c>
      <c r="AA61" s="86">
        <f>10*SUMIFS(Dataset!$H:$H,Dataset!$F:$F,credito!$D$11,Dataset!AH:AH,"bono de gobierno",Dataset!T:T,"$",Dataset!$J:$J,"&lt;"&amp;$D61,Dataset!J:J,"&gt;="&amp;$C61)</f>
        <v>0</v>
      </c>
      <c r="AB61" s="86">
        <f>10*SUMIFS(Dataset!$H:$H,Dataset!$F:$F,credito!$D$11,Dataset!AH:AH,"bono de gobierno",Dataset!T:T,"uf",Dataset!$J:$J,"&lt;"&amp;$D61,Dataset!J:J,"&gt;="&amp;$C61)</f>
        <v>0</v>
      </c>
      <c r="AC61" s="86">
        <f>10*SUMIFS(Dataset!$H:$H,Dataset!$F:$F,credito!$D$11,Dataset!AH:AH,"bono de gobierno",Dataset!T:T,"eu",Dataset!$J:$J,"&lt;"&amp;$D61,Dataset!J:J,"&gt;="&amp;$C61)</f>
        <v>0</v>
      </c>
      <c r="AD61" s="86">
        <f>10*SUMIFS(Dataset!$H:$H,Dataset!$F:$F,credito!$D$11,Dataset!AH:AH,"bono de gobierno",Dataset!T:T,"mx",Dataset!$J:$J,"&lt;"&amp;$D61,Dataset!J:J,"&gt;="&amp;$C61)</f>
        <v>0</v>
      </c>
      <c r="AE61" s="86">
        <f>10*SUMIFS(Dataset!$H:$H,Dataset!$F:$F,credito!$D$11,Dataset!AH:AH,"bono corporativo",Dataset!T:T,"$",Dataset!$J:$J,"&lt;"&amp;$D61,Dataset!J:J,"&gt;="&amp;$C61)</f>
        <v>0</v>
      </c>
      <c r="AF61" s="86">
        <f>10*SUMIFS(Dataset!$H:$H,Dataset!$F:$F,credito!$D$11,Dataset!AH:AH,"bono corporativo",Dataset!T:T,"uf",Dataset!$J:$J,"&lt;"&amp;$D61,Dataset!J:J,"&gt;="&amp;$C61)</f>
        <v>0</v>
      </c>
      <c r="AG61" s="86">
        <f>10*SUMIFS(Dataset!$H:$H,Dataset!$F:$F,credito!$D$11,Dataset!AH:AH,"bono corporativo",Dataset!T:T,"us$",Dataset!$J:$J,"&lt;"&amp;$D61,Dataset!J:J,"&gt;="&amp;$C61)</f>
        <v>0</v>
      </c>
      <c r="AH61" s="86">
        <f>10*SUMIFS(Dataset!H:H,Dataset!F:F,credito!$D$11,Dataset!J:J,"&lt;"&amp;$D84,Dataset!J:J,"&gt;="&amp;$C84,Dataset!AH:AH,"&lt;&gt;bono corporativo",Dataset!AH:AH,"&lt;&gt;bono de gobierno",Dataset!AH:AH,"&lt;&gt;deposito")</f>
        <v>0</v>
      </c>
      <c r="AI61" s="87">
        <f t="shared" si="4"/>
        <v>0</v>
      </c>
    </row>
    <row r="62" spans="3:35" ht="33" customHeight="1" x14ac:dyDescent="0.3">
      <c r="C62" s="61">
        <v>12.5</v>
      </c>
      <c r="D62" s="81">
        <v>13.5</v>
      </c>
      <c r="E62" s="82">
        <f>SUMIFS(Dataset!AK:AK,Dataset!F:F,credito!$D$11,Dataset!AH:AH,"deposito",Dataset!T:T,"$",Dataset!J:J,"&lt;"&amp;$D62,Dataset!J:J,"&gt;="&amp;$C62)</f>
        <v>0</v>
      </c>
      <c r="F62" s="83">
        <f>SUMIFS(Dataset!AK:AK,Dataset!F:F,credito!$D$11,Dataset!AH:AH,"deposito",Dataset!T:T,"UF",Dataset!J:J,"&lt;"&amp;$D62,Dataset!J:J,"&gt;="&amp;$C62)</f>
        <v>0</v>
      </c>
      <c r="G62" s="83">
        <f>SUMIFS(Dataset!AK:AK,Dataset!F:F,credito!$D$11,Dataset!AH:AH,"bono de gobierno",Dataset!T:T,"$",Dataset!J:J,"&lt;"&amp;$D62,Dataset!J:J,"&gt;="&amp;$C62)</f>
        <v>0</v>
      </c>
      <c r="H62" s="83">
        <f>SUMIFS(Dataset!AK:AK,Dataset!F:F,credito!$D$11,Dataset!AH:AH,"bono de gobierno",Dataset!T:T,"UF",Dataset!J:J,"&lt;"&amp;$D62,Dataset!J:J,"&gt;="&amp;$C62)</f>
        <v>0</v>
      </c>
      <c r="I62" s="83">
        <f>SUMIFS(Dataset!AK:AK,Dataset!F:F,credito!$D$11,Dataset!AH:AH,"bono de gobierno",Dataset!T:T,"eu",Dataset!J:J,"&lt;"&amp;$D62,Dataset!J:J,"&gt;="&amp;$C62)</f>
        <v>0</v>
      </c>
      <c r="J62" s="83">
        <f>SUMIFS(Dataset!AK:AK,Dataset!F:F,credito!$D$11,Dataset!AH:AH,"bono de gobierno",Dataset!T:T,"mx",Dataset!J:J,"&lt;"&amp;$D62,Dataset!J:J,"&gt;="&amp;$C62)</f>
        <v>0</v>
      </c>
      <c r="K62" s="83">
        <f>SUMIFS(Dataset!AK:AK,Dataset!F:F,credito!$D$11,Dataset!AH:AH,"bono corporativo",Dataset!T:T,"$",Dataset!J:J,"&lt;"&amp;$D62,Dataset!J:J,"&gt;="&amp;$C62)</f>
        <v>0</v>
      </c>
      <c r="L62" s="83">
        <f>SUMIFS(Dataset!AK:AK,Dataset!F:F,credito!$D$11,Dataset!AH:AH,"bono corporativo",Dataset!T:T,"UF",Dataset!J:J,"&lt;"&amp;$D62,Dataset!J:J,"&gt;="&amp;$C62)</f>
        <v>0</v>
      </c>
      <c r="M62" s="83">
        <f>SUMIFS(Dataset!AK:AK,Dataset!F:F,credito!$D$11,Dataset!AH:AH,"bono corporativo",Dataset!T:T,"US$",Dataset!J:J,"&lt;"&amp;$D62,Dataset!J:J,"&gt;="&amp;$C62)</f>
        <v>0</v>
      </c>
      <c r="N62" s="83">
        <f>SUMIFS(Dataset!AK:AK,Dataset!F:F,credito!$D$11,Dataset!J:J,"&lt;"&amp;$D62,Dataset!J:J,"&gt;="&amp;$C62,Dataset!AH:AH,"&lt;&gt;bono corporativo",Dataset!AH:AH,"&lt;&gt;bono de gobierno",Dataset!AH:AH,"&lt;&gt;deposito")</f>
        <v>0</v>
      </c>
      <c r="O62" s="84">
        <f t="shared" si="2"/>
        <v>0</v>
      </c>
      <c r="P62" s="82">
        <f>SUMIFS(Dataset!$AK:$AK,Dataset!$F:$F,credito!$D$11,Dataset!$AC:$AC,P$48,Dataset!$J:$J,"&lt;"&amp;$D62,Dataset!J:J,"&gt;="&amp;$C62)</f>
        <v>0</v>
      </c>
      <c r="Q62" s="83">
        <f>SUMIFS(Dataset!$AK:$AK,Dataset!$F:$F,credito!$D$11,Dataset!$AC:$AC,Q$48,Dataset!$J:$J,"&lt;"&amp;$D62,Dataset!J:J,"&gt;="&amp;$C62)</f>
        <v>0</v>
      </c>
      <c r="R62" s="83">
        <f>SUMIFS(Dataset!$AK:$AK,Dataset!$F:$F,credito!$D$11,Dataset!$AC:$AC,R$48,Dataset!$J:$J,"&lt;"&amp;$D62,Dataset!J:J,"&gt;="&amp;$C62)</f>
        <v>0</v>
      </c>
      <c r="S62" s="83">
        <f>SUMIFS(Dataset!$AK:$AK,Dataset!$F:$F,credito!$D$11,Dataset!$AC:$AC,S$48,Dataset!$J:$J,"&lt;"&amp;$D62,Dataset!J:J,"&gt;="&amp;$C62)</f>
        <v>0</v>
      </c>
      <c r="T62" s="83">
        <f>SUMIFS(Dataset!$AK:$AK,Dataset!$F:$F,credito!$D$11,Dataset!$AC:$AC,T$48,Dataset!$J:$J,"&lt;"&amp;$D62,Dataset!J:J,"&gt;="&amp;$C62)</f>
        <v>0</v>
      </c>
      <c r="U62" s="83">
        <f>SUMIFS(Dataset!$AK:$AK,Dataset!$F:$F,credito!$D$11,Dataset!$AC:$AC,"A",Dataset!$J:$J,"&lt;"&amp;$D62,Dataset!$J:$J,"&gt;="&amp;$C62)+SUMIFS(Dataset!$AK:$AK,Dataset!$F:$F,credito!$D$11,Dataset!$AC:$AC,"A-",Dataset!$J:$J,"&lt;"&amp;$D62,Dataset!$J:$J,"&gt;="&amp;$C62)+SUMIFS(Dataset!$AK:$AK,Dataset!$F:$F,credito!$D$11,Dataset!$AC:$AC,"A+",Dataset!$J:$J,"&lt;"&amp;$D62,Dataset!$J:$J,"&gt;="&amp;$C62)</f>
        <v>0</v>
      </c>
      <c r="V62" s="83">
        <f>SUMIFS(Dataset!$AK:$AK,Dataset!$F:$F,credito!$D$11,Dataset!$AC:$AC,"BBB",Dataset!$J:$J,"&lt;"&amp;$D62,Dataset!$J:$J,"&gt;="&amp;$C62)+SUMIFS(Dataset!$AK:$AK,Dataset!$F:$F,credito!$D$11,Dataset!$AC:$AC,"BBB-",Dataset!$J:$J,"&lt;"&amp;$D62,Dataset!$J:$J,"&gt;="&amp;$C62)+SUMIFS(Dataset!$AK:$AK,Dataset!$F:$F,credito!$D$11,Dataset!$AC:$AC,"BBB+",Dataset!$J:$J,"&lt;"&amp;$D62,Dataset!$J:$J,"&gt;="&amp;$C62)</f>
        <v>0</v>
      </c>
      <c r="W62" s="83">
        <f>SUMIFS(Dataset!$AK:$AK,Dataset!$F:$F,credito!$D$11,Dataset!$J:$J,"&lt;"&amp;$D62,Dataset!$J:$J,"&gt;="&amp;$C62,Dataset!$AC:$AC,"&lt;&gt;N-1+",Dataset!$AC:$AC,"&lt;&gt;*AA*",Dataset!$AC:$AC,"&lt;&gt;*AAA*",Dataset!$AC:$AC,"&lt;&gt;A",Dataset!$AC:$AC,"&lt;&gt;A-",Dataset!$AC:$AC,"&lt;&gt;A+",Dataset!$AC:$AC,"&lt;&gt;*BBB*")</f>
        <v>0</v>
      </c>
      <c r="X62" s="84">
        <f t="shared" si="3"/>
        <v>0</v>
      </c>
      <c r="Y62" s="85">
        <f>10*SUMIFS(Dataset!$H:$H,Dataset!$F:$F,credito!$D$11,Dataset!AH:AH,"deposito",Dataset!T:T,"$",Dataset!$J:$J,"&lt;"&amp;$D62,Dataset!J:J,"&gt;="&amp;$C62)</f>
        <v>0</v>
      </c>
      <c r="Z62" s="86">
        <f>10*SUMIFS(Dataset!$H:$H,Dataset!$F:$F,credito!$D$11,Dataset!AH:AH,"deposito",Dataset!T:T,"UF",Dataset!$J:$J,"&lt;"&amp;$D62,Dataset!J:J,"&gt;="&amp;$C62)</f>
        <v>0</v>
      </c>
      <c r="AA62" s="86">
        <f>10*SUMIFS(Dataset!$H:$H,Dataset!$F:$F,credito!$D$11,Dataset!AH:AH,"bono de gobierno",Dataset!T:T,"$",Dataset!$J:$J,"&lt;"&amp;$D62,Dataset!J:J,"&gt;="&amp;$C62)</f>
        <v>0</v>
      </c>
      <c r="AB62" s="86">
        <f>10*SUMIFS(Dataset!$H:$H,Dataset!$F:$F,credito!$D$11,Dataset!AH:AH,"bono de gobierno",Dataset!T:T,"uf",Dataset!$J:$J,"&lt;"&amp;$D62,Dataset!J:J,"&gt;="&amp;$C62)</f>
        <v>0</v>
      </c>
      <c r="AC62" s="86">
        <f>10*SUMIFS(Dataset!$H:$H,Dataset!$F:$F,credito!$D$11,Dataset!AH:AH,"bono de gobierno",Dataset!T:T,"eu",Dataset!$J:$J,"&lt;"&amp;$D62,Dataset!J:J,"&gt;="&amp;$C62)</f>
        <v>0</v>
      </c>
      <c r="AD62" s="86">
        <f>10*SUMIFS(Dataset!$H:$H,Dataset!$F:$F,credito!$D$11,Dataset!AH:AH,"bono de gobierno",Dataset!T:T,"mx",Dataset!$J:$J,"&lt;"&amp;$D62,Dataset!J:J,"&gt;="&amp;$C62)</f>
        <v>0</v>
      </c>
      <c r="AE62" s="86">
        <f>10*SUMIFS(Dataset!$H:$H,Dataset!$F:$F,credito!$D$11,Dataset!AH:AH,"bono corporativo",Dataset!T:T,"$",Dataset!$J:$J,"&lt;"&amp;$D62,Dataset!J:J,"&gt;="&amp;$C62)</f>
        <v>0</v>
      </c>
      <c r="AF62" s="86">
        <f>10*SUMIFS(Dataset!$H:$H,Dataset!$F:$F,credito!$D$11,Dataset!AH:AH,"bono corporativo",Dataset!T:T,"uf",Dataset!$J:$J,"&lt;"&amp;$D62,Dataset!J:J,"&gt;="&amp;$C62)</f>
        <v>0</v>
      </c>
      <c r="AG62" s="86">
        <f>10*SUMIFS(Dataset!$H:$H,Dataset!$F:$F,credito!$D$11,Dataset!AH:AH,"bono corporativo",Dataset!T:T,"us$",Dataset!$J:$J,"&lt;"&amp;$D62,Dataset!J:J,"&gt;="&amp;$C62)</f>
        <v>0</v>
      </c>
      <c r="AH62" s="86">
        <f>10*SUMIFS(Dataset!H:H,Dataset!F:F,credito!$D$11,Dataset!J:J,"&lt;"&amp;$D85,Dataset!J:J,"&gt;="&amp;$C85,Dataset!AH:AH,"&lt;&gt;bono corporativo",Dataset!AH:AH,"&lt;&gt;bono de gobierno",Dataset!AH:AH,"&lt;&gt;deposito")</f>
        <v>0</v>
      </c>
      <c r="AI62" s="87">
        <f t="shared" si="4"/>
        <v>0</v>
      </c>
    </row>
    <row r="63" spans="3:35" ht="33" customHeight="1" x14ac:dyDescent="0.3">
      <c r="C63" s="61">
        <v>13.5</v>
      </c>
      <c r="D63" s="81">
        <v>14.5</v>
      </c>
      <c r="E63" s="82">
        <f>SUMIFS(Dataset!AK:AK,Dataset!F:F,credito!$D$11,Dataset!AH:AH,"deposito",Dataset!T:T,"$",Dataset!J:J,"&lt;"&amp;$D63,Dataset!J:J,"&gt;="&amp;$C63)</f>
        <v>0</v>
      </c>
      <c r="F63" s="83">
        <f>SUMIFS(Dataset!AK:AK,Dataset!F:F,credito!$D$11,Dataset!AH:AH,"deposito",Dataset!T:T,"UF",Dataset!J:J,"&lt;"&amp;$D63,Dataset!J:J,"&gt;="&amp;$C63)</f>
        <v>0</v>
      </c>
      <c r="G63" s="83">
        <f>SUMIFS(Dataset!AK:AK,Dataset!F:F,credito!$D$11,Dataset!AH:AH,"bono de gobierno",Dataset!T:T,"$",Dataset!J:J,"&lt;"&amp;$D63,Dataset!J:J,"&gt;="&amp;$C63)</f>
        <v>0</v>
      </c>
      <c r="H63" s="83">
        <f>SUMIFS(Dataset!AK:AK,Dataset!F:F,credito!$D$11,Dataset!AH:AH,"bono de gobierno",Dataset!T:T,"UF",Dataset!J:J,"&lt;"&amp;$D63,Dataset!J:J,"&gt;="&amp;$C63)</f>
        <v>0</v>
      </c>
      <c r="I63" s="83">
        <f>SUMIFS(Dataset!AK:AK,Dataset!F:F,credito!$D$11,Dataset!AH:AH,"bono de gobierno",Dataset!T:T,"eu",Dataset!J:J,"&lt;"&amp;$D63,Dataset!J:J,"&gt;="&amp;$C63)</f>
        <v>0</v>
      </c>
      <c r="J63" s="83">
        <f>SUMIFS(Dataset!AK:AK,Dataset!F:F,credito!$D$11,Dataset!AH:AH,"bono de gobierno",Dataset!T:T,"mx",Dataset!J:J,"&lt;"&amp;$D63,Dataset!J:J,"&gt;="&amp;$C63)</f>
        <v>0</v>
      </c>
      <c r="K63" s="83">
        <f>SUMIFS(Dataset!AK:AK,Dataset!F:F,credito!$D$11,Dataset!AH:AH,"bono corporativo",Dataset!T:T,"$",Dataset!J:J,"&lt;"&amp;$D63,Dataset!J:J,"&gt;="&amp;$C63)</f>
        <v>0</v>
      </c>
      <c r="L63" s="83">
        <f>SUMIFS(Dataset!AK:AK,Dataset!F:F,credito!$D$11,Dataset!AH:AH,"bono corporativo",Dataset!T:T,"UF",Dataset!J:J,"&lt;"&amp;$D63,Dataset!J:J,"&gt;="&amp;$C63)</f>
        <v>0</v>
      </c>
      <c r="M63" s="83">
        <f>SUMIFS(Dataset!AK:AK,Dataset!F:F,credito!$D$11,Dataset!AH:AH,"bono corporativo",Dataset!T:T,"US$",Dataset!J:J,"&lt;"&amp;$D63,Dataset!J:J,"&gt;="&amp;$C63)</f>
        <v>0</v>
      </c>
      <c r="N63" s="83">
        <f>SUMIFS(Dataset!AK:AK,Dataset!F:F,credito!$D$11,Dataset!J:J,"&lt;"&amp;$D63,Dataset!J:J,"&gt;="&amp;$C63,Dataset!AH:AH,"&lt;&gt;bono corporativo",Dataset!AH:AH,"&lt;&gt;bono de gobierno",Dataset!AH:AH,"&lt;&gt;deposito")</f>
        <v>0</v>
      </c>
      <c r="O63" s="84">
        <f t="shared" si="2"/>
        <v>0</v>
      </c>
      <c r="P63" s="82">
        <f>SUMIFS(Dataset!$AK:$AK,Dataset!$F:$F,credito!$D$11,Dataset!$AC:$AC,P$48,Dataset!$J:$J,"&lt;"&amp;$D63,Dataset!J:J,"&gt;="&amp;$C63)</f>
        <v>0</v>
      </c>
      <c r="Q63" s="83">
        <f>SUMIFS(Dataset!$AK:$AK,Dataset!$F:$F,credito!$D$11,Dataset!$AC:$AC,Q$48,Dataset!$J:$J,"&lt;"&amp;$D63,Dataset!J:J,"&gt;="&amp;$C63)</f>
        <v>0</v>
      </c>
      <c r="R63" s="83">
        <f>SUMIFS(Dataset!$AK:$AK,Dataset!$F:$F,credito!$D$11,Dataset!$AC:$AC,R$48,Dataset!$J:$J,"&lt;"&amp;$D63,Dataset!J:J,"&gt;="&amp;$C63)</f>
        <v>0</v>
      </c>
      <c r="S63" s="83">
        <f>SUMIFS(Dataset!$AK:$AK,Dataset!$F:$F,credito!$D$11,Dataset!$AC:$AC,S$48,Dataset!$J:$J,"&lt;"&amp;$D63,Dataset!J:J,"&gt;="&amp;$C63)</f>
        <v>0</v>
      </c>
      <c r="T63" s="83">
        <f>SUMIFS(Dataset!$AK:$AK,Dataset!$F:$F,credito!$D$11,Dataset!$AC:$AC,T$48,Dataset!$J:$J,"&lt;"&amp;$D63,Dataset!J:J,"&gt;="&amp;$C63)</f>
        <v>0</v>
      </c>
      <c r="U63" s="83">
        <f>SUMIFS(Dataset!$AK:$AK,Dataset!$F:$F,credito!$D$11,Dataset!$AC:$AC,"A",Dataset!$J:$J,"&lt;"&amp;$D63,Dataset!$J:$J,"&gt;="&amp;$C63)+SUMIFS(Dataset!$AK:$AK,Dataset!$F:$F,credito!$D$11,Dataset!$AC:$AC,"A-",Dataset!$J:$J,"&lt;"&amp;$D63,Dataset!$J:$J,"&gt;="&amp;$C63)+SUMIFS(Dataset!$AK:$AK,Dataset!$F:$F,credito!$D$11,Dataset!$AC:$AC,"A+",Dataset!$J:$J,"&lt;"&amp;$D63,Dataset!$J:$J,"&gt;="&amp;$C63)</f>
        <v>0</v>
      </c>
      <c r="V63" s="83">
        <f>SUMIFS(Dataset!$AK:$AK,Dataset!$F:$F,credito!$D$11,Dataset!$AC:$AC,"BBB",Dataset!$J:$J,"&lt;"&amp;$D63,Dataset!$J:$J,"&gt;="&amp;$C63)+SUMIFS(Dataset!$AK:$AK,Dataset!$F:$F,credito!$D$11,Dataset!$AC:$AC,"BBB-",Dataset!$J:$J,"&lt;"&amp;$D63,Dataset!$J:$J,"&gt;="&amp;$C63)+SUMIFS(Dataset!$AK:$AK,Dataset!$F:$F,credito!$D$11,Dataset!$AC:$AC,"BBB+",Dataset!$J:$J,"&lt;"&amp;$D63,Dataset!$J:$J,"&gt;="&amp;$C63)</f>
        <v>0</v>
      </c>
      <c r="W63" s="83">
        <f>SUMIFS(Dataset!$AK:$AK,Dataset!$F:$F,credito!$D$11,Dataset!$J:$J,"&lt;"&amp;$D63,Dataset!$J:$J,"&gt;="&amp;$C63,Dataset!$AC:$AC,"&lt;&gt;N-1+",Dataset!$AC:$AC,"&lt;&gt;*AA*",Dataset!$AC:$AC,"&lt;&gt;*AAA*",Dataset!$AC:$AC,"&lt;&gt;A",Dataset!$AC:$AC,"&lt;&gt;A-",Dataset!$AC:$AC,"&lt;&gt;A+",Dataset!$AC:$AC,"&lt;&gt;*BBB*")</f>
        <v>0</v>
      </c>
      <c r="X63" s="84">
        <f t="shared" si="3"/>
        <v>0</v>
      </c>
      <c r="Y63" s="85">
        <f>10*SUMIFS(Dataset!$H:$H,Dataset!$F:$F,credito!$D$11,Dataset!AH:AH,"deposito",Dataset!T:T,"$",Dataset!$J:$J,"&lt;"&amp;$D63,Dataset!J:J,"&gt;="&amp;$C63)</f>
        <v>0</v>
      </c>
      <c r="Z63" s="86">
        <f>10*SUMIFS(Dataset!$H:$H,Dataset!$F:$F,credito!$D$11,Dataset!AH:AH,"deposito",Dataset!T:T,"UF",Dataset!$J:$J,"&lt;"&amp;$D63,Dataset!J:J,"&gt;="&amp;$C63)</f>
        <v>0</v>
      </c>
      <c r="AA63" s="86">
        <f>10*SUMIFS(Dataset!$H:$H,Dataset!$F:$F,credito!$D$11,Dataset!AH:AH,"bono de gobierno",Dataset!T:T,"$",Dataset!$J:$J,"&lt;"&amp;$D63,Dataset!J:J,"&gt;="&amp;$C63)</f>
        <v>0</v>
      </c>
      <c r="AB63" s="86">
        <f>10*SUMIFS(Dataset!$H:$H,Dataset!$F:$F,credito!$D$11,Dataset!AH:AH,"bono de gobierno",Dataset!T:T,"uf",Dataset!$J:$J,"&lt;"&amp;$D63,Dataset!J:J,"&gt;="&amp;$C63)</f>
        <v>0</v>
      </c>
      <c r="AC63" s="86">
        <f>10*SUMIFS(Dataset!$H:$H,Dataset!$F:$F,credito!$D$11,Dataset!AH:AH,"bono de gobierno",Dataset!T:T,"eu",Dataset!$J:$J,"&lt;"&amp;$D63,Dataset!J:J,"&gt;="&amp;$C63)</f>
        <v>0</v>
      </c>
      <c r="AD63" s="86">
        <f>10*SUMIFS(Dataset!$H:$H,Dataset!$F:$F,credito!$D$11,Dataset!AH:AH,"bono de gobierno",Dataset!T:T,"mx",Dataset!$J:$J,"&lt;"&amp;$D63,Dataset!J:J,"&gt;="&amp;$C63)</f>
        <v>0</v>
      </c>
      <c r="AE63" s="86">
        <f>10*SUMIFS(Dataset!$H:$H,Dataset!$F:$F,credito!$D$11,Dataset!AH:AH,"bono corporativo",Dataset!T:T,"$",Dataset!$J:$J,"&lt;"&amp;$D63,Dataset!J:J,"&gt;="&amp;$C63)</f>
        <v>0</v>
      </c>
      <c r="AF63" s="86">
        <f>10*SUMIFS(Dataset!$H:$H,Dataset!$F:$F,credito!$D$11,Dataset!AH:AH,"bono corporativo",Dataset!T:T,"uf",Dataset!$J:$J,"&lt;"&amp;$D63,Dataset!J:J,"&gt;="&amp;$C63)</f>
        <v>0</v>
      </c>
      <c r="AG63" s="86">
        <f>10*SUMIFS(Dataset!$H:$H,Dataset!$F:$F,credito!$D$11,Dataset!AH:AH,"bono corporativo",Dataset!T:T,"us$",Dataset!$J:$J,"&lt;"&amp;$D63,Dataset!J:J,"&gt;="&amp;$C63)</f>
        <v>0</v>
      </c>
      <c r="AH63" s="86">
        <f>10*SUMIFS(Dataset!H:H,Dataset!F:F,credito!$D$11,Dataset!J:J,"&lt;"&amp;$D86,Dataset!J:J,"&gt;="&amp;$C86,Dataset!AH:AH,"&lt;&gt;bono corporativo",Dataset!AH:AH,"&lt;&gt;bono de gobierno",Dataset!AH:AH,"&lt;&gt;deposito")</f>
        <v>0</v>
      </c>
      <c r="AI63" s="87">
        <f t="shared" si="4"/>
        <v>0</v>
      </c>
    </row>
    <row r="64" spans="3:35" ht="33" customHeight="1" x14ac:dyDescent="0.3">
      <c r="C64" s="61">
        <v>14.5</v>
      </c>
      <c r="D64" s="81">
        <v>100</v>
      </c>
      <c r="E64" s="88">
        <f>SUMIFS(Dataset!AK:AK,Dataset!F:F,credito!$D$11,Dataset!AH:AH,"deposito",Dataset!T:T,"$",Dataset!J:J,"&lt;"&amp;$D64,Dataset!J:J,"&gt;="&amp;$C64)</f>
        <v>0</v>
      </c>
      <c r="F64" s="89">
        <f>SUMIFS(Dataset!AK:AK,Dataset!F:F,credito!$D$11,Dataset!AH:AH,"deposito",Dataset!T:T,"UF",Dataset!J:J,"&lt;"&amp;$D64,Dataset!J:J,"&gt;="&amp;$C64)</f>
        <v>0</v>
      </c>
      <c r="G64" s="89">
        <f>SUMIFS(Dataset!AK:AK,Dataset!F:F,credito!$D$11,Dataset!AH:AH,"bono de gobierno",Dataset!T:T,"$",Dataset!J:J,"&lt;"&amp;$D64,Dataset!J:J,"&gt;="&amp;$C64)</f>
        <v>0</v>
      </c>
      <c r="H64" s="89">
        <f>SUMIFS(Dataset!AK:AK,Dataset!F:F,credito!$D$11,Dataset!AH:AH,"bono de gobierno",Dataset!T:T,"UF",Dataset!J:J,"&lt;"&amp;$D64,Dataset!J:J,"&gt;="&amp;$C64)</f>
        <v>0</v>
      </c>
      <c r="I64" s="89">
        <f>SUMIFS(Dataset!AK:AK,Dataset!F:F,credito!$D$11,Dataset!AH:AH,"bono de gobierno",Dataset!T:T,"eu",Dataset!J:J,"&lt;"&amp;$D64,Dataset!J:J,"&gt;="&amp;$C64)</f>
        <v>0</v>
      </c>
      <c r="J64" s="89">
        <f>SUMIFS(Dataset!AK:AK,Dataset!F:F,credito!$D$11,Dataset!AH:AH,"bono de gobierno",Dataset!T:T,"mx",Dataset!J:J,"&lt;"&amp;$D64,Dataset!J:J,"&gt;="&amp;$C64)</f>
        <v>0</v>
      </c>
      <c r="K64" s="89">
        <f>SUMIFS(Dataset!AK:AK,Dataset!F:F,credito!$D$11,Dataset!AH:AH,"bono corporativo",Dataset!T:T,"$",Dataset!J:J,"&lt;"&amp;$D64,Dataset!J:J,"&gt;="&amp;$C64)</f>
        <v>0</v>
      </c>
      <c r="L64" s="89">
        <f>SUMIFS(Dataset!AK:AK,Dataset!F:F,credito!$D$11,Dataset!AH:AH,"bono corporativo",Dataset!T:T,"UF",Dataset!J:J,"&lt;"&amp;$D64,Dataset!J:J,"&gt;="&amp;$C64)</f>
        <v>0</v>
      </c>
      <c r="M64" s="89">
        <f>SUMIFS(Dataset!AK:AK,Dataset!F:F,credito!$D$11,Dataset!AH:AH,"bono corporativo",Dataset!T:T,"US$",Dataset!J:J,"&lt;"&amp;$D64,Dataset!J:J,"&gt;="&amp;$C64)</f>
        <v>0</v>
      </c>
      <c r="N64" s="89">
        <f>SUMIFS(Dataset!AK:AK,Dataset!F:F,credito!$D$11,Dataset!J:J,"&lt;"&amp;$D64,Dataset!J:J,"&gt;="&amp;$C64,Dataset!AH:AH,"&lt;&gt;bono corporativo",Dataset!AH:AH,"&lt;&gt;bono de gobierno",Dataset!AH:AH,"&lt;&gt;deposito")</f>
        <v>0</v>
      </c>
      <c r="O64" s="90">
        <f t="shared" si="2"/>
        <v>0</v>
      </c>
      <c r="P64" s="88">
        <f>SUMIFS(Dataset!$AK:$AK,Dataset!$F:$F,credito!$D$11,Dataset!$AC:$AC,P$48,Dataset!$J:$J,"&lt;"&amp;$D64,Dataset!J:J,"&gt;="&amp;$C64)</f>
        <v>0</v>
      </c>
      <c r="Q64" s="89">
        <f>SUMIFS(Dataset!$AK:$AK,Dataset!$F:$F,credito!$D$11,Dataset!$AC:$AC,Q$48,Dataset!$J:$J,"&lt;"&amp;$D64,Dataset!J:J,"&gt;="&amp;$C64)</f>
        <v>0</v>
      </c>
      <c r="R64" s="89">
        <f>SUMIFS(Dataset!$AK:$AK,Dataset!$F:$F,credito!$D$11,Dataset!$AC:$AC,R$48,Dataset!$J:$J,"&lt;"&amp;$D64,Dataset!J:J,"&gt;="&amp;$C64)</f>
        <v>0</v>
      </c>
      <c r="S64" s="89">
        <f>SUMIFS(Dataset!$AK:$AK,Dataset!$F:$F,credito!$D$11,Dataset!$AC:$AC,S$48,Dataset!$J:$J,"&lt;"&amp;$D64,Dataset!J:J,"&gt;="&amp;$C64)</f>
        <v>0</v>
      </c>
      <c r="T64" s="89">
        <f>SUMIFS(Dataset!$AK:$AK,Dataset!$F:$F,credito!$D$11,Dataset!$AC:$AC,T$48,Dataset!$J:$J,"&lt;"&amp;$D64,Dataset!J:J,"&gt;="&amp;$C64)</f>
        <v>0</v>
      </c>
      <c r="U64" s="89">
        <f>SUMIFS(Dataset!$AK:$AK,Dataset!$F:$F,credito!$D$11,Dataset!$AC:$AC,"A",Dataset!$J:$J,"&lt;"&amp;$D64,Dataset!$J:$J,"&gt;="&amp;$C64)+SUMIFS(Dataset!$AK:$AK,Dataset!$F:$F,credito!$D$11,Dataset!$AC:$AC,"A-",Dataset!$J:$J,"&lt;"&amp;$D64,Dataset!$J:$J,"&gt;="&amp;$C64)+SUMIFS(Dataset!$AK:$AK,Dataset!$F:$F,credito!$D$11,Dataset!$AC:$AC,"A+",Dataset!$J:$J,"&lt;"&amp;$D64,Dataset!$J:$J,"&gt;="&amp;$C64)</f>
        <v>0</v>
      </c>
      <c r="V64" s="89">
        <f>SUMIFS(Dataset!$AK:$AK,Dataset!$F:$F,credito!$D$11,Dataset!$AC:$AC,"BBB",Dataset!$J:$J,"&lt;"&amp;$D64,Dataset!$J:$J,"&gt;="&amp;$C64)+SUMIFS(Dataset!$AK:$AK,Dataset!$F:$F,credito!$D$11,Dataset!$AC:$AC,"BBB-",Dataset!$J:$J,"&lt;"&amp;$D64,Dataset!$J:$J,"&gt;="&amp;$C64)+SUMIFS(Dataset!$AK:$AK,Dataset!$F:$F,credito!$D$11,Dataset!$AC:$AC,"BBB+",Dataset!$J:$J,"&lt;"&amp;$D64,Dataset!$J:$J,"&gt;="&amp;$C64)</f>
        <v>0</v>
      </c>
      <c r="W64" s="89">
        <f>SUMIFS(Dataset!$AK:$AK,Dataset!$F:$F,credito!$D$11,Dataset!$J:$J,"&lt;"&amp;$D64,Dataset!$J:$J,"&gt;="&amp;$C64,Dataset!$AC:$AC,"&lt;&gt;N-1+",Dataset!$AC:$AC,"&lt;&gt;*AA*",Dataset!$AC:$AC,"&lt;&gt;*AAA*",Dataset!$AC:$AC,"&lt;&gt;A",Dataset!$AC:$AC,"&lt;&gt;A-",Dataset!$AC:$AC,"&lt;&gt;A+",Dataset!$AC:$AC,"&lt;&gt;*BBB*")</f>
        <v>0</v>
      </c>
      <c r="X64" s="90">
        <f t="shared" si="3"/>
        <v>0</v>
      </c>
      <c r="Y64" s="91">
        <f>10*SUMIFS(Dataset!$H:$H,Dataset!$F:$F,credito!$D$11,Dataset!AH:AH,"deposito",Dataset!T:T,"$",Dataset!$J:$J,"&lt;"&amp;$D64,Dataset!J:J,"&gt;="&amp;$C64)</f>
        <v>0</v>
      </c>
      <c r="Z64" s="92">
        <f>10*SUMIFS(Dataset!$H:$H,Dataset!$F:$F,credito!$D$11,Dataset!AH:AH,"deposito",Dataset!T:T,"UF",Dataset!$J:$J,"&lt;"&amp;$D64,Dataset!J:J,"&gt;="&amp;$C64)</f>
        <v>0</v>
      </c>
      <c r="AA64" s="92">
        <f>10*SUMIFS(Dataset!$H:$H,Dataset!$F:$F,credito!$D$11,Dataset!AH:AH,"bono de gobierno",Dataset!T:T,"$",Dataset!$J:$J,"&lt;"&amp;$D64,Dataset!J:J,"&gt;="&amp;$C64)</f>
        <v>0</v>
      </c>
      <c r="AB64" s="92">
        <f>10*SUMIFS(Dataset!$H:$H,Dataset!$F:$F,credito!$D$11,Dataset!AH:AH,"bono de gobierno",Dataset!T:T,"uf",Dataset!$J:$J,"&lt;"&amp;$D64,Dataset!J:J,"&gt;="&amp;$C64)</f>
        <v>0</v>
      </c>
      <c r="AC64" s="92">
        <f>10*SUMIFS(Dataset!$H:$H,Dataset!$F:$F,credito!$D$11,Dataset!AH:AH,"bono de gobierno",Dataset!T:T,"eu",Dataset!$J:$J,"&lt;"&amp;$D64,Dataset!J:J,"&gt;="&amp;$C64)</f>
        <v>0</v>
      </c>
      <c r="AD64" s="92">
        <f>10*SUMIFS(Dataset!$H:$H,Dataset!$F:$F,credito!$D$11,Dataset!AH:AH,"bono de gobierno",Dataset!T:T,"mx",Dataset!$J:$J,"&lt;"&amp;$D64,Dataset!J:J,"&gt;="&amp;$C64)</f>
        <v>0</v>
      </c>
      <c r="AE64" s="92">
        <f>10*SUMIFS(Dataset!$H:$H,Dataset!$F:$F,credito!$D$11,Dataset!AH:AH,"bono corporativo",Dataset!T:T,"$",Dataset!$J:$J,"&lt;"&amp;$D64,Dataset!J:J,"&gt;="&amp;$C64)</f>
        <v>0</v>
      </c>
      <c r="AF64" s="92">
        <f>10*SUMIFS(Dataset!$H:$H,Dataset!$F:$F,credito!$D$11,Dataset!AH:AH,"bono corporativo",Dataset!T:T,"uf",Dataset!$J:$J,"&lt;"&amp;$D64,Dataset!J:J,"&gt;="&amp;$C64)</f>
        <v>0</v>
      </c>
      <c r="AG64" s="92">
        <f>10*SUMIFS(Dataset!$H:$H,Dataset!$F:$F,credito!$D$11,Dataset!AH:AH,"bono corporativo",Dataset!T:T,"us$",Dataset!$J:$J,"&lt;"&amp;$D64,Dataset!J:J,"&gt;="&amp;$C64)</f>
        <v>0</v>
      </c>
      <c r="AH64" s="92">
        <f>10*SUMIFS(Dataset!H:H,Dataset!F:F,credito!$D$11,Dataset!J:J,"&lt;"&amp;$D87,Dataset!J:J,"&gt;="&amp;$C87,Dataset!AH:AH,"&lt;&gt;bono corporativo",Dataset!AH:AH,"&lt;&gt;bono de gobierno",Dataset!AH:AH,"&lt;&gt;deposito")</f>
        <v>0</v>
      </c>
      <c r="AI64" s="93">
        <f t="shared" si="4"/>
        <v>0</v>
      </c>
    </row>
    <row r="65" spans="3:35" ht="33" customHeight="1" x14ac:dyDescent="0.3">
      <c r="C65" s="175"/>
      <c r="D65" s="176"/>
      <c r="E65" s="83">
        <f t="shared" ref="E65:N65" si="5">SUM(E49:E64)</f>
        <v>0</v>
      </c>
      <c r="F65" s="83">
        <f t="shared" si="5"/>
        <v>0</v>
      </c>
      <c r="G65" s="83">
        <f t="shared" si="5"/>
        <v>0</v>
      </c>
      <c r="H65" s="83">
        <f t="shared" si="5"/>
        <v>0</v>
      </c>
      <c r="I65" s="83">
        <f t="shared" si="5"/>
        <v>0</v>
      </c>
      <c r="J65" s="83">
        <f t="shared" si="5"/>
        <v>0</v>
      </c>
      <c r="K65" s="83">
        <f t="shared" si="5"/>
        <v>0</v>
      </c>
      <c r="L65" s="83">
        <f t="shared" si="5"/>
        <v>0</v>
      </c>
      <c r="M65" s="83">
        <f t="shared" si="5"/>
        <v>0</v>
      </c>
      <c r="N65" s="83">
        <f t="shared" si="5"/>
        <v>0</v>
      </c>
      <c r="O65" s="84">
        <f t="shared" si="2"/>
        <v>0</v>
      </c>
      <c r="P65" s="83">
        <f t="shared" ref="P65:W65" si="6">SUM(P49:P64)</f>
        <v>0</v>
      </c>
      <c r="Q65" s="83">
        <f t="shared" si="6"/>
        <v>0</v>
      </c>
      <c r="R65" s="83">
        <f t="shared" si="6"/>
        <v>0</v>
      </c>
      <c r="S65" s="83">
        <f t="shared" si="6"/>
        <v>0</v>
      </c>
      <c r="T65" s="83">
        <f t="shared" si="6"/>
        <v>0</v>
      </c>
      <c r="U65" s="83">
        <f t="shared" si="6"/>
        <v>0</v>
      </c>
      <c r="V65" s="83">
        <f t="shared" si="6"/>
        <v>0</v>
      </c>
      <c r="W65" s="83">
        <f t="shared" si="6"/>
        <v>0</v>
      </c>
      <c r="X65" s="84">
        <f t="shared" si="3"/>
        <v>0</v>
      </c>
      <c r="Y65" s="86">
        <f>SUM(Y49:Y64)</f>
        <v>0</v>
      </c>
      <c r="Z65" s="86">
        <f t="shared" ref="Z65:AH65" si="7">SUM(Z49:Z64)</f>
        <v>0</v>
      </c>
      <c r="AA65" s="86">
        <f t="shared" si="7"/>
        <v>0</v>
      </c>
      <c r="AB65" s="86"/>
      <c r="AC65" s="86"/>
      <c r="AD65" s="86">
        <f t="shared" si="7"/>
        <v>0</v>
      </c>
      <c r="AE65" s="86">
        <f t="shared" si="7"/>
        <v>0</v>
      </c>
      <c r="AF65" s="86">
        <f t="shared" si="7"/>
        <v>0</v>
      </c>
      <c r="AG65" s="86">
        <f t="shared" si="7"/>
        <v>0</v>
      </c>
      <c r="AH65" s="86">
        <f t="shared" si="7"/>
        <v>0</v>
      </c>
      <c r="AI65" s="87">
        <f t="shared" si="4"/>
        <v>0</v>
      </c>
    </row>
    <row r="66" spans="3:35" ht="15" customHeight="1" x14ac:dyDescent="0.3"/>
    <row r="67" spans="3:35" ht="48" customHeight="1" x14ac:dyDescent="0.3">
      <c r="AB67" s="174" t="s">
        <v>274</v>
      </c>
      <c r="AC67" s="174"/>
      <c r="AD67" s="174"/>
      <c r="AE67" s="174"/>
      <c r="AF67" s="174"/>
      <c r="AG67" s="174"/>
      <c r="AH67" s="174"/>
      <c r="AI67" s="174"/>
    </row>
    <row r="68" spans="3:35" ht="15" customHeight="1" x14ac:dyDescent="0.3">
      <c r="AB68" s="69"/>
    </row>
    <row r="69" spans="3:35" ht="42" customHeight="1" x14ac:dyDescent="0.3">
      <c r="E69" s="174" t="s">
        <v>275</v>
      </c>
      <c r="F69" s="174"/>
      <c r="G69" s="174"/>
      <c r="H69" s="174"/>
      <c r="I69" s="174"/>
      <c r="J69" s="174"/>
      <c r="K69" s="174"/>
      <c r="L69" s="174"/>
      <c r="M69" s="174"/>
      <c r="N69" s="174"/>
      <c r="O69" s="50"/>
      <c r="P69" s="174" t="s">
        <v>273</v>
      </c>
      <c r="Q69" s="174"/>
      <c r="R69" s="174"/>
      <c r="S69" s="174"/>
      <c r="T69" s="174"/>
      <c r="U69" s="174"/>
      <c r="V69" s="174"/>
      <c r="W69" s="174"/>
      <c r="X69" s="174"/>
      <c r="Y69" s="174"/>
    </row>
    <row r="70" spans="3:35" ht="27" customHeight="1" x14ac:dyDescent="0.3">
      <c r="E70" s="69"/>
      <c r="F70" s="69"/>
      <c r="G70" s="69"/>
      <c r="H70" s="69"/>
      <c r="I70" s="69"/>
      <c r="J70" s="69"/>
      <c r="K70" s="69"/>
      <c r="L70" s="69"/>
      <c r="M70" s="69"/>
      <c r="O70" s="69"/>
      <c r="P70" s="69"/>
      <c r="Q70" s="69"/>
      <c r="R70" s="69"/>
      <c r="S70" s="69"/>
      <c r="T70" s="69"/>
      <c r="U70" s="69"/>
      <c r="V70" s="69"/>
      <c r="AB70" s="180" t="s">
        <v>72</v>
      </c>
      <c r="AC70" s="181"/>
      <c r="AD70" s="94" t="s">
        <v>76</v>
      </c>
      <c r="AE70" s="94" t="s">
        <v>77</v>
      </c>
      <c r="AF70" s="94" t="s">
        <v>90</v>
      </c>
      <c r="AG70" s="94" t="s">
        <v>113</v>
      </c>
      <c r="AH70" s="94" t="s">
        <v>114</v>
      </c>
      <c r="AI70" s="94"/>
    </row>
    <row r="71" spans="3:35" ht="27" customHeight="1" x14ac:dyDescent="0.3">
      <c r="C71" s="180" t="s">
        <v>72</v>
      </c>
      <c r="D71" s="180"/>
      <c r="E71" s="94" t="s">
        <v>76</v>
      </c>
      <c r="F71" s="94" t="s">
        <v>77</v>
      </c>
      <c r="G71" s="94" t="s">
        <v>78</v>
      </c>
      <c r="H71" s="94" t="s">
        <v>79</v>
      </c>
      <c r="I71" s="94" t="s">
        <v>94</v>
      </c>
      <c r="J71" s="94" t="s">
        <v>167</v>
      </c>
      <c r="K71" s="94" t="s">
        <v>80</v>
      </c>
      <c r="L71" s="94" t="s">
        <v>81</v>
      </c>
      <c r="M71" s="94" t="s">
        <v>82</v>
      </c>
      <c r="N71" s="94" t="s">
        <v>83</v>
      </c>
      <c r="O71" s="94"/>
      <c r="P71" s="94" t="s">
        <v>76</v>
      </c>
      <c r="Q71" s="94" t="s">
        <v>77</v>
      </c>
      <c r="R71" s="94" t="s">
        <v>78</v>
      </c>
      <c r="S71" s="94" t="s">
        <v>79</v>
      </c>
      <c r="T71" s="94" t="s">
        <v>94</v>
      </c>
      <c r="U71" s="94" t="s">
        <v>167</v>
      </c>
      <c r="V71" s="94" t="s">
        <v>80</v>
      </c>
      <c r="W71" s="94" t="s">
        <v>81</v>
      </c>
      <c r="X71" s="94" t="s">
        <v>82</v>
      </c>
      <c r="Y71" s="94" t="s">
        <v>83</v>
      </c>
      <c r="Z71" s="94"/>
      <c r="AB71" s="72">
        <v>0</v>
      </c>
      <c r="AC71" s="97">
        <v>15</v>
      </c>
      <c r="AD71" s="98">
        <f>SUMIFS(Dataset!AJ:AJ,Dataset!F:F,credito!$D$11,Dataset!AH:AH,"deposito",Dataset!T:T,"$",Dataset!J:J,"&lt;"&amp;$AC71/365,Dataset!J:J,"&gt;="&amp;$AB71/365)</f>
        <v>0</v>
      </c>
      <c r="AE71" s="98">
        <f>SUMIFS(Dataset!AJ:AJ,Dataset!F:F,credito!$D$11,Dataset!AH:AH,"deposito",Dataset!T:T,"uf",Dataset!J:J,"&lt;"&amp;$AC71/365,Dataset!J:J,"&gt;="&amp;$AB71/365)</f>
        <v>0</v>
      </c>
      <c r="AF71" s="98">
        <f>SUMIFS(Dataset!AJ:AJ,Dataset!F:F,credito!$D$11,Dataset!AH:AH,"deposito",Dataset!T:T,"us$",Dataset!J:J,"&lt;"&amp;$AC71/365,Dataset!J:J,"&gt;="&amp;$AB71/365)</f>
        <v>0</v>
      </c>
      <c r="AG71" s="98">
        <f>SUMIFS(Dataset!AJ:AJ,Dataset!F:F,credito!$D$11,Dataset!AH:AH,"factura",Dataset!J:J,"&lt;"&amp;$AC71/365,Dataset!J:J,"&gt;="&amp;$AB71/365)</f>
        <v>0</v>
      </c>
      <c r="AH71" s="99">
        <f>SUMIFS(Dataset!AJ:AJ,Dataset!F:F,credito!$D$11,Dataset!AH:AH,"letra hipotecaria",Dataset!J:J,"&lt;"&amp;$AC71/365,Dataset!J:J,"&gt;="&amp;$AB71/365)</f>
        <v>0</v>
      </c>
      <c r="AI71" s="84">
        <f>SUM(AD71:AH71)</f>
        <v>0</v>
      </c>
    </row>
    <row r="72" spans="3:35" ht="39" customHeight="1" x14ac:dyDescent="0.3">
      <c r="C72" s="72">
        <v>0</v>
      </c>
      <c r="D72" s="73">
        <v>0.5</v>
      </c>
      <c r="E72" s="74">
        <f>SUMIFS(Dataset!AJ:AJ,Dataset!F:F,credito!$D$11,Dataset!AH:AH,"deposito",Dataset!T:T,"$",Dataset!J:J,"&lt;"&amp;$D72,Dataset!J:J,"&gt;="&amp;$C72)</f>
        <v>0</v>
      </c>
      <c r="F72" s="75">
        <f>SUMIFS(Dataset!AJ:AJ,Dataset!F:F,credito!$D$11,Dataset!AH:AH,"deposito",Dataset!T:T,"UF",Dataset!J:J,"&lt;"&amp;$D72,Dataset!J:J,"&gt;="&amp;$C72)</f>
        <v>0</v>
      </c>
      <c r="G72" s="75">
        <f>SUMIFS(Dataset!AJ:AJ,Dataset!F:F,credito!$D$11,Dataset!AH:AH,"bono de gobierno",Dataset!T:T,"$",Dataset!J:J,"&lt;"&amp;$D72,Dataset!J:J,"&gt;="&amp;$C72)</f>
        <v>0</v>
      </c>
      <c r="H72" s="75">
        <f>SUMIFS(Dataset!AJ:AJ,Dataset!F:F,credito!$D$11,Dataset!AH:AH,"bono de gobierno",Dataset!T:T,"UF",Dataset!J:J,"&lt;"&amp;$D72,Dataset!J:J,"&gt;="&amp;$C72)</f>
        <v>0</v>
      </c>
      <c r="I72" s="75">
        <f>SUMIFS(Dataset!AJ:AJ,Dataset!F:F,credito!$D$11,Dataset!AH:AH,"bono de gobierno",Dataset!T:T,"eu",Dataset!J:J,"&lt;"&amp;$D72,Dataset!J:J,"&gt;="&amp;$C72)</f>
        <v>0</v>
      </c>
      <c r="J72" s="75">
        <f>SUMIFS(Dataset!AJ:AJ,Dataset!F:F,credito!$D$11,Dataset!AH:AH,"bono de gobierno",Dataset!T:T,"mx",Dataset!J:J,"&lt;"&amp;$D72,Dataset!J:J,"&gt;="&amp;$C72)</f>
        <v>0</v>
      </c>
      <c r="K72" s="75">
        <f>SUMIFS(Dataset!AJ:AJ,Dataset!F:F,credito!$D$11,Dataset!AH:AH,"bono corporativo",Dataset!T:T,"$",Dataset!J:J,"&lt;"&amp;$D72,Dataset!J:J,"&gt;="&amp;$C72)</f>
        <v>0</v>
      </c>
      <c r="L72" s="75">
        <f>SUMIFS(Dataset!AJ:AJ,Dataset!F:F,credito!$D$11,Dataset!AH:AH,"bono corporativo",Dataset!T:T,"UF",Dataset!J:J,"&lt;"&amp;$D72,Dataset!J:J,"&gt;="&amp;$C72)</f>
        <v>0</v>
      </c>
      <c r="M72" s="75">
        <f>SUMIFS(Dataset!AJ:AJ,Dataset!F:F,credito!$D$11,Dataset!AH:AH,"bono corporativo",Dataset!T:T,"US$",Dataset!J:J,"&lt;"&amp;$D72,Dataset!J:J,"&gt;="&amp;$C72)</f>
        <v>0</v>
      </c>
      <c r="N72" s="75">
        <f>SUMIFS(Dataset!AJ:AJ,Dataset!F:F,credito!$D$11,Dataset!J:J,"&lt;"&amp;$D72,Dataset!J:J,"&gt;="&amp;$C72,Dataset!AH:AH,"&lt;&gt;bono corporativo",Dataset!AH:AH,"&lt;&gt;bono de gobierno",Dataset!AH:AH,"&lt;&gt;deposito")</f>
        <v>0</v>
      </c>
      <c r="O72" s="84">
        <f t="shared" ref="O72:O88" si="8">SUM(E72:N72)</f>
        <v>0</v>
      </c>
      <c r="P72" s="74">
        <f>SUMIFS(Dataset!AA:AA,Dataset!F:F,credito!$D$11,Dataset!AH:AH,"deposito",Dataset!T:T,"$",Dataset!J:J,"&lt;"&amp;$D72,Dataset!J:J,"&gt;="&amp;$C72)</f>
        <v>0</v>
      </c>
      <c r="Q72" s="75">
        <f>SUMIFS(Dataset!AA:AA,Dataset!F:F,credito!$D$11,Dataset!AH:AH,"deposito",Dataset!T:T,"UF",Dataset!J:J,"&lt;"&amp;$D72,Dataset!J:J,"&gt;="&amp;$C72)</f>
        <v>0</v>
      </c>
      <c r="R72" s="75">
        <f>SUMIFS(Dataset!AA:AA,Dataset!F:F,credito!$D$11,Dataset!AH:AH,"bono de gobierno",Dataset!T:T,"$",Dataset!J:J,"&lt;"&amp;$D72,Dataset!J:J,"&gt;="&amp;$C72)</f>
        <v>0</v>
      </c>
      <c r="S72" s="75">
        <f>SUMIFS(Dataset!AA:AA,Dataset!F:F,credito!$D$11,Dataset!AH:AH,"bono de gobierno",Dataset!T:T,"UF",Dataset!J:J,"&lt;"&amp;$D72,Dataset!J:J,"&gt;="&amp;$C72)</f>
        <v>0</v>
      </c>
      <c r="T72" s="75">
        <f>SUMIFS(Dataset!AA:AA,Dataset!F:F,credito!$D$11,Dataset!AH:AH,"bono de gobierno",Dataset!T:T,"EU",Dataset!J:J,"&lt;"&amp;$D72,Dataset!J:J,"&gt;="&amp;$C72)</f>
        <v>0</v>
      </c>
      <c r="U72" s="75">
        <f>SUMIFS(Dataset!AA:AA,Dataset!F:F,credito!$D$11,Dataset!AH:AH,"bono de gobierno",Dataset!T:T,"MX",Dataset!J:J,"&lt;"&amp;$D72,Dataset!J:J,"&gt;="&amp;$C72)</f>
        <v>0</v>
      </c>
      <c r="V72" s="75">
        <f>SUMIFS(Dataset!AA:AA,Dataset!F:F,credito!$D$11,Dataset!AH:AH,"bono corporativo",Dataset!T:T,"$",Dataset!J:J,"&lt;"&amp;$D72,Dataset!J:J,"&gt;="&amp;$C72)</f>
        <v>0</v>
      </c>
      <c r="W72" s="75">
        <f>SUMIFS(Dataset!AA:AA,Dataset!F:F,credito!$D$11,Dataset!AH:AH,"bono corporativo",Dataset!T:T,"UF",Dataset!J:J,"&lt;"&amp;$D72,Dataset!J:J,"&gt;="&amp;$C72)</f>
        <v>0</v>
      </c>
      <c r="X72" s="75">
        <f>SUMIFS(Dataset!AA:AA,Dataset!F:F,credito!$D$11,Dataset!AH:AH,"bono corporativo",Dataset!T:T,"US$",Dataset!J:J,"&lt;"&amp;$D72,Dataset!J:J,"&gt;="&amp;$C72)</f>
        <v>0</v>
      </c>
      <c r="Y72" s="75">
        <f>SUMIFS(Dataset!AA:AA,Dataset!F:F,credito!$D$11,Dataset!J:J,"&lt;"&amp;$D72,Dataset!J:J,"&gt;="&amp;$C72,Dataset!AH:AH,"&lt;&gt;bono corporativo",Dataset!AH:AH,"&lt;&gt;bono de gobierno",Dataset!AH:AH,"&lt;&gt;deposito")</f>
        <v>0</v>
      </c>
      <c r="Z72" s="84">
        <f t="shared" ref="Z72:Z88" si="9">SUM(P72:Y72)</f>
        <v>0</v>
      </c>
      <c r="AB72" s="61">
        <v>15</v>
      </c>
      <c r="AC72" s="100">
        <v>30</v>
      </c>
      <c r="AD72" s="101">
        <f>SUMIFS(Dataset!AJ:AJ,Dataset!F:F,credito!$D$11,Dataset!AH:AH,"deposito",Dataset!T:T,"$",Dataset!J:J,"&lt;"&amp;$AC72/365,Dataset!J:J,"&gt;="&amp;$AB72/365)</f>
        <v>0</v>
      </c>
      <c r="AE72" s="101">
        <f>SUMIFS(Dataset!AJ:AJ,Dataset!F:F,credito!$D$11,Dataset!AH:AH,"deposito",Dataset!T:T,"uf",Dataset!J:J,"&lt;"&amp;$AC72/365,Dataset!J:J,"&gt;="&amp;$AB72/365)</f>
        <v>0</v>
      </c>
      <c r="AF72" s="101">
        <f>SUMIFS(Dataset!AJ:AJ,Dataset!F:F,credito!$D$11,Dataset!AH:AH,"deposito",Dataset!T:T,"us$",Dataset!J:J,"&lt;"&amp;$AC72/365,Dataset!J:J,"&gt;="&amp;$AB72/365)</f>
        <v>0</v>
      </c>
      <c r="AG72" s="101">
        <f>SUMIFS(Dataset!AJ:AJ,Dataset!F:F,credito!$D$11,Dataset!AH:AH,"factura",Dataset!J:J,"&lt;"&amp;$AC72/365,Dataset!J:J,"&gt;="&amp;$AB72/365)</f>
        <v>0</v>
      </c>
      <c r="AH72" s="102">
        <f>SUMIFS(Dataset!AJ:AJ,Dataset!F:F,credito!$D$11,Dataset!AH:AH,"letra hipotecaria",Dataset!J:J,"&lt;"&amp;$AC72/365,Dataset!J:J,"&gt;="&amp;$AB72/365)</f>
        <v>0</v>
      </c>
      <c r="AI72" s="84">
        <f t="shared" ref="AI72:AI90" si="10">SUM(AD72:AH72)</f>
        <v>0</v>
      </c>
    </row>
    <row r="73" spans="3:35" ht="35.25" customHeight="1" x14ac:dyDescent="0.3">
      <c r="C73" s="61">
        <v>0.5</v>
      </c>
      <c r="D73" s="81">
        <v>1.5</v>
      </c>
      <c r="E73" s="82">
        <f>SUMIFS(Dataset!AJ:AJ,Dataset!F:F,credito!$D$11,Dataset!AH:AH,"deposito",Dataset!T:T,"$",Dataset!J:J,"&lt;"&amp;$D73,Dataset!J:J,"&gt;="&amp;$C73)</f>
        <v>0</v>
      </c>
      <c r="F73" s="83">
        <f>SUMIFS(Dataset!AJ:AJ,Dataset!F:F,credito!$D$11,Dataset!AH:AH,"deposito",Dataset!T:T,"UF",Dataset!J:J,"&lt;"&amp;$D73,Dataset!J:J,"&gt;="&amp;$C73)</f>
        <v>0</v>
      </c>
      <c r="G73" s="83">
        <f>SUMIFS(Dataset!AJ:AJ,Dataset!F:F,credito!$D$11,Dataset!AH:AH,"bono de gobierno",Dataset!T:T,"$",Dataset!J:J,"&lt;"&amp;$D73,Dataset!J:J,"&gt;="&amp;$C73)</f>
        <v>0</v>
      </c>
      <c r="H73" s="83">
        <f>SUMIFS(Dataset!AJ:AJ,Dataset!F:F,credito!$D$11,Dataset!AH:AH,"bono de gobierno",Dataset!T:T,"UF",Dataset!J:J,"&lt;"&amp;$D73,Dataset!J:J,"&gt;="&amp;$C73)</f>
        <v>0</v>
      </c>
      <c r="I73" s="83">
        <f>SUMIFS(Dataset!AJ:AJ,Dataset!F:F,credito!$D$11,Dataset!AH:AH,"bono de gobierno",Dataset!T:T,"eu",Dataset!J:J,"&lt;"&amp;$D73,Dataset!J:J,"&gt;="&amp;$C73)</f>
        <v>0</v>
      </c>
      <c r="J73" s="83">
        <f>SUMIFS(Dataset!AJ:AJ,Dataset!F:F,credito!$D$11,Dataset!AH:AH,"bono de gobierno",Dataset!T:T,"mx",Dataset!J:J,"&lt;"&amp;$D73,Dataset!J:J,"&gt;="&amp;$C73)</f>
        <v>0</v>
      </c>
      <c r="K73" s="83">
        <f>SUMIFS(Dataset!AJ:AJ,Dataset!F:F,credito!$D$11,Dataset!AH:AH,"bono corporativo",Dataset!T:T,"$",Dataset!J:J,"&lt;"&amp;$D73,Dataset!J:J,"&gt;="&amp;$C73)</f>
        <v>0</v>
      </c>
      <c r="L73" s="83">
        <f>SUMIFS(Dataset!AJ:AJ,Dataset!F:F,credito!$D$11,Dataset!AH:AH,"bono corporativo",Dataset!T:T,"UF",Dataset!J:J,"&lt;"&amp;$D73,Dataset!J:J,"&gt;="&amp;$C73)</f>
        <v>0</v>
      </c>
      <c r="M73" s="83">
        <f>SUMIFS(Dataset!AJ:AJ,Dataset!F:F,credito!$D$11,Dataset!AH:AH,"bono corporativo",Dataset!T:T,"US$",Dataset!J:J,"&lt;"&amp;$D73,Dataset!J:J,"&gt;="&amp;$C73)</f>
        <v>0</v>
      </c>
      <c r="N73" s="83">
        <f>SUMIFS(Dataset!AJ:AJ,Dataset!F:F,credito!$D$11,Dataset!J:J,"&lt;"&amp;$D73,Dataset!J:J,"&gt;="&amp;$C73,Dataset!AH:AH,"&lt;&gt;bono corporativo",Dataset!AH:AH,"&lt;&gt;bono de gobierno",Dataset!AH:AH,"&lt;&gt;deposito")</f>
        <v>0</v>
      </c>
      <c r="O73" s="84">
        <f t="shared" si="8"/>
        <v>0</v>
      </c>
      <c r="P73" s="82">
        <f>SUMIFS(Dataset!AA:AA,Dataset!F:F,credito!$D$11,Dataset!AH:AH,"deposito",Dataset!T:T,"$",Dataset!J:J,"&lt;"&amp;$D73,Dataset!J:J,"&gt;="&amp;$C73)</f>
        <v>0</v>
      </c>
      <c r="Q73" s="83">
        <f>SUMIFS(Dataset!AA:AA,Dataset!F:F,credito!$D$11,Dataset!AH:AH,"deposito",Dataset!T:T,"UF",Dataset!J:J,"&lt;"&amp;$D73,Dataset!J:J,"&gt;="&amp;$C73)</f>
        <v>0</v>
      </c>
      <c r="R73" s="83">
        <f>SUMIFS(Dataset!AA:AA,Dataset!F:F,credito!$D$11,Dataset!AH:AH,"bono de gobierno",Dataset!T:T,"$",Dataset!J:J,"&lt;"&amp;$D73,Dataset!J:J,"&gt;="&amp;$C73)</f>
        <v>0</v>
      </c>
      <c r="S73" s="83">
        <f>SUMIFS(Dataset!AA:AA,Dataset!F:F,credito!$D$11,Dataset!AH:AH,"bono de gobierno",Dataset!T:T,"UF",Dataset!J:J,"&lt;"&amp;$D73,Dataset!J:J,"&gt;="&amp;$C73)</f>
        <v>0</v>
      </c>
      <c r="T73" s="83">
        <f>SUMIFS(Dataset!AA:AA,Dataset!F:F,credito!$D$11,Dataset!AH:AH,"bono de gobierno",Dataset!T:T,"EU",Dataset!J:J,"&lt;"&amp;$D73,Dataset!J:J,"&gt;="&amp;$C73)</f>
        <v>0</v>
      </c>
      <c r="U73" s="83">
        <f>SUMIFS(Dataset!AA:AA,Dataset!F:F,credito!$D$11,Dataset!AH:AH,"bono de gobierno",Dataset!T:T,"MX",Dataset!J:J,"&lt;"&amp;$D73,Dataset!J:J,"&gt;="&amp;$C73)</f>
        <v>0</v>
      </c>
      <c r="V73" s="83">
        <f>SUMIFS(Dataset!AA:AA,Dataset!F:F,credito!$D$11,Dataset!AH:AH,"bono corporativo",Dataset!T:T,"$",Dataset!J:J,"&lt;"&amp;$D73,Dataset!J:J,"&gt;="&amp;$C73)</f>
        <v>0</v>
      </c>
      <c r="W73" s="83">
        <f>SUMIFS(Dataset!AA:AA,Dataset!F:F,credito!$D$11,Dataset!AH:AH,"bono corporativo",Dataset!T:T,"UF",Dataset!J:J,"&lt;"&amp;$D73,Dataset!J:J,"&gt;="&amp;$C73)</f>
        <v>0</v>
      </c>
      <c r="X73" s="83">
        <f>SUMIFS(Dataset!AA:AA,Dataset!F:F,credito!$D$11,Dataset!AH:AH,"bono corporativo",Dataset!T:T,"US$",Dataset!J:J,"&lt;"&amp;$D73,Dataset!J:J,"&gt;="&amp;$C73)</f>
        <v>0</v>
      </c>
      <c r="Y73" s="83">
        <f>SUMIFS(Dataset!AA:AA,Dataset!F:F,credito!$D$11,Dataset!J:J,"&lt;"&amp;$D73,Dataset!J:J,"&gt;="&amp;$C73,Dataset!AH:AH,"&lt;&gt;bono corporativo",Dataset!AH:AH,"&lt;&gt;bono de gobierno",Dataset!AH:AH,"&lt;&gt;deposito")</f>
        <v>0</v>
      </c>
      <c r="Z73" s="84">
        <f t="shared" si="9"/>
        <v>0</v>
      </c>
      <c r="AB73" s="61">
        <v>30</v>
      </c>
      <c r="AC73" s="100">
        <v>45</v>
      </c>
      <c r="AD73" s="101">
        <f>SUMIFS(Dataset!AJ:AJ,Dataset!F:F,credito!$D$11,Dataset!AH:AH,"deposito",Dataset!T:T,"$",Dataset!J:J,"&lt;"&amp;$AC73/365,Dataset!J:J,"&gt;="&amp;$AB73/365)</f>
        <v>0</v>
      </c>
      <c r="AE73" s="101">
        <f>SUMIFS(Dataset!AJ:AJ,Dataset!F:F,credito!$D$11,Dataset!AH:AH,"deposito",Dataset!T:T,"uf",Dataset!J:J,"&lt;"&amp;$AC73/365,Dataset!J:J,"&gt;="&amp;$AB73/365)</f>
        <v>0</v>
      </c>
      <c r="AF73" s="101">
        <f>SUMIFS(Dataset!AJ:AJ,Dataset!F:F,credito!$D$11,Dataset!AH:AH,"deposito",Dataset!T:T,"us$",Dataset!J:J,"&lt;"&amp;$AC73/365,Dataset!J:J,"&gt;="&amp;$AB73/365)</f>
        <v>0</v>
      </c>
      <c r="AG73" s="101">
        <f>SUMIFS(Dataset!AJ:AJ,Dataset!F:F,credito!$D$11,Dataset!AH:AH,"factura",Dataset!J:J,"&lt;"&amp;$AC73/365,Dataset!J:J,"&gt;="&amp;$AB73/365)</f>
        <v>0</v>
      </c>
      <c r="AH73" s="102">
        <f>SUMIFS(Dataset!AJ:AJ,Dataset!F:F,credito!$D$11,Dataset!AH:AH,"letra hipotecaria",Dataset!J:J,"&lt;"&amp;$AC73/365,Dataset!J:J,"&gt;="&amp;$AB73/365)</f>
        <v>0</v>
      </c>
      <c r="AI73" s="84">
        <f t="shared" si="10"/>
        <v>0</v>
      </c>
    </row>
    <row r="74" spans="3:35" ht="27" customHeight="1" x14ac:dyDescent="0.3">
      <c r="C74" s="61">
        <v>1.5</v>
      </c>
      <c r="D74" s="81">
        <v>2.5</v>
      </c>
      <c r="E74" s="82">
        <f>SUMIFS(Dataset!AJ:AJ,Dataset!F:F,credito!$D$11,Dataset!AH:AH,"deposito",Dataset!T:T,"$",Dataset!J:J,"&lt;"&amp;$D74,Dataset!J:J,"&gt;="&amp;$C74)</f>
        <v>0</v>
      </c>
      <c r="F74" s="83">
        <f>SUMIFS(Dataset!AJ:AJ,Dataset!F:F,credito!$D$11,Dataset!AH:AH,"deposito",Dataset!T:T,"UF",Dataset!J:J,"&lt;"&amp;$D74,Dataset!J:J,"&gt;="&amp;$C74)</f>
        <v>0</v>
      </c>
      <c r="G74" s="83">
        <f>SUMIFS(Dataset!AJ:AJ,Dataset!F:F,credito!$D$11,Dataset!AH:AH,"bono de gobierno",Dataset!T:T,"$",Dataset!J:J,"&lt;"&amp;$D74,Dataset!J:J,"&gt;="&amp;$C74)</f>
        <v>0</v>
      </c>
      <c r="H74" s="83">
        <f>SUMIFS(Dataset!AJ:AJ,Dataset!F:F,credito!$D$11,Dataset!AH:AH,"bono de gobierno",Dataset!T:T,"UF",Dataset!J:J,"&lt;"&amp;$D74,Dataset!J:J,"&gt;="&amp;$C74)</f>
        <v>0</v>
      </c>
      <c r="I74" s="83">
        <f>SUMIFS(Dataset!AJ:AJ,Dataset!F:F,credito!$D$11,Dataset!AH:AH,"bono de gobierno",Dataset!T:T,"eu",Dataset!J:J,"&lt;"&amp;$D74,Dataset!J:J,"&gt;="&amp;$C74)</f>
        <v>0</v>
      </c>
      <c r="J74" s="83">
        <f>SUMIFS(Dataset!AJ:AJ,Dataset!F:F,credito!$D$11,Dataset!AH:AH,"bono de gobierno",Dataset!T:T,"mx",Dataset!J:J,"&lt;"&amp;$D74,Dataset!J:J,"&gt;="&amp;$C74)</f>
        <v>0</v>
      </c>
      <c r="K74" s="83">
        <f>SUMIFS(Dataset!AJ:AJ,Dataset!F:F,credito!$D$11,Dataset!AH:AH,"bono corporativo",Dataset!T:T,"$",Dataset!J:J,"&lt;"&amp;$D74,Dataset!J:J,"&gt;="&amp;$C74)</f>
        <v>0</v>
      </c>
      <c r="L74" s="83">
        <f>SUMIFS(Dataset!AJ:AJ,Dataset!F:F,credito!$D$11,Dataset!AH:AH,"bono corporativo",Dataset!T:T,"UF",Dataset!J:J,"&lt;"&amp;$D74,Dataset!J:J,"&gt;="&amp;$C74)</f>
        <v>0</v>
      </c>
      <c r="M74" s="83">
        <f>SUMIFS(Dataset!AJ:AJ,Dataset!F:F,credito!$D$11,Dataset!AH:AH,"bono corporativo",Dataset!T:T,"US$",Dataset!J:J,"&lt;"&amp;$D74,Dataset!J:J,"&gt;="&amp;$C74)</f>
        <v>0</v>
      </c>
      <c r="N74" s="83">
        <f>SUMIFS(Dataset!AJ:AJ,Dataset!F:F,credito!$D$11,Dataset!J:J,"&lt;"&amp;$D74,Dataset!J:J,"&gt;="&amp;$C74,Dataset!AH:AH,"&lt;&gt;bono corporativo",Dataset!AH:AH,"&lt;&gt;bono de gobierno",Dataset!AH:AH,"&lt;&gt;deposito")</f>
        <v>0</v>
      </c>
      <c r="O74" s="84">
        <f t="shared" si="8"/>
        <v>0</v>
      </c>
      <c r="P74" s="82">
        <f>SUMIFS(Dataset!AA:AA,Dataset!F:F,credito!$D$11,Dataset!AH:AH,"deposito",Dataset!T:T,"$",Dataset!J:J,"&lt;"&amp;$D74,Dataset!J:J,"&gt;="&amp;$C74)</f>
        <v>0</v>
      </c>
      <c r="Q74" s="83">
        <f>SUMIFS(Dataset!AA:AA,Dataset!F:F,credito!$D$11,Dataset!AH:AH,"deposito",Dataset!T:T,"UF",Dataset!J:J,"&lt;"&amp;$D74,Dataset!J:J,"&gt;="&amp;$C74)</f>
        <v>0</v>
      </c>
      <c r="R74" s="83">
        <f>SUMIFS(Dataset!AA:AA,Dataset!F:F,credito!$D$11,Dataset!AH:AH,"bono de gobierno",Dataset!T:T,"$",Dataset!J:J,"&lt;"&amp;$D74,Dataset!J:J,"&gt;="&amp;$C74)</f>
        <v>0</v>
      </c>
      <c r="S74" s="83">
        <f>SUMIFS(Dataset!AA:AA,Dataset!F:F,credito!$D$11,Dataset!AH:AH,"bono de gobierno",Dataset!T:T,"UF",Dataset!J:J,"&lt;"&amp;$D74,Dataset!J:J,"&gt;="&amp;$C74)</f>
        <v>0</v>
      </c>
      <c r="T74" s="83">
        <f>SUMIFS(Dataset!AA:AA,Dataset!F:F,credito!$D$11,Dataset!AH:AH,"bono de gobierno",Dataset!T:T,"EU",Dataset!J:J,"&lt;"&amp;$D74,Dataset!J:J,"&gt;="&amp;$C74)</f>
        <v>0</v>
      </c>
      <c r="U74" s="83">
        <f>SUMIFS(Dataset!AA:AA,Dataset!F:F,credito!$D$11,Dataset!AH:AH,"bono de gobierno",Dataset!T:T,"MX",Dataset!J:J,"&lt;"&amp;$D74,Dataset!J:J,"&gt;="&amp;$C74)</f>
        <v>0</v>
      </c>
      <c r="V74" s="83">
        <f>SUMIFS(Dataset!AA:AA,Dataset!F:F,credito!$D$11,Dataset!AH:AH,"bono corporativo",Dataset!T:T,"$",Dataset!J:J,"&lt;"&amp;$D74,Dataset!J:J,"&gt;="&amp;$C74)</f>
        <v>0</v>
      </c>
      <c r="W74" s="83">
        <f>SUMIFS(Dataset!AA:AA,Dataset!F:F,credito!$D$11,Dataset!AH:AH,"bono corporativo",Dataset!T:T,"UF",Dataset!J:J,"&lt;"&amp;$D74,Dataset!J:J,"&gt;="&amp;$C74)</f>
        <v>0</v>
      </c>
      <c r="X74" s="83">
        <f>SUMIFS(Dataset!AA:AA,Dataset!F:F,credito!$D$11,Dataset!AH:AH,"bono corporativo",Dataset!T:T,"US$",Dataset!J:J,"&lt;"&amp;$D74,Dataset!J:J,"&gt;="&amp;$C74)</f>
        <v>0</v>
      </c>
      <c r="Y74" s="83">
        <f>SUMIFS(Dataset!AA:AA,Dataset!F:F,credito!$D$11,Dataset!J:J,"&lt;"&amp;$D74,Dataset!J:J,"&gt;="&amp;$C74,Dataset!AH:AH,"&lt;&gt;bono corporativo",Dataset!AH:AH,"&lt;&gt;bono de gobierno",Dataset!AH:AH,"&lt;&gt;deposito")</f>
        <v>0</v>
      </c>
      <c r="Z74" s="84">
        <f t="shared" si="9"/>
        <v>0</v>
      </c>
      <c r="AB74" s="61">
        <v>45</v>
      </c>
      <c r="AC74" s="100">
        <v>60</v>
      </c>
      <c r="AD74" s="101">
        <f>SUMIFS(Dataset!AJ:AJ,Dataset!F:F,credito!$D$11,Dataset!AH:AH,"deposito",Dataset!T:T,"$",Dataset!J:J,"&lt;"&amp;$AC74/365,Dataset!J:J,"&gt;="&amp;$AB74/365)</f>
        <v>0</v>
      </c>
      <c r="AE74" s="101">
        <f>SUMIFS(Dataset!AJ:AJ,Dataset!F:F,credito!$D$11,Dataset!AH:AH,"deposito",Dataset!T:T,"uf",Dataset!J:J,"&lt;"&amp;$AC74/365,Dataset!J:J,"&gt;="&amp;$AB74/365)</f>
        <v>0</v>
      </c>
      <c r="AF74" s="101">
        <f>SUMIFS(Dataset!AJ:AJ,Dataset!F:F,credito!$D$11,Dataset!AH:AH,"deposito",Dataset!T:T,"us$",Dataset!J:J,"&lt;"&amp;$AC74/365,Dataset!J:J,"&gt;="&amp;$AB74/365)</f>
        <v>0</v>
      </c>
      <c r="AG74" s="101">
        <f>SUMIFS(Dataset!AJ:AJ,Dataset!F:F,credito!$D$11,Dataset!AH:AH,"factura",Dataset!J:J,"&lt;"&amp;$AC74/365,Dataset!J:J,"&gt;="&amp;$AB74/365)</f>
        <v>0</v>
      </c>
      <c r="AH74" s="102">
        <f>SUMIFS(Dataset!AJ:AJ,Dataset!F:F,credito!$D$11,Dataset!AH:AH,"letra hipotecaria",Dataset!J:J,"&lt;"&amp;$AC74/365,Dataset!J:J,"&gt;="&amp;$AB74/365)</f>
        <v>0</v>
      </c>
      <c r="AI74" s="84">
        <f t="shared" si="10"/>
        <v>0</v>
      </c>
    </row>
    <row r="75" spans="3:35" ht="33" customHeight="1" x14ac:dyDescent="0.3">
      <c r="C75" s="61">
        <v>2.5</v>
      </c>
      <c r="D75" s="81">
        <v>3.5</v>
      </c>
      <c r="E75" s="82">
        <f>SUMIFS(Dataset!AJ:AJ,Dataset!F:F,credito!$D$11,Dataset!AH:AH,"deposito",Dataset!T:T,"$",Dataset!J:J,"&lt;"&amp;$D75,Dataset!J:J,"&gt;="&amp;$C75)</f>
        <v>0</v>
      </c>
      <c r="F75" s="83">
        <f>SUMIFS(Dataset!AJ:AJ,Dataset!F:F,credito!$D$11,Dataset!AH:AH,"deposito",Dataset!T:T,"UF",Dataset!J:J,"&lt;"&amp;$D75,Dataset!J:J,"&gt;="&amp;$C75)</f>
        <v>0</v>
      </c>
      <c r="G75" s="83">
        <f>SUMIFS(Dataset!AJ:AJ,Dataset!F:F,credito!$D$11,Dataset!AH:AH,"bono de gobierno",Dataset!T:T,"$",Dataset!J:J,"&lt;"&amp;$D75,Dataset!J:J,"&gt;="&amp;$C75)</f>
        <v>0</v>
      </c>
      <c r="H75" s="83">
        <f>SUMIFS(Dataset!AJ:AJ,Dataset!F:F,credito!$D$11,Dataset!AH:AH,"bono de gobierno",Dataset!T:T,"UF",Dataset!J:J,"&lt;"&amp;$D75,Dataset!J:J,"&gt;="&amp;$C75)</f>
        <v>0</v>
      </c>
      <c r="I75" s="83">
        <f>SUMIFS(Dataset!AJ:AJ,Dataset!F:F,credito!$D$11,Dataset!AH:AH,"bono de gobierno",Dataset!T:T,"eu",Dataset!J:J,"&lt;"&amp;$D75,Dataset!J:J,"&gt;="&amp;$C75)</f>
        <v>0</v>
      </c>
      <c r="J75" s="83">
        <f>SUMIFS(Dataset!AJ:AJ,Dataset!F:F,credito!$D$11,Dataset!AH:AH,"bono de gobierno",Dataset!T:T,"mx",Dataset!J:J,"&lt;"&amp;$D75,Dataset!J:J,"&gt;="&amp;$C75)</f>
        <v>0</v>
      </c>
      <c r="K75" s="83">
        <f>SUMIFS(Dataset!AJ:AJ,Dataset!F:F,credito!$D$11,Dataset!AH:AH,"bono corporativo",Dataset!T:T,"$",Dataset!J:J,"&lt;"&amp;$D75,Dataset!J:J,"&gt;="&amp;$C75)</f>
        <v>0</v>
      </c>
      <c r="L75" s="83">
        <f>SUMIFS(Dataset!AJ:AJ,Dataset!F:F,credito!$D$11,Dataset!AH:AH,"bono corporativo",Dataset!T:T,"UF",Dataset!J:J,"&lt;"&amp;$D75,Dataset!J:J,"&gt;="&amp;$C75)</f>
        <v>0</v>
      </c>
      <c r="M75" s="83">
        <f>SUMIFS(Dataset!AJ:AJ,Dataset!F:F,credito!$D$11,Dataset!AH:AH,"bono corporativo",Dataset!T:T,"US$",Dataset!J:J,"&lt;"&amp;$D75,Dataset!J:J,"&gt;="&amp;$C75)</f>
        <v>0</v>
      </c>
      <c r="N75" s="83">
        <f>SUMIFS(Dataset!AJ:AJ,Dataset!F:F,credito!$D$11,Dataset!J:J,"&lt;"&amp;$D75,Dataset!J:J,"&gt;="&amp;$C75,Dataset!AH:AH,"&lt;&gt;bono corporativo",Dataset!AH:AH,"&lt;&gt;bono de gobierno",Dataset!AH:AH,"&lt;&gt;deposito")</f>
        <v>0</v>
      </c>
      <c r="O75" s="84">
        <f t="shared" si="8"/>
        <v>0</v>
      </c>
      <c r="P75" s="82">
        <f>SUMIFS(Dataset!AA:AA,Dataset!F:F,credito!$D$11,Dataset!AH:AH,"deposito",Dataset!T:T,"$",Dataset!J:J,"&lt;"&amp;$D75,Dataset!J:J,"&gt;="&amp;$C75)</f>
        <v>0</v>
      </c>
      <c r="Q75" s="83">
        <f>SUMIFS(Dataset!AA:AA,Dataset!F:F,credito!$D$11,Dataset!AH:AH,"deposito",Dataset!T:T,"UF",Dataset!J:J,"&lt;"&amp;$D75,Dataset!J:J,"&gt;="&amp;$C75)</f>
        <v>0</v>
      </c>
      <c r="R75" s="83">
        <f>SUMIFS(Dataset!AA:AA,Dataset!F:F,credito!$D$11,Dataset!AH:AH,"bono de gobierno",Dataset!T:T,"$",Dataset!J:J,"&lt;"&amp;$D75,Dataset!J:J,"&gt;="&amp;$C75)</f>
        <v>0</v>
      </c>
      <c r="S75" s="83">
        <f>SUMIFS(Dataset!AA:AA,Dataset!F:F,credito!$D$11,Dataset!AH:AH,"bono de gobierno",Dataset!T:T,"UF",Dataset!J:J,"&lt;"&amp;$D75,Dataset!J:J,"&gt;="&amp;$C75)</f>
        <v>0</v>
      </c>
      <c r="T75" s="83">
        <f>SUMIFS(Dataset!AA:AA,Dataset!F:F,credito!$D$11,Dataset!AH:AH,"bono de gobierno",Dataset!T:T,"EU",Dataset!J:J,"&lt;"&amp;$D75,Dataset!J:J,"&gt;="&amp;$C75)</f>
        <v>0</v>
      </c>
      <c r="U75" s="83">
        <f>SUMIFS(Dataset!AA:AA,Dataset!F:F,credito!$D$11,Dataset!AH:AH,"bono de gobierno",Dataset!T:T,"MX",Dataset!J:J,"&lt;"&amp;$D75,Dataset!J:J,"&gt;="&amp;$C75)</f>
        <v>0</v>
      </c>
      <c r="V75" s="83">
        <f>SUMIFS(Dataset!AA:AA,Dataset!F:F,credito!$D$11,Dataset!AH:AH,"bono corporativo",Dataset!T:T,"$",Dataset!J:J,"&lt;"&amp;$D75,Dataset!J:J,"&gt;="&amp;$C75)</f>
        <v>0</v>
      </c>
      <c r="W75" s="83">
        <f>SUMIFS(Dataset!AA:AA,Dataset!F:F,credito!$D$11,Dataset!AH:AH,"bono corporativo",Dataset!T:T,"UF",Dataset!J:J,"&lt;"&amp;$D75,Dataset!J:J,"&gt;="&amp;$C75)</f>
        <v>0</v>
      </c>
      <c r="X75" s="83">
        <f>SUMIFS(Dataset!AA:AA,Dataset!F:F,credito!$D$11,Dataset!AH:AH,"bono corporativo",Dataset!T:T,"US$",Dataset!J:J,"&lt;"&amp;$D75,Dataset!J:J,"&gt;="&amp;$C75)</f>
        <v>0</v>
      </c>
      <c r="Y75" s="83">
        <f>SUMIFS(Dataset!AA:AA,Dataset!F:F,credito!$D$11,Dataset!J:J,"&lt;"&amp;$D75,Dataset!J:J,"&gt;="&amp;$C75,Dataset!AH:AH,"&lt;&gt;bono corporativo",Dataset!AH:AH,"&lt;&gt;bono de gobierno",Dataset!AH:AH,"&lt;&gt;deposito")</f>
        <v>0</v>
      </c>
      <c r="Z75" s="84">
        <f t="shared" si="9"/>
        <v>0</v>
      </c>
      <c r="AB75" s="61">
        <v>60</v>
      </c>
      <c r="AC75" s="100">
        <v>75</v>
      </c>
      <c r="AD75" s="101">
        <f>SUMIFS(Dataset!AJ:AJ,Dataset!F:F,credito!$D$11,Dataset!AH:AH,"deposito",Dataset!T:T,"$",Dataset!J:J,"&lt;"&amp;$AC75/365,Dataset!J:J,"&gt;="&amp;$AB75/365)</f>
        <v>0</v>
      </c>
      <c r="AE75" s="101">
        <f>SUMIFS(Dataset!AJ:AJ,Dataset!F:F,credito!$D$11,Dataset!AH:AH,"deposito",Dataset!T:T,"uf",Dataset!J:J,"&lt;"&amp;$AC75/365,Dataset!J:J,"&gt;="&amp;$AB75/365)</f>
        <v>0</v>
      </c>
      <c r="AF75" s="101">
        <f>SUMIFS(Dataset!AJ:AJ,Dataset!F:F,credito!$D$11,Dataset!AH:AH,"deposito",Dataset!T:T,"us$",Dataset!J:J,"&lt;"&amp;$AC75/365,Dataset!J:J,"&gt;="&amp;$AB75/365)</f>
        <v>0</v>
      </c>
      <c r="AG75" s="101">
        <f>SUMIFS(Dataset!AJ:AJ,Dataset!F:F,credito!$D$11,Dataset!AH:AH,"factura",Dataset!J:J,"&lt;"&amp;$AC75/365,Dataset!J:J,"&gt;="&amp;$AB75/365)</f>
        <v>0</v>
      </c>
      <c r="AH75" s="102">
        <f>SUMIFS(Dataset!AJ:AJ,Dataset!F:F,credito!$D$11,Dataset!AH:AH,"letra hipotecaria",Dataset!J:J,"&lt;"&amp;$AC75/365,Dataset!J:J,"&gt;="&amp;$AB75/365)</f>
        <v>0</v>
      </c>
      <c r="AI75" s="84">
        <f t="shared" si="10"/>
        <v>0</v>
      </c>
    </row>
    <row r="76" spans="3:35" ht="33" customHeight="1" x14ac:dyDescent="0.3">
      <c r="C76" s="61">
        <v>3.5</v>
      </c>
      <c r="D76" s="81">
        <v>4.5</v>
      </c>
      <c r="E76" s="82">
        <f>SUMIFS(Dataset!AJ:AJ,Dataset!F:F,credito!$D$11,Dataset!AH:AH,"deposito",Dataset!T:T,"$",Dataset!J:J,"&lt;"&amp;$D76,Dataset!J:J,"&gt;="&amp;$C76)</f>
        <v>0</v>
      </c>
      <c r="F76" s="83">
        <f>SUMIFS(Dataset!AJ:AJ,Dataset!F:F,credito!$D$11,Dataset!AH:AH,"deposito",Dataset!T:T,"UF",Dataset!J:J,"&lt;"&amp;$D76,Dataset!J:J,"&gt;="&amp;$C76)</f>
        <v>0</v>
      </c>
      <c r="G76" s="83">
        <f>SUMIFS(Dataset!AJ:AJ,Dataset!F:F,credito!$D$11,Dataset!AH:AH,"bono de gobierno",Dataset!T:T,"$",Dataset!J:J,"&lt;"&amp;$D76,Dataset!J:J,"&gt;="&amp;$C76)</f>
        <v>0</v>
      </c>
      <c r="H76" s="83">
        <f>SUMIFS(Dataset!AJ:AJ,Dataset!F:F,credito!$D$11,Dataset!AH:AH,"bono de gobierno",Dataset!T:T,"UF",Dataset!J:J,"&lt;"&amp;$D76,Dataset!J:J,"&gt;="&amp;$C76)</f>
        <v>0</v>
      </c>
      <c r="I76" s="83">
        <f>SUMIFS(Dataset!AJ:AJ,Dataset!F:F,credito!$D$11,Dataset!AH:AH,"bono de gobierno",Dataset!T:T,"eu",Dataset!J:J,"&lt;"&amp;$D76,Dataset!J:J,"&gt;="&amp;$C76)</f>
        <v>0</v>
      </c>
      <c r="J76" s="83">
        <f>SUMIFS(Dataset!AJ:AJ,Dataset!F:F,credito!$D$11,Dataset!AH:AH,"bono de gobierno",Dataset!T:T,"mx",Dataset!J:J,"&lt;"&amp;$D76,Dataset!J:J,"&gt;="&amp;$C76)</f>
        <v>0</v>
      </c>
      <c r="K76" s="83">
        <f>SUMIFS(Dataset!AJ:AJ,Dataset!F:F,credito!$D$11,Dataset!AH:AH,"bono corporativo",Dataset!T:T,"$",Dataset!J:J,"&lt;"&amp;$D76,Dataset!J:J,"&gt;="&amp;$C76)</f>
        <v>0</v>
      </c>
      <c r="L76" s="83">
        <f>SUMIFS(Dataset!AJ:AJ,Dataset!F:F,credito!$D$11,Dataset!AH:AH,"bono corporativo",Dataset!T:T,"UF",Dataset!J:J,"&lt;"&amp;$D76,Dataset!J:J,"&gt;="&amp;$C76)</f>
        <v>0</v>
      </c>
      <c r="M76" s="83">
        <f>SUMIFS(Dataset!AJ:AJ,Dataset!F:F,credito!$D$11,Dataset!AH:AH,"bono corporativo",Dataset!T:T,"US$",Dataset!J:J,"&lt;"&amp;$D76,Dataset!J:J,"&gt;="&amp;$C76)</f>
        <v>0</v>
      </c>
      <c r="N76" s="83">
        <f>SUMIFS(Dataset!AJ:AJ,Dataset!F:F,credito!$D$11,Dataset!J:J,"&lt;"&amp;$D76,Dataset!J:J,"&gt;="&amp;$C76,Dataset!AH:AH,"&lt;&gt;bono corporativo",Dataset!AH:AH,"&lt;&gt;bono de gobierno",Dataset!AH:AH,"&lt;&gt;deposito")</f>
        <v>0</v>
      </c>
      <c r="O76" s="84">
        <f t="shared" si="8"/>
        <v>0</v>
      </c>
      <c r="P76" s="82">
        <f>SUMIFS(Dataset!AA:AA,Dataset!F:F,credito!$D$11,Dataset!AH:AH,"deposito",Dataset!T:T,"$",Dataset!J:J,"&lt;"&amp;$D76,Dataset!J:J,"&gt;="&amp;$C76)</f>
        <v>0</v>
      </c>
      <c r="Q76" s="83">
        <f>SUMIFS(Dataset!AA:AA,Dataset!F:F,credito!$D$11,Dataset!AH:AH,"deposito",Dataset!T:T,"UF",Dataset!J:J,"&lt;"&amp;$D76,Dataset!J:J,"&gt;="&amp;$C76)</f>
        <v>0</v>
      </c>
      <c r="R76" s="83">
        <f>SUMIFS(Dataset!AA:AA,Dataset!F:F,credito!$D$11,Dataset!AH:AH,"bono de gobierno",Dataset!T:T,"$",Dataset!J:J,"&lt;"&amp;$D76,Dataset!J:J,"&gt;="&amp;$C76)</f>
        <v>0</v>
      </c>
      <c r="S76" s="83">
        <f>SUMIFS(Dataset!AA:AA,Dataset!F:F,credito!$D$11,Dataset!AH:AH,"bono de gobierno",Dataset!T:T,"UF",Dataset!J:J,"&lt;"&amp;$D76,Dataset!J:J,"&gt;="&amp;$C76)</f>
        <v>0</v>
      </c>
      <c r="T76" s="83">
        <f>SUMIFS(Dataset!AA:AA,Dataset!F:F,credito!$D$11,Dataset!AH:AH,"bono de gobierno",Dataset!T:T,"EU",Dataset!J:J,"&lt;"&amp;$D76,Dataset!J:J,"&gt;="&amp;$C76)</f>
        <v>0</v>
      </c>
      <c r="U76" s="83">
        <f>SUMIFS(Dataset!AA:AA,Dataset!F:F,credito!$D$11,Dataset!AH:AH,"bono de gobierno",Dataset!T:T,"MX",Dataset!J:J,"&lt;"&amp;$D76,Dataset!J:J,"&gt;="&amp;$C76)</f>
        <v>0</v>
      </c>
      <c r="V76" s="83">
        <f>SUMIFS(Dataset!AA:AA,Dataset!F:F,credito!$D$11,Dataset!AH:AH,"bono corporativo",Dataset!T:T,"$",Dataset!J:J,"&lt;"&amp;$D76,Dataset!J:J,"&gt;="&amp;$C76)</f>
        <v>0</v>
      </c>
      <c r="W76" s="83">
        <f>SUMIFS(Dataset!AA:AA,Dataset!F:F,credito!$D$11,Dataset!AH:AH,"bono corporativo",Dataset!T:T,"UF",Dataset!J:J,"&lt;"&amp;$D76,Dataset!J:J,"&gt;="&amp;$C76)</f>
        <v>0</v>
      </c>
      <c r="X76" s="83">
        <f>SUMIFS(Dataset!AA:AA,Dataset!F:F,credito!$D$11,Dataset!AH:AH,"bono corporativo",Dataset!T:T,"US$",Dataset!J:J,"&lt;"&amp;$D76,Dataset!J:J,"&gt;="&amp;$C76)</f>
        <v>0</v>
      </c>
      <c r="Y76" s="83">
        <f>SUMIFS(Dataset!AA:AA,Dataset!F:F,credito!$D$11,Dataset!J:J,"&lt;"&amp;$D76,Dataset!J:J,"&gt;="&amp;$C76,Dataset!AH:AH,"&lt;&gt;bono corporativo",Dataset!AH:AH,"&lt;&gt;bono de gobierno",Dataset!AH:AH,"&lt;&gt;deposito")</f>
        <v>0</v>
      </c>
      <c r="Z76" s="84">
        <f t="shared" si="9"/>
        <v>0</v>
      </c>
      <c r="AB76" s="61">
        <v>75</v>
      </c>
      <c r="AC76" s="100">
        <v>90</v>
      </c>
      <c r="AD76" s="101">
        <f>SUMIFS(Dataset!AJ:AJ,Dataset!F:F,credito!$D$11,Dataset!AH:AH,"deposito",Dataset!T:T,"$",Dataset!J:J,"&lt;"&amp;$AC76/365,Dataset!J:J,"&gt;="&amp;$AB76/365)</f>
        <v>0</v>
      </c>
      <c r="AE76" s="101">
        <f>SUMIFS(Dataset!AJ:AJ,Dataset!F:F,credito!$D$11,Dataset!AH:AH,"deposito",Dataset!T:T,"uf",Dataset!J:J,"&lt;"&amp;$AC76/365,Dataset!J:J,"&gt;="&amp;$AB76/365)</f>
        <v>0</v>
      </c>
      <c r="AF76" s="101">
        <f>SUMIFS(Dataset!AJ:AJ,Dataset!F:F,credito!$D$11,Dataset!AH:AH,"deposito",Dataset!T:T,"us$",Dataset!J:J,"&lt;"&amp;$AC76/365,Dataset!J:J,"&gt;="&amp;$AB76/365)</f>
        <v>0</v>
      </c>
      <c r="AG76" s="101">
        <f>SUMIFS(Dataset!AJ:AJ,Dataset!F:F,credito!$D$11,Dataset!AH:AH,"factura",Dataset!J:J,"&lt;"&amp;$AC76/365,Dataset!J:J,"&gt;="&amp;$AB76/365)</f>
        <v>0</v>
      </c>
      <c r="AH76" s="102">
        <f>SUMIFS(Dataset!AJ:AJ,Dataset!F:F,credito!$D$11,Dataset!AH:AH,"letra hipotecaria",Dataset!J:J,"&lt;"&amp;$AC76/365,Dataset!J:J,"&gt;="&amp;$AB76/365)</f>
        <v>0</v>
      </c>
      <c r="AI76" s="84">
        <f t="shared" si="10"/>
        <v>0</v>
      </c>
    </row>
    <row r="77" spans="3:35" ht="33" customHeight="1" x14ac:dyDescent="0.3">
      <c r="C77" s="61">
        <v>4.5</v>
      </c>
      <c r="D77" s="81">
        <v>5.5</v>
      </c>
      <c r="E77" s="82">
        <f>SUMIFS(Dataset!AJ:AJ,Dataset!F:F,credito!$D$11,Dataset!AH:AH,"deposito",Dataset!T:T,"$",Dataset!J:J,"&lt;"&amp;$D77,Dataset!J:J,"&gt;="&amp;$C77)</f>
        <v>0</v>
      </c>
      <c r="F77" s="83">
        <f>SUMIFS(Dataset!AJ:AJ,Dataset!F:F,credito!$D$11,Dataset!AH:AH,"deposito",Dataset!T:T,"UF",Dataset!J:J,"&lt;"&amp;$D77,Dataset!J:J,"&gt;="&amp;$C77)</f>
        <v>0</v>
      </c>
      <c r="G77" s="83">
        <f>SUMIFS(Dataset!AJ:AJ,Dataset!F:F,credito!$D$11,Dataset!AH:AH,"bono de gobierno",Dataset!T:T,"$",Dataset!J:J,"&lt;"&amp;$D77,Dataset!J:J,"&gt;="&amp;$C77)</f>
        <v>0</v>
      </c>
      <c r="H77" s="83">
        <f>SUMIFS(Dataset!AJ:AJ,Dataset!F:F,credito!$D$11,Dataset!AH:AH,"bono de gobierno",Dataset!T:T,"UF",Dataset!J:J,"&lt;"&amp;$D77,Dataset!J:J,"&gt;="&amp;$C77)</f>
        <v>0</v>
      </c>
      <c r="I77" s="83">
        <f>SUMIFS(Dataset!AJ:AJ,Dataset!F:F,credito!$D$11,Dataset!AH:AH,"bono de gobierno",Dataset!T:T,"eu",Dataset!J:J,"&lt;"&amp;$D77,Dataset!J:J,"&gt;="&amp;$C77)</f>
        <v>0</v>
      </c>
      <c r="J77" s="83">
        <f>SUMIFS(Dataset!AJ:AJ,Dataset!F:F,credito!$D$11,Dataset!AH:AH,"bono de gobierno",Dataset!T:T,"mx",Dataset!J:J,"&lt;"&amp;$D77,Dataset!J:J,"&gt;="&amp;$C77)</f>
        <v>0</v>
      </c>
      <c r="K77" s="83">
        <f>SUMIFS(Dataset!AJ:AJ,Dataset!F:F,credito!$D$11,Dataset!AH:AH,"bono corporativo",Dataset!T:T,"$",Dataset!J:J,"&lt;"&amp;$D77,Dataset!J:J,"&gt;="&amp;$C77)</f>
        <v>0</v>
      </c>
      <c r="L77" s="83">
        <f>SUMIFS(Dataset!AJ:AJ,Dataset!F:F,credito!$D$11,Dataset!AH:AH,"bono corporativo",Dataset!T:T,"UF",Dataset!J:J,"&lt;"&amp;$D77,Dataset!J:J,"&gt;="&amp;$C77)</f>
        <v>0</v>
      </c>
      <c r="M77" s="83">
        <f>SUMIFS(Dataset!AJ:AJ,Dataset!F:F,credito!$D$11,Dataset!AH:AH,"bono corporativo",Dataset!T:T,"US$",Dataset!J:J,"&lt;"&amp;$D77,Dataset!J:J,"&gt;="&amp;$C77)</f>
        <v>0</v>
      </c>
      <c r="N77" s="83">
        <f>SUMIFS(Dataset!AJ:AJ,Dataset!F:F,credito!$D$11,Dataset!J:J,"&lt;"&amp;$D77,Dataset!J:J,"&gt;="&amp;$C77,Dataset!AH:AH,"&lt;&gt;bono corporativo",Dataset!AH:AH,"&lt;&gt;bono de gobierno",Dataset!AH:AH,"&lt;&gt;deposito")</f>
        <v>0</v>
      </c>
      <c r="O77" s="84">
        <f t="shared" si="8"/>
        <v>0</v>
      </c>
      <c r="P77" s="82">
        <f>SUMIFS(Dataset!AA:AA,Dataset!F:F,credito!$D$11,Dataset!AH:AH,"deposito",Dataset!T:T,"$",Dataset!J:J,"&lt;"&amp;$D77,Dataset!J:J,"&gt;="&amp;$C77)</f>
        <v>0</v>
      </c>
      <c r="Q77" s="83">
        <f>SUMIFS(Dataset!AA:AA,Dataset!F:F,credito!$D$11,Dataset!AH:AH,"deposito",Dataset!T:T,"UF",Dataset!J:J,"&lt;"&amp;$D77,Dataset!J:J,"&gt;="&amp;$C77)</f>
        <v>0</v>
      </c>
      <c r="R77" s="83">
        <f>SUMIFS(Dataset!AA:AA,Dataset!F:F,credito!$D$11,Dataset!AH:AH,"bono de gobierno",Dataset!T:T,"$",Dataset!J:J,"&lt;"&amp;$D77,Dataset!J:J,"&gt;="&amp;$C77)</f>
        <v>0</v>
      </c>
      <c r="S77" s="83">
        <f>SUMIFS(Dataset!AA:AA,Dataset!F:F,credito!$D$11,Dataset!AH:AH,"bono de gobierno",Dataset!T:T,"UF",Dataset!J:J,"&lt;"&amp;$D77,Dataset!J:J,"&gt;="&amp;$C77)</f>
        <v>0</v>
      </c>
      <c r="T77" s="83">
        <f>SUMIFS(Dataset!AA:AA,Dataset!F:F,credito!$D$11,Dataset!AH:AH,"bono de gobierno",Dataset!T:T,"EU",Dataset!J:J,"&lt;"&amp;$D77,Dataset!J:J,"&gt;="&amp;$C77)</f>
        <v>0</v>
      </c>
      <c r="U77" s="83">
        <f>SUMIFS(Dataset!AA:AA,Dataset!F:F,credito!$D$11,Dataset!AH:AH,"bono de gobierno",Dataset!T:T,"MX",Dataset!J:J,"&lt;"&amp;$D77,Dataset!J:J,"&gt;="&amp;$C77)</f>
        <v>0</v>
      </c>
      <c r="V77" s="83">
        <f>SUMIFS(Dataset!AA:AA,Dataset!F:F,credito!$D$11,Dataset!AH:AH,"bono corporativo",Dataset!T:T,"$",Dataset!J:J,"&lt;"&amp;$D77,Dataset!J:J,"&gt;="&amp;$C77)</f>
        <v>0</v>
      </c>
      <c r="W77" s="83">
        <f>SUMIFS(Dataset!AA:AA,Dataset!F:F,credito!$D$11,Dataset!AH:AH,"bono corporativo",Dataset!T:T,"UF",Dataset!J:J,"&lt;"&amp;$D77,Dataset!J:J,"&gt;="&amp;$C77)</f>
        <v>0</v>
      </c>
      <c r="X77" s="83">
        <f>SUMIFS(Dataset!AA:AA,Dataset!F:F,credito!$D$11,Dataset!AH:AH,"bono corporativo",Dataset!T:T,"US$",Dataset!J:J,"&lt;"&amp;$D77,Dataset!J:J,"&gt;="&amp;$C77)</f>
        <v>0</v>
      </c>
      <c r="Y77" s="83">
        <f>SUMIFS(Dataset!AA:AA,Dataset!F:F,credito!$D$11,Dataset!J:J,"&lt;"&amp;$D77,Dataset!J:J,"&gt;="&amp;$C77,Dataset!AH:AH,"&lt;&gt;bono corporativo",Dataset!AH:AH,"&lt;&gt;bono de gobierno",Dataset!AH:AH,"&lt;&gt;deposito")</f>
        <v>0</v>
      </c>
      <c r="Z77" s="84">
        <f t="shared" si="9"/>
        <v>0</v>
      </c>
      <c r="AB77" s="61">
        <v>90</v>
      </c>
      <c r="AC77" s="100">
        <v>105</v>
      </c>
      <c r="AD77" s="101">
        <f>SUMIFS(Dataset!AJ:AJ,Dataset!F:F,credito!$D$11,Dataset!AH:AH,"deposito",Dataset!T:T,"$",Dataset!J:J,"&lt;"&amp;$AC77/365,Dataset!J:J,"&gt;="&amp;$AB77/365)</f>
        <v>0</v>
      </c>
      <c r="AE77" s="101">
        <f>SUMIFS(Dataset!AJ:AJ,Dataset!F:F,credito!$D$11,Dataset!AH:AH,"deposito",Dataset!T:T,"uf",Dataset!J:J,"&lt;"&amp;$AC77/365,Dataset!J:J,"&gt;="&amp;$AB77/365)</f>
        <v>0</v>
      </c>
      <c r="AF77" s="101">
        <f>SUMIFS(Dataset!AJ:AJ,Dataset!F:F,credito!$D$11,Dataset!AH:AH,"deposito",Dataset!T:T,"us$",Dataset!J:J,"&lt;"&amp;$AC77/365,Dataset!J:J,"&gt;="&amp;$AB77/365)</f>
        <v>0</v>
      </c>
      <c r="AG77" s="101">
        <f>SUMIFS(Dataset!AJ:AJ,Dataset!F:F,credito!$D$11,Dataset!AH:AH,"factura",Dataset!J:J,"&lt;"&amp;$AC77/365,Dataset!J:J,"&gt;="&amp;$AB77/365)</f>
        <v>0</v>
      </c>
      <c r="AH77" s="102">
        <f>SUMIFS(Dataset!AJ:AJ,Dataset!F:F,credito!$D$11,Dataset!AH:AH,"letra hipotecaria",Dataset!J:J,"&lt;"&amp;$AC77/365,Dataset!J:J,"&gt;="&amp;$AB77/365)</f>
        <v>0</v>
      </c>
      <c r="AI77" s="84">
        <f t="shared" si="10"/>
        <v>0</v>
      </c>
    </row>
    <row r="78" spans="3:35" ht="33" customHeight="1" x14ac:dyDescent="0.3">
      <c r="C78" s="61">
        <v>5.5</v>
      </c>
      <c r="D78" s="81">
        <v>6.5</v>
      </c>
      <c r="E78" s="82">
        <f>SUMIFS(Dataset!AJ:AJ,Dataset!F:F,credito!$D$11,Dataset!AH:AH,"deposito",Dataset!T:T,"$",Dataset!J:J,"&lt;"&amp;$D78,Dataset!J:J,"&gt;="&amp;$C78)</f>
        <v>0</v>
      </c>
      <c r="F78" s="83">
        <f>SUMIFS(Dataset!AJ:AJ,Dataset!F:F,credito!$D$11,Dataset!AH:AH,"deposito",Dataset!T:T,"UF",Dataset!J:J,"&lt;"&amp;$D78,Dataset!J:J,"&gt;="&amp;$C78)</f>
        <v>0</v>
      </c>
      <c r="G78" s="83">
        <f>SUMIFS(Dataset!AJ:AJ,Dataset!F:F,credito!$D$11,Dataset!AH:AH,"bono de gobierno",Dataset!T:T,"$",Dataset!J:J,"&lt;"&amp;$D78,Dataset!J:J,"&gt;="&amp;$C78)</f>
        <v>0</v>
      </c>
      <c r="H78" s="83">
        <f>SUMIFS(Dataset!AJ:AJ,Dataset!F:F,credito!$D$11,Dataset!AH:AH,"bono de gobierno",Dataset!T:T,"UF",Dataset!J:J,"&lt;"&amp;$D78,Dataset!J:J,"&gt;="&amp;$C78)</f>
        <v>0</v>
      </c>
      <c r="I78" s="83">
        <f>SUMIFS(Dataset!AJ:AJ,Dataset!F:F,credito!$D$11,Dataset!AH:AH,"bono de gobierno",Dataset!T:T,"eu",Dataset!J:J,"&lt;"&amp;$D78,Dataset!J:J,"&gt;="&amp;$C78)</f>
        <v>0</v>
      </c>
      <c r="J78" s="83">
        <f>SUMIFS(Dataset!AJ:AJ,Dataset!F:F,credito!$D$11,Dataset!AH:AH,"bono de gobierno",Dataset!T:T,"mx",Dataset!J:J,"&lt;"&amp;$D78,Dataset!J:J,"&gt;="&amp;$C78)</f>
        <v>0</v>
      </c>
      <c r="K78" s="83">
        <f>SUMIFS(Dataset!AJ:AJ,Dataset!F:F,credito!$D$11,Dataset!AH:AH,"bono corporativo",Dataset!T:T,"$",Dataset!J:J,"&lt;"&amp;$D78,Dataset!J:J,"&gt;="&amp;$C78)</f>
        <v>0</v>
      </c>
      <c r="L78" s="83">
        <f>SUMIFS(Dataset!AJ:AJ,Dataset!F:F,credito!$D$11,Dataset!AH:AH,"bono corporativo",Dataset!T:T,"UF",Dataset!J:J,"&lt;"&amp;$D78,Dataset!J:J,"&gt;="&amp;$C78)</f>
        <v>0</v>
      </c>
      <c r="M78" s="83">
        <f>SUMIFS(Dataset!AJ:AJ,Dataset!F:F,credito!$D$11,Dataset!AH:AH,"bono corporativo",Dataset!T:T,"US$",Dataset!J:J,"&lt;"&amp;$D78,Dataset!J:J,"&gt;="&amp;$C78)</f>
        <v>0</v>
      </c>
      <c r="N78" s="83">
        <f>SUMIFS(Dataset!AJ:AJ,Dataset!F:F,credito!$D$11,Dataset!J:J,"&lt;"&amp;$D78,Dataset!J:J,"&gt;="&amp;$C78,Dataset!AH:AH,"&lt;&gt;bono corporativo",Dataset!AH:AH,"&lt;&gt;bono de gobierno",Dataset!AH:AH,"&lt;&gt;deposito")</f>
        <v>0</v>
      </c>
      <c r="O78" s="84">
        <f t="shared" si="8"/>
        <v>0</v>
      </c>
      <c r="P78" s="82">
        <f>SUMIFS(Dataset!AA:AA,Dataset!F:F,credito!$D$11,Dataset!AH:AH,"deposito",Dataset!T:T,"$",Dataset!J:J,"&lt;"&amp;$D78,Dataset!J:J,"&gt;="&amp;$C78)</f>
        <v>0</v>
      </c>
      <c r="Q78" s="83">
        <f>SUMIFS(Dataset!AA:AA,Dataset!F:F,credito!$D$11,Dataset!AH:AH,"deposito",Dataset!T:T,"UF",Dataset!J:J,"&lt;"&amp;$D78,Dataset!J:J,"&gt;="&amp;$C78)</f>
        <v>0</v>
      </c>
      <c r="R78" s="83">
        <f>SUMIFS(Dataset!AA:AA,Dataset!F:F,credito!$D$11,Dataset!AH:AH,"bono de gobierno",Dataset!T:T,"$",Dataset!J:J,"&lt;"&amp;$D78,Dataset!J:J,"&gt;="&amp;$C78)</f>
        <v>0</v>
      </c>
      <c r="S78" s="83">
        <f>SUMIFS(Dataset!AA:AA,Dataset!F:F,credito!$D$11,Dataset!AH:AH,"bono de gobierno",Dataset!T:T,"UF",Dataset!J:J,"&lt;"&amp;$D78,Dataset!J:J,"&gt;="&amp;$C78)</f>
        <v>0</v>
      </c>
      <c r="T78" s="83">
        <f>SUMIFS(Dataset!AA:AA,Dataset!F:F,credito!$D$11,Dataset!AH:AH,"bono de gobierno",Dataset!T:T,"EU",Dataset!J:J,"&lt;"&amp;$D78,Dataset!J:J,"&gt;="&amp;$C78)</f>
        <v>0</v>
      </c>
      <c r="U78" s="83">
        <f>SUMIFS(Dataset!AA:AA,Dataset!F:F,credito!$D$11,Dataset!AH:AH,"bono de gobierno",Dataset!T:T,"MX",Dataset!J:J,"&lt;"&amp;$D78,Dataset!J:J,"&gt;="&amp;$C78)</f>
        <v>0</v>
      </c>
      <c r="V78" s="83">
        <f>SUMIFS(Dataset!AA:AA,Dataset!F:F,credito!$D$11,Dataset!AH:AH,"bono corporativo",Dataset!T:T,"$",Dataset!J:J,"&lt;"&amp;$D78,Dataset!J:J,"&gt;="&amp;$C78)</f>
        <v>0</v>
      </c>
      <c r="W78" s="83">
        <f>SUMIFS(Dataset!AA:AA,Dataset!F:F,credito!$D$11,Dataset!AH:AH,"bono corporativo",Dataset!T:T,"UF",Dataset!J:J,"&lt;"&amp;$D78,Dataset!J:J,"&gt;="&amp;$C78)</f>
        <v>0</v>
      </c>
      <c r="X78" s="83">
        <f>SUMIFS(Dataset!AA:AA,Dataset!F:F,credito!$D$11,Dataset!AH:AH,"bono corporativo",Dataset!T:T,"US$",Dataset!J:J,"&lt;"&amp;$D78,Dataset!J:J,"&gt;="&amp;$C78)</f>
        <v>0</v>
      </c>
      <c r="Y78" s="83">
        <f>SUMIFS(Dataset!AA:AA,Dataset!F:F,credito!$D$11,Dataset!J:J,"&lt;"&amp;$D78,Dataset!J:J,"&gt;="&amp;$C78,Dataset!AH:AH,"&lt;&gt;bono corporativo",Dataset!AH:AH,"&lt;&gt;bono de gobierno",Dataset!AH:AH,"&lt;&gt;deposito")</f>
        <v>0</v>
      </c>
      <c r="Z78" s="84">
        <f t="shared" si="9"/>
        <v>0</v>
      </c>
      <c r="AB78" s="61">
        <v>105</v>
      </c>
      <c r="AC78" s="100">
        <v>120</v>
      </c>
      <c r="AD78" s="101">
        <f>SUMIFS(Dataset!AJ:AJ,Dataset!F:F,credito!$D$11,Dataset!AH:AH,"deposito",Dataset!T:T,"$",Dataset!J:J,"&lt;"&amp;$AC78/365,Dataset!J:J,"&gt;="&amp;$AB78/365)</f>
        <v>0</v>
      </c>
      <c r="AE78" s="101">
        <f>SUMIFS(Dataset!AJ:AJ,Dataset!F:F,credito!$D$11,Dataset!AH:AH,"deposito",Dataset!T:T,"uf",Dataset!J:J,"&lt;"&amp;$AC78/365,Dataset!J:J,"&gt;="&amp;$AB78/365)</f>
        <v>0</v>
      </c>
      <c r="AF78" s="101">
        <f>SUMIFS(Dataset!AJ:AJ,Dataset!F:F,credito!$D$11,Dataset!AH:AH,"deposito",Dataset!T:T,"us$",Dataset!J:J,"&lt;"&amp;$AC78/365,Dataset!J:J,"&gt;="&amp;$AB78/365)</f>
        <v>0</v>
      </c>
      <c r="AG78" s="101">
        <f>SUMIFS(Dataset!AJ:AJ,Dataset!F:F,credito!$D$11,Dataset!AH:AH,"factura",Dataset!J:J,"&lt;"&amp;$AC78/365,Dataset!J:J,"&gt;="&amp;$AB78/365)</f>
        <v>0</v>
      </c>
      <c r="AH78" s="102">
        <f>SUMIFS(Dataset!AJ:AJ,Dataset!F:F,credito!$D$11,Dataset!AH:AH,"letra hipotecaria",Dataset!J:J,"&lt;"&amp;$AC78/365,Dataset!J:J,"&gt;="&amp;$AB78/365)</f>
        <v>0</v>
      </c>
      <c r="AI78" s="84">
        <f t="shared" si="10"/>
        <v>0</v>
      </c>
    </row>
    <row r="79" spans="3:35" ht="33" customHeight="1" x14ac:dyDescent="0.3">
      <c r="C79" s="61">
        <v>6.5</v>
      </c>
      <c r="D79" s="81">
        <v>7.5</v>
      </c>
      <c r="E79" s="82">
        <f>SUMIFS(Dataset!AJ:AJ,Dataset!F:F,credito!$D$11,Dataset!AH:AH,"deposito",Dataset!T:T,"$",Dataset!J:J,"&lt;"&amp;$D79,Dataset!J:J,"&gt;="&amp;$C79)</f>
        <v>0</v>
      </c>
      <c r="F79" s="83">
        <f>SUMIFS(Dataset!AJ:AJ,Dataset!F:F,credito!$D$11,Dataset!AH:AH,"deposito",Dataset!T:T,"UF",Dataset!J:J,"&lt;"&amp;$D79,Dataset!J:J,"&gt;="&amp;$C79)</f>
        <v>0</v>
      </c>
      <c r="G79" s="83">
        <f>SUMIFS(Dataset!AJ:AJ,Dataset!F:F,credito!$D$11,Dataset!AH:AH,"bono de gobierno",Dataset!T:T,"$",Dataset!J:J,"&lt;"&amp;$D79,Dataset!J:J,"&gt;="&amp;$C79)</f>
        <v>0</v>
      </c>
      <c r="H79" s="83">
        <f>SUMIFS(Dataset!AJ:AJ,Dataset!F:F,credito!$D$11,Dataset!AH:AH,"bono de gobierno",Dataset!T:T,"UF",Dataset!J:J,"&lt;"&amp;$D79,Dataset!J:J,"&gt;="&amp;$C79)</f>
        <v>0</v>
      </c>
      <c r="I79" s="83">
        <f>SUMIFS(Dataset!AJ:AJ,Dataset!F:F,credito!$D$11,Dataset!AH:AH,"bono de gobierno",Dataset!T:T,"eu",Dataset!J:J,"&lt;"&amp;$D79,Dataset!J:J,"&gt;="&amp;$C79)</f>
        <v>0</v>
      </c>
      <c r="J79" s="83">
        <f>SUMIFS(Dataset!AJ:AJ,Dataset!F:F,credito!$D$11,Dataset!AH:AH,"bono de gobierno",Dataset!T:T,"mx",Dataset!J:J,"&lt;"&amp;$D79,Dataset!J:J,"&gt;="&amp;$C79)</f>
        <v>0</v>
      </c>
      <c r="K79" s="83">
        <f>SUMIFS(Dataset!AJ:AJ,Dataset!F:F,credito!$D$11,Dataset!AH:AH,"bono corporativo",Dataset!T:T,"$",Dataset!J:J,"&lt;"&amp;$D79,Dataset!J:J,"&gt;="&amp;$C79)</f>
        <v>0</v>
      </c>
      <c r="L79" s="83">
        <f>SUMIFS(Dataset!AJ:AJ,Dataset!F:F,credito!$D$11,Dataset!AH:AH,"bono corporativo",Dataset!T:T,"UF",Dataset!J:J,"&lt;"&amp;$D79,Dataset!J:J,"&gt;="&amp;$C79)</f>
        <v>0</v>
      </c>
      <c r="M79" s="83">
        <f>SUMIFS(Dataset!AJ:AJ,Dataset!F:F,credito!$D$11,Dataset!AH:AH,"bono corporativo",Dataset!T:T,"US$",Dataset!J:J,"&lt;"&amp;$D79,Dataset!J:J,"&gt;="&amp;$C79)</f>
        <v>0</v>
      </c>
      <c r="N79" s="83">
        <f>SUMIFS(Dataset!AJ:AJ,Dataset!F:F,credito!$D$11,Dataset!J:J,"&lt;"&amp;$D79,Dataset!J:J,"&gt;="&amp;$C79,Dataset!AH:AH,"&lt;&gt;bono corporativo",Dataset!AH:AH,"&lt;&gt;bono de gobierno",Dataset!AH:AH,"&lt;&gt;deposito")</f>
        <v>0</v>
      </c>
      <c r="O79" s="84">
        <f t="shared" si="8"/>
        <v>0</v>
      </c>
      <c r="P79" s="82">
        <f>SUMIFS(Dataset!AA:AA,Dataset!F:F,credito!$D$11,Dataset!AH:AH,"deposito",Dataset!T:T,"$",Dataset!J:J,"&lt;"&amp;$D79,Dataset!J:J,"&gt;="&amp;$C79)</f>
        <v>0</v>
      </c>
      <c r="Q79" s="83">
        <f>SUMIFS(Dataset!AA:AA,Dataset!F:F,credito!$D$11,Dataset!AH:AH,"deposito",Dataset!T:T,"UF",Dataset!J:J,"&lt;"&amp;$D79,Dataset!J:J,"&gt;="&amp;$C79)</f>
        <v>0</v>
      </c>
      <c r="R79" s="83">
        <f>SUMIFS(Dataset!AA:AA,Dataset!F:F,credito!$D$11,Dataset!AH:AH,"bono de gobierno",Dataset!T:T,"$",Dataset!J:J,"&lt;"&amp;$D79,Dataset!J:J,"&gt;="&amp;$C79)</f>
        <v>0</v>
      </c>
      <c r="S79" s="83">
        <f>SUMIFS(Dataset!AA:AA,Dataset!F:F,credito!$D$11,Dataset!AH:AH,"bono de gobierno",Dataset!T:T,"UF",Dataset!J:J,"&lt;"&amp;$D79,Dataset!J:J,"&gt;="&amp;$C79)</f>
        <v>0</v>
      </c>
      <c r="T79" s="83">
        <f>SUMIFS(Dataset!AA:AA,Dataset!F:F,credito!$D$11,Dataset!AH:AH,"bono de gobierno",Dataset!T:T,"EU",Dataset!J:J,"&lt;"&amp;$D79,Dataset!J:J,"&gt;="&amp;$C79)</f>
        <v>0</v>
      </c>
      <c r="U79" s="83">
        <f>SUMIFS(Dataset!AA:AA,Dataset!F:F,credito!$D$11,Dataset!AH:AH,"bono de gobierno",Dataset!T:T,"MX",Dataset!J:J,"&lt;"&amp;$D79,Dataset!J:J,"&gt;="&amp;$C79)</f>
        <v>0</v>
      </c>
      <c r="V79" s="83">
        <f>SUMIFS(Dataset!AA:AA,Dataset!F:F,credito!$D$11,Dataset!AH:AH,"bono corporativo",Dataset!T:T,"$",Dataset!J:J,"&lt;"&amp;$D79,Dataset!J:J,"&gt;="&amp;$C79)</f>
        <v>0</v>
      </c>
      <c r="W79" s="83">
        <f>SUMIFS(Dataset!AA:AA,Dataset!F:F,credito!$D$11,Dataset!AH:AH,"bono corporativo",Dataset!T:T,"UF",Dataset!J:J,"&lt;"&amp;$D79,Dataset!J:J,"&gt;="&amp;$C79)</f>
        <v>0</v>
      </c>
      <c r="X79" s="83">
        <f>SUMIFS(Dataset!AA:AA,Dataset!F:F,credito!$D$11,Dataset!AH:AH,"bono corporativo",Dataset!T:T,"US$",Dataset!J:J,"&lt;"&amp;$D79,Dataset!J:J,"&gt;="&amp;$C79)</f>
        <v>0</v>
      </c>
      <c r="Y79" s="83">
        <f>SUMIFS(Dataset!AA:AA,Dataset!F:F,credito!$D$11,Dataset!J:J,"&lt;"&amp;$D79,Dataset!J:J,"&gt;="&amp;$C79,Dataset!AH:AH,"&lt;&gt;bono corporativo",Dataset!AH:AH,"&lt;&gt;bono de gobierno",Dataset!AH:AH,"&lt;&gt;deposito")</f>
        <v>0</v>
      </c>
      <c r="Z79" s="84">
        <f t="shared" si="9"/>
        <v>0</v>
      </c>
      <c r="AB79" s="61">
        <v>120</v>
      </c>
      <c r="AC79" s="100">
        <v>135</v>
      </c>
      <c r="AD79" s="101">
        <f>SUMIFS(Dataset!AJ:AJ,Dataset!F:F,credito!$D$11,Dataset!AH:AH,"deposito",Dataset!T:T,"$",Dataset!J:J,"&lt;"&amp;$AC79/365,Dataset!J:J,"&gt;="&amp;$AB79/365)</f>
        <v>0</v>
      </c>
      <c r="AE79" s="101">
        <f>SUMIFS(Dataset!AJ:AJ,Dataset!F:F,credito!$D$11,Dataset!AH:AH,"deposito",Dataset!T:T,"uf",Dataset!J:J,"&lt;"&amp;$AC79/365,Dataset!J:J,"&gt;="&amp;$AB79/365)</f>
        <v>0</v>
      </c>
      <c r="AF79" s="101">
        <f>SUMIFS(Dataset!AJ:AJ,Dataset!F:F,credito!$D$11,Dataset!AH:AH,"deposito",Dataset!T:T,"us$",Dataset!J:J,"&lt;"&amp;$AC79/365,Dataset!J:J,"&gt;="&amp;$AB79/365)</f>
        <v>0</v>
      </c>
      <c r="AG79" s="101">
        <f>SUMIFS(Dataset!AJ:AJ,Dataset!F:F,credito!$D$11,Dataset!AH:AH,"factura",Dataset!J:J,"&lt;"&amp;$AC79/365,Dataset!J:J,"&gt;="&amp;$AB79/365)</f>
        <v>0</v>
      </c>
      <c r="AH79" s="102">
        <f>SUMIFS(Dataset!AJ:AJ,Dataset!F:F,credito!$D$11,Dataset!AH:AH,"letra hipotecaria",Dataset!J:J,"&lt;"&amp;$AC79/365,Dataset!J:J,"&gt;="&amp;$AB79/365)</f>
        <v>0</v>
      </c>
      <c r="AI79" s="84">
        <f t="shared" si="10"/>
        <v>0</v>
      </c>
    </row>
    <row r="80" spans="3:35" ht="33" customHeight="1" x14ac:dyDescent="0.3">
      <c r="C80" s="61">
        <v>7.5</v>
      </c>
      <c r="D80" s="81">
        <v>8.5</v>
      </c>
      <c r="E80" s="82">
        <f>SUMIFS(Dataset!AJ:AJ,Dataset!F:F,credito!$D$11,Dataset!AH:AH,"deposito",Dataset!T:T,"$",Dataset!J:J,"&lt;"&amp;$D80,Dataset!J:J,"&gt;="&amp;$C80)</f>
        <v>0</v>
      </c>
      <c r="F80" s="83">
        <f>SUMIFS(Dataset!AJ:AJ,Dataset!F:F,credito!$D$11,Dataset!AH:AH,"deposito",Dataset!T:T,"UF",Dataset!J:J,"&lt;"&amp;$D80,Dataset!J:J,"&gt;="&amp;$C80)</f>
        <v>0</v>
      </c>
      <c r="G80" s="83">
        <f>SUMIFS(Dataset!AJ:AJ,Dataset!F:F,credito!$D$11,Dataset!AH:AH,"bono de gobierno",Dataset!T:T,"$",Dataset!J:J,"&lt;"&amp;$D80,Dataset!J:J,"&gt;="&amp;$C80)</f>
        <v>0</v>
      </c>
      <c r="H80" s="83">
        <f>SUMIFS(Dataset!AJ:AJ,Dataset!F:F,credito!$D$11,Dataset!AH:AH,"bono de gobierno",Dataset!T:T,"UF",Dataset!J:J,"&lt;"&amp;$D80,Dataset!J:J,"&gt;="&amp;$C80)</f>
        <v>0</v>
      </c>
      <c r="I80" s="83">
        <f>SUMIFS(Dataset!AJ:AJ,Dataset!F:F,credito!$D$11,Dataset!AH:AH,"bono de gobierno",Dataset!T:T,"eu",Dataset!J:J,"&lt;"&amp;$D80,Dataset!J:J,"&gt;="&amp;$C80)</f>
        <v>0</v>
      </c>
      <c r="J80" s="83">
        <f>SUMIFS(Dataset!AJ:AJ,Dataset!F:F,credito!$D$11,Dataset!AH:AH,"bono de gobierno",Dataset!T:T,"mx",Dataset!J:J,"&lt;"&amp;$D80,Dataset!J:J,"&gt;="&amp;$C80)</f>
        <v>0</v>
      </c>
      <c r="K80" s="83">
        <f>SUMIFS(Dataset!AJ:AJ,Dataset!F:F,credito!$D$11,Dataset!AH:AH,"bono corporativo",Dataset!T:T,"$",Dataset!J:J,"&lt;"&amp;$D80,Dataset!J:J,"&gt;="&amp;$C80)</f>
        <v>0</v>
      </c>
      <c r="L80" s="83">
        <f>SUMIFS(Dataset!AJ:AJ,Dataset!F:F,credito!$D$11,Dataset!AH:AH,"bono corporativo",Dataset!T:T,"UF",Dataset!J:J,"&lt;"&amp;$D80,Dataset!J:J,"&gt;="&amp;$C80)</f>
        <v>0</v>
      </c>
      <c r="M80" s="83">
        <f>SUMIFS(Dataset!AJ:AJ,Dataset!F:F,credito!$D$11,Dataset!AH:AH,"bono corporativo",Dataset!T:T,"US$",Dataset!J:J,"&lt;"&amp;$D80,Dataset!J:J,"&gt;="&amp;$C80)</f>
        <v>0</v>
      </c>
      <c r="N80" s="83">
        <f>SUMIFS(Dataset!AJ:AJ,Dataset!F:F,credito!$D$11,Dataset!J:J,"&lt;"&amp;$D80,Dataset!J:J,"&gt;="&amp;$C80,Dataset!AH:AH,"&lt;&gt;bono corporativo",Dataset!AH:AH,"&lt;&gt;bono de gobierno",Dataset!AH:AH,"&lt;&gt;deposito")</f>
        <v>0</v>
      </c>
      <c r="O80" s="84">
        <f t="shared" si="8"/>
        <v>0</v>
      </c>
      <c r="P80" s="82">
        <f>SUMIFS(Dataset!AA:AA,Dataset!F:F,credito!$D$11,Dataset!AH:AH,"deposito",Dataset!T:T,"$",Dataset!J:J,"&lt;"&amp;$D80,Dataset!J:J,"&gt;="&amp;$C80)</f>
        <v>0</v>
      </c>
      <c r="Q80" s="83">
        <f>SUMIFS(Dataset!AA:AA,Dataset!F:F,credito!$D$11,Dataset!AH:AH,"deposito",Dataset!T:T,"UF",Dataset!J:J,"&lt;"&amp;$D80,Dataset!J:J,"&gt;="&amp;$C80)</f>
        <v>0</v>
      </c>
      <c r="R80" s="83">
        <f>SUMIFS(Dataset!AA:AA,Dataset!F:F,credito!$D$11,Dataset!AH:AH,"bono de gobierno",Dataset!T:T,"$",Dataset!J:J,"&lt;"&amp;$D80,Dataset!J:J,"&gt;="&amp;$C80)</f>
        <v>0</v>
      </c>
      <c r="S80" s="83">
        <f>SUMIFS(Dataset!AA:AA,Dataset!F:F,credito!$D$11,Dataset!AH:AH,"bono de gobierno",Dataset!T:T,"UF",Dataset!J:J,"&lt;"&amp;$D80,Dataset!J:J,"&gt;="&amp;$C80)</f>
        <v>0</v>
      </c>
      <c r="T80" s="83">
        <f>SUMIFS(Dataset!AA:AA,Dataset!F:F,credito!$D$11,Dataset!AH:AH,"bono de gobierno",Dataset!T:T,"EU",Dataset!J:J,"&lt;"&amp;$D80,Dataset!J:J,"&gt;="&amp;$C80)</f>
        <v>0</v>
      </c>
      <c r="U80" s="83">
        <f>SUMIFS(Dataset!AA:AA,Dataset!F:F,credito!$D$11,Dataset!AH:AH,"bono de gobierno",Dataset!T:T,"MX",Dataset!J:J,"&lt;"&amp;$D80,Dataset!J:J,"&gt;="&amp;$C80)</f>
        <v>0</v>
      </c>
      <c r="V80" s="83">
        <f>SUMIFS(Dataset!AA:AA,Dataset!F:F,credito!$D$11,Dataset!AH:AH,"bono corporativo",Dataset!T:T,"$",Dataset!J:J,"&lt;"&amp;$D80,Dataset!J:J,"&gt;="&amp;$C80)</f>
        <v>0</v>
      </c>
      <c r="W80" s="83">
        <f>SUMIFS(Dataset!AA:AA,Dataset!F:F,credito!$D$11,Dataset!AH:AH,"bono corporativo",Dataset!T:T,"UF",Dataset!J:J,"&lt;"&amp;$D80,Dataset!J:J,"&gt;="&amp;$C80)</f>
        <v>0</v>
      </c>
      <c r="X80" s="83">
        <f>SUMIFS(Dataset!AA:AA,Dataset!F:F,credito!$D$11,Dataset!AH:AH,"bono corporativo",Dataset!T:T,"US$",Dataset!J:J,"&lt;"&amp;$D80,Dataset!J:J,"&gt;="&amp;$C80)</f>
        <v>0</v>
      </c>
      <c r="Y80" s="83">
        <f>SUMIFS(Dataset!AA:AA,Dataset!F:F,credito!$D$11,Dataset!J:J,"&lt;"&amp;$D80,Dataset!J:J,"&gt;="&amp;$C80,Dataset!AH:AH,"&lt;&gt;bono corporativo",Dataset!AH:AH,"&lt;&gt;bono de gobierno",Dataset!AH:AH,"&lt;&gt;deposito")</f>
        <v>0</v>
      </c>
      <c r="Z80" s="84">
        <f t="shared" si="9"/>
        <v>0</v>
      </c>
      <c r="AB80" s="61">
        <v>135</v>
      </c>
      <c r="AC80" s="100">
        <v>150</v>
      </c>
      <c r="AD80" s="101">
        <f>SUMIFS(Dataset!AJ:AJ,Dataset!F:F,credito!$D$11,Dataset!AH:AH,"deposito",Dataset!T:T,"$",Dataset!J:J,"&lt;"&amp;$AC80/365,Dataset!J:J,"&gt;="&amp;$AB80/365)</f>
        <v>0</v>
      </c>
      <c r="AE80" s="101">
        <f>SUMIFS(Dataset!AJ:AJ,Dataset!F:F,credito!$D$11,Dataset!AH:AH,"deposito",Dataset!T:T,"uf",Dataset!J:J,"&lt;"&amp;$AC80/365,Dataset!J:J,"&gt;="&amp;$AB80/365)</f>
        <v>0</v>
      </c>
      <c r="AF80" s="101">
        <f>SUMIFS(Dataset!AJ:AJ,Dataset!F:F,credito!$D$11,Dataset!AH:AH,"deposito",Dataset!T:T,"us$",Dataset!J:J,"&lt;"&amp;$AC80/365,Dataset!J:J,"&gt;="&amp;$AB80/365)</f>
        <v>0</v>
      </c>
      <c r="AG80" s="101">
        <f>SUMIFS(Dataset!AJ:AJ,Dataset!F:F,credito!$D$11,Dataset!AH:AH,"factura",Dataset!J:J,"&lt;"&amp;$AC80/365,Dataset!J:J,"&gt;="&amp;$AB80/365)</f>
        <v>0</v>
      </c>
      <c r="AH80" s="102">
        <f>SUMIFS(Dataset!AJ:AJ,Dataset!F:F,credito!$D$11,Dataset!AH:AH,"letra hipotecaria",Dataset!J:J,"&lt;"&amp;$AC80/365,Dataset!J:J,"&gt;="&amp;$AB80/365)</f>
        <v>0</v>
      </c>
      <c r="AI80" s="84">
        <f t="shared" si="10"/>
        <v>0</v>
      </c>
    </row>
    <row r="81" spans="2:35" ht="33" customHeight="1" x14ac:dyDescent="0.3">
      <c r="C81" s="61">
        <v>8.5</v>
      </c>
      <c r="D81" s="81">
        <v>9.5</v>
      </c>
      <c r="E81" s="82">
        <f>SUMIFS(Dataset!AJ:AJ,Dataset!F:F,credito!$D$11,Dataset!AH:AH,"deposito",Dataset!T:T,"$",Dataset!J:J,"&lt;"&amp;$D81,Dataset!J:J,"&gt;="&amp;$C81)</f>
        <v>0</v>
      </c>
      <c r="F81" s="83">
        <f>SUMIFS(Dataset!AJ:AJ,Dataset!F:F,credito!$D$11,Dataset!AH:AH,"deposito",Dataset!T:T,"UF",Dataset!J:J,"&lt;"&amp;$D81,Dataset!J:J,"&gt;="&amp;$C81)</f>
        <v>0</v>
      </c>
      <c r="G81" s="83">
        <f>SUMIFS(Dataset!AJ:AJ,Dataset!F:F,credito!$D$11,Dataset!AH:AH,"bono de gobierno",Dataset!T:T,"$",Dataset!J:J,"&lt;"&amp;$D81,Dataset!J:J,"&gt;="&amp;$C81)</f>
        <v>0</v>
      </c>
      <c r="H81" s="83">
        <f>SUMIFS(Dataset!AJ:AJ,Dataset!F:F,credito!$D$11,Dataset!AH:AH,"bono de gobierno",Dataset!T:T,"UF",Dataset!J:J,"&lt;"&amp;$D81,Dataset!J:J,"&gt;="&amp;$C81)</f>
        <v>0</v>
      </c>
      <c r="I81" s="83">
        <f>SUMIFS(Dataset!AJ:AJ,Dataset!F:F,credito!$D$11,Dataset!AH:AH,"bono de gobierno",Dataset!T:T,"eu",Dataset!J:J,"&lt;"&amp;$D81,Dataset!J:J,"&gt;="&amp;$C81)</f>
        <v>0</v>
      </c>
      <c r="J81" s="83">
        <f>SUMIFS(Dataset!AJ:AJ,Dataset!F:F,credito!$D$11,Dataset!AH:AH,"bono de gobierno",Dataset!T:T,"mx",Dataset!J:J,"&lt;"&amp;$D81,Dataset!J:J,"&gt;="&amp;$C81)</f>
        <v>0</v>
      </c>
      <c r="K81" s="83">
        <f>SUMIFS(Dataset!AJ:AJ,Dataset!F:F,credito!$D$11,Dataset!AH:AH,"bono corporativo",Dataset!T:T,"$",Dataset!J:J,"&lt;"&amp;$D81,Dataset!J:J,"&gt;="&amp;$C81)</f>
        <v>0</v>
      </c>
      <c r="L81" s="83">
        <f>SUMIFS(Dataset!AJ:AJ,Dataset!F:F,credito!$D$11,Dataset!AH:AH,"bono corporativo",Dataset!T:T,"UF",Dataset!J:J,"&lt;"&amp;$D81,Dataset!J:J,"&gt;="&amp;$C81)</f>
        <v>0</v>
      </c>
      <c r="M81" s="83">
        <f>SUMIFS(Dataset!AJ:AJ,Dataset!F:F,credito!$D$11,Dataset!AH:AH,"bono corporativo",Dataset!T:T,"US$",Dataset!J:J,"&lt;"&amp;$D81,Dataset!J:J,"&gt;="&amp;$C81)</f>
        <v>0</v>
      </c>
      <c r="N81" s="83">
        <f>SUMIFS(Dataset!AJ:AJ,Dataset!F:F,credito!$D$11,Dataset!J:J,"&lt;"&amp;$D81,Dataset!J:J,"&gt;="&amp;$C81,Dataset!AH:AH,"&lt;&gt;bono corporativo",Dataset!AH:AH,"&lt;&gt;bono de gobierno",Dataset!AH:AH,"&lt;&gt;deposito")</f>
        <v>0</v>
      </c>
      <c r="O81" s="84">
        <f t="shared" si="8"/>
        <v>0</v>
      </c>
      <c r="P81" s="82">
        <f>SUMIFS(Dataset!AA:AA,Dataset!F:F,credito!$D$11,Dataset!AH:AH,"deposito",Dataset!T:T,"$",Dataset!J:J,"&lt;"&amp;$D81,Dataset!J:J,"&gt;="&amp;$C81)</f>
        <v>0</v>
      </c>
      <c r="Q81" s="83">
        <f>SUMIFS(Dataset!AA:AA,Dataset!F:F,credito!$D$11,Dataset!AH:AH,"deposito",Dataset!T:T,"UF",Dataset!J:J,"&lt;"&amp;$D81,Dataset!J:J,"&gt;="&amp;$C81)</f>
        <v>0</v>
      </c>
      <c r="R81" s="83">
        <f>SUMIFS(Dataset!AA:AA,Dataset!F:F,credito!$D$11,Dataset!AH:AH,"bono de gobierno",Dataset!T:T,"$",Dataset!J:J,"&lt;"&amp;$D81,Dataset!J:J,"&gt;="&amp;$C81)</f>
        <v>0</v>
      </c>
      <c r="S81" s="83">
        <f>SUMIFS(Dataset!AA:AA,Dataset!F:F,credito!$D$11,Dataset!AH:AH,"bono de gobierno",Dataset!T:T,"UF",Dataset!J:J,"&lt;"&amp;$D81,Dataset!J:J,"&gt;="&amp;$C81)</f>
        <v>0</v>
      </c>
      <c r="T81" s="83">
        <f>SUMIFS(Dataset!AA:AA,Dataset!F:F,credito!$D$11,Dataset!AH:AH,"bono de gobierno",Dataset!T:T,"EU",Dataset!J:J,"&lt;"&amp;$D81,Dataset!J:J,"&gt;="&amp;$C81)</f>
        <v>0</v>
      </c>
      <c r="U81" s="83">
        <f>SUMIFS(Dataset!AA:AA,Dataset!F:F,credito!$D$11,Dataset!AH:AH,"bono de gobierno",Dataset!T:T,"MX",Dataset!J:J,"&lt;"&amp;$D81,Dataset!J:J,"&gt;="&amp;$C81)</f>
        <v>0</v>
      </c>
      <c r="V81" s="83">
        <f>SUMIFS(Dataset!AA:AA,Dataset!F:F,credito!$D$11,Dataset!AH:AH,"bono corporativo",Dataset!T:T,"$",Dataset!J:J,"&lt;"&amp;$D81,Dataset!J:J,"&gt;="&amp;$C81)</f>
        <v>0</v>
      </c>
      <c r="W81" s="83">
        <f>SUMIFS(Dataset!AA:AA,Dataset!F:F,credito!$D$11,Dataset!AH:AH,"bono corporativo",Dataset!T:T,"UF",Dataset!J:J,"&lt;"&amp;$D81,Dataset!J:J,"&gt;="&amp;$C81)</f>
        <v>0</v>
      </c>
      <c r="X81" s="83">
        <f>SUMIFS(Dataset!AA:AA,Dataset!F:F,credito!$D$11,Dataset!AH:AH,"bono corporativo",Dataset!T:T,"US$",Dataset!J:J,"&lt;"&amp;$D81,Dataset!J:J,"&gt;="&amp;$C81)</f>
        <v>0</v>
      </c>
      <c r="Y81" s="83">
        <f>SUMIFS(Dataset!AA:AA,Dataset!F:F,credito!$D$11,Dataset!J:J,"&lt;"&amp;$D81,Dataset!J:J,"&gt;="&amp;$C81,Dataset!AH:AH,"&lt;&gt;bono corporativo",Dataset!AH:AH,"&lt;&gt;bono de gobierno",Dataset!AH:AH,"&lt;&gt;deposito")</f>
        <v>0</v>
      </c>
      <c r="Z81" s="84">
        <f t="shared" si="9"/>
        <v>0</v>
      </c>
      <c r="AB81" s="61">
        <v>150</v>
      </c>
      <c r="AC81" s="100">
        <v>165</v>
      </c>
      <c r="AD81" s="101">
        <f>SUMIFS(Dataset!AJ:AJ,Dataset!F:F,credito!$D$11,Dataset!AH:AH,"deposito",Dataset!T:T,"$",Dataset!J:J,"&lt;"&amp;$AC81/365,Dataset!J:J,"&gt;="&amp;$AB81/365)</f>
        <v>0</v>
      </c>
      <c r="AE81" s="101">
        <f>SUMIFS(Dataset!AJ:AJ,Dataset!F:F,credito!$D$11,Dataset!AH:AH,"deposito",Dataset!T:T,"uf",Dataset!J:J,"&lt;"&amp;$AC81/365,Dataset!J:J,"&gt;="&amp;$AB81/365)</f>
        <v>0</v>
      </c>
      <c r="AF81" s="101">
        <f>SUMIFS(Dataset!AJ:AJ,Dataset!F:F,credito!$D$11,Dataset!AH:AH,"deposito",Dataset!T:T,"us$",Dataset!J:J,"&lt;"&amp;$AC81/365,Dataset!J:J,"&gt;="&amp;$AB81/365)</f>
        <v>0</v>
      </c>
      <c r="AG81" s="101">
        <f>SUMIFS(Dataset!AJ:AJ,Dataset!F:F,credito!$D$11,Dataset!AH:AH,"factura",Dataset!J:J,"&lt;"&amp;$AC81/365,Dataset!J:J,"&gt;="&amp;$AB81/365)</f>
        <v>0</v>
      </c>
      <c r="AH81" s="102">
        <f>SUMIFS(Dataset!AJ:AJ,Dataset!F:F,credito!$D$11,Dataset!AH:AH,"letra hipotecaria",Dataset!J:J,"&lt;"&amp;$AC81/365,Dataset!J:J,"&gt;="&amp;$AB81/365)</f>
        <v>0</v>
      </c>
      <c r="AI81" s="84">
        <f t="shared" si="10"/>
        <v>0</v>
      </c>
    </row>
    <row r="82" spans="2:35" ht="33" customHeight="1" x14ac:dyDescent="0.3">
      <c r="C82" s="61">
        <v>9.5</v>
      </c>
      <c r="D82" s="81">
        <v>10.5</v>
      </c>
      <c r="E82" s="82">
        <f>SUMIFS(Dataset!AJ:AJ,Dataset!F:F,credito!$D$11,Dataset!AH:AH,"deposito",Dataset!T:T,"$",Dataset!J:J,"&lt;"&amp;$D82,Dataset!J:J,"&gt;="&amp;$C82)</f>
        <v>0</v>
      </c>
      <c r="F82" s="83">
        <f>SUMIFS(Dataset!AJ:AJ,Dataset!F:F,credito!$D$11,Dataset!AH:AH,"deposito",Dataset!T:T,"UF",Dataset!J:J,"&lt;"&amp;$D82,Dataset!J:J,"&gt;="&amp;$C82)</f>
        <v>0</v>
      </c>
      <c r="G82" s="83">
        <f>SUMIFS(Dataset!AJ:AJ,Dataset!F:F,credito!$D$11,Dataset!AH:AH,"bono de gobierno",Dataset!T:T,"$",Dataset!J:J,"&lt;"&amp;$D82,Dataset!J:J,"&gt;="&amp;$C82)</f>
        <v>0</v>
      </c>
      <c r="H82" s="83">
        <f>SUMIFS(Dataset!AJ:AJ,Dataset!F:F,credito!$D$11,Dataset!AH:AH,"bono de gobierno",Dataset!T:T,"UF",Dataset!J:J,"&lt;"&amp;$D82,Dataset!J:J,"&gt;="&amp;$C82)</f>
        <v>0</v>
      </c>
      <c r="I82" s="83">
        <f>SUMIFS(Dataset!AJ:AJ,Dataset!F:F,credito!$D$11,Dataset!AH:AH,"bono de gobierno",Dataset!T:T,"eu",Dataset!J:J,"&lt;"&amp;$D82,Dataset!J:J,"&gt;="&amp;$C82)</f>
        <v>0</v>
      </c>
      <c r="J82" s="83">
        <f>SUMIFS(Dataset!AJ:AJ,Dataset!F:F,credito!$D$11,Dataset!AH:AH,"bono de gobierno",Dataset!T:T,"mx",Dataset!J:J,"&lt;"&amp;$D82,Dataset!J:J,"&gt;="&amp;$C82)</f>
        <v>0</v>
      </c>
      <c r="K82" s="83">
        <f>SUMIFS(Dataset!AJ:AJ,Dataset!F:F,credito!$D$11,Dataset!AH:AH,"bono corporativo",Dataset!T:T,"$",Dataset!J:J,"&lt;"&amp;$D82,Dataset!J:J,"&gt;="&amp;$C82)</f>
        <v>0</v>
      </c>
      <c r="L82" s="83">
        <f>SUMIFS(Dataset!AJ:AJ,Dataset!F:F,credito!$D$11,Dataset!AH:AH,"bono corporativo",Dataset!T:T,"UF",Dataset!J:J,"&lt;"&amp;$D82,Dataset!J:J,"&gt;="&amp;$C82)</f>
        <v>0</v>
      </c>
      <c r="M82" s="83">
        <f>SUMIFS(Dataset!AJ:AJ,Dataset!F:F,credito!$D$11,Dataset!AH:AH,"bono corporativo",Dataset!T:T,"US$",Dataset!J:J,"&lt;"&amp;$D82,Dataset!J:J,"&gt;="&amp;$C82)</f>
        <v>0</v>
      </c>
      <c r="N82" s="83">
        <f>SUMIFS(Dataset!AJ:AJ,Dataset!F:F,credito!$D$11,Dataset!J:J,"&lt;"&amp;$D82,Dataset!J:J,"&gt;="&amp;$C82,Dataset!AH:AH,"&lt;&gt;bono corporativo",Dataset!AH:AH,"&lt;&gt;bono de gobierno",Dataset!AH:AH,"&lt;&gt;deposito")</f>
        <v>0</v>
      </c>
      <c r="O82" s="84">
        <f t="shared" si="8"/>
        <v>0</v>
      </c>
      <c r="P82" s="82">
        <f>SUMIFS(Dataset!AA:AA,Dataset!F:F,credito!$D$11,Dataset!AH:AH,"deposito",Dataset!T:T,"$",Dataset!J:J,"&lt;"&amp;$D82,Dataset!J:J,"&gt;="&amp;$C82)</f>
        <v>0</v>
      </c>
      <c r="Q82" s="83">
        <f>SUMIFS(Dataset!AA:AA,Dataset!F:F,credito!$D$11,Dataset!AH:AH,"deposito",Dataset!T:T,"UF",Dataset!J:J,"&lt;"&amp;$D82,Dataset!J:J,"&gt;="&amp;$C82)</f>
        <v>0</v>
      </c>
      <c r="R82" s="83">
        <f>SUMIFS(Dataset!AA:AA,Dataset!F:F,credito!$D$11,Dataset!AH:AH,"bono de gobierno",Dataset!T:T,"$",Dataset!J:J,"&lt;"&amp;$D82,Dataset!J:J,"&gt;="&amp;$C82)</f>
        <v>0</v>
      </c>
      <c r="S82" s="83">
        <f>SUMIFS(Dataset!AA:AA,Dataset!F:F,credito!$D$11,Dataset!AH:AH,"bono de gobierno",Dataset!T:T,"UF",Dataset!J:J,"&lt;"&amp;$D82,Dataset!J:J,"&gt;="&amp;$C82)</f>
        <v>0</v>
      </c>
      <c r="T82" s="83">
        <f>SUMIFS(Dataset!AA:AA,Dataset!F:F,credito!$D$11,Dataset!AH:AH,"bono de gobierno",Dataset!T:T,"EU",Dataset!J:J,"&lt;"&amp;$D82,Dataset!J:J,"&gt;="&amp;$C82)</f>
        <v>0</v>
      </c>
      <c r="U82" s="83">
        <f>SUMIFS(Dataset!AA:AA,Dataset!F:F,credito!$D$11,Dataset!AH:AH,"bono de gobierno",Dataset!T:T,"MX",Dataset!J:J,"&lt;"&amp;$D82,Dataset!J:J,"&gt;="&amp;$C82)</f>
        <v>0</v>
      </c>
      <c r="V82" s="83">
        <f>SUMIFS(Dataset!AA:AA,Dataset!F:F,credito!$D$11,Dataset!AH:AH,"bono corporativo",Dataset!T:T,"$",Dataset!J:J,"&lt;"&amp;$D82,Dataset!J:J,"&gt;="&amp;$C82)</f>
        <v>0</v>
      </c>
      <c r="W82" s="83">
        <f>SUMIFS(Dataset!AA:AA,Dataset!F:F,credito!$D$11,Dataset!AH:AH,"bono corporativo",Dataset!T:T,"UF",Dataset!J:J,"&lt;"&amp;$D82,Dataset!J:J,"&gt;="&amp;$C82)</f>
        <v>0</v>
      </c>
      <c r="X82" s="83">
        <f>SUMIFS(Dataset!AA:AA,Dataset!F:F,credito!$D$11,Dataset!AH:AH,"bono corporativo",Dataset!T:T,"US$",Dataset!J:J,"&lt;"&amp;$D82,Dataset!J:J,"&gt;="&amp;$C82)</f>
        <v>0</v>
      </c>
      <c r="Y82" s="83">
        <f>SUMIFS(Dataset!AA:AA,Dataset!F:F,credito!$D$11,Dataset!J:J,"&lt;"&amp;$D82,Dataset!J:J,"&gt;="&amp;$C82,Dataset!AH:AH,"&lt;&gt;bono corporativo",Dataset!AH:AH,"&lt;&gt;bono de gobierno",Dataset!AH:AH,"&lt;&gt;deposito")</f>
        <v>0</v>
      </c>
      <c r="Z82" s="84">
        <f t="shared" si="9"/>
        <v>0</v>
      </c>
      <c r="AB82" s="61">
        <v>165</v>
      </c>
      <c r="AC82" s="100">
        <v>180</v>
      </c>
      <c r="AD82" s="101">
        <f>SUMIFS(Dataset!AJ:AJ,Dataset!F:F,credito!$D$11,Dataset!AH:AH,"deposito",Dataset!T:T,"$",Dataset!J:J,"&lt;"&amp;$AC82/365,Dataset!J:J,"&gt;="&amp;$AB82/365)</f>
        <v>0</v>
      </c>
      <c r="AE82" s="101">
        <f>SUMIFS(Dataset!AJ:AJ,Dataset!F:F,credito!$D$11,Dataset!AH:AH,"deposito",Dataset!T:T,"uf",Dataset!J:J,"&lt;"&amp;$AC82/365,Dataset!J:J,"&gt;="&amp;$AB82/365)</f>
        <v>0</v>
      </c>
      <c r="AF82" s="101">
        <f>SUMIFS(Dataset!AJ:AJ,Dataset!F:F,credito!$D$11,Dataset!AH:AH,"deposito",Dataset!T:T,"us$",Dataset!J:J,"&lt;"&amp;$AC82/365,Dataset!J:J,"&gt;="&amp;$AB82/365)</f>
        <v>0</v>
      </c>
      <c r="AG82" s="101">
        <f>SUMIFS(Dataset!AJ:AJ,Dataset!F:F,credito!$D$11,Dataset!AH:AH,"factura",Dataset!J:J,"&lt;"&amp;$AC82/365,Dataset!J:J,"&gt;="&amp;$AB82/365)</f>
        <v>0</v>
      </c>
      <c r="AH82" s="102">
        <f>SUMIFS(Dataset!AJ:AJ,Dataset!F:F,credito!$D$11,Dataset!AH:AH,"letra hipotecaria",Dataset!J:J,"&lt;"&amp;$AC82/365,Dataset!J:J,"&gt;="&amp;$AB82/365)</f>
        <v>0</v>
      </c>
      <c r="AI82" s="84">
        <f t="shared" si="10"/>
        <v>0</v>
      </c>
    </row>
    <row r="83" spans="2:35" ht="33" customHeight="1" x14ac:dyDescent="0.3">
      <c r="C83" s="61">
        <v>10.5</v>
      </c>
      <c r="D83" s="81">
        <v>11.5</v>
      </c>
      <c r="E83" s="82">
        <f>SUMIFS(Dataset!AJ:AJ,Dataset!F:F,credito!$D$11,Dataset!AH:AH,"deposito",Dataset!T:T,"$",Dataset!J:J,"&lt;"&amp;$D83,Dataset!J:J,"&gt;="&amp;$C83)</f>
        <v>0</v>
      </c>
      <c r="F83" s="83">
        <f>SUMIFS(Dataset!AJ:AJ,Dataset!F:F,credito!$D$11,Dataset!AH:AH,"deposito",Dataset!T:T,"UF",Dataset!J:J,"&lt;"&amp;$D83,Dataset!J:J,"&gt;="&amp;$C83)</f>
        <v>0</v>
      </c>
      <c r="G83" s="83">
        <f>SUMIFS(Dataset!AJ:AJ,Dataset!F:F,credito!$D$11,Dataset!AH:AH,"bono de gobierno",Dataset!T:T,"$",Dataset!J:J,"&lt;"&amp;$D83,Dataset!J:J,"&gt;="&amp;$C83)</f>
        <v>0</v>
      </c>
      <c r="H83" s="83">
        <f>SUMIFS(Dataset!AJ:AJ,Dataset!F:F,credito!$D$11,Dataset!AH:AH,"bono de gobierno",Dataset!T:T,"UF",Dataset!J:J,"&lt;"&amp;$D83,Dataset!J:J,"&gt;="&amp;$C83)</f>
        <v>0</v>
      </c>
      <c r="I83" s="83">
        <f>SUMIFS(Dataset!AJ:AJ,Dataset!F:F,credito!$D$11,Dataset!AH:AH,"bono de gobierno",Dataset!T:T,"eu",Dataset!J:J,"&lt;"&amp;$D83,Dataset!J:J,"&gt;="&amp;$C83)</f>
        <v>0</v>
      </c>
      <c r="J83" s="83">
        <f>SUMIFS(Dataset!AJ:AJ,Dataset!F:F,credito!$D$11,Dataset!AH:AH,"bono de gobierno",Dataset!T:T,"mx",Dataset!J:J,"&lt;"&amp;$D83,Dataset!J:J,"&gt;="&amp;$C83)</f>
        <v>0</v>
      </c>
      <c r="K83" s="83">
        <f>SUMIFS(Dataset!AJ:AJ,Dataset!F:F,credito!$D$11,Dataset!AH:AH,"bono corporativo",Dataset!T:T,"$",Dataset!J:J,"&lt;"&amp;$D83,Dataset!J:J,"&gt;="&amp;$C83)</f>
        <v>0</v>
      </c>
      <c r="L83" s="83">
        <f>SUMIFS(Dataset!AJ:AJ,Dataset!F:F,credito!$D$11,Dataset!AH:AH,"bono corporativo",Dataset!T:T,"UF",Dataset!J:J,"&lt;"&amp;$D83,Dataset!J:J,"&gt;="&amp;$C83)</f>
        <v>0</v>
      </c>
      <c r="M83" s="83">
        <f>SUMIFS(Dataset!AJ:AJ,Dataset!F:F,credito!$D$11,Dataset!AH:AH,"bono corporativo",Dataset!T:T,"US$",Dataset!J:J,"&lt;"&amp;$D83,Dataset!J:J,"&gt;="&amp;$C83)</f>
        <v>0</v>
      </c>
      <c r="N83" s="83">
        <f>SUMIFS(Dataset!AJ:AJ,Dataset!F:F,credito!$D$11,Dataset!J:J,"&lt;"&amp;$D83,Dataset!J:J,"&gt;="&amp;$C83,Dataset!AH:AH,"&lt;&gt;bono corporativo",Dataset!AH:AH,"&lt;&gt;bono de gobierno",Dataset!AH:AH,"&lt;&gt;deposito")</f>
        <v>0</v>
      </c>
      <c r="O83" s="84">
        <f t="shared" si="8"/>
        <v>0</v>
      </c>
      <c r="P83" s="82">
        <f>SUMIFS(Dataset!AA:AA,Dataset!F:F,credito!$D$11,Dataset!AH:AH,"deposito",Dataset!T:T,"$",Dataset!J:J,"&lt;"&amp;$D83,Dataset!J:J,"&gt;="&amp;$C83)</f>
        <v>0</v>
      </c>
      <c r="Q83" s="83">
        <f>SUMIFS(Dataset!AA:AA,Dataset!F:F,credito!$D$11,Dataset!AH:AH,"deposito",Dataset!T:T,"UF",Dataset!J:J,"&lt;"&amp;$D83,Dataset!J:J,"&gt;="&amp;$C83)</f>
        <v>0</v>
      </c>
      <c r="R83" s="83">
        <f>SUMIFS(Dataset!AA:AA,Dataset!F:F,credito!$D$11,Dataset!AH:AH,"bono de gobierno",Dataset!T:T,"$",Dataset!J:J,"&lt;"&amp;$D83,Dataset!J:J,"&gt;="&amp;$C83)</f>
        <v>0</v>
      </c>
      <c r="S83" s="83">
        <f>SUMIFS(Dataset!AA:AA,Dataset!F:F,credito!$D$11,Dataset!AH:AH,"bono de gobierno",Dataset!T:T,"UF",Dataset!J:J,"&lt;"&amp;$D83,Dataset!J:J,"&gt;="&amp;$C83)</f>
        <v>0</v>
      </c>
      <c r="T83" s="83">
        <f>SUMIFS(Dataset!AA:AA,Dataset!F:F,credito!$D$11,Dataset!AH:AH,"bono de gobierno",Dataset!T:T,"EU",Dataset!J:J,"&lt;"&amp;$D83,Dataset!J:J,"&gt;="&amp;$C83)</f>
        <v>0</v>
      </c>
      <c r="U83" s="83">
        <f>SUMIFS(Dataset!AA:AA,Dataset!F:F,credito!$D$11,Dataset!AH:AH,"bono de gobierno",Dataset!T:T,"MX",Dataset!J:J,"&lt;"&amp;$D83,Dataset!J:J,"&gt;="&amp;$C83)</f>
        <v>0</v>
      </c>
      <c r="V83" s="83">
        <f>SUMIFS(Dataset!AA:AA,Dataset!F:F,credito!$D$11,Dataset!AH:AH,"bono corporativo",Dataset!T:T,"$",Dataset!J:J,"&lt;"&amp;$D83,Dataset!J:J,"&gt;="&amp;$C83)</f>
        <v>0</v>
      </c>
      <c r="W83" s="83">
        <f>SUMIFS(Dataset!AA:AA,Dataset!F:F,credito!$D$11,Dataset!AH:AH,"bono corporativo",Dataset!T:T,"UF",Dataset!J:J,"&lt;"&amp;$D83,Dataset!J:J,"&gt;="&amp;$C83)</f>
        <v>0</v>
      </c>
      <c r="X83" s="83">
        <f>SUMIFS(Dataset!AA:AA,Dataset!F:F,credito!$D$11,Dataset!AH:AH,"bono corporativo",Dataset!T:T,"US$",Dataset!J:J,"&lt;"&amp;$D83,Dataset!J:J,"&gt;="&amp;$C83)</f>
        <v>0</v>
      </c>
      <c r="Y83" s="83">
        <f>SUMIFS(Dataset!AA:AA,Dataset!F:F,credito!$D$11,Dataset!J:J,"&lt;"&amp;$D83,Dataset!J:J,"&gt;="&amp;$C83,Dataset!AH:AH,"&lt;&gt;bono corporativo",Dataset!AH:AH,"&lt;&gt;bono de gobierno",Dataset!AH:AH,"&lt;&gt;deposito")</f>
        <v>0</v>
      </c>
      <c r="Z83" s="84">
        <f t="shared" si="9"/>
        <v>0</v>
      </c>
      <c r="AB83" s="61">
        <v>180</v>
      </c>
      <c r="AC83" s="100">
        <v>195</v>
      </c>
      <c r="AD83" s="101">
        <f>SUMIFS(Dataset!AJ:AJ,Dataset!F:F,credito!$D$11,Dataset!AH:AH,"deposito",Dataset!T:T,"$",Dataset!J:J,"&lt;"&amp;$AC83/365,Dataset!J:J,"&gt;="&amp;$AB83/365)</f>
        <v>0</v>
      </c>
      <c r="AE83" s="101">
        <f>SUMIFS(Dataset!AJ:AJ,Dataset!F:F,credito!$D$11,Dataset!AH:AH,"deposito",Dataset!T:T,"uf",Dataset!J:J,"&lt;"&amp;$AC83/365,Dataset!J:J,"&gt;="&amp;$AB83/365)</f>
        <v>0</v>
      </c>
      <c r="AF83" s="101">
        <f>SUMIFS(Dataset!AJ:AJ,Dataset!F:F,credito!$D$11,Dataset!AH:AH,"deposito",Dataset!T:T,"us$",Dataset!J:J,"&lt;"&amp;$AC83/365,Dataset!J:J,"&gt;="&amp;$AB83/365)</f>
        <v>0</v>
      </c>
      <c r="AG83" s="101">
        <f>SUMIFS(Dataset!AJ:AJ,Dataset!F:F,credito!$D$11,Dataset!AH:AH,"factura",Dataset!J:J,"&lt;"&amp;$AC83/365,Dataset!J:J,"&gt;="&amp;$AB83/365)</f>
        <v>0</v>
      </c>
      <c r="AH83" s="102">
        <f>SUMIFS(Dataset!AJ:AJ,Dataset!F:F,credito!$D$11,Dataset!AH:AH,"letra hipotecaria",Dataset!J:J,"&lt;"&amp;$AC83/365,Dataset!J:J,"&gt;="&amp;$AB83/365)</f>
        <v>0</v>
      </c>
      <c r="AI83" s="84">
        <f t="shared" si="10"/>
        <v>0</v>
      </c>
    </row>
    <row r="84" spans="2:35" ht="33" customHeight="1" x14ac:dyDescent="0.3">
      <c r="C84" s="61">
        <v>11.5</v>
      </c>
      <c r="D84" s="81">
        <v>12.5</v>
      </c>
      <c r="E84" s="82">
        <f>SUMIFS(Dataset!AJ:AJ,Dataset!F:F,credito!$D$11,Dataset!AH:AH,"deposito",Dataset!T:T,"$",Dataset!J:J,"&lt;"&amp;$D84,Dataset!J:J,"&gt;="&amp;$C84)</f>
        <v>0</v>
      </c>
      <c r="F84" s="83">
        <f>SUMIFS(Dataset!AJ:AJ,Dataset!F:F,credito!$D$11,Dataset!AH:AH,"deposito",Dataset!T:T,"UF",Dataset!J:J,"&lt;"&amp;$D84,Dataset!J:J,"&gt;="&amp;$C84)</f>
        <v>0</v>
      </c>
      <c r="G84" s="83">
        <f>SUMIFS(Dataset!AJ:AJ,Dataset!F:F,credito!$D$11,Dataset!AH:AH,"bono de gobierno",Dataset!T:T,"$",Dataset!J:J,"&lt;"&amp;$D84,Dataset!J:J,"&gt;="&amp;$C84)</f>
        <v>0</v>
      </c>
      <c r="H84" s="83">
        <f>SUMIFS(Dataset!AJ:AJ,Dataset!F:F,credito!$D$11,Dataset!AH:AH,"bono de gobierno",Dataset!T:T,"UF",Dataset!J:J,"&lt;"&amp;$D84,Dataset!J:J,"&gt;="&amp;$C84)</f>
        <v>0</v>
      </c>
      <c r="I84" s="83">
        <f>SUMIFS(Dataset!AJ:AJ,Dataset!F:F,credito!$D$11,Dataset!AH:AH,"bono de gobierno",Dataset!T:T,"eu",Dataset!J:J,"&lt;"&amp;$D84,Dataset!J:J,"&gt;="&amp;$C84)</f>
        <v>0</v>
      </c>
      <c r="J84" s="83">
        <f>SUMIFS(Dataset!AJ:AJ,Dataset!F:F,credito!$D$11,Dataset!AH:AH,"bono de gobierno",Dataset!T:T,"mx",Dataset!J:J,"&lt;"&amp;$D84,Dataset!J:J,"&gt;="&amp;$C84)</f>
        <v>0</v>
      </c>
      <c r="K84" s="83">
        <f>SUMIFS(Dataset!AJ:AJ,Dataset!F:F,credito!$D$11,Dataset!AH:AH,"bono corporativo",Dataset!T:T,"$",Dataset!J:J,"&lt;"&amp;$D84,Dataset!J:J,"&gt;="&amp;$C84)</f>
        <v>0</v>
      </c>
      <c r="L84" s="83">
        <f>SUMIFS(Dataset!AJ:AJ,Dataset!F:F,credito!$D$11,Dataset!AH:AH,"bono corporativo",Dataset!T:T,"UF",Dataset!J:J,"&lt;"&amp;$D84,Dataset!J:J,"&gt;="&amp;$C84)</f>
        <v>0</v>
      </c>
      <c r="M84" s="83">
        <f>SUMIFS(Dataset!AJ:AJ,Dataset!F:F,credito!$D$11,Dataset!AH:AH,"bono corporativo",Dataset!T:T,"US$",Dataset!J:J,"&lt;"&amp;$D84,Dataset!J:J,"&gt;="&amp;$C84)</f>
        <v>0</v>
      </c>
      <c r="N84" s="83">
        <f>SUMIFS(Dataset!AJ:AJ,Dataset!F:F,credito!$D$11,Dataset!J:J,"&lt;"&amp;$D84,Dataset!J:J,"&gt;="&amp;$C84,Dataset!AH:AH,"&lt;&gt;bono corporativo",Dataset!AH:AH,"&lt;&gt;bono de gobierno",Dataset!AH:AH,"&lt;&gt;deposito")</f>
        <v>0</v>
      </c>
      <c r="O84" s="84">
        <f t="shared" si="8"/>
        <v>0</v>
      </c>
      <c r="P84" s="82">
        <f>SUMIFS(Dataset!AA:AA,Dataset!F:F,credito!$D$11,Dataset!AH:AH,"deposito",Dataset!T:T,"$",Dataset!J:J,"&lt;"&amp;$D84,Dataset!J:J,"&gt;="&amp;$C84)</f>
        <v>0</v>
      </c>
      <c r="Q84" s="83">
        <f>SUMIFS(Dataset!AA:AA,Dataset!F:F,credito!$D$11,Dataset!AH:AH,"deposito",Dataset!T:T,"UF",Dataset!J:J,"&lt;"&amp;$D84,Dataset!J:J,"&gt;="&amp;$C84)</f>
        <v>0</v>
      </c>
      <c r="R84" s="83">
        <f>SUMIFS(Dataset!AA:AA,Dataset!F:F,credito!$D$11,Dataset!AH:AH,"bono de gobierno",Dataset!T:T,"$",Dataset!J:J,"&lt;"&amp;$D84,Dataset!J:J,"&gt;="&amp;$C84)</f>
        <v>0</v>
      </c>
      <c r="S84" s="83">
        <f>SUMIFS(Dataset!AA:AA,Dataset!F:F,credito!$D$11,Dataset!AH:AH,"bono de gobierno",Dataset!T:T,"UF",Dataset!J:J,"&lt;"&amp;$D84,Dataset!J:J,"&gt;="&amp;$C84)</f>
        <v>0</v>
      </c>
      <c r="T84" s="83">
        <f>SUMIFS(Dataset!AA:AA,Dataset!F:F,credito!$D$11,Dataset!AH:AH,"bono de gobierno",Dataset!T:T,"EU",Dataset!J:J,"&lt;"&amp;$D84,Dataset!J:J,"&gt;="&amp;$C84)</f>
        <v>0</v>
      </c>
      <c r="U84" s="83">
        <f>SUMIFS(Dataset!AA:AA,Dataset!F:F,credito!$D$11,Dataset!AH:AH,"bono de gobierno",Dataset!T:T,"MX",Dataset!J:J,"&lt;"&amp;$D84,Dataset!J:J,"&gt;="&amp;$C84)</f>
        <v>0</v>
      </c>
      <c r="V84" s="83">
        <f>SUMIFS(Dataset!AA:AA,Dataset!F:F,credito!$D$11,Dataset!AH:AH,"bono corporativo",Dataset!T:T,"$",Dataset!J:J,"&lt;"&amp;$D84,Dataset!J:J,"&gt;="&amp;$C84)</f>
        <v>0</v>
      </c>
      <c r="W84" s="83">
        <f>SUMIFS(Dataset!AA:AA,Dataset!F:F,credito!$D$11,Dataset!AH:AH,"bono corporativo",Dataset!T:T,"UF",Dataset!J:J,"&lt;"&amp;$D84,Dataset!J:J,"&gt;="&amp;$C84)</f>
        <v>0</v>
      </c>
      <c r="X84" s="83">
        <f>SUMIFS(Dataset!AA:AA,Dataset!F:F,credito!$D$11,Dataset!AH:AH,"bono corporativo",Dataset!T:T,"US$",Dataset!J:J,"&lt;"&amp;$D84,Dataset!J:J,"&gt;="&amp;$C84)</f>
        <v>0</v>
      </c>
      <c r="Y84" s="83">
        <f>SUMIFS(Dataset!AA:AA,Dataset!F:F,credito!$D$11,Dataset!J:J,"&lt;"&amp;$D84,Dataset!J:J,"&gt;="&amp;$C84,Dataset!AH:AH,"&lt;&gt;bono corporativo",Dataset!AH:AH,"&lt;&gt;bono de gobierno",Dataset!AH:AH,"&lt;&gt;deposito")</f>
        <v>0</v>
      </c>
      <c r="Z84" s="84">
        <f t="shared" si="9"/>
        <v>0</v>
      </c>
      <c r="AB84" s="61">
        <v>195</v>
      </c>
      <c r="AC84" s="100">
        <v>210</v>
      </c>
      <c r="AD84" s="101">
        <f>SUMIFS(Dataset!AJ:AJ,Dataset!F:F,credito!$D$11,Dataset!AH:AH,"deposito",Dataset!T:T,"$",Dataset!J:J,"&lt;"&amp;$AC84/365,Dataset!J:J,"&gt;="&amp;$AB84/365)</f>
        <v>0</v>
      </c>
      <c r="AE84" s="101">
        <f>SUMIFS(Dataset!AJ:AJ,Dataset!F:F,credito!$D$11,Dataset!AH:AH,"deposito",Dataset!T:T,"uf",Dataset!J:J,"&lt;"&amp;$AC84/365,Dataset!J:J,"&gt;="&amp;$AB84/365)</f>
        <v>0</v>
      </c>
      <c r="AF84" s="101">
        <f>SUMIFS(Dataset!AJ:AJ,Dataset!F:F,credito!$D$11,Dataset!AH:AH,"deposito",Dataset!T:T,"us$",Dataset!J:J,"&lt;"&amp;$AC84/365,Dataset!J:J,"&gt;="&amp;$AB84/365)</f>
        <v>0</v>
      </c>
      <c r="AG84" s="101">
        <f>SUMIFS(Dataset!AJ:AJ,Dataset!F:F,credito!$D$11,Dataset!AH:AH,"factura",Dataset!J:J,"&lt;"&amp;$AC84/365,Dataset!J:J,"&gt;="&amp;$AB84/365)</f>
        <v>0</v>
      </c>
      <c r="AH84" s="102">
        <f>SUMIFS(Dataset!AJ:AJ,Dataset!F:F,credito!$D$11,Dataset!AH:AH,"letra hipotecaria",Dataset!J:J,"&lt;"&amp;$AC84/365,Dataset!J:J,"&gt;="&amp;$AB84/365)</f>
        <v>0</v>
      </c>
      <c r="AI84" s="84">
        <f t="shared" si="10"/>
        <v>0</v>
      </c>
    </row>
    <row r="85" spans="2:35" ht="33" customHeight="1" x14ac:dyDescent="0.3">
      <c r="C85" s="61">
        <v>12.5</v>
      </c>
      <c r="D85" s="81">
        <v>13.5</v>
      </c>
      <c r="E85" s="82">
        <f>SUMIFS(Dataset!AJ:AJ,Dataset!F:F,credito!$D$11,Dataset!AH:AH,"deposito",Dataset!T:T,"$",Dataset!J:J,"&lt;"&amp;$D85,Dataset!J:J,"&gt;="&amp;$C85)</f>
        <v>0</v>
      </c>
      <c r="F85" s="83">
        <f>SUMIFS(Dataset!AJ:AJ,Dataset!F:F,credito!$D$11,Dataset!AH:AH,"deposito",Dataset!T:T,"UF",Dataset!J:J,"&lt;"&amp;$D85,Dataset!J:J,"&gt;="&amp;$C85)</f>
        <v>0</v>
      </c>
      <c r="G85" s="83">
        <f>SUMIFS(Dataset!AJ:AJ,Dataset!F:F,credito!$D$11,Dataset!AH:AH,"bono de gobierno",Dataset!T:T,"$",Dataset!J:J,"&lt;"&amp;$D85,Dataset!J:J,"&gt;="&amp;$C85)</f>
        <v>0</v>
      </c>
      <c r="H85" s="83">
        <f>SUMIFS(Dataset!AJ:AJ,Dataset!F:F,credito!$D$11,Dataset!AH:AH,"bono de gobierno",Dataset!T:T,"UF",Dataset!J:J,"&lt;"&amp;$D85,Dataset!J:J,"&gt;="&amp;$C85)</f>
        <v>0</v>
      </c>
      <c r="I85" s="83">
        <f>SUMIFS(Dataset!AJ:AJ,Dataset!F:F,credito!$D$11,Dataset!AH:AH,"bono de gobierno",Dataset!T:T,"eu",Dataset!J:J,"&lt;"&amp;$D85,Dataset!J:J,"&gt;="&amp;$C85)</f>
        <v>0</v>
      </c>
      <c r="J85" s="83">
        <f>SUMIFS(Dataset!AJ:AJ,Dataset!F:F,credito!$D$11,Dataset!AH:AH,"bono de gobierno",Dataset!T:T,"mx",Dataset!J:J,"&lt;"&amp;$D85,Dataset!J:J,"&gt;="&amp;$C85)</f>
        <v>0</v>
      </c>
      <c r="K85" s="83">
        <f>SUMIFS(Dataset!AJ:AJ,Dataset!F:F,credito!$D$11,Dataset!AH:AH,"bono corporativo",Dataset!T:T,"$",Dataset!J:J,"&lt;"&amp;$D85,Dataset!J:J,"&gt;="&amp;$C85)</f>
        <v>0</v>
      </c>
      <c r="L85" s="83">
        <f>SUMIFS(Dataset!AJ:AJ,Dataset!F:F,credito!$D$11,Dataset!AH:AH,"bono corporativo",Dataset!T:T,"UF",Dataset!J:J,"&lt;"&amp;$D85,Dataset!J:J,"&gt;="&amp;$C85)</f>
        <v>0</v>
      </c>
      <c r="M85" s="83">
        <f>SUMIFS(Dataset!AJ:AJ,Dataset!F:F,credito!$D$11,Dataset!AH:AH,"bono corporativo",Dataset!T:T,"US$",Dataset!J:J,"&lt;"&amp;$D85,Dataset!J:J,"&gt;="&amp;$C85)</f>
        <v>0</v>
      </c>
      <c r="N85" s="83">
        <f>SUMIFS(Dataset!AJ:AJ,Dataset!F:F,credito!$D$11,Dataset!J:J,"&lt;"&amp;$D85,Dataset!J:J,"&gt;="&amp;$C85,Dataset!AH:AH,"&lt;&gt;bono corporativo",Dataset!AH:AH,"&lt;&gt;bono de gobierno",Dataset!AH:AH,"&lt;&gt;deposito")</f>
        <v>0</v>
      </c>
      <c r="O85" s="84">
        <f t="shared" si="8"/>
        <v>0</v>
      </c>
      <c r="P85" s="82">
        <f>SUMIFS(Dataset!AA:AA,Dataset!F:F,credito!$D$11,Dataset!AH:AH,"deposito",Dataset!T:T,"$",Dataset!J:J,"&lt;"&amp;$D85,Dataset!J:J,"&gt;="&amp;$C85)</f>
        <v>0</v>
      </c>
      <c r="Q85" s="83">
        <f>SUMIFS(Dataset!AA:AA,Dataset!F:F,credito!$D$11,Dataset!AH:AH,"deposito",Dataset!T:T,"UF",Dataset!J:J,"&lt;"&amp;$D85,Dataset!J:J,"&gt;="&amp;$C85)</f>
        <v>0</v>
      </c>
      <c r="R85" s="83">
        <f>SUMIFS(Dataset!AA:AA,Dataset!F:F,credito!$D$11,Dataset!AH:AH,"bono de gobierno",Dataset!T:T,"$",Dataset!J:J,"&lt;"&amp;$D85,Dataset!J:J,"&gt;="&amp;$C85)</f>
        <v>0</v>
      </c>
      <c r="S85" s="83">
        <f>SUMIFS(Dataset!AA:AA,Dataset!F:F,credito!$D$11,Dataset!AH:AH,"bono de gobierno",Dataset!T:T,"UF",Dataset!J:J,"&lt;"&amp;$D85,Dataset!J:J,"&gt;="&amp;$C85)</f>
        <v>0</v>
      </c>
      <c r="T85" s="83">
        <f>SUMIFS(Dataset!AA:AA,Dataset!F:F,credito!$D$11,Dataset!AH:AH,"bono de gobierno",Dataset!T:T,"EU",Dataset!J:J,"&lt;"&amp;$D85,Dataset!J:J,"&gt;="&amp;$C85)</f>
        <v>0</v>
      </c>
      <c r="U85" s="83">
        <f>SUMIFS(Dataset!AA:AA,Dataset!F:F,credito!$D$11,Dataset!AH:AH,"bono de gobierno",Dataset!T:T,"MX",Dataset!J:J,"&lt;"&amp;$D85,Dataset!J:J,"&gt;="&amp;$C85)</f>
        <v>0</v>
      </c>
      <c r="V85" s="83">
        <f>SUMIFS(Dataset!AA:AA,Dataset!F:F,credito!$D$11,Dataset!AH:AH,"bono corporativo",Dataset!T:T,"$",Dataset!J:J,"&lt;"&amp;$D85,Dataset!J:J,"&gt;="&amp;$C85)</f>
        <v>0</v>
      </c>
      <c r="W85" s="83">
        <f>SUMIFS(Dataset!AA:AA,Dataset!F:F,credito!$D$11,Dataset!AH:AH,"bono corporativo",Dataset!T:T,"UF",Dataset!J:J,"&lt;"&amp;$D85,Dataset!J:J,"&gt;="&amp;$C85)</f>
        <v>0</v>
      </c>
      <c r="X85" s="83">
        <f>SUMIFS(Dataset!AA:AA,Dataset!F:F,credito!$D$11,Dataset!AH:AH,"bono corporativo",Dataset!T:T,"US$",Dataset!J:J,"&lt;"&amp;$D85,Dataset!J:J,"&gt;="&amp;$C85)</f>
        <v>0</v>
      </c>
      <c r="Y85" s="83">
        <f>SUMIFS(Dataset!AA:AA,Dataset!F:F,credito!$D$11,Dataset!J:J,"&lt;"&amp;$D85,Dataset!J:J,"&gt;="&amp;$C85,Dataset!AH:AH,"&lt;&gt;bono corporativo",Dataset!AH:AH,"&lt;&gt;bono de gobierno",Dataset!AH:AH,"&lt;&gt;deposito")</f>
        <v>0</v>
      </c>
      <c r="Z85" s="84">
        <f t="shared" si="9"/>
        <v>0</v>
      </c>
      <c r="AB85" s="61">
        <v>210</v>
      </c>
      <c r="AC85" s="100">
        <v>225</v>
      </c>
      <c r="AD85" s="101">
        <f>SUMIFS(Dataset!AJ:AJ,Dataset!F:F,credito!$D$11,Dataset!AH:AH,"deposito",Dataset!T:T,"$",Dataset!J:J,"&lt;"&amp;$AC85/365,Dataset!J:J,"&gt;="&amp;$AB85/365)</f>
        <v>0</v>
      </c>
      <c r="AE85" s="101">
        <f>SUMIFS(Dataset!AJ:AJ,Dataset!F:F,credito!$D$11,Dataset!AH:AH,"deposito",Dataset!T:T,"uf",Dataset!J:J,"&lt;"&amp;$AC85/365,Dataset!J:J,"&gt;="&amp;$AB85/365)</f>
        <v>0</v>
      </c>
      <c r="AF85" s="101">
        <f>SUMIFS(Dataset!AJ:AJ,Dataset!F:F,credito!$D$11,Dataset!AH:AH,"deposito",Dataset!T:T,"us$",Dataset!J:J,"&lt;"&amp;$AC85/365,Dataset!J:J,"&gt;="&amp;$AB85/365)</f>
        <v>0</v>
      </c>
      <c r="AG85" s="101">
        <f>SUMIFS(Dataset!AJ:AJ,Dataset!F:F,credito!$D$11,Dataset!AH:AH,"factura",Dataset!J:J,"&lt;"&amp;$AC85/365,Dataset!J:J,"&gt;="&amp;$AB85/365)</f>
        <v>0</v>
      </c>
      <c r="AH85" s="102">
        <f>SUMIFS(Dataset!AJ:AJ,Dataset!F:F,credito!$D$11,Dataset!AH:AH,"letra hipotecaria",Dataset!J:J,"&lt;"&amp;$AC85/365,Dataset!J:J,"&gt;="&amp;$AB85/365)</f>
        <v>0</v>
      </c>
      <c r="AI85" s="84">
        <f t="shared" si="10"/>
        <v>0</v>
      </c>
    </row>
    <row r="86" spans="2:35" ht="33" customHeight="1" x14ac:dyDescent="0.3">
      <c r="C86" s="61">
        <v>13.5</v>
      </c>
      <c r="D86" s="81">
        <v>14.5</v>
      </c>
      <c r="E86" s="82">
        <f>SUMIFS(Dataset!AJ:AJ,Dataset!F:F,credito!$D$11,Dataset!AH:AH,"deposito",Dataset!T:T,"$",Dataset!J:J,"&lt;"&amp;$D86,Dataset!J:J,"&gt;="&amp;$C86)</f>
        <v>0</v>
      </c>
      <c r="F86" s="83">
        <f>SUMIFS(Dataset!AJ:AJ,Dataset!F:F,credito!$D$11,Dataset!AH:AH,"deposito",Dataset!T:T,"UF",Dataset!J:J,"&lt;"&amp;$D86,Dataset!J:J,"&gt;="&amp;$C86)</f>
        <v>0</v>
      </c>
      <c r="G86" s="83">
        <f>SUMIFS(Dataset!AJ:AJ,Dataset!F:F,credito!$D$11,Dataset!AH:AH,"bono de gobierno",Dataset!T:T,"$",Dataset!J:J,"&lt;"&amp;$D86,Dataset!J:J,"&gt;="&amp;$C86)</f>
        <v>0</v>
      </c>
      <c r="H86" s="83">
        <f>SUMIFS(Dataset!AJ:AJ,Dataset!F:F,credito!$D$11,Dataset!AH:AH,"bono de gobierno",Dataset!T:T,"UF",Dataset!J:J,"&lt;"&amp;$D86,Dataset!J:J,"&gt;="&amp;$C86)</f>
        <v>0</v>
      </c>
      <c r="I86" s="83">
        <f>SUMIFS(Dataset!AJ:AJ,Dataset!F:F,credito!$D$11,Dataset!AH:AH,"bono de gobierno",Dataset!T:T,"eu",Dataset!J:J,"&lt;"&amp;$D86,Dataset!J:J,"&gt;="&amp;$C86)</f>
        <v>0</v>
      </c>
      <c r="J86" s="83">
        <f>SUMIFS(Dataset!AJ:AJ,Dataset!F:F,credito!$D$11,Dataset!AH:AH,"bono de gobierno",Dataset!T:T,"mx",Dataset!J:J,"&lt;"&amp;$D86,Dataset!J:J,"&gt;="&amp;$C86)</f>
        <v>0</v>
      </c>
      <c r="K86" s="83">
        <f>SUMIFS(Dataset!AJ:AJ,Dataset!F:F,credito!$D$11,Dataset!AH:AH,"bono corporativo",Dataset!T:T,"$",Dataset!J:J,"&lt;"&amp;$D86,Dataset!J:J,"&gt;="&amp;$C86)</f>
        <v>0</v>
      </c>
      <c r="L86" s="83">
        <f>SUMIFS(Dataset!AJ:AJ,Dataset!F:F,credito!$D$11,Dataset!AH:AH,"bono corporativo",Dataset!T:T,"UF",Dataset!J:J,"&lt;"&amp;$D86,Dataset!J:J,"&gt;="&amp;$C86)</f>
        <v>0</v>
      </c>
      <c r="M86" s="83">
        <f>SUMIFS(Dataset!AJ:AJ,Dataset!F:F,credito!$D$11,Dataset!AH:AH,"bono corporativo",Dataset!T:T,"US$",Dataset!J:J,"&lt;"&amp;$D86,Dataset!J:J,"&gt;="&amp;$C86)</f>
        <v>0</v>
      </c>
      <c r="N86" s="83">
        <f>SUMIFS(Dataset!AJ:AJ,Dataset!F:F,credito!$D$11,Dataset!J:J,"&lt;"&amp;$D86,Dataset!J:J,"&gt;="&amp;$C86,Dataset!AH:AH,"&lt;&gt;bono corporativo",Dataset!AH:AH,"&lt;&gt;bono de gobierno",Dataset!AH:AH,"&lt;&gt;deposito")</f>
        <v>0</v>
      </c>
      <c r="O86" s="84">
        <f t="shared" si="8"/>
        <v>0</v>
      </c>
      <c r="P86" s="82">
        <f>SUMIFS(Dataset!AA:AA,Dataset!F:F,credito!$D$11,Dataset!AH:AH,"deposito",Dataset!T:T,"$",Dataset!J:J,"&lt;"&amp;$D86,Dataset!J:J,"&gt;="&amp;$C86)</f>
        <v>0</v>
      </c>
      <c r="Q86" s="83">
        <f>SUMIFS(Dataset!AA:AA,Dataset!F:F,credito!$D$11,Dataset!AH:AH,"deposito",Dataset!T:T,"UF",Dataset!J:J,"&lt;"&amp;$D86,Dataset!J:J,"&gt;="&amp;$C86)</f>
        <v>0</v>
      </c>
      <c r="R86" s="83">
        <f>SUMIFS(Dataset!AA:AA,Dataset!F:F,credito!$D$11,Dataset!AH:AH,"bono de gobierno",Dataset!T:T,"$",Dataset!J:J,"&lt;"&amp;$D86,Dataset!J:J,"&gt;="&amp;$C86)</f>
        <v>0</v>
      </c>
      <c r="S86" s="83">
        <f>SUMIFS(Dataset!AA:AA,Dataset!F:F,credito!$D$11,Dataset!AH:AH,"bono de gobierno",Dataset!T:T,"UF",Dataset!J:J,"&lt;"&amp;$D86,Dataset!J:J,"&gt;="&amp;$C86)</f>
        <v>0</v>
      </c>
      <c r="T86" s="83">
        <f>SUMIFS(Dataset!AA:AA,Dataset!F:F,credito!$D$11,Dataset!AH:AH,"bono de gobierno",Dataset!T:T,"EU",Dataset!J:J,"&lt;"&amp;$D86,Dataset!J:J,"&gt;="&amp;$C86)</f>
        <v>0</v>
      </c>
      <c r="U86" s="83">
        <f>SUMIFS(Dataset!AA:AA,Dataset!F:F,credito!$D$11,Dataset!AH:AH,"bono de gobierno",Dataset!T:T,"MX",Dataset!J:J,"&lt;"&amp;$D86,Dataset!J:J,"&gt;="&amp;$C86)</f>
        <v>0</v>
      </c>
      <c r="V86" s="83">
        <f>SUMIFS(Dataset!AA:AA,Dataset!F:F,credito!$D$11,Dataset!AH:AH,"bono corporativo",Dataset!T:T,"$",Dataset!J:J,"&lt;"&amp;$D86,Dataset!J:J,"&gt;="&amp;$C86)</f>
        <v>0</v>
      </c>
      <c r="W86" s="83">
        <f>SUMIFS(Dataset!AA:AA,Dataset!F:F,credito!$D$11,Dataset!AH:AH,"bono corporativo",Dataset!T:T,"UF",Dataset!J:J,"&lt;"&amp;$D86,Dataset!J:J,"&gt;="&amp;$C86)</f>
        <v>0</v>
      </c>
      <c r="X86" s="83">
        <f>SUMIFS(Dataset!AA:AA,Dataset!F:F,credito!$D$11,Dataset!AH:AH,"bono corporativo",Dataset!T:T,"US$",Dataset!J:J,"&lt;"&amp;$D86,Dataset!J:J,"&gt;="&amp;$C86)</f>
        <v>0</v>
      </c>
      <c r="Y86" s="83">
        <f>SUMIFS(Dataset!AA:AA,Dataset!F:F,credito!$D$11,Dataset!J:J,"&lt;"&amp;$D86,Dataset!J:J,"&gt;="&amp;$C86,Dataset!AH:AH,"&lt;&gt;bono corporativo",Dataset!AH:AH,"&lt;&gt;bono de gobierno",Dataset!AH:AH,"&lt;&gt;deposito")</f>
        <v>0</v>
      </c>
      <c r="Z86" s="84">
        <f t="shared" si="9"/>
        <v>0</v>
      </c>
      <c r="AB86" s="61">
        <v>225</v>
      </c>
      <c r="AC86" s="100">
        <v>240</v>
      </c>
      <c r="AD86" s="101">
        <f>SUMIFS(Dataset!AJ:AJ,Dataset!F:F,credito!$D$11,Dataset!AH:AH,"deposito",Dataset!T:T,"$",Dataset!J:J,"&lt;"&amp;$AC86/365,Dataset!J:J,"&gt;="&amp;$AB86/365)</f>
        <v>0</v>
      </c>
      <c r="AE86" s="101">
        <f>SUMIFS(Dataset!AJ:AJ,Dataset!F:F,credito!$D$11,Dataset!AH:AH,"deposito",Dataset!T:T,"uf",Dataset!J:J,"&lt;"&amp;$AC86/365,Dataset!J:J,"&gt;="&amp;$AB86/365)</f>
        <v>0</v>
      </c>
      <c r="AF86" s="101">
        <f>SUMIFS(Dataset!AJ:AJ,Dataset!F:F,credito!$D$11,Dataset!AH:AH,"deposito",Dataset!T:T,"us$",Dataset!J:J,"&lt;"&amp;$AC86/365,Dataset!J:J,"&gt;="&amp;$AB86/365)</f>
        <v>0</v>
      </c>
      <c r="AG86" s="101">
        <f>SUMIFS(Dataset!AJ:AJ,Dataset!F:F,credito!$D$11,Dataset!AH:AH,"factura",Dataset!J:J,"&lt;"&amp;$AC86/365,Dataset!J:J,"&gt;="&amp;$AB86/365)</f>
        <v>0</v>
      </c>
      <c r="AH86" s="102">
        <f>SUMIFS(Dataset!AJ:AJ,Dataset!F:F,credito!$D$11,Dataset!AH:AH,"letra hipotecaria",Dataset!J:J,"&lt;"&amp;$AC86/365,Dataset!J:J,"&gt;="&amp;$AB86/365)</f>
        <v>0</v>
      </c>
      <c r="AI86" s="84">
        <f t="shared" si="10"/>
        <v>0</v>
      </c>
    </row>
    <row r="87" spans="2:35" ht="27" customHeight="1" x14ac:dyDescent="0.3">
      <c r="C87" s="61">
        <v>14.5</v>
      </c>
      <c r="D87" s="81">
        <v>100</v>
      </c>
      <c r="E87" s="88">
        <f>SUMIFS(Dataset!AJ:AJ,Dataset!F:F,credito!$D$11,Dataset!AH:AH,"deposito",Dataset!T:T,"$",Dataset!J:J,"&lt;"&amp;$D87,Dataset!J:J,"&gt;="&amp;$C87)</f>
        <v>0</v>
      </c>
      <c r="F87" s="89">
        <f>SUMIFS(Dataset!AJ:AJ,Dataset!F:F,credito!$D$11,Dataset!AH:AH,"deposito",Dataset!T:T,"UF",Dataset!J:J,"&lt;"&amp;$D87,Dataset!J:J,"&gt;="&amp;$C87)</f>
        <v>0</v>
      </c>
      <c r="G87" s="89">
        <f>SUMIFS(Dataset!AJ:AJ,Dataset!F:F,credito!$D$11,Dataset!AH:AH,"bono de gobierno",Dataset!T:T,"$",Dataset!J:J,"&lt;"&amp;$D87,Dataset!J:J,"&gt;="&amp;$C87)</f>
        <v>0</v>
      </c>
      <c r="H87" s="89">
        <f>SUMIFS(Dataset!AJ:AJ,Dataset!F:F,credito!$D$11,Dataset!AH:AH,"bono de gobierno",Dataset!T:T,"UF",Dataset!J:J,"&lt;"&amp;$D87,Dataset!J:J,"&gt;="&amp;$C87)</f>
        <v>0</v>
      </c>
      <c r="I87" s="89">
        <f>SUMIFS(Dataset!AJ:AJ,Dataset!F:F,credito!$D$11,Dataset!AH:AH,"bono de gobierno",Dataset!T:T,"eu",Dataset!J:J,"&lt;"&amp;$D87,Dataset!J:J,"&gt;="&amp;$C87)</f>
        <v>0</v>
      </c>
      <c r="J87" s="89">
        <f>SUMIFS(Dataset!AJ:AJ,Dataset!F:F,credito!$D$11,Dataset!AH:AH,"bono de gobierno",Dataset!T:T,"mx",Dataset!J:J,"&lt;"&amp;$D87,Dataset!J:J,"&gt;="&amp;$C87)</f>
        <v>0</v>
      </c>
      <c r="K87" s="89">
        <f>SUMIFS(Dataset!AJ:AJ,Dataset!F:F,credito!$D$11,Dataset!AH:AH,"bono corporativo",Dataset!T:T,"$",Dataset!J:J,"&lt;"&amp;$D87,Dataset!J:J,"&gt;="&amp;$C87)</f>
        <v>0</v>
      </c>
      <c r="L87" s="89">
        <f>SUMIFS(Dataset!AJ:AJ,Dataset!F:F,credito!$D$11,Dataset!AH:AH,"bono corporativo",Dataset!T:T,"UF",Dataset!J:J,"&lt;"&amp;$D87,Dataset!J:J,"&gt;="&amp;$C87)</f>
        <v>0</v>
      </c>
      <c r="M87" s="89">
        <f>SUMIFS(Dataset!AJ:AJ,Dataset!F:F,credito!$D$11,Dataset!AH:AH,"bono corporativo",Dataset!T:T,"US$",Dataset!J:J,"&lt;"&amp;$D87,Dataset!J:J,"&gt;="&amp;$C87)</f>
        <v>0</v>
      </c>
      <c r="N87" s="89">
        <f>SUMIFS(Dataset!AJ:AJ,Dataset!F:F,credito!$D$11,Dataset!J:J,"&lt;"&amp;$D87,Dataset!J:J,"&gt;="&amp;$C87,Dataset!AH:AH,"&lt;&gt;bono corporativo",Dataset!AH:AH,"&lt;&gt;bono de gobierno",Dataset!AH:AH,"&lt;&gt;deposito")</f>
        <v>0</v>
      </c>
      <c r="O87" s="90">
        <f t="shared" si="8"/>
        <v>0</v>
      </c>
      <c r="P87" s="88">
        <f>SUMIFS(Dataset!AA:AA,Dataset!F:F,credito!$D$11,Dataset!AH:AH,"deposito",Dataset!T:T,"$",Dataset!J:J,"&lt;"&amp;$D87,Dataset!J:J,"&gt;="&amp;$C87)</f>
        <v>0</v>
      </c>
      <c r="Q87" s="89">
        <f>SUMIFS(Dataset!AA:AA,Dataset!F:F,credito!$D$11,Dataset!AH:AH,"deposito",Dataset!T:T,"UF",Dataset!J:J,"&lt;"&amp;$D87,Dataset!J:J,"&gt;="&amp;$C87)</f>
        <v>0</v>
      </c>
      <c r="R87" s="89">
        <f>SUMIFS(Dataset!AA:AA,Dataset!F:F,credito!$D$11,Dataset!AH:AH,"bono de gobierno",Dataset!T:T,"$",Dataset!J:J,"&lt;"&amp;$D87,Dataset!J:J,"&gt;="&amp;$C87)</f>
        <v>0</v>
      </c>
      <c r="S87" s="89">
        <f>SUMIFS(Dataset!AA:AA,Dataset!F:F,credito!$D$11,Dataset!AH:AH,"bono de gobierno",Dataset!T:T,"UF",Dataset!J:J,"&lt;"&amp;$D87,Dataset!J:J,"&gt;="&amp;$C87)</f>
        <v>0</v>
      </c>
      <c r="T87" s="89">
        <f>SUMIFS(Dataset!AA:AA,Dataset!F:F,credito!$D$11,Dataset!AH:AH,"bono de gobierno",Dataset!T:T,"EU",Dataset!J:J,"&lt;"&amp;$D87,Dataset!J:J,"&gt;="&amp;$C87)</f>
        <v>0</v>
      </c>
      <c r="U87" s="89">
        <f>SUMIFS(Dataset!AA:AA,Dataset!F:F,credito!$D$11,Dataset!AH:AH,"bono de gobierno",Dataset!T:T,"MX",Dataset!J:J,"&lt;"&amp;$D87,Dataset!J:J,"&gt;="&amp;$C87)</f>
        <v>0</v>
      </c>
      <c r="V87" s="89">
        <f>SUMIFS(Dataset!AA:AA,Dataset!F:F,credito!$D$11,Dataset!AH:AH,"bono corporativo",Dataset!T:T,"$",Dataset!J:J,"&lt;"&amp;$D87,Dataset!J:J,"&gt;="&amp;$C87)</f>
        <v>0</v>
      </c>
      <c r="W87" s="89">
        <f>SUMIFS(Dataset!AA:AA,Dataset!F:F,credito!$D$11,Dataset!AH:AH,"bono corporativo",Dataset!T:T,"UF",Dataset!J:J,"&lt;"&amp;$D87,Dataset!J:J,"&gt;="&amp;$C87)</f>
        <v>0</v>
      </c>
      <c r="X87" s="89">
        <f>SUMIFS(Dataset!AA:AA,Dataset!F:F,credito!$D$11,Dataset!AH:AH,"bono corporativo",Dataset!T:T,"US$",Dataset!J:J,"&lt;"&amp;$D87,Dataset!J:J,"&gt;="&amp;$C87)</f>
        <v>0</v>
      </c>
      <c r="Y87" s="89">
        <f>SUMIFS(Dataset!AA:AA,Dataset!F:F,credito!$D$11,Dataset!J:J,"&lt;"&amp;$D87,Dataset!J:J,"&gt;="&amp;$C87,Dataset!AH:AH,"&lt;&gt;bono corporativo",Dataset!AH:AH,"&lt;&gt;bono de gobierno",Dataset!AH:AH,"&lt;&gt;deposito")</f>
        <v>0</v>
      </c>
      <c r="Z87" s="90">
        <f t="shared" si="9"/>
        <v>0</v>
      </c>
      <c r="AB87" s="61">
        <v>240</v>
      </c>
      <c r="AC87" s="100">
        <v>255</v>
      </c>
      <c r="AD87" s="101">
        <f>SUMIFS(Dataset!AJ:AJ,Dataset!F:F,credito!$D$11,Dataset!AH:AH,"deposito",Dataset!T:T,"$",Dataset!J:J,"&lt;"&amp;$AC87/365,Dataset!J:J,"&gt;="&amp;$AB87/365)</f>
        <v>0</v>
      </c>
      <c r="AE87" s="101">
        <f>SUMIFS(Dataset!AJ:AJ,Dataset!F:F,credito!$D$11,Dataset!AH:AH,"deposito",Dataset!T:T,"uf",Dataset!J:J,"&lt;"&amp;$AC87/365,Dataset!J:J,"&gt;="&amp;$AB87/365)</f>
        <v>0</v>
      </c>
      <c r="AF87" s="101">
        <f>SUMIFS(Dataset!AJ:AJ,Dataset!F:F,credito!$D$11,Dataset!AH:AH,"deposito",Dataset!T:T,"us$",Dataset!J:J,"&lt;"&amp;$AC87/365,Dataset!J:J,"&gt;="&amp;$AB87/365)</f>
        <v>0</v>
      </c>
      <c r="AG87" s="101">
        <f>SUMIFS(Dataset!AJ:AJ,Dataset!F:F,credito!$D$11,Dataset!AH:AH,"factura",Dataset!J:J,"&lt;"&amp;$AC87/365,Dataset!J:J,"&gt;="&amp;$AB87/365)</f>
        <v>0</v>
      </c>
      <c r="AH87" s="102">
        <f>SUMIFS(Dataset!AJ:AJ,Dataset!F:F,credito!$D$11,Dataset!AH:AH,"letra hipotecaria",Dataset!J:J,"&lt;"&amp;$AC87/365,Dataset!J:J,"&gt;="&amp;$AB87/365)</f>
        <v>0</v>
      </c>
      <c r="AI87" s="84">
        <f t="shared" si="10"/>
        <v>0</v>
      </c>
    </row>
    <row r="88" spans="2:35" ht="48" customHeight="1" x14ac:dyDescent="0.3">
      <c r="C88" s="175"/>
      <c r="D88" s="176"/>
      <c r="E88" s="83">
        <f t="shared" ref="E88:N88" si="11">SUM(E72:E87)</f>
        <v>0</v>
      </c>
      <c r="F88" s="83">
        <f t="shared" si="11"/>
        <v>0</v>
      </c>
      <c r="G88" s="83">
        <f t="shared" si="11"/>
        <v>0</v>
      </c>
      <c r="H88" s="83">
        <f t="shared" si="11"/>
        <v>0</v>
      </c>
      <c r="I88" s="83">
        <f t="shared" si="11"/>
        <v>0</v>
      </c>
      <c r="J88" s="83">
        <f t="shared" si="11"/>
        <v>0</v>
      </c>
      <c r="K88" s="83">
        <f t="shared" si="11"/>
        <v>0</v>
      </c>
      <c r="L88" s="83">
        <f t="shared" si="11"/>
        <v>0</v>
      </c>
      <c r="M88" s="83">
        <f t="shared" si="11"/>
        <v>0</v>
      </c>
      <c r="N88" s="83">
        <f t="shared" si="11"/>
        <v>0</v>
      </c>
      <c r="O88" s="84">
        <f t="shared" si="8"/>
        <v>0</v>
      </c>
      <c r="P88" s="83">
        <f t="shared" ref="P88:Y88" si="12">SUM(P72:P87)</f>
        <v>0</v>
      </c>
      <c r="Q88" s="83">
        <f t="shared" si="12"/>
        <v>0</v>
      </c>
      <c r="R88" s="83">
        <f t="shared" si="12"/>
        <v>0</v>
      </c>
      <c r="S88" s="83">
        <f t="shared" si="12"/>
        <v>0</v>
      </c>
      <c r="T88" s="83">
        <f t="shared" si="12"/>
        <v>0</v>
      </c>
      <c r="U88" s="83">
        <f t="shared" si="12"/>
        <v>0</v>
      </c>
      <c r="V88" s="83">
        <f t="shared" si="12"/>
        <v>0</v>
      </c>
      <c r="W88" s="83">
        <f t="shared" si="12"/>
        <v>0</v>
      </c>
      <c r="X88" s="83">
        <f t="shared" si="12"/>
        <v>0</v>
      </c>
      <c r="Y88" s="83">
        <f t="shared" si="12"/>
        <v>0</v>
      </c>
      <c r="Z88" s="84">
        <f t="shared" si="9"/>
        <v>0</v>
      </c>
      <c r="AB88" s="61">
        <v>255</v>
      </c>
      <c r="AC88" s="100">
        <v>270</v>
      </c>
      <c r="AD88" s="101">
        <f>SUMIFS(Dataset!AJ:AJ,Dataset!F:F,credito!$D$11,Dataset!AH:AH,"deposito",Dataset!T:T,"$",Dataset!J:J,"&lt;"&amp;$AC88/365,Dataset!J:J,"&gt;="&amp;$AB88/365)</f>
        <v>0</v>
      </c>
      <c r="AE88" s="101">
        <f>SUMIFS(Dataset!AJ:AJ,Dataset!F:F,credito!$D$11,Dataset!AH:AH,"deposito",Dataset!T:T,"uf",Dataset!J:J,"&lt;"&amp;$AC88/365,Dataset!J:J,"&gt;="&amp;$AB88/365)</f>
        <v>0</v>
      </c>
      <c r="AF88" s="101">
        <f>SUMIFS(Dataset!AJ:AJ,Dataset!F:F,credito!$D$11,Dataset!AH:AH,"deposito",Dataset!T:T,"us$",Dataset!J:J,"&lt;"&amp;$AC88/365,Dataset!J:J,"&gt;="&amp;$AB88/365)</f>
        <v>0</v>
      </c>
      <c r="AG88" s="101">
        <f>SUMIFS(Dataset!AJ:AJ,Dataset!F:F,credito!$D$11,Dataset!AH:AH,"factura",Dataset!J:J,"&lt;"&amp;$AC88/365,Dataset!J:J,"&gt;="&amp;$AB88/365)</f>
        <v>0</v>
      </c>
      <c r="AH88" s="102">
        <f>SUMIFS(Dataset!AJ:AJ,Dataset!F:F,credito!$D$11,Dataset!AH:AH,"letra hipotecaria",Dataset!J:J,"&lt;"&amp;$AC88/365,Dataset!J:J,"&gt;="&amp;$AB88/365)</f>
        <v>0</v>
      </c>
      <c r="AI88" s="84">
        <f t="shared" si="10"/>
        <v>0</v>
      </c>
    </row>
    <row r="89" spans="2:35" ht="27" customHeight="1" x14ac:dyDescent="0.3">
      <c r="F89" s="69"/>
      <c r="G89" s="69"/>
      <c r="H89" s="69"/>
      <c r="I89" s="69"/>
      <c r="J89" s="69"/>
      <c r="K89" s="69"/>
      <c r="L89" s="70"/>
      <c r="O89" s="69"/>
      <c r="P89" s="69"/>
      <c r="Q89" s="69"/>
      <c r="R89" s="69"/>
      <c r="S89" s="69"/>
      <c r="T89" s="69"/>
      <c r="U89" s="69"/>
      <c r="V89" s="70"/>
      <c r="AB89" s="61">
        <v>270</v>
      </c>
      <c r="AC89" s="100">
        <v>285</v>
      </c>
      <c r="AD89" s="101">
        <f>SUMIFS(Dataset!AJ:AJ,Dataset!F:F,credito!$D$11,Dataset!AH:AH,"deposito",Dataset!T:T,"$",Dataset!J:J,"&lt;"&amp;$AC89/365,Dataset!J:J,"&gt;="&amp;$AB89/365)</f>
        <v>0</v>
      </c>
      <c r="AE89" s="101">
        <f>SUMIFS(Dataset!AJ:AJ,Dataset!F:F,credito!$D$11,Dataset!AH:AH,"deposito",Dataset!T:T,"uf",Dataset!J:J,"&lt;"&amp;$AC89/365,Dataset!J:J,"&gt;="&amp;$AB89/365)</f>
        <v>0</v>
      </c>
      <c r="AF89" s="101">
        <f>SUMIFS(Dataset!AJ:AJ,Dataset!F:F,credito!$D$11,Dataset!AH:AH,"deposito",Dataset!T:T,"us$",Dataset!J:J,"&lt;"&amp;$AC89/365,Dataset!J:J,"&gt;="&amp;$AB89/365)</f>
        <v>0</v>
      </c>
      <c r="AG89" s="101">
        <f>SUMIFS(Dataset!AJ:AJ,Dataset!F:F,credito!$D$11,Dataset!AH:AH,"factura",Dataset!J:J,"&lt;"&amp;$AC89/365,Dataset!J:J,"&gt;="&amp;$AB89/365)</f>
        <v>0</v>
      </c>
      <c r="AH89" s="102">
        <f>SUMIFS(Dataset!AJ:AJ,Dataset!F:F,credito!$D$11,Dataset!AH:AH,"letra hipotecaria",Dataset!J:J,"&lt;"&amp;$AC89/365,Dataset!J:J,"&gt;="&amp;$AB89/365)</f>
        <v>0</v>
      </c>
      <c r="AI89" s="84">
        <f t="shared" si="10"/>
        <v>0</v>
      </c>
    </row>
    <row r="90" spans="2:35" ht="33" customHeight="1" x14ac:dyDescent="0.3">
      <c r="C90" s="180" t="s">
        <v>72</v>
      </c>
      <c r="D90" s="180"/>
      <c r="E90" s="94" t="s">
        <v>52</v>
      </c>
      <c r="F90" s="94" t="s">
        <v>42</v>
      </c>
      <c r="G90" s="94" t="s">
        <v>36</v>
      </c>
      <c r="H90" s="94" t="s">
        <v>33</v>
      </c>
      <c r="I90" s="94" t="s">
        <v>34</v>
      </c>
      <c r="J90" s="94" t="s">
        <v>55</v>
      </c>
      <c r="K90" s="94" t="s">
        <v>54</v>
      </c>
      <c r="L90" s="94" t="s">
        <v>83</v>
      </c>
      <c r="M90" s="94"/>
      <c r="N90" s="94" t="s">
        <v>52</v>
      </c>
      <c r="O90" s="94" t="s">
        <v>42</v>
      </c>
      <c r="P90" s="94" t="s">
        <v>36</v>
      </c>
      <c r="Q90" s="94" t="s">
        <v>33</v>
      </c>
      <c r="R90" s="94" t="s">
        <v>34</v>
      </c>
      <c r="S90" s="94" t="s">
        <v>55</v>
      </c>
      <c r="T90" s="94" t="s">
        <v>54</v>
      </c>
      <c r="U90" s="94" t="s">
        <v>83</v>
      </c>
      <c r="V90" s="94"/>
      <c r="AB90" s="61">
        <v>285</v>
      </c>
      <c r="AC90" s="100">
        <v>300</v>
      </c>
      <c r="AD90" s="101">
        <f>SUMIFS(Dataset!AJ:AJ,Dataset!F:F,credito!$D$11,Dataset!AH:AH,"deposito",Dataset!T:T,"$",Dataset!J:J,"&lt;"&amp;$AC90/365,Dataset!J:J,"&gt;="&amp;$AB90/365)</f>
        <v>0</v>
      </c>
      <c r="AE90" s="101">
        <f>SUMIFS(Dataset!AJ:AJ,Dataset!F:F,credito!$D$11,Dataset!AH:AH,"deposito",Dataset!T:T,"uf",Dataset!J:J,"&lt;"&amp;$AC90/365,Dataset!J:J,"&gt;="&amp;$AB90/365)</f>
        <v>0</v>
      </c>
      <c r="AF90" s="101">
        <f>SUMIFS(Dataset!AJ:AJ,Dataset!F:F,credito!$D$11,Dataset!AH:AH,"deposito",Dataset!T:T,"us$",Dataset!J:J,"&lt;"&amp;$AC90/365,Dataset!J:J,"&gt;="&amp;$AB90/365)</f>
        <v>0</v>
      </c>
      <c r="AG90" s="101">
        <f>SUMIFS(Dataset!AJ:AJ,Dataset!F:F,credito!$D$11,Dataset!AH:AH,"factura",Dataset!J:J,"&lt;"&amp;$AC90/365,Dataset!J:J,"&gt;="&amp;$AB90/365)</f>
        <v>0</v>
      </c>
      <c r="AH90" s="102">
        <f>SUMIFS(Dataset!AJ:AJ,Dataset!F:F,credito!$D$11,Dataset!AH:AH,"letra hipotecaria",Dataset!J:J,"&lt;"&amp;$AC90/365,Dataset!J:J,"&gt;="&amp;$AB90/365)</f>
        <v>0</v>
      </c>
      <c r="AI90" s="84">
        <f t="shared" si="10"/>
        <v>0</v>
      </c>
    </row>
    <row r="91" spans="2:35" ht="33" customHeight="1" x14ac:dyDescent="0.3">
      <c r="C91" s="72">
        <v>0</v>
      </c>
      <c r="D91" s="73">
        <v>0.5</v>
      </c>
      <c r="E91" s="74">
        <f>SUMIFS(Dataset!$AJ:$AJ,Dataset!$F:$F,credito!$D$11,Dataset!$AC:$AC,E$90,Dataset!$J:$J,"&lt;"&amp;$D91,Dataset!$J:$J,"&gt;="&amp;$C91)</f>
        <v>0</v>
      </c>
      <c r="F91" s="83">
        <f>SUMIFS(Dataset!$AJ:$AJ,Dataset!$F:$F,credito!$D$11,Dataset!$AC:$AC,F$90,Dataset!$J:$J,"&lt;"&amp;$D91,Dataset!$J:$J,"&gt;="&amp;$C91)</f>
        <v>0</v>
      </c>
      <c r="G91" s="83">
        <f>SUMIFS(Dataset!$AJ:$AJ,Dataset!$F:$F,credito!$D$11,Dataset!$AC:$AC,G$90,Dataset!$J:$J,"&lt;"&amp;$D91,Dataset!$J:$J,"&gt;="&amp;$C91)</f>
        <v>0</v>
      </c>
      <c r="H91" s="83">
        <f>SUMIFS(Dataset!$AJ:$AJ,Dataset!$F:$F,credito!$D$11,Dataset!$AC:$AC,H$90,Dataset!$J:$J,"&lt;"&amp;$D91,Dataset!$J:$J,"&gt;="&amp;$C91)</f>
        <v>0</v>
      </c>
      <c r="I91" s="83">
        <f>SUMIFS(Dataset!$AJ:$AJ,Dataset!$F:$F,credito!$D$11,Dataset!$AC:$AC,I$90,Dataset!$J:$J,"&lt;"&amp;$D91,Dataset!$J:$J,"&gt;="&amp;$C91)</f>
        <v>0</v>
      </c>
      <c r="J91" s="83">
        <f>SUMIFS(Dataset!$AJ:$AJ,Dataset!$F:$F,credito!$D$11,Dataset!$AC:$AC,"A",Dataset!$J:$J,"&lt;"&amp;$D91,Dataset!$J:$J,"&gt;="&amp;$C91)+SUMIFS(Dataset!$AJ:$AJ,Dataset!$F:$F,credito!$D$11,Dataset!$AC:$AC,"A-",Dataset!$J:$J,"&lt;"&amp;$D91,Dataset!$J:$J,"&gt;="&amp;$C91)+SUMIFS(Dataset!$AJ:$AJ,Dataset!$F:$F,credito!$D$11,Dataset!$AC:$AC,"A+",Dataset!$J:$J,"&lt;"&amp;$D91,Dataset!$J:$J,"&gt;="&amp;$C91)</f>
        <v>0</v>
      </c>
      <c r="K91" s="83">
        <f>SUMIFS(Dataset!$AJ:$AJ,Dataset!$F:$F,credito!$D$11,Dataset!$AC:$AC,"BBB-",Dataset!$J:$J,"&lt;"&amp;$D91,Dataset!$J:$J,"&gt;="&amp;$C91)+SUMIFS(Dataset!$AJ:$AJ,Dataset!$F:$F,credito!$D$11,Dataset!$AC:$AC,"BBB",Dataset!$J:$J,"&lt;"&amp;$D91,Dataset!$J:$J,"&gt;="&amp;$C91)+SUMIFS(Dataset!$AJ:$AJ,Dataset!$F:$F,credito!$D$11,Dataset!$AC:$AC,"BBB+",Dataset!$J:$J,"&lt;"&amp;$D91,Dataset!$J:$J,"&gt;="&amp;$C91)</f>
        <v>0</v>
      </c>
      <c r="L91" s="75">
        <f>SUMIFS(Dataset!$AJ:$AJ,Dataset!$F:$F,credito!$D$11,Dataset!$J:$J,"&lt;"&amp;$D91,Dataset!$J:$J,"&gt;="&amp;$C91,Dataset!$AC:$AC,"&lt;&gt;N-1+",Dataset!$AC:$AC,"&lt;&gt;*AA*",Dataset!$AC:$AC,"&lt;&gt;*AAA*",Dataset!$AC:$AC,"&lt;&gt;A",Dataset!$AC:$AC,"&lt;&gt;A-",Dataset!$AC:$AC,"&lt;&gt;A+",Dataset!$AC:$AC,"&lt;&gt;*BBB*")</f>
        <v>0</v>
      </c>
      <c r="M91" s="84">
        <f t="shared" ref="M91:M107" si="13">SUM(E91:L91)</f>
        <v>0</v>
      </c>
      <c r="N91" s="74">
        <f>SUMIFS(Dataset!$AA:$AA,Dataset!$F:$F,credito!$D$11,Dataset!$AC:$AC,N$90,Dataset!$J:$J,"&lt;"&amp;$D91,Dataset!$J:$J,"&gt;="&amp;$C91)</f>
        <v>0</v>
      </c>
      <c r="O91" s="75">
        <f>SUMIFS(Dataset!$AA:$AA,Dataset!$F:$F,credito!$D$11,Dataset!$AC:$AC,O$90,Dataset!$J:$J,"&lt;"&amp;$D91,Dataset!$J:$J,"&gt;="&amp;$C91)</f>
        <v>0</v>
      </c>
      <c r="P91" s="75">
        <f>SUMIFS(Dataset!$AA:$AA,Dataset!$F:$F,credito!$D$11,Dataset!$AC:$AC,P$90,Dataset!$J:$J,"&lt;"&amp;$D91,Dataset!$J:$J,"&gt;="&amp;$C91)</f>
        <v>0</v>
      </c>
      <c r="Q91" s="75">
        <f>SUMIFS(Dataset!$AA:$AA,Dataset!$F:$F,credito!$D$11,Dataset!$AC:$AC,Q$90,Dataset!$J:$J,"&lt;"&amp;$D91,Dataset!$J:$J,"&gt;="&amp;$C91)</f>
        <v>0</v>
      </c>
      <c r="R91" s="75">
        <f>SUMIFS(Dataset!$AA:$AA,Dataset!$F:$F,credito!$D$11,Dataset!$AC:$AC,R$90,Dataset!$J:$J,"&lt;"&amp;$D91,Dataset!$J:$J,"&gt;="&amp;$C91)</f>
        <v>0</v>
      </c>
      <c r="S91" s="75">
        <f>SUMIFS(Dataset!$AA:$AA,Dataset!$F:$F,credito!$D$11,Dataset!$AC:$AC,"A",Dataset!$J:$J,"&lt;"&amp;$D91,Dataset!$J:$J,"&gt;="&amp;$C91)+SUMIFS(Dataset!$AA:$AA,Dataset!$F:$F,credito!$D$11,Dataset!$AC:$AC,"A-",Dataset!$J:$J,"&lt;"&amp;$D91,Dataset!$J:$J,"&gt;="&amp;$C91)+SUMIFS(Dataset!$AA:$AA,Dataset!$F:$F,credito!$D$11,Dataset!$AC:$AC,"A+",Dataset!$J:$J,"&lt;"&amp;$D91,Dataset!$J:$J,"&gt;="&amp;$C91)</f>
        <v>0</v>
      </c>
      <c r="T91" s="75">
        <f>SUMIFS(Dataset!$AA:$AA,Dataset!$F:$F,credito!$D$11,Dataset!$AC:$AC,"BBB-",Dataset!$J:$J,"&lt;"&amp;$D91,Dataset!$J:$J,"&gt;="&amp;$C91)+SUMIFS(Dataset!$AA:$AA,Dataset!$F:$F,credito!$D$11,Dataset!$AC:$AC,"BBB",Dataset!$J:$J,"&lt;"&amp;$D91,Dataset!$J:$J,"&gt;="&amp;$C91)+SUMIFS(Dataset!$AA:$AA,Dataset!$F:$F,credito!$D$11,Dataset!$AC:$AC,"BBB+",Dataset!$J:$J,"&lt;"&amp;$D91,Dataset!$J:$J,"&gt;="&amp;$C91)</f>
        <v>0</v>
      </c>
      <c r="U91" s="75">
        <f>SUMIFS(Dataset!$AA:$AA,Dataset!$F:$F,credito!$D$11,Dataset!$J:$J,"&lt;"&amp;$D91,Dataset!$J:$J,"&gt;="&amp;$C91,Dataset!$AC:$AC,"&lt;&gt;N-1+",Dataset!$AC:$AC,"&lt;&gt;*AA*",Dataset!$AC:$AC,"&lt;&gt;*AAA*",Dataset!$AC:$AC,"&lt;&gt;A",Dataset!$AC:$AC,"&lt;&gt;A-",Dataset!$AC:$AC,"&lt;&gt;A+",Dataset!$AC:$AC,"&lt;&gt;*BBB*")</f>
        <v>0</v>
      </c>
      <c r="V91" s="84">
        <f t="shared" ref="V91:V106" si="14">SUM(N91:U91)</f>
        <v>0</v>
      </c>
      <c r="AB91" s="61">
        <v>300</v>
      </c>
      <c r="AC91" s="100">
        <v>315</v>
      </c>
      <c r="AD91" s="101">
        <f>SUMIFS(Dataset!AJ:AJ,Dataset!F:F,credito!$D$11,Dataset!AH:AH,"deposito",Dataset!T:T,"$",Dataset!J:J,"&lt;"&amp;$AC91/365,Dataset!J:J,"&gt;="&amp;$AB91/365)</f>
        <v>0</v>
      </c>
      <c r="AE91" s="101">
        <f>SUMIFS(Dataset!AJ:AJ,Dataset!F:F,credito!$D$11,Dataset!AH:AH,"deposito",Dataset!T:T,"uf",Dataset!J:J,"&lt;"&amp;$AC91/365,Dataset!J:J,"&gt;="&amp;$AB91/365)</f>
        <v>0</v>
      </c>
      <c r="AF91" s="101">
        <f>SUMIFS(Dataset!AJ:AJ,Dataset!F:F,credito!$D$11,Dataset!AH:AH,"deposito",Dataset!T:T,"us$",Dataset!J:J,"&lt;"&amp;$AC91/365,Dataset!J:J,"&gt;="&amp;$AB91/365)</f>
        <v>0</v>
      </c>
      <c r="AG91" s="101">
        <f>SUMIFS(Dataset!AJ:AJ,Dataset!F:F,credito!$D$11,Dataset!AH:AH,"factura",Dataset!J:J,"&lt;"&amp;$AC91/365,Dataset!J:J,"&gt;="&amp;$AB91/365)</f>
        <v>0</v>
      </c>
      <c r="AH91" s="102">
        <f>SUMIFS(Dataset!AJ:AJ,Dataset!F:F,credito!$D$11,Dataset!AH:AH,"letra hipotecaria",Dataset!J:J,"&lt;"&amp;$AC91/365,Dataset!J:J,"&gt;="&amp;$AB91/365)</f>
        <v>0</v>
      </c>
      <c r="AI91" s="84">
        <f t="shared" ref="AI91:AI98" si="15">SUM(AD91:AH91)</f>
        <v>0</v>
      </c>
    </row>
    <row r="92" spans="2:35" ht="33" customHeight="1" x14ac:dyDescent="0.3">
      <c r="C92" s="61">
        <v>0.5</v>
      </c>
      <c r="D92" s="81">
        <v>1.5</v>
      </c>
      <c r="E92" s="82">
        <f>SUMIFS(Dataset!$AJ:$AJ,Dataset!$F:$F,credito!$D$11,Dataset!$AC:$AC,E$90,Dataset!$J:$J,"&lt;"&amp;$D92,Dataset!$J:$J,"&gt;="&amp;$C92)</f>
        <v>0</v>
      </c>
      <c r="F92" s="83">
        <f>SUMIFS(Dataset!$AJ:$AJ,Dataset!$F:$F,credito!$D$11,Dataset!$AC:$AC,F$90,Dataset!$J:$J,"&lt;"&amp;$D92,Dataset!$J:$J,"&gt;="&amp;$C92)</f>
        <v>0</v>
      </c>
      <c r="G92" s="83">
        <f>SUMIFS(Dataset!$AJ:$AJ,Dataset!$F:$F,credito!$D$11,Dataset!$AC:$AC,G$90,Dataset!$J:$J,"&lt;"&amp;$D92,Dataset!$J:$J,"&gt;="&amp;$C92)</f>
        <v>0</v>
      </c>
      <c r="H92" s="83">
        <f>SUMIFS(Dataset!$AJ:$AJ,Dataset!$F:$F,credito!$D$11,Dataset!$AC:$AC,H$90,Dataset!$J:$J,"&lt;"&amp;$D92,Dataset!$J:$J,"&gt;="&amp;$C92)</f>
        <v>0</v>
      </c>
      <c r="I92" s="83">
        <f>SUMIFS(Dataset!$AJ:$AJ,Dataset!$F:$F,credito!$D$11,Dataset!$AC:$AC,I$90,Dataset!$J:$J,"&lt;"&amp;$D92,Dataset!$J:$J,"&gt;="&amp;$C92)</f>
        <v>0</v>
      </c>
      <c r="J92" s="83">
        <f>SUMIFS(Dataset!$AJ:$AJ,Dataset!$F:$F,credito!$D$11,Dataset!$AC:$AC,"A",Dataset!$J:$J,"&lt;"&amp;$D92,Dataset!$J:$J,"&gt;="&amp;$C92)+SUMIFS(Dataset!$AJ:$AJ,Dataset!$F:$F,credito!$D$11,Dataset!$AC:$AC,"A-",Dataset!$J:$J,"&lt;"&amp;$D92,Dataset!$J:$J,"&gt;="&amp;$C92)+SUMIFS(Dataset!$AJ:$AJ,Dataset!$F:$F,credito!$D$11,Dataset!$AC:$AC,"A+",Dataset!$J:$J,"&lt;"&amp;$D92,Dataset!$J:$J,"&gt;="&amp;$C92)</f>
        <v>0</v>
      </c>
      <c r="K92" s="83">
        <f>SUMIFS(Dataset!$AJ:$AJ,Dataset!$F:$F,credito!$D$11,Dataset!$AC:$AC,"BBB-",Dataset!$J:$J,"&lt;"&amp;$D92,Dataset!$J:$J,"&gt;="&amp;$C92)+SUMIFS(Dataset!$AJ:$AJ,Dataset!$F:$F,credito!$D$11,Dataset!$AC:$AC,"BBB",Dataset!$J:$J,"&lt;"&amp;$D92,Dataset!$J:$J,"&gt;="&amp;$C92)+SUMIFS(Dataset!$AJ:$AJ,Dataset!$F:$F,credito!$D$11,Dataset!$AC:$AC,"BBB+",Dataset!$J:$J,"&lt;"&amp;$D92,Dataset!$J:$J,"&gt;="&amp;$C92)</f>
        <v>0</v>
      </c>
      <c r="L92" s="83">
        <f>SUMIFS(Dataset!$AJ:$AJ,Dataset!$F:$F,credito!$D$11,Dataset!$J:$J,"&lt;"&amp;$D92,Dataset!$J:$J,"&gt;="&amp;$C92,Dataset!$AC:$AC,"&lt;&gt;N-1+",Dataset!$AC:$AC,"&lt;&gt;*AA*",Dataset!$AC:$AC,"&lt;&gt;*AAA*",Dataset!$AC:$AC,"&lt;&gt;A",Dataset!$AC:$AC,"&lt;&gt;A-",Dataset!$AC:$AC,"&lt;&gt;A+",Dataset!$AC:$AC,"&lt;&gt;*BBB*")</f>
        <v>0</v>
      </c>
      <c r="M92" s="84">
        <f t="shared" si="13"/>
        <v>0</v>
      </c>
      <c r="N92" s="82">
        <f>SUMIFS(Dataset!$AA:$AA,Dataset!$F:$F,credito!$D$11,Dataset!$AC:$AC,N$90,Dataset!$J:$J,"&lt;"&amp;$D92,Dataset!$J:$J,"&gt;="&amp;$C92)</f>
        <v>0</v>
      </c>
      <c r="O92" s="83">
        <f>SUMIFS(Dataset!$AA:$AA,Dataset!$F:$F,credito!$D$11,Dataset!$AC:$AC,O$90,Dataset!$J:$J,"&lt;"&amp;$D92,Dataset!$J:$J,"&gt;="&amp;$C92)</f>
        <v>0</v>
      </c>
      <c r="P92" s="83">
        <f>SUMIFS(Dataset!$AA:$AA,Dataset!$F:$F,credito!$D$11,Dataset!$AC:$AC,P$90,Dataset!$J:$J,"&lt;"&amp;$D92,Dataset!$J:$J,"&gt;="&amp;$C92)</f>
        <v>0</v>
      </c>
      <c r="Q92" s="83">
        <f>SUMIFS(Dataset!$AA:$AA,Dataset!$F:$F,credito!$D$11,Dataset!$AC:$AC,Q$90,Dataset!$J:$J,"&lt;"&amp;$D92,Dataset!$J:$J,"&gt;="&amp;$C92)</f>
        <v>0</v>
      </c>
      <c r="R92" s="83">
        <f>SUMIFS(Dataset!$AA:$AA,Dataset!$F:$F,credito!$D$11,Dataset!$AC:$AC,R$90,Dataset!$J:$J,"&lt;"&amp;$D92,Dataset!$J:$J,"&gt;="&amp;$C92)</f>
        <v>0</v>
      </c>
      <c r="S92" s="83">
        <f>SUMIFS(Dataset!$AA:$AA,Dataset!$F:$F,credito!$D$11,Dataset!$AC:$AC,"A",Dataset!$J:$J,"&lt;"&amp;$D92,Dataset!$J:$J,"&gt;="&amp;$C92)+SUMIFS(Dataset!$AA:$AA,Dataset!$F:$F,credito!$D$11,Dataset!$AC:$AC,"A-",Dataset!$J:$J,"&lt;"&amp;$D92,Dataset!$J:$J,"&gt;="&amp;$C92)+SUMIFS(Dataset!$AA:$AA,Dataset!$F:$F,credito!$D$11,Dataset!$AC:$AC,"A+",Dataset!$J:$J,"&lt;"&amp;$D92,Dataset!$J:$J,"&gt;="&amp;$C92)</f>
        <v>0</v>
      </c>
      <c r="T92" s="83">
        <f>SUMIFS(Dataset!$AA:$AA,Dataset!$F:$F,credito!$D$11,Dataset!$AC:$AC,"BBB-",Dataset!$J:$J,"&lt;"&amp;$D92,Dataset!$J:$J,"&gt;="&amp;$C92)+SUMIFS(Dataset!$AA:$AA,Dataset!$F:$F,credito!$D$11,Dataset!$AC:$AC,"BBB",Dataset!$J:$J,"&lt;"&amp;$D92,Dataset!$J:$J,"&gt;="&amp;$C92)+SUMIFS(Dataset!$AA:$AA,Dataset!$F:$F,credito!$D$11,Dataset!$AC:$AC,"BBB+",Dataset!$J:$J,"&lt;"&amp;$D92,Dataset!$J:$J,"&gt;="&amp;$C92)</f>
        <v>0</v>
      </c>
      <c r="U92" s="83">
        <f>SUMIFS(Dataset!$AA:$AA,Dataset!$F:$F,credito!$D$11,Dataset!$J:$J,"&lt;"&amp;$D92,Dataset!$J:$J,"&gt;="&amp;$C92,Dataset!$AC:$AC,"&lt;&gt;N-1+",Dataset!$AC:$AC,"&lt;&gt;*AA*",Dataset!$AC:$AC,"&lt;&gt;*AAA*",Dataset!$AC:$AC,"&lt;&gt;A",Dataset!$AC:$AC,"&lt;&gt;A-",Dataset!$AC:$AC,"&lt;&gt;A+",Dataset!$AC:$AC,"&lt;&gt;*BBB*")</f>
        <v>0</v>
      </c>
      <c r="V92" s="84">
        <f t="shared" si="14"/>
        <v>0</v>
      </c>
      <c r="AB92" s="61">
        <v>315</v>
      </c>
      <c r="AC92" s="100">
        <v>330</v>
      </c>
      <c r="AD92" s="101">
        <f>SUMIFS(Dataset!AJ:AJ,Dataset!F:F,credito!$D$11,Dataset!AH:AH,"deposito",Dataset!T:T,"$",Dataset!J:J,"&lt;"&amp;$AC92/365,Dataset!J:J,"&gt;="&amp;$AB92/365)</f>
        <v>0</v>
      </c>
      <c r="AE92" s="101">
        <f>SUMIFS(Dataset!AJ:AJ,Dataset!F:F,credito!$D$11,Dataset!AH:AH,"deposito",Dataset!T:T,"uf",Dataset!J:J,"&lt;"&amp;$AC92/365,Dataset!J:J,"&gt;="&amp;$AB92/365)</f>
        <v>0</v>
      </c>
      <c r="AF92" s="101">
        <f>SUMIFS(Dataset!AJ:AJ,Dataset!F:F,credito!$D$11,Dataset!AH:AH,"deposito",Dataset!T:T,"us$",Dataset!J:J,"&lt;"&amp;$AC92/365,Dataset!J:J,"&gt;="&amp;$AB92/365)</f>
        <v>0</v>
      </c>
      <c r="AG92" s="101">
        <f>SUMIFS(Dataset!AJ:AJ,Dataset!F:F,credito!$D$11,Dataset!AH:AH,"factura",Dataset!J:J,"&lt;"&amp;$AC92/365,Dataset!J:J,"&gt;="&amp;$AB92/365)</f>
        <v>0</v>
      </c>
      <c r="AH92" s="102">
        <f>SUMIFS(Dataset!AJ:AJ,Dataset!F:F,credito!$D$11,Dataset!AH:AH,"letra hipotecaria",Dataset!J:J,"&lt;"&amp;$AC92/365,Dataset!J:J,"&gt;="&amp;$AB92/365)</f>
        <v>0</v>
      </c>
      <c r="AI92" s="84">
        <f t="shared" si="15"/>
        <v>0</v>
      </c>
    </row>
    <row r="93" spans="2:35" ht="33" customHeight="1" x14ac:dyDescent="0.3">
      <c r="C93" s="61">
        <v>1.5</v>
      </c>
      <c r="D93" s="81">
        <v>2.5</v>
      </c>
      <c r="E93" s="82">
        <f>SUMIFS(Dataset!$AJ:$AJ,Dataset!$F:$F,credito!$D$11,Dataset!$AC:$AC,E$90,Dataset!$J:$J,"&lt;"&amp;$D93,Dataset!$J:$J,"&gt;="&amp;$C93)</f>
        <v>0</v>
      </c>
      <c r="F93" s="83">
        <f>SUMIFS(Dataset!$AJ:$AJ,Dataset!$F:$F,credito!$D$11,Dataset!$AC:$AC,F$90,Dataset!$J:$J,"&lt;"&amp;$D93,Dataset!$J:$J,"&gt;="&amp;$C93)</f>
        <v>0</v>
      </c>
      <c r="G93" s="83">
        <f>SUMIFS(Dataset!$AJ:$AJ,Dataset!$F:$F,credito!$D$11,Dataset!$AC:$AC,G$90,Dataset!$J:$J,"&lt;"&amp;$D93,Dataset!$J:$J,"&gt;="&amp;$C93)</f>
        <v>0</v>
      </c>
      <c r="H93" s="83">
        <f>SUMIFS(Dataset!$AJ:$AJ,Dataset!$F:$F,credito!$D$11,Dataset!$AC:$AC,H$90,Dataset!$J:$J,"&lt;"&amp;$D93,Dataset!$J:$J,"&gt;="&amp;$C93)</f>
        <v>0</v>
      </c>
      <c r="I93" s="83">
        <f>SUMIFS(Dataset!$AJ:$AJ,Dataset!$F:$F,credito!$D$11,Dataset!$AC:$AC,I$90,Dataset!$J:$J,"&lt;"&amp;$D93,Dataset!$J:$J,"&gt;="&amp;$C93)</f>
        <v>0</v>
      </c>
      <c r="J93" s="83">
        <f>SUMIFS(Dataset!$AJ:$AJ,Dataset!$F:$F,credito!$D$11,Dataset!$AC:$AC,"A",Dataset!$J:$J,"&lt;"&amp;$D93,Dataset!$J:$J,"&gt;="&amp;$C93)+SUMIFS(Dataset!$AJ:$AJ,Dataset!$F:$F,credito!$D$11,Dataset!$AC:$AC,"A-",Dataset!$J:$J,"&lt;"&amp;$D93,Dataset!$J:$J,"&gt;="&amp;$C93)+SUMIFS(Dataset!$AJ:$AJ,Dataset!$F:$F,credito!$D$11,Dataset!$AC:$AC,"A+",Dataset!$J:$J,"&lt;"&amp;$D93,Dataset!$J:$J,"&gt;="&amp;$C93)</f>
        <v>0</v>
      </c>
      <c r="K93" s="83">
        <f>SUMIFS(Dataset!$AJ:$AJ,Dataset!$F:$F,credito!$D$11,Dataset!$AC:$AC,"BBB-",Dataset!$J:$J,"&lt;"&amp;$D93,Dataset!$J:$J,"&gt;="&amp;$C93)+SUMIFS(Dataset!$AJ:$AJ,Dataset!$F:$F,credito!$D$11,Dataset!$AC:$AC,"BBB",Dataset!$J:$J,"&lt;"&amp;$D93,Dataset!$J:$J,"&gt;="&amp;$C93)+SUMIFS(Dataset!$AJ:$AJ,Dataset!$F:$F,credito!$D$11,Dataset!$AC:$AC,"BBB+",Dataset!$J:$J,"&lt;"&amp;$D93,Dataset!$J:$J,"&gt;="&amp;$C93)</f>
        <v>0</v>
      </c>
      <c r="L93" s="83">
        <f>SUMIFS(Dataset!$AJ:$AJ,Dataset!$F:$F,credito!$D$11,Dataset!$J:$J,"&lt;"&amp;$D93,Dataset!$J:$J,"&gt;="&amp;$C93,Dataset!$AC:$AC,"&lt;&gt;N-1+",Dataset!$AC:$AC,"&lt;&gt;*AA*",Dataset!$AC:$AC,"&lt;&gt;*AAA*",Dataset!$AC:$AC,"&lt;&gt;A",Dataset!$AC:$AC,"&lt;&gt;A-",Dataset!$AC:$AC,"&lt;&gt;A+",Dataset!$AC:$AC,"&lt;&gt;*BBB*")</f>
        <v>0</v>
      </c>
      <c r="M93" s="84">
        <f t="shared" si="13"/>
        <v>0</v>
      </c>
      <c r="N93" s="82">
        <f>SUMIFS(Dataset!$AA:$AA,Dataset!$F:$F,credito!$D$11,Dataset!$AC:$AC,N$90,Dataset!$J:$J,"&lt;"&amp;$D93,Dataset!$J:$J,"&gt;="&amp;$C93)</f>
        <v>0</v>
      </c>
      <c r="O93" s="83">
        <f>SUMIFS(Dataset!$AA:$AA,Dataset!$F:$F,credito!$D$11,Dataset!$AC:$AC,O$90,Dataset!$J:$J,"&lt;"&amp;$D93,Dataset!$J:$J,"&gt;="&amp;$C93)</f>
        <v>0</v>
      </c>
      <c r="P93" s="83">
        <f>SUMIFS(Dataset!$AA:$AA,Dataset!$F:$F,credito!$D$11,Dataset!$AC:$AC,P$90,Dataset!$J:$J,"&lt;"&amp;$D93,Dataset!$J:$J,"&gt;="&amp;$C93)</f>
        <v>0</v>
      </c>
      <c r="Q93" s="83">
        <f>SUMIFS(Dataset!$AA:$AA,Dataset!$F:$F,credito!$D$11,Dataset!$AC:$AC,Q$90,Dataset!$J:$J,"&lt;"&amp;$D93,Dataset!$J:$J,"&gt;="&amp;$C93)</f>
        <v>0</v>
      </c>
      <c r="R93" s="83">
        <f>SUMIFS(Dataset!$AA:$AA,Dataset!$F:$F,credito!$D$11,Dataset!$AC:$AC,R$90,Dataset!$J:$J,"&lt;"&amp;$D93,Dataset!$J:$J,"&gt;="&amp;$C93)</f>
        <v>0</v>
      </c>
      <c r="S93" s="83">
        <f>SUMIFS(Dataset!$AA:$AA,Dataset!$F:$F,credito!$D$11,Dataset!$AC:$AC,"A",Dataset!$J:$J,"&lt;"&amp;$D93,Dataset!$J:$J,"&gt;="&amp;$C93)+SUMIFS(Dataset!$AA:$AA,Dataset!$F:$F,credito!$D$11,Dataset!$AC:$AC,"A-",Dataset!$J:$J,"&lt;"&amp;$D93,Dataset!$J:$J,"&gt;="&amp;$C93)+SUMIFS(Dataset!$AA:$AA,Dataset!$F:$F,credito!$D$11,Dataset!$AC:$AC,"A+",Dataset!$J:$J,"&lt;"&amp;$D93,Dataset!$J:$J,"&gt;="&amp;$C93)</f>
        <v>0</v>
      </c>
      <c r="T93" s="83">
        <f>SUMIFS(Dataset!$AA:$AA,Dataset!$F:$F,credito!$D$11,Dataset!$AC:$AC,"BBB-",Dataset!$J:$J,"&lt;"&amp;$D93,Dataset!$J:$J,"&gt;="&amp;$C93)+SUMIFS(Dataset!$AA:$AA,Dataset!$F:$F,credito!$D$11,Dataset!$AC:$AC,"BBB",Dataset!$J:$J,"&lt;"&amp;$D93,Dataset!$J:$J,"&gt;="&amp;$C93)+SUMIFS(Dataset!$AA:$AA,Dataset!$F:$F,credito!$D$11,Dataset!$AC:$AC,"BBB+",Dataset!$J:$J,"&lt;"&amp;$D93,Dataset!$J:$J,"&gt;="&amp;$C93)</f>
        <v>0</v>
      </c>
      <c r="U93" s="83">
        <f>SUMIFS(Dataset!$AA:$AA,Dataset!$F:$F,credito!$D$11,Dataset!$J:$J,"&lt;"&amp;$D93,Dataset!$J:$J,"&gt;="&amp;$C93,Dataset!$AC:$AC,"&lt;&gt;N-1+",Dataset!$AC:$AC,"&lt;&gt;*AA*",Dataset!$AC:$AC,"&lt;&gt;*AAA*",Dataset!$AC:$AC,"&lt;&gt;A",Dataset!$AC:$AC,"&lt;&gt;A-",Dataset!$AC:$AC,"&lt;&gt;A+",Dataset!$AC:$AC,"&lt;&gt;*BBB*")</f>
        <v>0</v>
      </c>
      <c r="V93" s="84">
        <f t="shared" si="14"/>
        <v>0</v>
      </c>
      <c r="AB93" s="61">
        <v>330</v>
      </c>
      <c r="AC93" s="100">
        <v>345</v>
      </c>
      <c r="AD93" s="101">
        <f>SUMIFS(Dataset!AJ:AJ,Dataset!F:F,credito!$D$11,Dataset!AH:AH,"deposito",Dataset!T:T,"$",Dataset!J:J,"&lt;"&amp;$AC93/365,Dataset!J:J,"&gt;="&amp;$AB93/365)</f>
        <v>0</v>
      </c>
      <c r="AE93" s="101">
        <f>SUMIFS(Dataset!AJ:AJ,Dataset!F:F,credito!$D$11,Dataset!AH:AH,"deposito",Dataset!T:T,"uf",Dataset!J:J,"&lt;"&amp;$AC93/365,Dataset!J:J,"&gt;="&amp;$AB93/365)</f>
        <v>0</v>
      </c>
      <c r="AF93" s="101">
        <f>SUMIFS(Dataset!AJ:AJ,Dataset!F:F,credito!$D$11,Dataset!AH:AH,"deposito",Dataset!T:T,"us$",Dataset!J:J,"&lt;"&amp;$AC93/365,Dataset!J:J,"&gt;="&amp;$AB93/365)</f>
        <v>0</v>
      </c>
      <c r="AG93" s="101">
        <f>SUMIFS(Dataset!AJ:AJ,Dataset!F:F,credito!$D$11,Dataset!AH:AH,"factura",Dataset!J:J,"&lt;"&amp;$AC93/365,Dataset!J:J,"&gt;="&amp;$AB93/365)</f>
        <v>0</v>
      </c>
      <c r="AH93" s="102">
        <f>SUMIFS(Dataset!AJ:AJ,Dataset!F:F,credito!$D$11,Dataset!AH:AH,"letra hipotecaria",Dataset!J:J,"&lt;"&amp;$AC93/365,Dataset!J:J,"&gt;="&amp;$AB93/365)</f>
        <v>0</v>
      </c>
      <c r="AI93" s="84">
        <f t="shared" si="15"/>
        <v>0</v>
      </c>
    </row>
    <row r="94" spans="2:35" ht="27" customHeight="1" x14ac:dyDescent="0.3">
      <c r="C94" s="61">
        <v>2.5</v>
      </c>
      <c r="D94" s="81">
        <v>3.5</v>
      </c>
      <c r="E94" s="82">
        <f>SUMIFS(Dataset!$AJ:$AJ,Dataset!$F:$F,credito!$D$11,Dataset!$AC:$AC,E$90,Dataset!$J:$J,"&lt;"&amp;$D94,Dataset!$J:$J,"&gt;="&amp;$C94)</f>
        <v>0</v>
      </c>
      <c r="F94" s="83">
        <f>SUMIFS(Dataset!$AJ:$AJ,Dataset!$F:$F,credito!$D$11,Dataset!$AC:$AC,F$90,Dataset!$J:$J,"&lt;"&amp;$D94,Dataset!$J:$J,"&gt;="&amp;$C94)</f>
        <v>0</v>
      </c>
      <c r="G94" s="83">
        <f>SUMIFS(Dataset!$AJ:$AJ,Dataset!$F:$F,credito!$D$11,Dataset!$AC:$AC,G$90,Dataset!$J:$J,"&lt;"&amp;$D94,Dataset!$J:$J,"&gt;="&amp;$C94)</f>
        <v>0</v>
      </c>
      <c r="H94" s="83">
        <f>SUMIFS(Dataset!$AJ:$AJ,Dataset!$F:$F,credito!$D$11,Dataset!$AC:$AC,H$90,Dataset!$J:$J,"&lt;"&amp;$D94,Dataset!$J:$J,"&gt;="&amp;$C94)</f>
        <v>0</v>
      </c>
      <c r="I94" s="83">
        <f>SUMIFS(Dataset!$AJ:$AJ,Dataset!$F:$F,credito!$D$11,Dataset!$AC:$AC,I$90,Dataset!$J:$J,"&lt;"&amp;$D94,Dataset!$J:$J,"&gt;="&amp;$C94)</f>
        <v>0</v>
      </c>
      <c r="J94" s="83">
        <f>SUMIFS(Dataset!$AJ:$AJ,Dataset!$F:$F,credito!$D$11,Dataset!$AC:$AC,"A",Dataset!$J:$J,"&lt;"&amp;$D94,Dataset!$J:$J,"&gt;="&amp;$C94)+SUMIFS(Dataset!$AJ:$AJ,Dataset!$F:$F,credito!$D$11,Dataset!$AC:$AC,"A-",Dataset!$J:$J,"&lt;"&amp;$D94,Dataset!$J:$J,"&gt;="&amp;$C94)+SUMIFS(Dataset!$AJ:$AJ,Dataset!$F:$F,credito!$D$11,Dataset!$AC:$AC,"A+",Dataset!$J:$J,"&lt;"&amp;$D94,Dataset!$J:$J,"&gt;="&amp;$C94)</f>
        <v>0</v>
      </c>
      <c r="K94" s="83">
        <f>SUMIFS(Dataset!$AJ:$AJ,Dataset!$F:$F,credito!$D$11,Dataset!$AC:$AC,"BBB-",Dataset!$J:$J,"&lt;"&amp;$D94,Dataset!$J:$J,"&gt;="&amp;$C94)+SUMIFS(Dataset!$AJ:$AJ,Dataset!$F:$F,credito!$D$11,Dataset!$AC:$AC,"BBB",Dataset!$J:$J,"&lt;"&amp;$D94,Dataset!$J:$J,"&gt;="&amp;$C94)+SUMIFS(Dataset!$AJ:$AJ,Dataset!$F:$F,credito!$D$11,Dataset!$AC:$AC,"BBB+",Dataset!$J:$J,"&lt;"&amp;$D94,Dataset!$J:$J,"&gt;="&amp;$C94)</f>
        <v>0</v>
      </c>
      <c r="L94" s="83">
        <f>SUMIFS(Dataset!$AJ:$AJ,Dataset!$F:$F,credito!$D$11,Dataset!$J:$J,"&lt;"&amp;$D94,Dataset!$J:$J,"&gt;="&amp;$C94,Dataset!$AC:$AC,"&lt;&gt;N-1+",Dataset!$AC:$AC,"&lt;&gt;*AA*",Dataset!$AC:$AC,"&lt;&gt;*AAA*",Dataset!$AC:$AC,"&lt;&gt;A",Dataset!$AC:$AC,"&lt;&gt;A-",Dataset!$AC:$AC,"&lt;&gt;A+",Dataset!$AC:$AC,"&lt;&gt;*BBB*")</f>
        <v>0</v>
      </c>
      <c r="M94" s="84">
        <f t="shared" si="13"/>
        <v>0</v>
      </c>
      <c r="N94" s="82">
        <f>SUMIFS(Dataset!$AA:$AA,Dataset!$F:$F,credito!$D$11,Dataset!$AC:$AC,N$90,Dataset!$J:$J,"&lt;"&amp;$D94,Dataset!$J:$J,"&gt;="&amp;$C94)</f>
        <v>0</v>
      </c>
      <c r="O94" s="83">
        <f>SUMIFS(Dataset!$AA:$AA,Dataset!$F:$F,credito!$D$11,Dataset!$AC:$AC,O$90,Dataset!$J:$J,"&lt;"&amp;$D94,Dataset!$J:$J,"&gt;="&amp;$C94)</f>
        <v>0</v>
      </c>
      <c r="P94" s="83">
        <f>SUMIFS(Dataset!$AA:$AA,Dataset!$F:$F,credito!$D$11,Dataset!$AC:$AC,P$90,Dataset!$J:$J,"&lt;"&amp;$D94,Dataset!$J:$J,"&gt;="&amp;$C94)</f>
        <v>0</v>
      </c>
      <c r="Q94" s="83">
        <f>SUMIFS(Dataset!$AA:$AA,Dataset!$F:$F,credito!$D$11,Dataset!$AC:$AC,Q$90,Dataset!$J:$J,"&lt;"&amp;$D94,Dataset!$J:$J,"&gt;="&amp;$C94)</f>
        <v>0</v>
      </c>
      <c r="R94" s="83">
        <f>SUMIFS(Dataset!$AA:$AA,Dataset!$F:$F,credito!$D$11,Dataset!$AC:$AC,R$90,Dataset!$J:$J,"&lt;"&amp;$D94,Dataset!$J:$J,"&gt;="&amp;$C94)</f>
        <v>0</v>
      </c>
      <c r="S94" s="83">
        <f>SUMIFS(Dataset!$AA:$AA,Dataset!$F:$F,credito!$D$11,Dataset!$AC:$AC,"A",Dataset!$J:$J,"&lt;"&amp;$D94,Dataset!$J:$J,"&gt;="&amp;$C94)+SUMIFS(Dataset!$AA:$AA,Dataset!$F:$F,credito!$D$11,Dataset!$AC:$AC,"A-",Dataset!$J:$J,"&lt;"&amp;$D94,Dataset!$J:$J,"&gt;="&amp;$C94)+SUMIFS(Dataset!$AA:$AA,Dataset!$F:$F,credito!$D$11,Dataset!$AC:$AC,"A+",Dataset!$J:$J,"&lt;"&amp;$D94,Dataset!$J:$J,"&gt;="&amp;$C94)</f>
        <v>0</v>
      </c>
      <c r="T94" s="83">
        <f>SUMIFS(Dataset!$AA:$AA,Dataset!$F:$F,credito!$D$11,Dataset!$AC:$AC,"BBB-",Dataset!$J:$J,"&lt;"&amp;$D94,Dataset!$J:$J,"&gt;="&amp;$C94)+SUMIFS(Dataset!$AA:$AA,Dataset!$F:$F,credito!$D$11,Dataset!$AC:$AC,"BBB",Dataset!$J:$J,"&lt;"&amp;$D94,Dataset!$J:$J,"&gt;="&amp;$C94)+SUMIFS(Dataset!$AA:$AA,Dataset!$F:$F,credito!$D$11,Dataset!$AC:$AC,"BBB+",Dataset!$J:$J,"&lt;"&amp;$D94,Dataset!$J:$J,"&gt;="&amp;$C94)</f>
        <v>0</v>
      </c>
      <c r="U94" s="83">
        <f>SUMIFS(Dataset!$AA:$AA,Dataset!$F:$F,credito!$D$11,Dataset!$J:$J,"&lt;"&amp;$D94,Dataset!$J:$J,"&gt;="&amp;$C94,Dataset!$AC:$AC,"&lt;&gt;N-1+",Dataset!$AC:$AC,"&lt;&gt;*AA*",Dataset!$AC:$AC,"&lt;&gt;*AAA*",Dataset!$AC:$AC,"&lt;&gt;A",Dataset!$AC:$AC,"&lt;&gt;A-",Dataset!$AC:$AC,"&lt;&gt;A+",Dataset!$AC:$AC,"&lt;&gt;*BBB*")</f>
        <v>0</v>
      </c>
      <c r="V94" s="84">
        <f t="shared" si="14"/>
        <v>0</v>
      </c>
      <c r="AB94" s="61">
        <v>345</v>
      </c>
      <c r="AC94" s="100">
        <v>360</v>
      </c>
      <c r="AD94" s="101">
        <f>SUMIFS(Dataset!AJ:AJ,Dataset!F:F,credito!$D$11,Dataset!AH:AH,"deposito",Dataset!T:T,"$",Dataset!J:J,"&lt;"&amp;$AC94/365,Dataset!J:J,"&gt;="&amp;$AB94/365)</f>
        <v>0</v>
      </c>
      <c r="AE94" s="101">
        <f>SUMIFS(Dataset!AJ:AJ,Dataset!F:F,credito!$D$11,Dataset!AH:AH,"deposito",Dataset!T:T,"uf",Dataset!J:J,"&lt;"&amp;$AC94/365,Dataset!J:J,"&gt;="&amp;$AB94/365)</f>
        <v>0</v>
      </c>
      <c r="AF94" s="101">
        <f>SUMIFS(Dataset!AJ:AJ,Dataset!F:F,credito!$D$11,Dataset!AH:AH,"deposito",Dataset!T:T,"us$",Dataset!J:J,"&lt;"&amp;$AC94/365,Dataset!J:J,"&gt;="&amp;$AB94/365)</f>
        <v>0</v>
      </c>
      <c r="AG94" s="101">
        <f>SUMIFS(Dataset!AJ:AJ,Dataset!F:F,credito!$D$11,Dataset!AH:AH,"factura",Dataset!J:J,"&lt;"&amp;$AC94/365,Dataset!J:J,"&gt;="&amp;$AB94/365)</f>
        <v>0</v>
      </c>
      <c r="AH94" s="102">
        <f>SUMIFS(Dataset!AJ:AJ,Dataset!F:F,credito!$D$11,Dataset!AH:AH,"letra hipotecaria",Dataset!J:J,"&lt;"&amp;$AC94/365,Dataset!J:J,"&gt;="&amp;$AB94/365)</f>
        <v>0</v>
      </c>
      <c r="AI94" s="84">
        <f t="shared" si="15"/>
        <v>0</v>
      </c>
    </row>
    <row r="95" spans="2:35" ht="27" customHeight="1" x14ac:dyDescent="0.3">
      <c r="C95" s="61">
        <v>3.5</v>
      </c>
      <c r="D95" s="81">
        <v>4.5</v>
      </c>
      <c r="E95" s="82">
        <f>SUMIFS(Dataset!$AJ:$AJ,Dataset!$F:$F,credito!$D$11,Dataset!$AC:$AC,E$90,Dataset!$J:$J,"&lt;"&amp;$D95,Dataset!$J:$J,"&gt;="&amp;$C95)</f>
        <v>0</v>
      </c>
      <c r="F95" s="83">
        <f>SUMIFS(Dataset!$AJ:$AJ,Dataset!$F:$F,credito!$D$11,Dataset!$AC:$AC,F$90,Dataset!$J:$J,"&lt;"&amp;$D95,Dataset!$J:$J,"&gt;="&amp;$C95)</f>
        <v>0</v>
      </c>
      <c r="G95" s="83">
        <f>SUMIFS(Dataset!$AJ:$AJ,Dataset!$F:$F,credito!$D$11,Dataset!$AC:$AC,G$90,Dataset!$J:$J,"&lt;"&amp;$D95,Dataset!$J:$J,"&gt;="&amp;$C95)</f>
        <v>0</v>
      </c>
      <c r="H95" s="83">
        <f>SUMIFS(Dataset!$AJ:$AJ,Dataset!$F:$F,credito!$D$11,Dataset!$AC:$AC,H$90,Dataset!$J:$J,"&lt;"&amp;$D95,Dataset!$J:$J,"&gt;="&amp;$C95)</f>
        <v>0</v>
      </c>
      <c r="I95" s="83">
        <f>SUMIFS(Dataset!$AJ:$AJ,Dataset!$F:$F,credito!$D$11,Dataset!$AC:$AC,I$90,Dataset!$J:$J,"&lt;"&amp;$D95,Dataset!$J:$J,"&gt;="&amp;$C95)</f>
        <v>0</v>
      </c>
      <c r="J95" s="83">
        <f>SUMIFS(Dataset!$AJ:$AJ,Dataset!$F:$F,credito!$D$11,Dataset!$AC:$AC,"A",Dataset!$J:$J,"&lt;"&amp;$D95,Dataset!$J:$J,"&gt;="&amp;$C95)+SUMIFS(Dataset!$AJ:$AJ,Dataset!$F:$F,credito!$D$11,Dataset!$AC:$AC,"A-",Dataset!$J:$J,"&lt;"&amp;$D95,Dataset!$J:$J,"&gt;="&amp;$C95)+SUMIFS(Dataset!$AJ:$AJ,Dataset!$F:$F,credito!$D$11,Dataset!$AC:$AC,"A+",Dataset!$J:$J,"&lt;"&amp;$D95,Dataset!$J:$J,"&gt;="&amp;$C95)</f>
        <v>0</v>
      </c>
      <c r="K95" s="83">
        <f>SUMIFS(Dataset!$AJ:$AJ,Dataset!$F:$F,credito!$D$11,Dataset!$AC:$AC,"BBB-",Dataset!$J:$J,"&lt;"&amp;$D95,Dataset!$J:$J,"&gt;="&amp;$C95)+SUMIFS(Dataset!$AJ:$AJ,Dataset!$F:$F,credito!$D$11,Dataset!$AC:$AC,"BBB",Dataset!$J:$J,"&lt;"&amp;$D95,Dataset!$J:$J,"&gt;="&amp;$C95)+SUMIFS(Dataset!$AJ:$AJ,Dataset!$F:$F,credito!$D$11,Dataset!$AC:$AC,"BBB+",Dataset!$J:$J,"&lt;"&amp;$D95,Dataset!$J:$J,"&gt;="&amp;$C95)</f>
        <v>0</v>
      </c>
      <c r="L95" s="83">
        <f>SUMIFS(Dataset!$AJ:$AJ,Dataset!$F:$F,credito!$D$11,Dataset!$J:$J,"&lt;"&amp;$D95,Dataset!$J:$J,"&gt;="&amp;$C95,Dataset!$AC:$AC,"&lt;&gt;N-1+",Dataset!$AC:$AC,"&lt;&gt;*AA*",Dataset!$AC:$AC,"&lt;&gt;*AAA*",Dataset!$AC:$AC,"&lt;&gt;A",Dataset!$AC:$AC,"&lt;&gt;A-",Dataset!$AC:$AC,"&lt;&gt;A+",Dataset!$AC:$AC,"&lt;&gt;*BBB*")</f>
        <v>0</v>
      </c>
      <c r="M95" s="84">
        <f t="shared" si="13"/>
        <v>0</v>
      </c>
      <c r="N95" s="82">
        <f>SUMIFS(Dataset!$AA:$AA,Dataset!$F:$F,credito!$D$11,Dataset!$AC:$AC,N$90,Dataset!$J:$J,"&lt;"&amp;$D95,Dataset!$J:$J,"&gt;="&amp;$C95)</f>
        <v>0</v>
      </c>
      <c r="O95" s="83">
        <f>SUMIFS(Dataset!$AA:$AA,Dataset!$F:$F,credito!$D$11,Dataset!$AC:$AC,O$90,Dataset!$J:$J,"&lt;"&amp;$D95,Dataset!$J:$J,"&gt;="&amp;$C95)</f>
        <v>0</v>
      </c>
      <c r="P95" s="83">
        <f>SUMIFS(Dataset!$AA:$AA,Dataset!$F:$F,credito!$D$11,Dataset!$AC:$AC,P$90,Dataset!$J:$J,"&lt;"&amp;$D95,Dataset!$J:$J,"&gt;="&amp;$C95)</f>
        <v>0</v>
      </c>
      <c r="Q95" s="83">
        <f>SUMIFS(Dataset!$AA:$AA,Dataset!$F:$F,credito!$D$11,Dataset!$AC:$AC,Q$90,Dataset!$J:$J,"&lt;"&amp;$D95,Dataset!$J:$J,"&gt;="&amp;$C95)</f>
        <v>0</v>
      </c>
      <c r="R95" s="83">
        <f>SUMIFS(Dataset!$AA:$AA,Dataset!$F:$F,credito!$D$11,Dataset!$AC:$AC,R$90,Dataset!$J:$J,"&lt;"&amp;$D95,Dataset!$J:$J,"&gt;="&amp;$C95)</f>
        <v>0</v>
      </c>
      <c r="S95" s="83">
        <f>SUMIFS(Dataset!$AA:$AA,Dataset!$F:$F,credito!$D$11,Dataset!$AC:$AC,"A",Dataset!$J:$J,"&lt;"&amp;$D95,Dataset!$J:$J,"&gt;="&amp;$C95)+SUMIFS(Dataset!$AA:$AA,Dataset!$F:$F,credito!$D$11,Dataset!$AC:$AC,"A-",Dataset!$J:$J,"&lt;"&amp;$D95,Dataset!$J:$J,"&gt;="&amp;$C95)+SUMIFS(Dataset!$AA:$AA,Dataset!$F:$F,credito!$D$11,Dataset!$AC:$AC,"A+",Dataset!$J:$J,"&lt;"&amp;$D95,Dataset!$J:$J,"&gt;="&amp;$C95)</f>
        <v>0</v>
      </c>
      <c r="T95" s="83">
        <f>SUMIFS(Dataset!$AA:$AA,Dataset!$F:$F,credito!$D$11,Dataset!$AC:$AC,"BBB-",Dataset!$J:$J,"&lt;"&amp;$D95,Dataset!$J:$J,"&gt;="&amp;$C95)+SUMIFS(Dataset!$AA:$AA,Dataset!$F:$F,credito!$D$11,Dataset!$AC:$AC,"BBB",Dataset!$J:$J,"&lt;"&amp;$D95,Dataset!$J:$J,"&gt;="&amp;$C95)+SUMIFS(Dataset!$AA:$AA,Dataset!$F:$F,credito!$D$11,Dataset!$AC:$AC,"BBB+",Dataset!$J:$J,"&lt;"&amp;$D95,Dataset!$J:$J,"&gt;="&amp;$C95)</f>
        <v>0</v>
      </c>
      <c r="U95" s="83">
        <f>SUMIFS(Dataset!$AA:$AA,Dataset!$F:$F,credito!$D$11,Dataset!$J:$J,"&lt;"&amp;$D95,Dataset!$J:$J,"&gt;="&amp;$C95,Dataset!$AC:$AC,"&lt;&gt;N-1+",Dataset!$AC:$AC,"&lt;&gt;*AA*",Dataset!$AC:$AC,"&lt;&gt;*AAA*",Dataset!$AC:$AC,"&lt;&gt;A",Dataset!$AC:$AC,"&lt;&gt;A-",Dataset!$AC:$AC,"&lt;&gt;A+",Dataset!$AC:$AC,"&lt;&gt;*BBB*")</f>
        <v>0</v>
      </c>
      <c r="V95" s="84">
        <f t="shared" si="14"/>
        <v>0</v>
      </c>
      <c r="AB95" s="61">
        <v>360</v>
      </c>
      <c r="AC95" s="100">
        <v>720</v>
      </c>
      <c r="AD95" s="101">
        <f>SUMIFS(Dataset!AJ:AJ,Dataset!F:F,credito!$D$11,Dataset!AH:AH,"deposito",Dataset!T:T,"$",Dataset!J:J,"&lt;"&amp;$AC95/365,Dataset!J:J,"&gt;="&amp;$AB95/365)</f>
        <v>0</v>
      </c>
      <c r="AE95" s="101">
        <f>SUMIFS(Dataset!AJ:AJ,Dataset!F:F,credito!$D$11,Dataset!AH:AH,"deposito",Dataset!T:T,"uf",Dataset!J:J,"&lt;"&amp;$AC95/365,Dataset!J:J,"&gt;="&amp;$AB95/365)</f>
        <v>0</v>
      </c>
      <c r="AF95" s="101">
        <f>SUMIFS(Dataset!AJ:AJ,Dataset!F:F,credito!$D$11,Dataset!AH:AH,"deposito",Dataset!T:T,"us$",Dataset!J:J,"&lt;"&amp;$AC95/365,Dataset!J:J,"&gt;="&amp;$AB95/365)</f>
        <v>0</v>
      </c>
      <c r="AG95" s="101">
        <f>SUMIFS(Dataset!AJ:AJ,Dataset!F:F,credito!$D$11,Dataset!AH:AH,"factura",Dataset!J:J,"&lt;"&amp;$AC95/365,Dataset!J:J,"&gt;="&amp;$AB95/365)</f>
        <v>0</v>
      </c>
      <c r="AH95" s="102">
        <f>SUMIFS(Dataset!AJ:AJ,Dataset!F:F,credito!$D$11,Dataset!AH:AH,"letra hipotecaria",Dataset!J:J,"&lt;"&amp;$AC95/365,Dataset!J:J,"&gt;="&amp;$AB95/365)</f>
        <v>0</v>
      </c>
      <c r="AI95" s="84">
        <f t="shared" si="15"/>
        <v>0</v>
      </c>
    </row>
    <row r="96" spans="2:35" ht="36" customHeight="1" x14ac:dyDescent="0.4">
      <c r="B96" s="95"/>
      <c r="C96" s="61">
        <v>4.5</v>
      </c>
      <c r="D96" s="81">
        <v>5.5</v>
      </c>
      <c r="E96" s="82">
        <f>SUMIFS(Dataset!$AJ:$AJ,Dataset!$F:$F,credito!$D$11,Dataset!$AC:$AC,E$90,Dataset!$J:$J,"&lt;"&amp;$D96,Dataset!$J:$J,"&gt;="&amp;$C96)</f>
        <v>0</v>
      </c>
      <c r="F96" s="83">
        <f>SUMIFS(Dataset!$AJ:$AJ,Dataset!$F:$F,credito!$D$11,Dataset!$AC:$AC,F$90,Dataset!$J:$J,"&lt;"&amp;$D96,Dataset!$J:$J,"&gt;="&amp;$C96)</f>
        <v>0</v>
      </c>
      <c r="G96" s="83">
        <f>SUMIFS(Dataset!$AJ:$AJ,Dataset!$F:$F,credito!$D$11,Dataset!$AC:$AC,G$90,Dataset!$J:$J,"&lt;"&amp;$D96,Dataset!$J:$J,"&gt;="&amp;$C96)</f>
        <v>0</v>
      </c>
      <c r="H96" s="83">
        <f>SUMIFS(Dataset!$AJ:$AJ,Dataset!$F:$F,credito!$D$11,Dataset!$AC:$AC,H$90,Dataset!$J:$J,"&lt;"&amp;$D96,Dataset!$J:$J,"&gt;="&amp;$C96)</f>
        <v>0</v>
      </c>
      <c r="I96" s="83">
        <f>SUMIFS(Dataset!$AJ:$AJ,Dataset!$F:$F,credito!$D$11,Dataset!$AC:$AC,I$90,Dataset!$J:$J,"&lt;"&amp;$D96,Dataset!$J:$J,"&gt;="&amp;$C96)</f>
        <v>0</v>
      </c>
      <c r="J96" s="83">
        <f>SUMIFS(Dataset!$AJ:$AJ,Dataset!$F:$F,credito!$D$11,Dataset!$AC:$AC,"A",Dataset!$J:$J,"&lt;"&amp;$D96,Dataset!$J:$J,"&gt;="&amp;$C96)+SUMIFS(Dataset!$AJ:$AJ,Dataset!$F:$F,credito!$D$11,Dataset!$AC:$AC,"A-",Dataset!$J:$J,"&lt;"&amp;$D96,Dataset!$J:$J,"&gt;="&amp;$C96)+SUMIFS(Dataset!$AJ:$AJ,Dataset!$F:$F,credito!$D$11,Dataset!$AC:$AC,"A+",Dataset!$J:$J,"&lt;"&amp;$D96,Dataset!$J:$J,"&gt;="&amp;$C96)</f>
        <v>0</v>
      </c>
      <c r="K96" s="83">
        <f>SUMIFS(Dataset!$AJ:$AJ,Dataset!$F:$F,credito!$D$11,Dataset!$AC:$AC,"BBB-",Dataset!$J:$J,"&lt;"&amp;$D96,Dataset!$J:$J,"&gt;="&amp;$C96)+SUMIFS(Dataset!$AJ:$AJ,Dataset!$F:$F,credito!$D$11,Dataset!$AC:$AC,"BBB",Dataset!$J:$J,"&lt;"&amp;$D96,Dataset!$J:$J,"&gt;="&amp;$C96)+SUMIFS(Dataset!$AJ:$AJ,Dataset!$F:$F,credito!$D$11,Dataset!$AC:$AC,"BBB+",Dataset!$J:$J,"&lt;"&amp;$D96,Dataset!$J:$J,"&gt;="&amp;$C96)</f>
        <v>0</v>
      </c>
      <c r="L96" s="83">
        <f>SUMIFS(Dataset!$AJ:$AJ,Dataset!$F:$F,credito!$D$11,Dataset!$J:$J,"&lt;"&amp;$D96,Dataset!$J:$J,"&gt;="&amp;$C96,Dataset!$AC:$AC,"&lt;&gt;N-1+",Dataset!$AC:$AC,"&lt;&gt;*AA*",Dataset!$AC:$AC,"&lt;&gt;*AAA*",Dataset!$AC:$AC,"&lt;&gt;A",Dataset!$AC:$AC,"&lt;&gt;A-",Dataset!$AC:$AC,"&lt;&gt;A+",Dataset!$AC:$AC,"&lt;&gt;*BBB*")</f>
        <v>0</v>
      </c>
      <c r="M96" s="84">
        <f t="shared" si="13"/>
        <v>0</v>
      </c>
      <c r="N96" s="82">
        <f>SUMIFS(Dataset!$AA:$AA,Dataset!$F:$F,credito!$D$11,Dataset!$AC:$AC,N$90,Dataset!$J:$J,"&lt;"&amp;$D96,Dataset!$J:$J,"&gt;="&amp;$C96)</f>
        <v>0</v>
      </c>
      <c r="O96" s="83">
        <f>SUMIFS(Dataset!$AA:$AA,Dataset!$F:$F,credito!$D$11,Dataset!$AC:$AC,O$90,Dataset!$J:$J,"&lt;"&amp;$D96,Dataset!$J:$J,"&gt;="&amp;$C96)</f>
        <v>0</v>
      </c>
      <c r="P96" s="83">
        <f>SUMIFS(Dataset!$AA:$AA,Dataset!$F:$F,credito!$D$11,Dataset!$AC:$AC,P$90,Dataset!$J:$J,"&lt;"&amp;$D96,Dataset!$J:$J,"&gt;="&amp;$C96)</f>
        <v>0</v>
      </c>
      <c r="Q96" s="83">
        <f>SUMIFS(Dataset!$AA:$AA,Dataset!$F:$F,credito!$D$11,Dataset!$AC:$AC,Q$90,Dataset!$J:$J,"&lt;"&amp;$D96,Dataset!$J:$J,"&gt;="&amp;$C96)</f>
        <v>0</v>
      </c>
      <c r="R96" s="83">
        <f>SUMIFS(Dataset!$AA:$AA,Dataset!$F:$F,credito!$D$11,Dataset!$AC:$AC,R$90,Dataset!$J:$J,"&lt;"&amp;$D96,Dataset!$J:$J,"&gt;="&amp;$C96)</f>
        <v>0</v>
      </c>
      <c r="S96" s="83">
        <f>SUMIFS(Dataset!$AA:$AA,Dataset!$F:$F,credito!$D$11,Dataset!$AC:$AC,"A",Dataset!$J:$J,"&lt;"&amp;$D96,Dataset!$J:$J,"&gt;="&amp;$C96)+SUMIFS(Dataset!$AA:$AA,Dataset!$F:$F,credito!$D$11,Dataset!$AC:$AC,"A-",Dataset!$J:$J,"&lt;"&amp;$D96,Dataset!$J:$J,"&gt;="&amp;$C96)+SUMIFS(Dataset!$AA:$AA,Dataset!$F:$F,credito!$D$11,Dataset!$AC:$AC,"A+",Dataset!$J:$J,"&lt;"&amp;$D96,Dataset!$J:$J,"&gt;="&amp;$C96)</f>
        <v>0</v>
      </c>
      <c r="T96" s="83">
        <f>SUMIFS(Dataset!$AA:$AA,Dataset!$F:$F,credito!$D$11,Dataset!$AC:$AC,"BBB-",Dataset!$J:$J,"&lt;"&amp;$D96,Dataset!$J:$J,"&gt;="&amp;$C96)+SUMIFS(Dataset!$AA:$AA,Dataset!$F:$F,credito!$D$11,Dataset!$AC:$AC,"BBB",Dataset!$J:$J,"&lt;"&amp;$D96,Dataset!$J:$J,"&gt;="&amp;$C96)+SUMIFS(Dataset!$AA:$AA,Dataset!$F:$F,credito!$D$11,Dataset!$AC:$AC,"BBB+",Dataset!$J:$J,"&lt;"&amp;$D96,Dataset!$J:$J,"&gt;="&amp;$C96)</f>
        <v>0</v>
      </c>
      <c r="U96" s="83">
        <f>SUMIFS(Dataset!$AA:$AA,Dataset!$F:$F,credito!$D$11,Dataset!$J:$J,"&lt;"&amp;$D96,Dataset!$J:$J,"&gt;="&amp;$C96,Dataset!$AC:$AC,"&lt;&gt;N-1+",Dataset!$AC:$AC,"&lt;&gt;*AA*",Dataset!$AC:$AC,"&lt;&gt;*AAA*",Dataset!$AC:$AC,"&lt;&gt;A",Dataset!$AC:$AC,"&lt;&gt;A-",Dataset!$AC:$AC,"&lt;&gt;A+",Dataset!$AC:$AC,"&lt;&gt;*BBB*")</f>
        <v>0</v>
      </c>
      <c r="V96" s="84">
        <f t="shared" si="14"/>
        <v>0</v>
      </c>
      <c r="AB96" s="61">
        <v>720</v>
      </c>
      <c r="AC96" s="100">
        <v>1080</v>
      </c>
      <c r="AD96" s="101">
        <f>SUMIFS(Dataset!AJ:AJ,Dataset!F:F,credito!$D$11,Dataset!AH:AH,"deposito",Dataset!T:T,"$",Dataset!J:J,"&lt;"&amp;$AC96/365,Dataset!J:J,"&gt;="&amp;$AB96/365)</f>
        <v>0</v>
      </c>
      <c r="AE96" s="101">
        <f>SUMIFS(Dataset!AJ:AJ,Dataset!F:F,credito!$D$11,Dataset!AH:AH,"deposito",Dataset!T:T,"uf",Dataset!J:J,"&lt;"&amp;$AC96/365,Dataset!J:J,"&gt;="&amp;$AB96/365)</f>
        <v>0</v>
      </c>
      <c r="AF96" s="101">
        <f>SUMIFS(Dataset!AJ:AJ,Dataset!F:F,credito!$D$11,Dataset!AH:AH,"deposito",Dataset!T:T,"us$",Dataset!J:J,"&lt;"&amp;$AC96/365,Dataset!J:J,"&gt;="&amp;$AB96/365)</f>
        <v>0</v>
      </c>
      <c r="AG96" s="101">
        <f>SUMIFS(Dataset!AJ:AJ,Dataset!F:F,credito!$D$11,Dataset!AH:AH,"factura",Dataset!J:J,"&lt;"&amp;$AC96/365,Dataset!J:J,"&gt;="&amp;$AB96/365)</f>
        <v>0</v>
      </c>
      <c r="AH96" s="102">
        <f>SUMIFS(Dataset!AJ:AJ,Dataset!F:F,credito!$D$11,Dataset!AH:AH,"letra hipotecaria",Dataset!J:J,"&lt;"&amp;$AC96/365,Dataset!J:J,"&gt;="&amp;$AB96/365)</f>
        <v>0</v>
      </c>
      <c r="AI96" s="84">
        <f t="shared" si="15"/>
        <v>0</v>
      </c>
    </row>
    <row r="97" spans="2:35" ht="36" customHeight="1" x14ac:dyDescent="0.3">
      <c r="B97" s="96"/>
      <c r="C97" s="61">
        <v>5.5</v>
      </c>
      <c r="D97" s="81">
        <v>6.5</v>
      </c>
      <c r="E97" s="82">
        <f>SUMIFS(Dataset!$AJ:$AJ,Dataset!$F:$F,credito!$D$11,Dataset!$AC:$AC,E$90,Dataset!$J:$J,"&lt;"&amp;$D97,Dataset!$J:$J,"&gt;="&amp;$C97)</f>
        <v>0</v>
      </c>
      <c r="F97" s="83">
        <f>SUMIFS(Dataset!$AJ:$AJ,Dataset!$F:$F,credito!$D$11,Dataset!$AC:$AC,F$90,Dataset!$J:$J,"&lt;"&amp;$D97,Dataset!$J:$J,"&gt;="&amp;$C97)</f>
        <v>0</v>
      </c>
      <c r="G97" s="83">
        <f>SUMIFS(Dataset!$AJ:$AJ,Dataset!$F:$F,credito!$D$11,Dataset!$AC:$AC,G$90,Dataset!$J:$J,"&lt;"&amp;$D97,Dataset!$J:$J,"&gt;="&amp;$C97)</f>
        <v>0</v>
      </c>
      <c r="H97" s="83">
        <f>SUMIFS(Dataset!$AJ:$AJ,Dataset!$F:$F,credito!$D$11,Dataset!$AC:$AC,H$90,Dataset!$J:$J,"&lt;"&amp;$D97,Dataset!$J:$J,"&gt;="&amp;$C97)</f>
        <v>0</v>
      </c>
      <c r="I97" s="83">
        <f>SUMIFS(Dataset!$AJ:$AJ,Dataset!$F:$F,credito!$D$11,Dataset!$AC:$AC,I$90,Dataset!$J:$J,"&lt;"&amp;$D97,Dataset!$J:$J,"&gt;="&amp;$C97)</f>
        <v>0</v>
      </c>
      <c r="J97" s="83">
        <f>SUMIFS(Dataset!$AJ:$AJ,Dataset!$F:$F,credito!$D$11,Dataset!$AC:$AC,"A",Dataset!$J:$J,"&lt;"&amp;$D97,Dataset!$J:$J,"&gt;="&amp;$C97)+SUMIFS(Dataset!$AJ:$AJ,Dataset!$F:$F,credito!$D$11,Dataset!$AC:$AC,"A-",Dataset!$J:$J,"&lt;"&amp;$D97,Dataset!$J:$J,"&gt;="&amp;$C97)+SUMIFS(Dataset!$AJ:$AJ,Dataset!$F:$F,credito!$D$11,Dataset!$AC:$AC,"A+",Dataset!$J:$J,"&lt;"&amp;$D97,Dataset!$J:$J,"&gt;="&amp;$C97)</f>
        <v>0</v>
      </c>
      <c r="K97" s="83">
        <f>SUMIFS(Dataset!$AJ:$AJ,Dataset!$F:$F,credito!$D$11,Dataset!$AC:$AC,"BBB-",Dataset!$J:$J,"&lt;"&amp;$D97,Dataset!$J:$J,"&gt;="&amp;$C97)+SUMIFS(Dataset!$AJ:$AJ,Dataset!$F:$F,credito!$D$11,Dataset!$AC:$AC,"BBB",Dataset!$J:$J,"&lt;"&amp;$D97,Dataset!$J:$J,"&gt;="&amp;$C97)+SUMIFS(Dataset!$AJ:$AJ,Dataset!$F:$F,credito!$D$11,Dataset!$AC:$AC,"BBB+",Dataset!$J:$J,"&lt;"&amp;$D97,Dataset!$J:$J,"&gt;="&amp;$C97)</f>
        <v>0</v>
      </c>
      <c r="L97" s="83">
        <f>SUMIFS(Dataset!$AJ:$AJ,Dataset!$F:$F,credito!$D$11,Dataset!$J:$J,"&lt;"&amp;$D97,Dataset!$J:$J,"&gt;="&amp;$C97,Dataset!$AC:$AC,"&lt;&gt;N-1+",Dataset!$AC:$AC,"&lt;&gt;*AA*",Dataset!$AC:$AC,"&lt;&gt;*AAA*",Dataset!$AC:$AC,"&lt;&gt;A",Dataset!$AC:$AC,"&lt;&gt;A-",Dataset!$AC:$AC,"&lt;&gt;A+",Dataset!$AC:$AC,"&lt;&gt;*BBB*")</f>
        <v>0</v>
      </c>
      <c r="M97" s="84">
        <f t="shared" si="13"/>
        <v>0</v>
      </c>
      <c r="N97" s="82">
        <f>SUMIFS(Dataset!$AA:$AA,Dataset!$F:$F,credito!$D$11,Dataset!$AC:$AC,N$90,Dataset!$J:$J,"&lt;"&amp;$D97,Dataset!$J:$J,"&gt;="&amp;$C97)</f>
        <v>0</v>
      </c>
      <c r="O97" s="83">
        <f>SUMIFS(Dataset!$AA:$AA,Dataset!$F:$F,credito!$D$11,Dataset!$AC:$AC,O$90,Dataset!$J:$J,"&lt;"&amp;$D97,Dataset!$J:$J,"&gt;="&amp;$C97)</f>
        <v>0</v>
      </c>
      <c r="P97" s="83">
        <f>SUMIFS(Dataset!$AA:$AA,Dataset!$F:$F,credito!$D$11,Dataset!$AC:$AC,P$90,Dataset!$J:$J,"&lt;"&amp;$D97,Dataset!$J:$J,"&gt;="&amp;$C97)</f>
        <v>0</v>
      </c>
      <c r="Q97" s="83">
        <f>SUMIFS(Dataset!$AA:$AA,Dataset!$F:$F,credito!$D$11,Dataset!$AC:$AC,Q$90,Dataset!$J:$J,"&lt;"&amp;$D97,Dataset!$J:$J,"&gt;="&amp;$C97)</f>
        <v>0</v>
      </c>
      <c r="R97" s="83">
        <f>SUMIFS(Dataset!$AA:$AA,Dataset!$F:$F,credito!$D$11,Dataset!$AC:$AC,R$90,Dataset!$J:$J,"&lt;"&amp;$D97,Dataset!$J:$J,"&gt;="&amp;$C97)</f>
        <v>0</v>
      </c>
      <c r="S97" s="83">
        <f>SUMIFS(Dataset!$AA:$AA,Dataset!$F:$F,credito!$D$11,Dataset!$AC:$AC,"A",Dataset!$J:$J,"&lt;"&amp;$D97,Dataset!$J:$J,"&gt;="&amp;$C97)+SUMIFS(Dataset!$AA:$AA,Dataset!$F:$F,credito!$D$11,Dataset!$AC:$AC,"A-",Dataset!$J:$J,"&lt;"&amp;$D97,Dataset!$J:$J,"&gt;="&amp;$C97)+SUMIFS(Dataset!$AA:$AA,Dataset!$F:$F,credito!$D$11,Dataset!$AC:$AC,"A+",Dataset!$J:$J,"&lt;"&amp;$D97,Dataset!$J:$J,"&gt;="&amp;$C97)</f>
        <v>0</v>
      </c>
      <c r="T97" s="83">
        <f>SUMIFS(Dataset!$AA:$AA,Dataset!$F:$F,credito!$D$11,Dataset!$AC:$AC,"BBB-",Dataset!$J:$J,"&lt;"&amp;$D97,Dataset!$J:$J,"&gt;="&amp;$C97)+SUMIFS(Dataset!$AA:$AA,Dataset!$F:$F,credito!$D$11,Dataset!$AC:$AC,"BBB",Dataset!$J:$J,"&lt;"&amp;$D97,Dataset!$J:$J,"&gt;="&amp;$C97)+SUMIFS(Dataset!$AA:$AA,Dataset!$F:$F,credito!$D$11,Dataset!$AC:$AC,"BBB+",Dataset!$J:$J,"&lt;"&amp;$D97,Dataset!$J:$J,"&gt;="&amp;$C97)</f>
        <v>0</v>
      </c>
      <c r="U97" s="83">
        <f>SUMIFS(Dataset!$AA:$AA,Dataset!$F:$F,credito!$D$11,Dataset!$J:$J,"&lt;"&amp;$D97,Dataset!$J:$J,"&gt;="&amp;$C97,Dataset!$AC:$AC,"&lt;&gt;N-1+",Dataset!$AC:$AC,"&lt;&gt;*AA*",Dataset!$AC:$AC,"&lt;&gt;*AAA*",Dataset!$AC:$AC,"&lt;&gt;A",Dataset!$AC:$AC,"&lt;&gt;A-",Dataset!$AC:$AC,"&lt;&gt;A+",Dataset!$AC:$AC,"&lt;&gt;*BBB*")</f>
        <v>0</v>
      </c>
      <c r="V97" s="84">
        <f t="shared" si="14"/>
        <v>0</v>
      </c>
      <c r="AB97" s="61">
        <v>1080</v>
      </c>
      <c r="AC97" s="100">
        <v>3600</v>
      </c>
      <c r="AD97" s="101">
        <f>SUMIFS(Dataset!AJ:AJ,Dataset!F:F,credito!$D$11,Dataset!AH:AH,"deposito",Dataset!T:T,"$",Dataset!J:J,"&lt;"&amp;$AC97/365,Dataset!J:J,"&gt;="&amp;$AB97/365)</f>
        <v>0</v>
      </c>
      <c r="AE97" s="101">
        <f>SUMIFS(Dataset!AJ:AJ,Dataset!F:F,credito!$D$11,Dataset!AH:AH,"deposito",Dataset!T:T,"uf",Dataset!J:J,"&lt;"&amp;$AC97/365,Dataset!J:J,"&gt;="&amp;$AB97/365)</f>
        <v>0</v>
      </c>
      <c r="AF97" s="101">
        <f>SUMIFS(Dataset!AJ:AJ,Dataset!F:F,credito!$D$11,Dataset!AH:AH,"deposito",Dataset!T:T,"us$",Dataset!J:J,"&lt;"&amp;$AC97/365,Dataset!J:J,"&gt;="&amp;$AB97/365)</f>
        <v>0</v>
      </c>
      <c r="AG97" s="101">
        <f>SUMIFS(Dataset!AJ:AJ,Dataset!F:F,credito!$D$11,Dataset!AH:AH,"factura",Dataset!J:J,"&lt;"&amp;$AC97/365,Dataset!J:J,"&gt;="&amp;$AB97/365)</f>
        <v>0</v>
      </c>
      <c r="AH97" s="102">
        <f>SUMIFS(Dataset!AJ:AJ,Dataset!F:F,credito!$D$11,Dataset!AH:AH,"letra hipotecaria",Dataset!J:J,"&lt;"&amp;$AC97/365,Dataset!J:J,"&gt;="&amp;$AB97/365)</f>
        <v>0</v>
      </c>
      <c r="AI97" s="84">
        <f t="shared" si="15"/>
        <v>0</v>
      </c>
    </row>
    <row r="98" spans="2:35" ht="27" customHeight="1" x14ac:dyDescent="0.3">
      <c r="C98" s="61">
        <v>6.5</v>
      </c>
      <c r="D98" s="81">
        <v>7.5</v>
      </c>
      <c r="E98" s="82">
        <f>SUMIFS(Dataset!$AJ:$AJ,Dataset!$F:$F,credito!$D$11,Dataset!$AC:$AC,E$90,Dataset!$J:$J,"&lt;"&amp;$D98,Dataset!$J:$J,"&gt;="&amp;$C98)</f>
        <v>0</v>
      </c>
      <c r="F98" s="83">
        <f>SUMIFS(Dataset!$AJ:$AJ,Dataset!$F:$F,credito!$D$11,Dataset!$AC:$AC,F$90,Dataset!$J:$J,"&lt;"&amp;$D98,Dataset!$J:$J,"&gt;="&amp;$C98)</f>
        <v>0</v>
      </c>
      <c r="G98" s="83">
        <f>SUMIFS(Dataset!$AJ:$AJ,Dataset!$F:$F,credito!$D$11,Dataset!$AC:$AC,G$90,Dataset!$J:$J,"&lt;"&amp;$D98,Dataset!$J:$J,"&gt;="&amp;$C98)</f>
        <v>0</v>
      </c>
      <c r="H98" s="83">
        <f>SUMIFS(Dataset!$AJ:$AJ,Dataset!$F:$F,credito!$D$11,Dataset!$AC:$AC,H$90,Dataset!$J:$J,"&lt;"&amp;$D98,Dataset!$J:$J,"&gt;="&amp;$C98)</f>
        <v>0</v>
      </c>
      <c r="I98" s="83">
        <f>SUMIFS(Dataset!$AJ:$AJ,Dataset!$F:$F,credito!$D$11,Dataset!$AC:$AC,I$90,Dataset!$J:$J,"&lt;"&amp;$D98,Dataset!$J:$J,"&gt;="&amp;$C98)</f>
        <v>0</v>
      </c>
      <c r="J98" s="83">
        <f>SUMIFS(Dataset!$AJ:$AJ,Dataset!$F:$F,credito!$D$11,Dataset!$AC:$AC,"A",Dataset!$J:$J,"&lt;"&amp;$D98,Dataset!$J:$J,"&gt;="&amp;$C98)+SUMIFS(Dataset!$AJ:$AJ,Dataset!$F:$F,credito!$D$11,Dataset!$AC:$AC,"A-",Dataset!$J:$J,"&lt;"&amp;$D98,Dataset!$J:$J,"&gt;="&amp;$C98)+SUMIFS(Dataset!$AJ:$AJ,Dataset!$F:$F,credito!$D$11,Dataset!$AC:$AC,"A+",Dataset!$J:$J,"&lt;"&amp;$D98,Dataset!$J:$J,"&gt;="&amp;$C98)</f>
        <v>0</v>
      </c>
      <c r="K98" s="83">
        <f>SUMIFS(Dataset!$AJ:$AJ,Dataset!$F:$F,credito!$D$11,Dataset!$AC:$AC,"BBB-",Dataset!$J:$J,"&lt;"&amp;$D98,Dataset!$J:$J,"&gt;="&amp;$C98)+SUMIFS(Dataset!$AJ:$AJ,Dataset!$F:$F,credito!$D$11,Dataset!$AC:$AC,"BBB",Dataset!$J:$J,"&lt;"&amp;$D98,Dataset!$J:$J,"&gt;="&amp;$C98)+SUMIFS(Dataset!$AJ:$AJ,Dataset!$F:$F,credito!$D$11,Dataset!$AC:$AC,"BBB+",Dataset!$J:$J,"&lt;"&amp;$D98,Dataset!$J:$J,"&gt;="&amp;$C98)</f>
        <v>0</v>
      </c>
      <c r="L98" s="83">
        <f>SUMIFS(Dataset!$AJ:$AJ,Dataset!$F:$F,credito!$D$11,Dataset!$J:$J,"&lt;"&amp;$D98,Dataset!$J:$J,"&gt;="&amp;$C98,Dataset!$AC:$AC,"&lt;&gt;N-1+",Dataset!$AC:$AC,"&lt;&gt;*AA*",Dataset!$AC:$AC,"&lt;&gt;*AAA*",Dataset!$AC:$AC,"&lt;&gt;A",Dataset!$AC:$AC,"&lt;&gt;A-",Dataset!$AC:$AC,"&lt;&gt;A+",Dataset!$AC:$AC,"&lt;&gt;*BBB*")</f>
        <v>0</v>
      </c>
      <c r="M98" s="84">
        <f t="shared" si="13"/>
        <v>0</v>
      </c>
      <c r="N98" s="82">
        <f>SUMIFS(Dataset!$AA:$AA,Dataset!$F:$F,credito!$D$11,Dataset!$AC:$AC,N$90,Dataset!$J:$J,"&lt;"&amp;$D98,Dataset!$J:$J,"&gt;="&amp;$C98)</f>
        <v>0</v>
      </c>
      <c r="O98" s="83">
        <f>SUMIFS(Dataset!$AA:$AA,Dataset!$F:$F,credito!$D$11,Dataset!$AC:$AC,O$90,Dataset!$J:$J,"&lt;"&amp;$D98,Dataset!$J:$J,"&gt;="&amp;$C98)</f>
        <v>0</v>
      </c>
      <c r="P98" s="83">
        <f>SUMIFS(Dataset!$AA:$AA,Dataset!$F:$F,credito!$D$11,Dataset!$AC:$AC,P$90,Dataset!$J:$J,"&lt;"&amp;$D98,Dataset!$J:$J,"&gt;="&amp;$C98)</f>
        <v>0</v>
      </c>
      <c r="Q98" s="83">
        <f>SUMIFS(Dataset!$AA:$AA,Dataset!$F:$F,credito!$D$11,Dataset!$AC:$AC,Q$90,Dataset!$J:$J,"&lt;"&amp;$D98,Dataset!$J:$J,"&gt;="&amp;$C98)</f>
        <v>0</v>
      </c>
      <c r="R98" s="83">
        <f>SUMIFS(Dataset!$AA:$AA,Dataset!$F:$F,credito!$D$11,Dataset!$AC:$AC,R$90,Dataset!$J:$J,"&lt;"&amp;$D98,Dataset!$J:$J,"&gt;="&amp;$C98)</f>
        <v>0</v>
      </c>
      <c r="S98" s="83">
        <f>SUMIFS(Dataset!$AA:$AA,Dataset!$F:$F,credito!$D$11,Dataset!$AC:$AC,"A",Dataset!$J:$J,"&lt;"&amp;$D98,Dataset!$J:$J,"&gt;="&amp;$C98)+SUMIFS(Dataset!$AA:$AA,Dataset!$F:$F,credito!$D$11,Dataset!$AC:$AC,"A-",Dataset!$J:$J,"&lt;"&amp;$D98,Dataset!$J:$J,"&gt;="&amp;$C98)+SUMIFS(Dataset!$AA:$AA,Dataset!$F:$F,credito!$D$11,Dataset!$AC:$AC,"A+",Dataset!$J:$J,"&lt;"&amp;$D98,Dataset!$J:$J,"&gt;="&amp;$C98)</f>
        <v>0</v>
      </c>
      <c r="T98" s="83">
        <f>SUMIFS(Dataset!$AA:$AA,Dataset!$F:$F,credito!$D$11,Dataset!$AC:$AC,"BBB-",Dataset!$J:$J,"&lt;"&amp;$D98,Dataset!$J:$J,"&gt;="&amp;$C98)+SUMIFS(Dataset!$AA:$AA,Dataset!$F:$F,credito!$D$11,Dataset!$AC:$AC,"BBB",Dataset!$J:$J,"&lt;"&amp;$D98,Dataset!$J:$J,"&gt;="&amp;$C98)+SUMIFS(Dataset!$AA:$AA,Dataset!$F:$F,credito!$D$11,Dataset!$AC:$AC,"BBB+",Dataset!$J:$J,"&lt;"&amp;$D98,Dataset!$J:$J,"&gt;="&amp;$C98)</f>
        <v>0</v>
      </c>
      <c r="U98" s="83">
        <f>SUMIFS(Dataset!$AA:$AA,Dataset!$F:$F,credito!$D$11,Dataset!$J:$J,"&lt;"&amp;$D98,Dataset!$J:$J,"&gt;="&amp;$C98,Dataset!$AC:$AC,"&lt;&gt;N-1+",Dataset!$AC:$AC,"&lt;&gt;*AA*",Dataset!$AC:$AC,"&lt;&gt;*AAA*",Dataset!$AC:$AC,"&lt;&gt;A",Dataset!$AC:$AC,"&lt;&gt;A-",Dataset!$AC:$AC,"&lt;&gt;A+",Dataset!$AC:$AC,"&lt;&gt;*BBB*")</f>
        <v>0</v>
      </c>
      <c r="V98" s="84">
        <f t="shared" si="14"/>
        <v>0</v>
      </c>
      <c r="AB98" s="61">
        <v>3600</v>
      </c>
      <c r="AC98" s="103">
        <v>10000</v>
      </c>
      <c r="AD98" s="104">
        <f>SUMIFS(Dataset!AJ:AJ,Dataset!F:F,credito!$D$11,Dataset!AH:AH,"deposito",Dataset!T:T,"$",Dataset!J:J,"&lt;"&amp;$AC98/365,Dataset!J:J,"&gt;="&amp;$AB98/365)</f>
        <v>0</v>
      </c>
      <c r="AE98" s="104">
        <f>SUMIFS(Dataset!AJ:AJ,Dataset!F:F,credito!$D$11,Dataset!AH:AH,"deposito",Dataset!T:T,"uf",Dataset!J:J,"&lt;"&amp;$AC98/365,Dataset!J:J,"&gt;="&amp;$AB98/365)</f>
        <v>0</v>
      </c>
      <c r="AF98" s="104">
        <f>SUMIFS(Dataset!AJ:AJ,Dataset!F:F,credito!$D$11,Dataset!AH:AH,"deposito",Dataset!T:T,"us$",Dataset!J:J,"&lt;"&amp;$AC98/365,Dataset!J:J,"&gt;="&amp;$AB98/365)</f>
        <v>0</v>
      </c>
      <c r="AG98" s="104">
        <f>SUMIFS(Dataset!AJ:AJ,Dataset!F:F,credito!$D$11,Dataset!AH:AH,"factura",Dataset!J:J,"&lt;"&amp;$AC98/365,Dataset!J:J,"&gt;="&amp;$AB98/365)</f>
        <v>0</v>
      </c>
      <c r="AH98" s="105">
        <f>SUMIFS(Dataset!AJ:AJ,Dataset!F:F,credito!$D$11,Dataset!AH:AH,"letra hipotecaria",Dataset!J:J,"&lt;"&amp;$AC98/365,Dataset!J:J,"&gt;="&amp;$AB98/365)</f>
        <v>0</v>
      </c>
      <c r="AI98" s="90">
        <f t="shared" si="15"/>
        <v>0</v>
      </c>
    </row>
    <row r="99" spans="2:35" ht="27" customHeight="1" x14ac:dyDescent="0.3">
      <c r="C99" s="61">
        <v>7.5</v>
      </c>
      <c r="D99" s="81">
        <v>8.5</v>
      </c>
      <c r="E99" s="82">
        <f>SUMIFS(Dataset!$AJ:$AJ,Dataset!$F:$F,credito!$D$11,Dataset!$AC:$AC,E$90,Dataset!$J:$J,"&lt;"&amp;$D99,Dataset!$J:$J,"&gt;="&amp;$C99)</f>
        <v>0</v>
      </c>
      <c r="F99" s="83">
        <f>SUMIFS(Dataset!$AJ:$AJ,Dataset!$F:$F,credito!$D$11,Dataset!$AC:$AC,F$90,Dataset!$J:$J,"&lt;"&amp;$D99,Dataset!$J:$J,"&gt;="&amp;$C99)</f>
        <v>0</v>
      </c>
      <c r="G99" s="83">
        <f>SUMIFS(Dataset!$AJ:$AJ,Dataset!$F:$F,credito!$D$11,Dataset!$AC:$AC,G$90,Dataset!$J:$J,"&lt;"&amp;$D99,Dataset!$J:$J,"&gt;="&amp;$C99)</f>
        <v>0</v>
      </c>
      <c r="H99" s="83">
        <f>SUMIFS(Dataset!$AJ:$AJ,Dataset!$F:$F,credito!$D$11,Dataset!$AC:$AC,H$90,Dataset!$J:$J,"&lt;"&amp;$D99,Dataset!$J:$J,"&gt;="&amp;$C99)</f>
        <v>0</v>
      </c>
      <c r="I99" s="83">
        <f>SUMIFS(Dataset!$AJ:$AJ,Dataset!$F:$F,credito!$D$11,Dataset!$AC:$AC,I$90,Dataset!$J:$J,"&lt;"&amp;$D99,Dataset!$J:$J,"&gt;="&amp;$C99)</f>
        <v>0</v>
      </c>
      <c r="J99" s="83">
        <f>SUMIFS(Dataset!$AJ:$AJ,Dataset!$F:$F,credito!$D$11,Dataset!$AC:$AC,"A",Dataset!$J:$J,"&lt;"&amp;$D99,Dataset!$J:$J,"&gt;="&amp;$C99)+SUMIFS(Dataset!$AJ:$AJ,Dataset!$F:$F,credito!$D$11,Dataset!$AC:$AC,"A-",Dataset!$J:$J,"&lt;"&amp;$D99,Dataset!$J:$J,"&gt;="&amp;$C99)+SUMIFS(Dataset!$AJ:$AJ,Dataset!$F:$F,credito!$D$11,Dataset!$AC:$AC,"A+",Dataset!$J:$J,"&lt;"&amp;$D99,Dataset!$J:$J,"&gt;="&amp;$C99)</f>
        <v>0</v>
      </c>
      <c r="K99" s="83">
        <f>SUMIFS(Dataset!$AJ:$AJ,Dataset!$F:$F,credito!$D$11,Dataset!$AC:$AC,"BBB-",Dataset!$J:$J,"&lt;"&amp;$D99,Dataset!$J:$J,"&gt;="&amp;$C99)+SUMIFS(Dataset!$AJ:$AJ,Dataset!$F:$F,credito!$D$11,Dataset!$AC:$AC,"BBB",Dataset!$J:$J,"&lt;"&amp;$D99,Dataset!$J:$J,"&gt;="&amp;$C99)+SUMIFS(Dataset!$AJ:$AJ,Dataset!$F:$F,credito!$D$11,Dataset!$AC:$AC,"BBB+",Dataset!$J:$J,"&lt;"&amp;$D99,Dataset!$J:$J,"&gt;="&amp;$C99)</f>
        <v>0</v>
      </c>
      <c r="L99" s="83">
        <f>SUMIFS(Dataset!$AJ:$AJ,Dataset!$F:$F,credito!$D$11,Dataset!$J:$J,"&lt;"&amp;$D99,Dataset!$J:$J,"&gt;="&amp;$C99,Dataset!$AC:$AC,"&lt;&gt;N-1+",Dataset!$AC:$AC,"&lt;&gt;*AA*",Dataset!$AC:$AC,"&lt;&gt;*AAA*",Dataset!$AC:$AC,"&lt;&gt;A",Dataset!$AC:$AC,"&lt;&gt;A-",Dataset!$AC:$AC,"&lt;&gt;A+",Dataset!$AC:$AC,"&lt;&gt;*BBB*")</f>
        <v>0</v>
      </c>
      <c r="M99" s="84">
        <f t="shared" si="13"/>
        <v>0</v>
      </c>
      <c r="N99" s="82">
        <f>SUMIFS(Dataset!$AA:$AA,Dataset!$F:$F,credito!$D$11,Dataset!$AC:$AC,N$90,Dataset!$J:$J,"&lt;"&amp;$D99,Dataset!$J:$J,"&gt;="&amp;$C99)</f>
        <v>0</v>
      </c>
      <c r="O99" s="83">
        <f>SUMIFS(Dataset!$AA:$AA,Dataset!$F:$F,credito!$D$11,Dataset!$AC:$AC,O$90,Dataset!$J:$J,"&lt;"&amp;$D99,Dataset!$J:$J,"&gt;="&amp;$C99)</f>
        <v>0</v>
      </c>
      <c r="P99" s="83">
        <f>SUMIFS(Dataset!$AA:$AA,Dataset!$F:$F,credito!$D$11,Dataset!$AC:$AC,P$90,Dataset!$J:$J,"&lt;"&amp;$D99,Dataset!$J:$J,"&gt;="&amp;$C99)</f>
        <v>0</v>
      </c>
      <c r="Q99" s="83">
        <f>SUMIFS(Dataset!$AA:$AA,Dataset!$F:$F,credito!$D$11,Dataset!$AC:$AC,Q$90,Dataset!$J:$J,"&lt;"&amp;$D99,Dataset!$J:$J,"&gt;="&amp;$C99)</f>
        <v>0</v>
      </c>
      <c r="R99" s="83">
        <f>SUMIFS(Dataset!$AA:$AA,Dataset!$F:$F,credito!$D$11,Dataset!$AC:$AC,R$90,Dataset!$J:$J,"&lt;"&amp;$D99,Dataset!$J:$J,"&gt;="&amp;$C99)</f>
        <v>0</v>
      </c>
      <c r="S99" s="83">
        <f>SUMIFS(Dataset!$AA:$AA,Dataset!$F:$F,credito!$D$11,Dataset!$AC:$AC,"A",Dataset!$J:$J,"&lt;"&amp;$D99,Dataset!$J:$J,"&gt;="&amp;$C99)+SUMIFS(Dataset!$AA:$AA,Dataset!$F:$F,credito!$D$11,Dataset!$AC:$AC,"A-",Dataset!$J:$J,"&lt;"&amp;$D99,Dataset!$J:$J,"&gt;="&amp;$C99)+SUMIFS(Dataset!$AA:$AA,Dataset!$F:$F,credito!$D$11,Dataset!$AC:$AC,"A+",Dataset!$J:$J,"&lt;"&amp;$D99,Dataset!$J:$J,"&gt;="&amp;$C99)</f>
        <v>0</v>
      </c>
      <c r="T99" s="83">
        <f>SUMIFS(Dataset!$AA:$AA,Dataset!$F:$F,credito!$D$11,Dataset!$AC:$AC,"BBB-",Dataset!$J:$J,"&lt;"&amp;$D99,Dataset!$J:$J,"&gt;="&amp;$C99)+SUMIFS(Dataset!$AA:$AA,Dataset!$F:$F,credito!$D$11,Dataset!$AC:$AC,"BBB",Dataset!$J:$J,"&lt;"&amp;$D99,Dataset!$J:$J,"&gt;="&amp;$C99)+SUMIFS(Dataset!$AA:$AA,Dataset!$F:$F,credito!$D$11,Dataset!$AC:$AC,"BBB+",Dataset!$J:$J,"&lt;"&amp;$D99,Dataset!$J:$J,"&gt;="&amp;$C99)</f>
        <v>0</v>
      </c>
      <c r="U99" s="83">
        <f>SUMIFS(Dataset!$AA:$AA,Dataset!$F:$F,credito!$D$11,Dataset!$J:$J,"&lt;"&amp;$D99,Dataset!$J:$J,"&gt;="&amp;$C99,Dataset!$AC:$AC,"&lt;&gt;N-1+",Dataset!$AC:$AC,"&lt;&gt;*AA*",Dataset!$AC:$AC,"&lt;&gt;*AAA*",Dataset!$AC:$AC,"&lt;&gt;A",Dataset!$AC:$AC,"&lt;&gt;A-",Dataset!$AC:$AC,"&lt;&gt;A+",Dataset!$AC:$AC,"&lt;&gt;*BBB*")</f>
        <v>0</v>
      </c>
      <c r="V99" s="84">
        <f t="shared" si="14"/>
        <v>0</v>
      </c>
      <c r="AB99" s="175" t="s">
        <v>84</v>
      </c>
      <c r="AC99" s="177"/>
      <c r="AD99" s="83">
        <f t="shared" ref="AD99:AI99" si="16">SUM(AD71:AD98)</f>
        <v>0</v>
      </c>
      <c r="AE99" s="83">
        <f t="shared" si="16"/>
        <v>0</v>
      </c>
      <c r="AF99" s="83">
        <f t="shared" si="16"/>
        <v>0</v>
      </c>
      <c r="AG99" s="83">
        <f t="shared" si="16"/>
        <v>0</v>
      </c>
      <c r="AH99" s="83">
        <f t="shared" si="16"/>
        <v>0</v>
      </c>
      <c r="AI99" s="84">
        <f t="shared" si="16"/>
        <v>0</v>
      </c>
    </row>
    <row r="100" spans="2:35" ht="27" customHeight="1" x14ac:dyDescent="0.3">
      <c r="C100" s="61">
        <v>8.5</v>
      </c>
      <c r="D100" s="81">
        <v>9.5</v>
      </c>
      <c r="E100" s="82">
        <f>SUMIFS(Dataset!$AJ:$AJ,Dataset!$F:$F,credito!$D$11,Dataset!$AC:$AC,E$90,Dataset!$J:$J,"&lt;"&amp;$D100,Dataset!$J:$J,"&gt;="&amp;$C100)</f>
        <v>0</v>
      </c>
      <c r="F100" s="83">
        <f>SUMIFS(Dataset!$AJ:$AJ,Dataset!$F:$F,credito!$D$11,Dataset!$AC:$AC,F$90,Dataset!$J:$J,"&lt;"&amp;$D100,Dataset!$J:$J,"&gt;="&amp;$C100)</f>
        <v>0</v>
      </c>
      <c r="G100" s="83">
        <f>SUMIFS(Dataset!$AJ:$AJ,Dataset!$F:$F,credito!$D$11,Dataset!$AC:$AC,G$90,Dataset!$J:$J,"&lt;"&amp;$D100,Dataset!$J:$J,"&gt;="&amp;$C100)</f>
        <v>0</v>
      </c>
      <c r="H100" s="83">
        <f>SUMIFS(Dataset!$AJ:$AJ,Dataset!$F:$F,credito!$D$11,Dataset!$AC:$AC,H$90,Dataset!$J:$J,"&lt;"&amp;$D100,Dataset!$J:$J,"&gt;="&amp;$C100)</f>
        <v>0</v>
      </c>
      <c r="I100" s="83">
        <f>SUMIFS(Dataset!$AJ:$AJ,Dataset!$F:$F,credito!$D$11,Dataset!$AC:$AC,I$90,Dataset!$J:$J,"&lt;"&amp;$D100,Dataset!$J:$J,"&gt;="&amp;$C100)</f>
        <v>0</v>
      </c>
      <c r="J100" s="83">
        <f>SUMIFS(Dataset!$AJ:$AJ,Dataset!$F:$F,credito!$D$11,Dataset!$AC:$AC,"A",Dataset!$J:$J,"&lt;"&amp;$D100,Dataset!$J:$J,"&gt;="&amp;$C100)+SUMIFS(Dataset!$AJ:$AJ,Dataset!$F:$F,credito!$D$11,Dataset!$AC:$AC,"A-",Dataset!$J:$J,"&lt;"&amp;$D100,Dataset!$J:$J,"&gt;="&amp;$C100)+SUMIFS(Dataset!$AJ:$AJ,Dataset!$F:$F,credito!$D$11,Dataset!$AC:$AC,"A+",Dataset!$J:$J,"&lt;"&amp;$D100,Dataset!$J:$J,"&gt;="&amp;$C100)</f>
        <v>0</v>
      </c>
      <c r="K100" s="83">
        <f>SUMIFS(Dataset!$AJ:$AJ,Dataset!$F:$F,credito!$D$11,Dataset!$AC:$AC,"BBB-",Dataset!$J:$J,"&lt;"&amp;$D100,Dataset!$J:$J,"&gt;="&amp;$C100)+SUMIFS(Dataset!$AJ:$AJ,Dataset!$F:$F,credito!$D$11,Dataset!$AC:$AC,"BBB",Dataset!$J:$J,"&lt;"&amp;$D100,Dataset!$J:$J,"&gt;="&amp;$C100)+SUMIFS(Dataset!$AJ:$AJ,Dataset!$F:$F,credito!$D$11,Dataset!$AC:$AC,"BBB+",Dataset!$J:$J,"&lt;"&amp;$D100,Dataset!$J:$J,"&gt;="&amp;$C100)</f>
        <v>0</v>
      </c>
      <c r="L100" s="83">
        <f>SUMIFS(Dataset!$AJ:$AJ,Dataset!$F:$F,credito!$D$11,Dataset!$J:$J,"&lt;"&amp;$D100,Dataset!$J:$J,"&gt;="&amp;$C100,Dataset!$AC:$AC,"&lt;&gt;N-1+",Dataset!$AC:$AC,"&lt;&gt;*AA*",Dataset!$AC:$AC,"&lt;&gt;*AAA*",Dataset!$AC:$AC,"&lt;&gt;A",Dataset!$AC:$AC,"&lt;&gt;A-",Dataset!$AC:$AC,"&lt;&gt;A+",Dataset!$AC:$AC,"&lt;&gt;*BBB*")</f>
        <v>0</v>
      </c>
      <c r="M100" s="84">
        <f t="shared" si="13"/>
        <v>0</v>
      </c>
      <c r="N100" s="82">
        <f>SUMIFS(Dataset!$AA:$AA,Dataset!$F:$F,credito!$D$11,Dataset!$AC:$AC,N$90,Dataset!$J:$J,"&lt;"&amp;$D100,Dataset!$J:$J,"&gt;="&amp;$C100)</f>
        <v>0</v>
      </c>
      <c r="O100" s="83">
        <f>SUMIFS(Dataset!$AA:$AA,Dataset!$F:$F,credito!$D$11,Dataset!$AC:$AC,O$90,Dataset!$J:$J,"&lt;"&amp;$D100,Dataset!$J:$J,"&gt;="&amp;$C100)</f>
        <v>0</v>
      </c>
      <c r="P100" s="83">
        <f>SUMIFS(Dataset!$AA:$AA,Dataset!$F:$F,credito!$D$11,Dataset!$AC:$AC,P$90,Dataset!$J:$J,"&lt;"&amp;$D100,Dataset!$J:$J,"&gt;="&amp;$C100)</f>
        <v>0</v>
      </c>
      <c r="Q100" s="83">
        <f>SUMIFS(Dataset!$AA:$AA,Dataset!$F:$F,credito!$D$11,Dataset!$AC:$AC,Q$90,Dataset!$J:$J,"&lt;"&amp;$D100,Dataset!$J:$J,"&gt;="&amp;$C100)</f>
        <v>0</v>
      </c>
      <c r="R100" s="83">
        <f>SUMIFS(Dataset!$AA:$AA,Dataset!$F:$F,credito!$D$11,Dataset!$AC:$AC,R$90,Dataset!$J:$J,"&lt;"&amp;$D100,Dataset!$J:$J,"&gt;="&amp;$C100)</f>
        <v>0</v>
      </c>
      <c r="S100" s="83">
        <f>SUMIFS(Dataset!$AA:$AA,Dataset!$F:$F,credito!$D$11,Dataset!$AC:$AC,"A",Dataset!$J:$J,"&lt;"&amp;$D100,Dataset!$J:$J,"&gt;="&amp;$C100)+SUMIFS(Dataset!$AA:$AA,Dataset!$F:$F,credito!$D$11,Dataset!$AC:$AC,"A-",Dataset!$J:$J,"&lt;"&amp;$D100,Dataset!$J:$J,"&gt;="&amp;$C100)+SUMIFS(Dataset!$AA:$AA,Dataset!$F:$F,credito!$D$11,Dataset!$AC:$AC,"A+",Dataset!$J:$J,"&lt;"&amp;$D100,Dataset!$J:$J,"&gt;="&amp;$C100)</f>
        <v>0</v>
      </c>
      <c r="T100" s="83">
        <f>SUMIFS(Dataset!$AA:$AA,Dataset!$F:$F,credito!$D$11,Dataset!$AC:$AC,"BBB-",Dataset!$J:$J,"&lt;"&amp;$D100,Dataset!$J:$J,"&gt;="&amp;$C100)+SUMIFS(Dataset!$AA:$AA,Dataset!$F:$F,credito!$D$11,Dataset!$AC:$AC,"BBB",Dataset!$J:$J,"&lt;"&amp;$D100,Dataset!$J:$J,"&gt;="&amp;$C100)+SUMIFS(Dataset!$AA:$AA,Dataset!$F:$F,credito!$D$11,Dataset!$AC:$AC,"BBB+",Dataset!$J:$J,"&lt;"&amp;$D100,Dataset!$J:$J,"&gt;="&amp;$C100)</f>
        <v>0</v>
      </c>
      <c r="U100" s="83">
        <f>SUMIFS(Dataset!$AA:$AA,Dataset!$F:$F,credito!$D$11,Dataset!$J:$J,"&lt;"&amp;$D100,Dataset!$J:$J,"&gt;="&amp;$C100,Dataset!$AC:$AC,"&lt;&gt;N-1+",Dataset!$AC:$AC,"&lt;&gt;*AA*",Dataset!$AC:$AC,"&lt;&gt;*AAA*",Dataset!$AC:$AC,"&lt;&gt;A",Dataset!$AC:$AC,"&lt;&gt;A-",Dataset!$AC:$AC,"&lt;&gt;A+",Dataset!$AC:$AC,"&lt;&gt;*BBB*")</f>
        <v>0</v>
      </c>
      <c r="V100" s="84">
        <f t="shared" si="14"/>
        <v>0</v>
      </c>
    </row>
    <row r="101" spans="2:35" ht="27" customHeight="1" x14ac:dyDescent="0.3">
      <c r="C101" s="61">
        <v>9.5</v>
      </c>
      <c r="D101" s="81">
        <v>10.5</v>
      </c>
      <c r="E101" s="82">
        <f>SUMIFS(Dataset!$AJ:$AJ,Dataset!$F:$F,credito!$D$11,Dataset!$AC:$AC,E$90,Dataset!$J:$J,"&lt;"&amp;$D101,Dataset!$J:$J,"&gt;="&amp;$C101)</f>
        <v>0</v>
      </c>
      <c r="F101" s="83">
        <f>SUMIFS(Dataset!$AJ:$AJ,Dataset!$F:$F,credito!$D$11,Dataset!$AC:$AC,F$90,Dataset!$J:$J,"&lt;"&amp;$D101,Dataset!$J:$J,"&gt;="&amp;$C101)</f>
        <v>0</v>
      </c>
      <c r="G101" s="83">
        <f>SUMIFS(Dataset!$AJ:$AJ,Dataset!$F:$F,credito!$D$11,Dataset!$AC:$AC,G$90,Dataset!$J:$J,"&lt;"&amp;$D101,Dataset!$J:$J,"&gt;="&amp;$C101)</f>
        <v>0</v>
      </c>
      <c r="H101" s="83">
        <f>SUMIFS(Dataset!$AJ:$AJ,Dataset!$F:$F,credito!$D$11,Dataset!$AC:$AC,H$90,Dataset!$J:$J,"&lt;"&amp;$D101,Dataset!$J:$J,"&gt;="&amp;$C101)</f>
        <v>0</v>
      </c>
      <c r="I101" s="83">
        <f>SUMIFS(Dataset!$AJ:$AJ,Dataset!$F:$F,credito!$D$11,Dataset!$AC:$AC,I$90,Dataset!$J:$J,"&lt;"&amp;$D101,Dataset!$J:$J,"&gt;="&amp;$C101)</f>
        <v>0</v>
      </c>
      <c r="J101" s="83">
        <f>SUMIFS(Dataset!$AJ:$AJ,Dataset!$F:$F,credito!$D$11,Dataset!$AC:$AC,"A",Dataset!$J:$J,"&lt;"&amp;$D101,Dataset!$J:$J,"&gt;="&amp;$C101)+SUMIFS(Dataset!$AJ:$AJ,Dataset!$F:$F,credito!$D$11,Dataset!$AC:$AC,"A-",Dataset!$J:$J,"&lt;"&amp;$D101,Dataset!$J:$J,"&gt;="&amp;$C101)+SUMIFS(Dataset!$AJ:$AJ,Dataset!$F:$F,credito!$D$11,Dataset!$AC:$AC,"A+",Dataset!$J:$J,"&lt;"&amp;$D101,Dataset!$J:$J,"&gt;="&amp;$C101)</f>
        <v>0</v>
      </c>
      <c r="K101" s="83">
        <f>SUMIFS(Dataset!$AJ:$AJ,Dataset!$F:$F,credito!$D$11,Dataset!$AC:$AC,"BBB-",Dataset!$J:$J,"&lt;"&amp;$D101,Dataset!$J:$J,"&gt;="&amp;$C101)+SUMIFS(Dataset!$AJ:$AJ,Dataset!$F:$F,credito!$D$11,Dataset!$AC:$AC,"BBB",Dataset!$J:$J,"&lt;"&amp;$D101,Dataset!$J:$J,"&gt;="&amp;$C101)+SUMIFS(Dataset!$AJ:$AJ,Dataset!$F:$F,credito!$D$11,Dataset!$AC:$AC,"BBB+",Dataset!$J:$J,"&lt;"&amp;$D101,Dataset!$J:$J,"&gt;="&amp;$C101)</f>
        <v>0</v>
      </c>
      <c r="L101" s="83">
        <f>SUMIFS(Dataset!$AJ:$AJ,Dataset!$F:$F,credito!$D$11,Dataset!$J:$J,"&lt;"&amp;$D101,Dataset!$J:$J,"&gt;="&amp;$C101,Dataset!$AC:$AC,"&lt;&gt;N-1+",Dataset!$AC:$AC,"&lt;&gt;*AA*",Dataset!$AC:$AC,"&lt;&gt;*AAA*",Dataset!$AC:$AC,"&lt;&gt;A",Dataset!$AC:$AC,"&lt;&gt;A-",Dataset!$AC:$AC,"&lt;&gt;A+",Dataset!$AC:$AC,"&lt;&gt;*BBB*")</f>
        <v>0</v>
      </c>
      <c r="M101" s="84">
        <f t="shared" si="13"/>
        <v>0</v>
      </c>
      <c r="N101" s="82">
        <f>SUMIFS(Dataset!$AA:$AA,Dataset!$F:$F,credito!$D$11,Dataset!$AC:$AC,N$90,Dataset!$J:$J,"&lt;"&amp;$D101,Dataset!$J:$J,"&gt;="&amp;$C101)</f>
        <v>0</v>
      </c>
      <c r="O101" s="83">
        <f>SUMIFS(Dataset!$AA:$AA,Dataset!$F:$F,credito!$D$11,Dataset!$AC:$AC,O$90,Dataset!$J:$J,"&lt;"&amp;$D101,Dataset!$J:$J,"&gt;="&amp;$C101)</f>
        <v>0</v>
      </c>
      <c r="P101" s="83">
        <f>SUMIFS(Dataset!$AA:$AA,Dataset!$F:$F,credito!$D$11,Dataset!$AC:$AC,P$90,Dataset!$J:$J,"&lt;"&amp;$D101,Dataset!$J:$J,"&gt;="&amp;$C101)</f>
        <v>0</v>
      </c>
      <c r="Q101" s="83">
        <f>SUMIFS(Dataset!$AA:$AA,Dataset!$F:$F,credito!$D$11,Dataset!$AC:$AC,Q$90,Dataset!$J:$J,"&lt;"&amp;$D101,Dataset!$J:$J,"&gt;="&amp;$C101)</f>
        <v>0</v>
      </c>
      <c r="R101" s="83">
        <f>SUMIFS(Dataset!$AA:$AA,Dataset!$F:$F,credito!$D$11,Dataset!$AC:$AC,R$90,Dataset!$J:$J,"&lt;"&amp;$D101,Dataset!$J:$J,"&gt;="&amp;$C101)</f>
        <v>0</v>
      </c>
      <c r="S101" s="83">
        <f>SUMIFS(Dataset!$AA:$AA,Dataset!$F:$F,credito!$D$11,Dataset!$AC:$AC,"A",Dataset!$J:$J,"&lt;"&amp;$D101,Dataset!$J:$J,"&gt;="&amp;$C101)+SUMIFS(Dataset!$AA:$AA,Dataset!$F:$F,credito!$D$11,Dataset!$AC:$AC,"A-",Dataset!$J:$J,"&lt;"&amp;$D101,Dataset!$J:$J,"&gt;="&amp;$C101)+SUMIFS(Dataset!$AA:$AA,Dataset!$F:$F,credito!$D$11,Dataset!$AC:$AC,"A+",Dataset!$J:$J,"&lt;"&amp;$D101,Dataset!$J:$J,"&gt;="&amp;$C101)</f>
        <v>0</v>
      </c>
      <c r="T101" s="83">
        <f>SUMIFS(Dataset!$AA:$AA,Dataset!$F:$F,credito!$D$11,Dataset!$AC:$AC,"BBB-",Dataset!$J:$J,"&lt;"&amp;$D101,Dataset!$J:$J,"&gt;="&amp;$C101)+SUMIFS(Dataset!$AA:$AA,Dataset!$F:$F,credito!$D$11,Dataset!$AC:$AC,"BBB",Dataset!$J:$J,"&lt;"&amp;$D101,Dataset!$J:$J,"&gt;="&amp;$C101)+SUMIFS(Dataset!$AA:$AA,Dataset!$F:$F,credito!$D$11,Dataset!$AC:$AC,"BBB+",Dataset!$J:$J,"&lt;"&amp;$D101,Dataset!$J:$J,"&gt;="&amp;$C101)</f>
        <v>0</v>
      </c>
      <c r="U101" s="83">
        <f>SUMIFS(Dataset!$AA:$AA,Dataset!$F:$F,credito!$D$11,Dataset!$J:$J,"&lt;"&amp;$D101,Dataset!$J:$J,"&gt;="&amp;$C101,Dataset!$AC:$AC,"&lt;&gt;N-1+",Dataset!$AC:$AC,"&lt;&gt;*AA*",Dataset!$AC:$AC,"&lt;&gt;*AAA*",Dataset!$AC:$AC,"&lt;&gt;A",Dataset!$AC:$AC,"&lt;&gt;A-",Dataset!$AC:$AC,"&lt;&gt;A+",Dataset!$AC:$AC,"&lt;&gt;*BBB*")</f>
        <v>0</v>
      </c>
      <c r="V101" s="84">
        <f t="shared" si="14"/>
        <v>0</v>
      </c>
    </row>
    <row r="102" spans="2:35" ht="27" customHeight="1" x14ac:dyDescent="0.3">
      <c r="C102" s="61">
        <v>10.5</v>
      </c>
      <c r="D102" s="81">
        <v>11.5</v>
      </c>
      <c r="E102" s="82">
        <f>SUMIFS(Dataset!$AJ:$AJ,Dataset!$F:$F,credito!$D$11,Dataset!$AC:$AC,E$90,Dataset!$J:$J,"&lt;"&amp;$D102,Dataset!$J:$J,"&gt;="&amp;$C102)</f>
        <v>0</v>
      </c>
      <c r="F102" s="83">
        <f>SUMIFS(Dataset!$AJ:$AJ,Dataset!$F:$F,credito!$D$11,Dataset!$AC:$AC,F$90,Dataset!$J:$J,"&lt;"&amp;$D102,Dataset!$J:$J,"&gt;="&amp;$C102)</f>
        <v>0</v>
      </c>
      <c r="G102" s="83">
        <f>SUMIFS(Dataset!$AJ:$AJ,Dataset!$F:$F,credito!$D$11,Dataset!$AC:$AC,G$90,Dataset!$J:$J,"&lt;"&amp;$D102,Dataset!$J:$J,"&gt;="&amp;$C102)</f>
        <v>0</v>
      </c>
      <c r="H102" s="83">
        <f>SUMIFS(Dataset!$AJ:$AJ,Dataset!$F:$F,credito!$D$11,Dataset!$AC:$AC,H$90,Dataset!$J:$J,"&lt;"&amp;$D102,Dataset!$J:$J,"&gt;="&amp;$C102)</f>
        <v>0</v>
      </c>
      <c r="I102" s="83">
        <f>SUMIFS(Dataset!$AJ:$AJ,Dataset!$F:$F,credito!$D$11,Dataset!$AC:$AC,I$90,Dataset!$J:$J,"&lt;"&amp;$D102,Dataset!$J:$J,"&gt;="&amp;$C102)</f>
        <v>0</v>
      </c>
      <c r="J102" s="83">
        <f>SUMIFS(Dataset!$AJ:$AJ,Dataset!$F:$F,credito!$D$11,Dataset!$AC:$AC,"A",Dataset!$J:$J,"&lt;"&amp;$D102,Dataset!$J:$J,"&gt;="&amp;$C102)+SUMIFS(Dataset!$AJ:$AJ,Dataset!$F:$F,credito!$D$11,Dataset!$AC:$AC,"A-",Dataset!$J:$J,"&lt;"&amp;$D102,Dataset!$J:$J,"&gt;="&amp;$C102)+SUMIFS(Dataset!$AJ:$AJ,Dataset!$F:$F,credito!$D$11,Dataset!$AC:$AC,"A+",Dataset!$J:$J,"&lt;"&amp;$D102,Dataset!$J:$J,"&gt;="&amp;$C102)</f>
        <v>0</v>
      </c>
      <c r="K102" s="83">
        <f>SUMIFS(Dataset!$AJ:$AJ,Dataset!$F:$F,credito!$D$11,Dataset!$AC:$AC,"BBB-",Dataset!$J:$J,"&lt;"&amp;$D102,Dataset!$J:$J,"&gt;="&amp;$C102)+SUMIFS(Dataset!$AJ:$AJ,Dataset!$F:$F,credito!$D$11,Dataset!$AC:$AC,"BBB",Dataset!$J:$J,"&lt;"&amp;$D102,Dataset!$J:$J,"&gt;="&amp;$C102)+SUMIFS(Dataset!$AJ:$AJ,Dataset!$F:$F,credito!$D$11,Dataset!$AC:$AC,"BBB+",Dataset!$J:$J,"&lt;"&amp;$D102,Dataset!$J:$J,"&gt;="&amp;$C102)</f>
        <v>0</v>
      </c>
      <c r="L102" s="83">
        <f>SUMIFS(Dataset!$AJ:$AJ,Dataset!$F:$F,credito!$D$11,Dataset!$J:$J,"&lt;"&amp;$D102,Dataset!$J:$J,"&gt;="&amp;$C102,Dataset!$AC:$AC,"&lt;&gt;N-1+",Dataset!$AC:$AC,"&lt;&gt;*AA*",Dataset!$AC:$AC,"&lt;&gt;*AAA*",Dataset!$AC:$AC,"&lt;&gt;A",Dataset!$AC:$AC,"&lt;&gt;A-",Dataset!$AC:$AC,"&lt;&gt;A+",Dataset!$AC:$AC,"&lt;&gt;*BBB*")</f>
        <v>0</v>
      </c>
      <c r="M102" s="84">
        <f t="shared" si="13"/>
        <v>0</v>
      </c>
      <c r="N102" s="82">
        <f>SUMIFS(Dataset!$AA:$AA,Dataset!$F:$F,credito!$D$11,Dataset!$AC:$AC,N$90,Dataset!$J:$J,"&lt;"&amp;$D102,Dataset!$J:$J,"&gt;="&amp;$C102)</f>
        <v>0</v>
      </c>
      <c r="O102" s="83">
        <f>SUMIFS(Dataset!$AA:$AA,Dataset!$F:$F,credito!$D$11,Dataset!$AC:$AC,O$90,Dataset!$J:$J,"&lt;"&amp;$D102,Dataset!$J:$J,"&gt;="&amp;$C102)</f>
        <v>0</v>
      </c>
      <c r="P102" s="83">
        <f>SUMIFS(Dataset!$AA:$AA,Dataset!$F:$F,credito!$D$11,Dataset!$AC:$AC,P$90,Dataset!$J:$J,"&lt;"&amp;$D102,Dataset!$J:$J,"&gt;="&amp;$C102)</f>
        <v>0</v>
      </c>
      <c r="Q102" s="83">
        <f>SUMIFS(Dataset!$AA:$AA,Dataset!$F:$F,credito!$D$11,Dataset!$AC:$AC,Q$90,Dataset!$J:$J,"&lt;"&amp;$D102,Dataset!$J:$J,"&gt;="&amp;$C102)</f>
        <v>0</v>
      </c>
      <c r="R102" s="83">
        <f>SUMIFS(Dataset!$AA:$AA,Dataset!$F:$F,credito!$D$11,Dataset!$AC:$AC,R$90,Dataset!$J:$J,"&lt;"&amp;$D102,Dataset!$J:$J,"&gt;="&amp;$C102)</f>
        <v>0</v>
      </c>
      <c r="S102" s="83">
        <f>SUMIFS(Dataset!$AA:$AA,Dataset!$F:$F,credito!$D$11,Dataset!$AC:$AC,"A",Dataset!$J:$J,"&lt;"&amp;$D102,Dataset!$J:$J,"&gt;="&amp;$C102)+SUMIFS(Dataset!$AA:$AA,Dataset!$F:$F,credito!$D$11,Dataset!$AC:$AC,"A-",Dataset!$J:$J,"&lt;"&amp;$D102,Dataset!$J:$J,"&gt;="&amp;$C102)+SUMIFS(Dataset!$AA:$AA,Dataset!$F:$F,credito!$D$11,Dataset!$AC:$AC,"A+",Dataset!$J:$J,"&lt;"&amp;$D102,Dataset!$J:$J,"&gt;="&amp;$C102)</f>
        <v>0</v>
      </c>
      <c r="T102" s="83">
        <f>SUMIFS(Dataset!$AA:$AA,Dataset!$F:$F,credito!$D$11,Dataset!$AC:$AC,"BBB-",Dataset!$J:$J,"&lt;"&amp;$D102,Dataset!$J:$J,"&gt;="&amp;$C102)+SUMIFS(Dataset!$AA:$AA,Dataset!$F:$F,credito!$D$11,Dataset!$AC:$AC,"BBB",Dataset!$J:$J,"&lt;"&amp;$D102,Dataset!$J:$J,"&gt;="&amp;$C102)+SUMIFS(Dataset!$AA:$AA,Dataset!$F:$F,credito!$D$11,Dataset!$AC:$AC,"BBB+",Dataset!$J:$J,"&lt;"&amp;$D102,Dataset!$J:$J,"&gt;="&amp;$C102)</f>
        <v>0</v>
      </c>
      <c r="U102" s="83">
        <f>SUMIFS(Dataset!$AA:$AA,Dataset!$F:$F,credito!$D$11,Dataset!$J:$J,"&lt;"&amp;$D102,Dataset!$J:$J,"&gt;="&amp;$C102,Dataset!$AC:$AC,"&lt;&gt;N-1+",Dataset!$AC:$AC,"&lt;&gt;*AA*",Dataset!$AC:$AC,"&lt;&gt;*AAA*",Dataset!$AC:$AC,"&lt;&gt;A",Dataset!$AC:$AC,"&lt;&gt;A-",Dataset!$AC:$AC,"&lt;&gt;A+",Dataset!$AC:$AC,"&lt;&gt;*BBB*")</f>
        <v>0</v>
      </c>
      <c r="V102" s="84">
        <f t="shared" si="14"/>
        <v>0</v>
      </c>
    </row>
    <row r="103" spans="2:35" ht="27" customHeight="1" x14ac:dyDescent="0.3">
      <c r="C103" s="61">
        <v>11.5</v>
      </c>
      <c r="D103" s="81">
        <v>12.5</v>
      </c>
      <c r="E103" s="82">
        <f>SUMIFS(Dataset!$AJ:$AJ,Dataset!$F:$F,credito!$D$11,Dataset!$AC:$AC,E$90,Dataset!$J:$J,"&lt;"&amp;$D103,Dataset!$J:$J,"&gt;="&amp;$C103)</f>
        <v>0</v>
      </c>
      <c r="F103" s="83">
        <f>SUMIFS(Dataset!$AJ:$AJ,Dataset!$F:$F,credito!$D$11,Dataset!$AC:$AC,F$90,Dataset!$J:$J,"&lt;"&amp;$D103,Dataset!$J:$J,"&gt;="&amp;$C103)</f>
        <v>0</v>
      </c>
      <c r="G103" s="83">
        <f>SUMIFS(Dataset!$AJ:$AJ,Dataset!$F:$F,credito!$D$11,Dataset!$AC:$AC,G$90,Dataset!$J:$J,"&lt;"&amp;$D103,Dataset!$J:$J,"&gt;="&amp;$C103)</f>
        <v>0</v>
      </c>
      <c r="H103" s="83">
        <f>SUMIFS(Dataset!$AJ:$AJ,Dataset!$F:$F,credito!$D$11,Dataset!$AC:$AC,H$90,Dataset!$J:$J,"&lt;"&amp;$D103,Dataset!$J:$J,"&gt;="&amp;$C103)</f>
        <v>0</v>
      </c>
      <c r="I103" s="83">
        <f>SUMIFS(Dataset!$AJ:$AJ,Dataset!$F:$F,credito!$D$11,Dataset!$AC:$AC,I$90,Dataset!$J:$J,"&lt;"&amp;$D103,Dataset!$J:$J,"&gt;="&amp;$C103)</f>
        <v>0</v>
      </c>
      <c r="J103" s="83">
        <f>SUMIFS(Dataset!$AJ:$AJ,Dataset!$F:$F,credito!$D$11,Dataset!$AC:$AC,"A",Dataset!$J:$J,"&lt;"&amp;$D103,Dataset!$J:$J,"&gt;="&amp;$C103)+SUMIFS(Dataset!$AJ:$AJ,Dataset!$F:$F,credito!$D$11,Dataset!$AC:$AC,"A-",Dataset!$J:$J,"&lt;"&amp;$D103,Dataset!$J:$J,"&gt;="&amp;$C103)+SUMIFS(Dataset!$AJ:$AJ,Dataset!$F:$F,credito!$D$11,Dataset!$AC:$AC,"A+",Dataset!$J:$J,"&lt;"&amp;$D103,Dataset!$J:$J,"&gt;="&amp;$C103)</f>
        <v>0</v>
      </c>
      <c r="K103" s="83">
        <f>SUMIFS(Dataset!$AJ:$AJ,Dataset!$F:$F,credito!$D$11,Dataset!$AC:$AC,"BBB-",Dataset!$J:$J,"&lt;"&amp;$D103,Dataset!$J:$J,"&gt;="&amp;$C103)+SUMIFS(Dataset!$AJ:$AJ,Dataset!$F:$F,credito!$D$11,Dataset!$AC:$AC,"BBB",Dataset!$J:$J,"&lt;"&amp;$D103,Dataset!$J:$J,"&gt;="&amp;$C103)+SUMIFS(Dataset!$AJ:$AJ,Dataset!$F:$F,credito!$D$11,Dataset!$AC:$AC,"BBB+",Dataset!$J:$J,"&lt;"&amp;$D103,Dataset!$J:$J,"&gt;="&amp;$C103)</f>
        <v>0</v>
      </c>
      <c r="L103" s="83">
        <f>SUMIFS(Dataset!$AJ:$AJ,Dataset!$F:$F,credito!$D$11,Dataset!$J:$J,"&lt;"&amp;$D103,Dataset!$J:$J,"&gt;="&amp;$C103,Dataset!$AC:$AC,"&lt;&gt;N-1+",Dataset!$AC:$AC,"&lt;&gt;*AA*",Dataset!$AC:$AC,"&lt;&gt;*AAA*",Dataset!$AC:$AC,"&lt;&gt;A",Dataset!$AC:$AC,"&lt;&gt;A-",Dataset!$AC:$AC,"&lt;&gt;A+",Dataset!$AC:$AC,"&lt;&gt;*BBB*")</f>
        <v>0</v>
      </c>
      <c r="M103" s="84">
        <f t="shared" si="13"/>
        <v>0</v>
      </c>
      <c r="N103" s="82">
        <f>SUMIFS(Dataset!$AA:$AA,Dataset!$F:$F,credito!$D$11,Dataset!$AC:$AC,N$90,Dataset!$J:$J,"&lt;"&amp;$D103,Dataset!$J:$J,"&gt;="&amp;$C103)</f>
        <v>0</v>
      </c>
      <c r="O103" s="83">
        <f>SUMIFS(Dataset!$AA:$AA,Dataset!$F:$F,credito!$D$11,Dataset!$AC:$AC,O$90,Dataset!$J:$J,"&lt;"&amp;$D103,Dataset!$J:$J,"&gt;="&amp;$C103)</f>
        <v>0</v>
      </c>
      <c r="P103" s="83">
        <f>SUMIFS(Dataset!$AA:$AA,Dataset!$F:$F,credito!$D$11,Dataset!$AC:$AC,P$90,Dataset!$J:$J,"&lt;"&amp;$D103,Dataset!$J:$J,"&gt;="&amp;$C103)</f>
        <v>0</v>
      </c>
      <c r="Q103" s="83">
        <f>SUMIFS(Dataset!$AA:$AA,Dataset!$F:$F,credito!$D$11,Dataset!$AC:$AC,Q$90,Dataset!$J:$J,"&lt;"&amp;$D103,Dataset!$J:$J,"&gt;="&amp;$C103)</f>
        <v>0</v>
      </c>
      <c r="R103" s="83">
        <f>SUMIFS(Dataset!$AA:$AA,Dataset!$F:$F,credito!$D$11,Dataset!$AC:$AC,R$90,Dataset!$J:$J,"&lt;"&amp;$D103,Dataset!$J:$J,"&gt;="&amp;$C103)</f>
        <v>0</v>
      </c>
      <c r="S103" s="83">
        <f>SUMIFS(Dataset!$AA:$AA,Dataset!$F:$F,credito!$D$11,Dataset!$AC:$AC,"A",Dataset!$J:$J,"&lt;"&amp;$D103,Dataset!$J:$J,"&gt;="&amp;$C103)+SUMIFS(Dataset!$AA:$AA,Dataset!$F:$F,credito!$D$11,Dataset!$AC:$AC,"A-",Dataset!$J:$J,"&lt;"&amp;$D103,Dataset!$J:$J,"&gt;="&amp;$C103)+SUMIFS(Dataset!$AA:$AA,Dataset!$F:$F,credito!$D$11,Dataset!$AC:$AC,"A+",Dataset!$J:$J,"&lt;"&amp;$D103,Dataset!$J:$J,"&gt;="&amp;$C103)</f>
        <v>0</v>
      </c>
      <c r="T103" s="83">
        <f>SUMIFS(Dataset!$AA:$AA,Dataset!$F:$F,credito!$D$11,Dataset!$AC:$AC,"BBB-",Dataset!$J:$J,"&lt;"&amp;$D103,Dataset!$J:$J,"&gt;="&amp;$C103)+SUMIFS(Dataset!$AA:$AA,Dataset!$F:$F,credito!$D$11,Dataset!$AC:$AC,"BBB",Dataset!$J:$J,"&lt;"&amp;$D103,Dataset!$J:$J,"&gt;="&amp;$C103)+SUMIFS(Dataset!$AA:$AA,Dataset!$F:$F,credito!$D$11,Dataset!$AC:$AC,"BBB+",Dataset!$J:$J,"&lt;"&amp;$D103,Dataset!$J:$J,"&gt;="&amp;$C103)</f>
        <v>0</v>
      </c>
      <c r="U103" s="83">
        <f>SUMIFS(Dataset!$AA:$AA,Dataset!$F:$F,credito!$D$11,Dataset!$J:$J,"&lt;"&amp;$D103,Dataset!$J:$J,"&gt;="&amp;$C103,Dataset!$AC:$AC,"&lt;&gt;N-1+",Dataset!$AC:$AC,"&lt;&gt;*AA*",Dataset!$AC:$AC,"&lt;&gt;*AAA*",Dataset!$AC:$AC,"&lt;&gt;A",Dataset!$AC:$AC,"&lt;&gt;A-",Dataset!$AC:$AC,"&lt;&gt;A+",Dataset!$AC:$AC,"&lt;&gt;*BBB*")</f>
        <v>0</v>
      </c>
      <c r="V103" s="84">
        <f t="shared" si="14"/>
        <v>0</v>
      </c>
    </row>
    <row r="104" spans="2:35" ht="27" customHeight="1" x14ac:dyDescent="0.3">
      <c r="C104" s="61">
        <v>12.5</v>
      </c>
      <c r="D104" s="81">
        <v>13.5</v>
      </c>
      <c r="E104" s="82">
        <f>SUMIFS(Dataset!$AJ:$AJ,Dataset!$F:$F,credito!$D$11,Dataset!$AC:$AC,E$90,Dataset!$J:$J,"&lt;"&amp;$D104,Dataset!$J:$J,"&gt;="&amp;$C104)</f>
        <v>0</v>
      </c>
      <c r="F104" s="83">
        <f>SUMIFS(Dataset!$AJ:$AJ,Dataset!$F:$F,credito!$D$11,Dataset!$AC:$AC,F$90,Dataset!$J:$J,"&lt;"&amp;$D104,Dataset!$J:$J,"&gt;="&amp;$C104)</f>
        <v>0</v>
      </c>
      <c r="G104" s="83">
        <f>SUMIFS(Dataset!$AJ:$AJ,Dataset!$F:$F,credito!$D$11,Dataset!$AC:$AC,G$90,Dataset!$J:$J,"&lt;"&amp;$D104,Dataset!$J:$J,"&gt;="&amp;$C104)</f>
        <v>0</v>
      </c>
      <c r="H104" s="83">
        <f>SUMIFS(Dataset!$AJ:$AJ,Dataset!$F:$F,credito!$D$11,Dataset!$AC:$AC,H$90,Dataset!$J:$J,"&lt;"&amp;$D104,Dataset!$J:$J,"&gt;="&amp;$C104)</f>
        <v>0</v>
      </c>
      <c r="I104" s="83">
        <f>SUMIFS(Dataset!$AJ:$AJ,Dataset!$F:$F,credito!$D$11,Dataset!$AC:$AC,I$90,Dataset!$J:$J,"&lt;"&amp;$D104,Dataset!$J:$J,"&gt;="&amp;$C104)</f>
        <v>0</v>
      </c>
      <c r="J104" s="83">
        <f>SUMIFS(Dataset!$AJ:$AJ,Dataset!$F:$F,credito!$D$11,Dataset!$AC:$AC,"A",Dataset!$J:$J,"&lt;"&amp;$D104,Dataset!$J:$J,"&gt;="&amp;$C104)+SUMIFS(Dataset!$AJ:$AJ,Dataset!$F:$F,credito!$D$11,Dataset!$AC:$AC,"A-",Dataset!$J:$J,"&lt;"&amp;$D104,Dataset!$J:$J,"&gt;="&amp;$C104)+SUMIFS(Dataset!$AJ:$AJ,Dataset!$F:$F,credito!$D$11,Dataset!$AC:$AC,"A+",Dataset!$J:$J,"&lt;"&amp;$D104,Dataset!$J:$J,"&gt;="&amp;$C104)</f>
        <v>0</v>
      </c>
      <c r="K104" s="83">
        <f>SUMIFS(Dataset!$AJ:$AJ,Dataset!$F:$F,credito!$D$11,Dataset!$AC:$AC,"BBB-",Dataset!$J:$J,"&lt;"&amp;$D104,Dataset!$J:$J,"&gt;="&amp;$C104)+SUMIFS(Dataset!$AJ:$AJ,Dataset!$F:$F,credito!$D$11,Dataset!$AC:$AC,"BBB",Dataset!$J:$J,"&lt;"&amp;$D104,Dataset!$J:$J,"&gt;="&amp;$C104)+SUMIFS(Dataset!$AJ:$AJ,Dataset!$F:$F,credito!$D$11,Dataset!$AC:$AC,"BBB+",Dataset!$J:$J,"&lt;"&amp;$D104,Dataset!$J:$J,"&gt;="&amp;$C104)</f>
        <v>0</v>
      </c>
      <c r="L104" s="83">
        <f>SUMIFS(Dataset!$AJ:$AJ,Dataset!$F:$F,credito!$D$11,Dataset!$J:$J,"&lt;"&amp;$D104,Dataset!$J:$J,"&gt;="&amp;$C104,Dataset!$AC:$AC,"&lt;&gt;N-1+",Dataset!$AC:$AC,"&lt;&gt;*AA*",Dataset!$AC:$AC,"&lt;&gt;*AAA*",Dataset!$AC:$AC,"&lt;&gt;A",Dataset!$AC:$AC,"&lt;&gt;A-",Dataset!$AC:$AC,"&lt;&gt;A+",Dataset!$AC:$AC,"&lt;&gt;*BBB*")</f>
        <v>0</v>
      </c>
      <c r="M104" s="84">
        <f t="shared" si="13"/>
        <v>0</v>
      </c>
      <c r="N104" s="82">
        <f>SUMIFS(Dataset!$AA:$AA,Dataset!$F:$F,credito!$D$11,Dataset!$AC:$AC,N$90,Dataset!$J:$J,"&lt;"&amp;$D104,Dataset!$J:$J,"&gt;="&amp;$C104)</f>
        <v>0</v>
      </c>
      <c r="O104" s="83">
        <f>SUMIFS(Dataset!$AA:$AA,Dataset!$F:$F,credito!$D$11,Dataset!$AC:$AC,O$90,Dataset!$J:$J,"&lt;"&amp;$D104,Dataset!$J:$J,"&gt;="&amp;$C104)</f>
        <v>0</v>
      </c>
      <c r="P104" s="83">
        <f>SUMIFS(Dataset!$AA:$AA,Dataset!$F:$F,credito!$D$11,Dataset!$AC:$AC,P$90,Dataset!$J:$J,"&lt;"&amp;$D104,Dataset!$J:$J,"&gt;="&amp;$C104)</f>
        <v>0</v>
      </c>
      <c r="Q104" s="83">
        <f>SUMIFS(Dataset!$AA:$AA,Dataset!$F:$F,credito!$D$11,Dataset!$AC:$AC,Q$90,Dataset!$J:$J,"&lt;"&amp;$D104,Dataset!$J:$J,"&gt;="&amp;$C104)</f>
        <v>0</v>
      </c>
      <c r="R104" s="83">
        <f>SUMIFS(Dataset!$AA:$AA,Dataset!$F:$F,credito!$D$11,Dataset!$AC:$AC,R$90,Dataset!$J:$J,"&lt;"&amp;$D104,Dataset!$J:$J,"&gt;="&amp;$C104)</f>
        <v>0</v>
      </c>
      <c r="S104" s="83">
        <f>SUMIFS(Dataset!$AA:$AA,Dataset!$F:$F,credito!$D$11,Dataset!$AC:$AC,"A",Dataset!$J:$J,"&lt;"&amp;$D104,Dataset!$J:$J,"&gt;="&amp;$C104)+SUMIFS(Dataset!$AA:$AA,Dataset!$F:$F,credito!$D$11,Dataset!$AC:$AC,"A-",Dataset!$J:$J,"&lt;"&amp;$D104,Dataset!$J:$J,"&gt;="&amp;$C104)+SUMIFS(Dataset!$AA:$AA,Dataset!$F:$F,credito!$D$11,Dataset!$AC:$AC,"A+",Dataset!$J:$J,"&lt;"&amp;$D104,Dataset!$J:$J,"&gt;="&amp;$C104)</f>
        <v>0</v>
      </c>
      <c r="T104" s="83">
        <f>SUMIFS(Dataset!$AA:$AA,Dataset!$F:$F,credito!$D$11,Dataset!$AC:$AC,"BBB-",Dataset!$J:$J,"&lt;"&amp;$D104,Dataset!$J:$J,"&gt;="&amp;$C104)+SUMIFS(Dataset!$AA:$AA,Dataset!$F:$F,credito!$D$11,Dataset!$AC:$AC,"BBB",Dataset!$J:$J,"&lt;"&amp;$D104,Dataset!$J:$J,"&gt;="&amp;$C104)+SUMIFS(Dataset!$AA:$AA,Dataset!$F:$F,credito!$D$11,Dataset!$AC:$AC,"BBB+",Dataset!$J:$J,"&lt;"&amp;$D104,Dataset!$J:$J,"&gt;="&amp;$C104)</f>
        <v>0</v>
      </c>
      <c r="U104" s="83">
        <f>SUMIFS(Dataset!$AA:$AA,Dataset!$F:$F,credito!$D$11,Dataset!$J:$J,"&lt;"&amp;$D104,Dataset!$J:$J,"&gt;="&amp;$C104,Dataset!$AC:$AC,"&lt;&gt;N-1+",Dataset!$AC:$AC,"&lt;&gt;*AA*",Dataset!$AC:$AC,"&lt;&gt;*AAA*",Dataset!$AC:$AC,"&lt;&gt;A",Dataset!$AC:$AC,"&lt;&gt;A-",Dataset!$AC:$AC,"&lt;&gt;A+",Dataset!$AC:$AC,"&lt;&gt;*BBB*")</f>
        <v>0</v>
      </c>
      <c r="V104" s="84">
        <f t="shared" si="14"/>
        <v>0</v>
      </c>
    </row>
    <row r="105" spans="2:35" ht="27" customHeight="1" x14ac:dyDescent="0.3">
      <c r="C105" s="61">
        <v>13.5</v>
      </c>
      <c r="D105" s="81">
        <v>14.5</v>
      </c>
      <c r="E105" s="82">
        <f>SUMIFS(Dataset!$AJ:$AJ,Dataset!$F:$F,credito!$D$11,Dataset!$AC:$AC,E$90,Dataset!$J:$J,"&lt;"&amp;$D105,Dataset!$J:$J,"&gt;="&amp;$C105)</f>
        <v>0</v>
      </c>
      <c r="F105" s="83">
        <f>SUMIFS(Dataset!$AJ:$AJ,Dataset!$F:$F,credito!$D$11,Dataset!$AC:$AC,F$90,Dataset!$J:$J,"&lt;"&amp;$D105,Dataset!$J:$J,"&gt;="&amp;$C105)</f>
        <v>0</v>
      </c>
      <c r="G105" s="83">
        <f>SUMIFS(Dataset!$AJ:$AJ,Dataset!$F:$F,credito!$D$11,Dataset!$AC:$AC,G$90,Dataset!$J:$J,"&lt;"&amp;$D105,Dataset!$J:$J,"&gt;="&amp;$C105)</f>
        <v>0</v>
      </c>
      <c r="H105" s="83">
        <f>SUMIFS(Dataset!$AJ:$AJ,Dataset!$F:$F,credito!$D$11,Dataset!$AC:$AC,H$90,Dataset!$J:$J,"&lt;"&amp;$D105,Dataset!$J:$J,"&gt;="&amp;$C105)</f>
        <v>0</v>
      </c>
      <c r="I105" s="83">
        <f>SUMIFS(Dataset!$AJ:$AJ,Dataset!$F:$F,credito!$D$11,Dataset!$AC:$AC,I$90,Dataset!$J:$J,"&lt;"&amp;$D105,Dataset!$J:$J,"&gt;="&amp;$C105)</f>
        <v>0</v>
      </c>
      <c r="J105" s="83">
        <f>SUMIFS(Dataset!$AJ:$AJ,Dataset!$F:$F,credito!$D$11,Dataset!$AC:$AC,"A",Dataset!$J:$J,"&lt;"&amp;$D105,Dataset!$J:$J,"&gt;="&amp;$C105)+SUMIFS(Dataset!$AJ:$AJ,Dataset!$F:$F,credito!$D$11,Dataset!$AC:$AC,"A-",Dataset!$J:$J,"&lt;"&amp;$D105,Dataset!$J:$J,"&gt;="&amp;$C105)+SUMIFS(Dataset!$AJ:$AJ,Dataset!$F:$F,credito!$D$11,Dataset!$AC:$AC,"A+",Dataset!$J:$J,"&lt;"&amp;$D105,Dataset!$J:$J,"&gt;="&amp;$C105)</f>
        <v>0</v>
      </c>
      <c r="K105" s="83">
        <f>SUMIFS(Dataset!$AJ:$AJ,Dataset!$F:$F,credito!$D$11,Dataset!$AC:$AC,"BBB-",Dataset!$J:$J,"&lt;"&amp;$D105,Dataset!$J:$J,"&gt;="&amp;$C105)+SUMIFS(Dataset!$AJ:$AJ,Dataset!$F:$F,credito!$D$11,Dataset!$AC:$AC,"BBB",Dataset!$J:$J,"&lt;"&amp;$D105,Dataset!$J:$J,"&gt;="&amp;$C105)+SUMIFS(Dataset!$AJ:$AJ,Dataset!$F:$F,credito!$D$11,Dataset!$AC:$AC,"BBB+",Dataset!$J:$J,"&lt;"&amp;$D105,Dataset!$J:$J,"&gt;="&amp;$C105)</f>
        <v>0</v>
      </c>
      <c r="L105" s="83">
        <f>SUMIFS(Dataset!$AJ:$AJ,Dataset!$F:$F,credito!$D$11,Dataset!$J:$J,"&lt;"&amp;$D105,Dataset!$J:$J,"&gt;="&amp;$C105,Dataset!$AC:$AC,"&lt;&gt;N-1+",Dataset!$AC:$AC,"&lt;&gt;*AA*",Dataset!$AC:$AC,"&lt;&gt;*AAA*",Dataset!$AC:$AC,"&lt;&gt;A",Dataset!$AC:$AC,"&lt;&gt;A-",Dataset!$AC:$AC,"&lt;&gt;A+",Dataset!$AC:$AC,"&lt;&gt;*BBB*")</f>
        <v>0</v>
      </c>
      <c r="M105" s="84">
        <f t="shared" si="13"/>
        <v>0</v>
      </c>
      <c r="N105" s="82">
        <f>SUMIFS(Dataset!$AA:$AA,Dataset!$F:$F,credito!$D$11,Dataset!$AC:$AC,N$90,Dataset!$J:$J,"&lt;"&amp;$D105,Dataset!$J:$J,"&gt;="&amp;$C105)</f>
        <v>0</v>
      </c>
      <c r="O105" s="83">
        <f>SUMIFS(Dataset!$AA:$AA,Dataset!$F:$F,credito!$D$11,Dataset!$AC:$AC,O$90,Dataset!$J:$J,"&lt;"&amp;$D105,Dataset!$J:$J,"&gt;="&amp;$C105)</f>
        <v>0</v>
      </c>
      <c r="P105" s="83">
        <f>SUMIFS(Dataset!$AA:$AA,Dataset!$F:$F,credito!$D$11,Dataset!$AC:$AC,P$90,Dataset!$J:$J,"&lt;"&amp;$D105,Dataset!$J:$J,"&gt;="&amp;$C105)</f>
        <v>0</v>
      </c>
      <c r="Q105" s="83">
        <f>SUMIFS(Dataset!$AA:$AA,Dataset!$F:$F,credito!$D$11,Dataset!$AC:$AC,Q$90,Dataset!$J:$J,"&lt;"&amp;$D105,Dataset!$J:$J,"&gt;="&amp;$C105)</f>
        <v>0</v>
      </c>
      <c r="R105" s="83">
        <f>SUMIFS(Dataset!$AA:$AA,Dataset!$F:$F,credito!$D$11,Dataset!$AC:$AC,R$90,Dataset!$J:$J,"&lt;"&amp;$D105,Dataset!$J:$J,"&gt;="&amp;$C105)</f>
        <v>0</v>
      </c>
      <c r="S105" s="83">
        <f>SUMIFS(Dataset!$AA:$AA,Dataset!$F:$F,credito!$D$11,Dataset!$AC:$AC,"A",Dataset!$J:$J,"&lt;"&amp;$D105,Dataset!$J:$J,"&gt;="&amp;$C105)+SUMIFS(Dataset!$AA:$AA,Dataset!$F:$F,credito!$D$11,Dataset!$AC:$AC,"A-",Dataset!$J:$J,"&lt;"&amp;$D105,Dataset!$J:$J,"&gt;="&amp;$C105)+SUMIFS(Dataset!$AA:$AA,Dataset!$F:$F,credito!$D$11,Dataset!$AC:$AC,"A+",Dataset!$J:$J,"&lt;"&amp;$D105,Dataset!$J:$J,"&gt;="&amp;$C105)</f>
        <v>0</v>
      </c>
      <c r="T105" s="83">
        <f>SUMIFS(Dataset!$AA:$AA,Dataset!$F:$F,credito!$D$11,Dataset!$AC:$AC,"BBB-",Dataset!$J:$J,"&lt;"&amp;$D105,Dataset!$J:$J,"&gt;="&amp;$C105)+SUMIFS(Dataset!$AA:$AA,Dataset!$F:$F,credito!$D$11,Dataset!$AC:$AC,"BBB",Dataset!$J:$J,"&lt;"&amp;$D105,Dataset!$J:$J,"&gt;="&amp;$C105)+SUMIFS(Dataset!$AA:$AA,Dataset!$F:$F,credito!$D$11,Dataset!$AC:$AC,"BBB+",Dataset!$J:$J,"&lt;"&amp;$D105,Dataset!$J:$J,"&gt;="&amp;$C105)</f>
        <v>0</v>
      </c>
      <c r="U105" s="83">
        <f>SUMIFS(Dataset!$AA:$AA,Dataset!$F:$F,credito!$D$11,Dataset!$J:$J,"&lt;"&amp;$D105,Dataset!$J:$J,"&gt;="&amp;$C105,Dataset!$AC:$AC,"&lt;&gt;N-1+",Dataset!$AC:$AC,"&lt;&gt;*AA*",Dataset!$AC:$AC,"&lt;&gt;*AAA*",Dataset!$AC:$AC,"&lt;&gt;A",Dataset!$AC:$AC,"&lt;&gt;A-",Dataset!$AC:$AC,"&lt;&gt;A+",Dataset!$AC:$AC,"&lt;&gt;*BBB*")</f>
        <v>0</v>
      </c>
      <c r="V105" s="84">
        <f t="shared" si="14"/>
        <v>0</v>
      </c>
    </row>
    <row r="106" spans="2:35" ht="27" customHeight="1" x14ac:dyDescent="0.3">
      <c r="C106" s="61">
        <v>14.5</v>
      </c>
      <c r="D106" s="81">
        <v>100</v>
      </c>
      <c r="E106" s="88">
        <f>SUMIFS(Dataset!$AJ:$AJ,Dataset!$F:$F,credito!$D$11,Dataset!$AC:$AC,E$90,Dataset!$J:$J,"&lt;"&amp;$D106,Dataset!$J:$J,"&gt;="&amp;$C106)</f>
        <v>0</v>
      </c>
      <c r="F106" s="89">
        <f>SUMIFS(Dataset!$AJ:$AJ,Dataset!$F:$F,credito!$D$11,Dataset!$AC:$AC,F$90,Dataset!$J:$J,"&lt;"&amp;$D106,Dataset!$J:$J,"&gt;="&amp;$C106)</f>
        <v>0</v>
      </c>
      <c r="G106" s="89">
        <f>SUMIFS(Dataset!$AJ:$AJ,Dataset!$F:$F,credito!$D$11,Dataset!$AC:$AC,G$90,Dataset!$J:$J,"&lt;"&amp;$D106,Dataset!$J:$J,"&gt;="&amp;$C106)</f>
        <v>0</v>
      </c>
      <c r="H106" s="89">
        <f>SUMIFS(Dataset!$AJ:$AJ,Dataset!$F:$F,credito!$D$11,Dataset!$AC:$AC,H$90,Dataset!$J:$J,"&lt;"&amp;$D106,Dataset!$J:$J,"&gt;="&amp;$C106)</f>
        <v>0</v>
      </c>
      <c r="I106" s="89">
        <f>SUMIFS(Dataset!$AJ:$AJ,Dataset!$F:$F,credito!$D$11,Dataset!$AC:$AC,I$90,Dataset!$J:$J,"&lt;"&amp;$D106,Dataset!$J:$J,"&gt;="&amp;$C106)</f>
        <v>0</v>
      </c>
      <c r="J106" s="89">
        <f>SUMIFS(Dataset!$AJ:$AJ,Dataset!$F:$F,credito!$D$11,Dataset!$AC:$AC,"A",Dataset!$J:$J,"&lt;"&amp;$D106,Dataset!$J:$J,"&gt;="&amp;$C106)+SUMIFS(Dataset!$AJ:$AJ,Dataset!$F:$F,credito!$D$11,Dataset!$AC:$AC,"A-",Dataset!$J:$J,"&lt;"&amp;$D106,Dataset!$J:$J,"&gt;="&amp;$C106)+SUMIFS(Dataset!$AJ:$AJ,Dataset!$F:$F,credito!$D$11,Dataset!$AC:$AC,"A+",Dataset!$J:$J,"&lt;"&amp;$D106,Dataset!$J:$J,"&gt;="&amp;$C106)</f>
        <v>0</v>
      </c>
      <c r="K106" s="89">
        <f>SUMIFS(Dataset!$AJ:$AJ,Dataset!$F:$F,credito!$D$11,Dataset!$AC:$AC,"BBB-",Dataset!$J:$J,"&lt;"&amp;$D106,Dataset!$J:$J,"&gt;="&amp;$C106)+SUMIFS(Dataset!$AJ:$AJ,Dataset!$F:$F,credito!$D$11,Dataset!$AC:$AC,"BBB",Dataset!$J:$J,"&lt;"&amp;$D106,Dataset!$J:$J,"&gt;="&amp;$C106)+SUMIFS(Dataset!$AJ:$AJ,Dataset!$F:$F,credito!$D$11,Dataset!$AC:$AC,"BBB+",Dataset!$J:$J,"&lt;"&amp;$D106,Dataset!$J:$J,"&gt;="&amp;$C106)</f>
        <v>0</v>
      </c>
      <c r="L106" s="89">
        <f>SUMIFS(Dataset!$AJ:$AJ,Dataset!$F:$F,credito!$D$11,Dataset!$J:$J,"&lt;"&amp;$D106,Dataset!$J:$J,"&gt;="&amp;$C106,Dataset!$AC:$AC,"&lt;&gt;N-1+",Dataset!$AC:$AC,"&lt;&gt;*AA*",Dataset!$AC:$AC,"&lt;&gt;*AAA*",Dataset!$AC:$AC,"&lt;&gt;A",Dataset!$AC:$AC,"&lt;&gt;A-",Dataset!$AC:$AC,"&lt;&gt;A+",Dataset!$AC:$AC,"&lt;&gt;*BBB*")</f>
        <v>0</v>
      </c>
      <c r="M106" s="90">
        <f t="shared" si="13"/>
        <v>0</v>
      </c>
      <c r="N106" s="88">
        <f>SUMIFS(Dataset!$AA:$AA,Dataset!$F:$F,credito!$D$11,Dataset!$AC:$AC,N$90,Dataset!$J:$J,"&lt;"&amp;$D106,Dataset!$J:$J,"&gt;="&amp;$C106)</f>
        <v>0</v>
      </c>
      <c r="O106" s="89">
        <f>SUMIFS(Dataset!$AA:$AA,Dataset!$F:$F,credito!$D$11,Dataset!$AC:$AC,O$90,Dataset!$J:$J,"&lt;"&amp;$D106,Dataset!$J:$J,"&gt;="&amp;$C106)</f>
        <v>0</v>
      </c>
      <c r="P106" s="89">
        <f>SUMIFS(Dataset!$AA:$AA,Dataset!$F:$F,credito!$D$11,Dataset!$AC:$AC,P$90,Dataset!$J:$J,"&lt;"&amp;$D106,Dataset!$J:$J,"&gt;="&amp;$C106)</f>
        <v>0</v>
      </c>
      <c r="Q106" s="89">
        <f>SUMIFS(Dataset!$AA:$AA,Dataset!$F:$F,credito!$D$11,Dataset!$AC:$AC,Q$90,Dataset!$J:$J,"&lt;"&amp;$D106,Dataset!$J:$J,"&gt;="&amp;$C106)</f>
        <v>0</v>
      </c>
      <c r="R106" s="89">
        <f>SUMIFS(Dataset!$AA:$AA,Dataset!$F:$F,credito!$D$11,Dataset!$AC:$AC,R$90,Dataset!$J:$J,"&lt;"&amp;$D106,Dataset!$J:$J,"&gt;="&amp;$C106)</f>
        <v>0</v>
      </c>
      <c r="S106" s="89">
        <f>SUMIFS(Dataset!$AA:$AA,Dataset!$F:$F,credito!$D$11,Dataset!$AC:$AC,"A",Dataset!$J:$J,"&lt;"&amp;$D106,Dataset!$J:$J,"&gt;="&amp;$C106)+SUMIFS(Dataset!$AA:$AA,Dataset!$F:$F,credito!$D$11,Dataset!$AC:$AC,"A-",Dataset!$J:$J,"&lt;"&amp;$D106,Dataset!$J:$J,"&gt;="&amp;$C106)+SUMIFS(Dataset!$AA:$AA,Dataset!$F:$F,credito!$D$11,Dataset!$AC:$AC,"A+",Dataset!$J:$J,"&lt;"&amp;$D106,Dataset!$J:$J,"&gt;="&amp;$C106)</f>
        <v>0</v>
      </c>
      <c r="T106" s="89">
        <f>SUMIFS(Dataset!$AA:$AA,Dataset!$F:$F,credito!$D$11,Dataset!$AC:$AC,"BBB-",Dataset!$J:$J,"&lt;"&amp;$D106,Dataset!$J:$J,"&gt;="&amp;$C106)+SUMIFS(Dataset!$AA:$AA,Dataset!$F:$F,credito!$D$11,Dataset!$AC:$AC,"BBB",Dataset!$J:$J,"&lt;"&amp;$D106,Dataset!$J:$J,"&gt;="&amp;$C106)+SUMIFS(Dataset!$AA:$AA,Dataset!$F:$F,credito!$D$11,Dataset!$AC:$AC,"BBB+",Dataset!$J:$J,"&lt;"&amp;$D106,Dataset!$J:$J,"&gt;="&amp;$C106)</f>
        <v>0</v>
      </c>
      <c r="U106" s="89">
        <f>SUMIFS(Dataset!$AA:$AA,Dataset!$F:$F,credito!$D$11,Dataset!$J:$J,"&lt;"&amp;$D106,Dataset!$J:$J,"&gt;="&amp;$C106,Dataset!$AC:$AC,"&lt;&gt;N-1+",Dataset!$AC:$AC,"&lt;&gt;*AA*",Dataset!$AC:$AC,"&lt;&gt;*AAA*",Dataset!$AC:$AC,"&lt;&gt;A",Dataset!$AC:$AC,"&lt;&gt;A-",Dataset!$AC:$AC,"&lt;&gt;A+",Dataset!$AC:$AC,"&lt;&gt;*BBB*")</f>
        <v>0</v>
      </c>
      <c r="V106" s="90">
        <f t="shared" si="14"/>
        <v>0</v>
      </c>
    </row>
    <row r="107" spans="2:35" ht="27" customHeight="1" x14ac:dyDescent="0.3">
      <c r="C107" s="175"/>
      <c r="D107" s="176"/>
      <c r="E107" s="83">
        <f>SUM(E91:E106)</f>
        <v>0</v>
      </c>
      <c r="F107" s="83">
        <f t="shared" ref="F107:L107" si="17">SUM(F91:F106)</f>
        <v>0</v>
      </c>
      <c r="G107" s="83">
        <f t="shared" si="17"/>
        <v>0</v>
      </c>
      <c r="H107" s="83">
        <f t="shared" si="17"/>
        <v>0</v>
      </c>
      <c r="I107" s="83">
        <f t="shared" si="17"/>
        <v>0</v>
      </c>
      <c r="J107" s="83">
        <f t="shared" si="17"/>
        <v>0</v>
      </c>
      <c r="K107" s="83">
        <f t="shared" si="17"/>
        <v>0</v>
      </c>
      <c r="L107" s="83">
        <f t="shared" si="17"/>
        <v>0</v>
      </c>
      <c r="M107" s="84">
        <f t="shared" si="13"/>
        <v>0</v>
      </c>
      <c r="N107" s="83">
        <f>SUM(N91:N106)</f>
        <v>0</v>
      </c>
      <c r="O107" s="83">
        <f t="shared" ref="O107:U107" si="18">SUM(O91:O106)</f>
        <v>0</v>
      </c>
      <c r="P107" s="83">
        <f t="shared" si="18"/>
        <v>0</v>
      </c>
      <c r="Q107" s="83">
        <f t="shared" si="18"/>
        <v>0</v>
      </c>
      <c r="R107" s="83">
        <f t="shared" si="18"/>
        <v>0</v>
      </c>
      <c r="S107" s="83">
        <f t="shared" si="18"/>
        <v>0</v>
      </c>
      <c r="T107" s="83">
        <f t="shared" si="18"/>
        <v>0</v>
      </c>
      <c r="U107" s="83">
        <f t="shared" si="18"/>
        <v>0</v>
      </c>
      <c r="V107" s="84">
        <f>SUM(N107:U107)</f>
        <v>0</v>
      </c>
    </row>
    <row r="109" spans="2:35" ht="44.25" customHeight="1" x14ac:dyDescent="0.3"/>
    <row r="117" ht="48" customHeight="1" x14ac:dyDescent="0.3"/>
    <row r="134" spans="3:35" ht="45" customHeight="1" x14ac:dyDescent="0.3"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</row>
    <row r="135" spans="3:35" ht="27" customHeight="1" x14ac:dyDescent="0.4">
      <c r="C135" s="107" t="s">
        <v>74</v>
      </c>
      <c r="D135" s="42"/>
      <c r="E135" s="42"/>
    </row>
  </sheetData>
  <mergeCells count="20">
    <mergeCell ref="AB70:AC70"/>
    <mergeCell ref="AB99:AC99"/>
    <mergeCell ref="C90:D90"/>
    <mergeCell ref="C107:D107"/>
    <mergeCell ref="C88:D88"/>
    <mergeCell ref="C71:D71"/>
    <mergeCell ref="E46:N46"/>
    <mergeCell ref="E69:N69"/>
    <mergeCell ref="P69:Y69"/>
    <mergeCell ref="Y46:AH46"/>
    <mergeCell ref="C3:AI3"/>
    <mergeCell ref="C4:AI4"/>
    <mergeCell ref="C48:D48"/>
    <mergeCell ref="O46:V46"/>
    <mergeCell ref="AB67:AI67"/>
    <mergeCell ref="C13:I13"/>
    <mergeCell ref="C36:H36"/>
    <mergeCell ref="K15:R15"/>
    <mergeCell ref="K29:R29"/>
    <mergeCell ref="C65:D65"/>
  </mergeCells>
  <conditionalFormatting sqref="E49:N64">
    <cfRule type="colorScale" priority="9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E72:N87">
    <cfRule type="colorScale" priority="8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P72:Y87">
    <cfRule type="colorScale" priority="7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Y49:AH64">
    <cfRule type="colorScale" priority="6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P49:W64">
    <cfRule type="colorScale" priority="5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AD71:AH98">
    <cfRule type="colorScale" priority="3">
      <colorScale>
        <cfvo type="min"/>
        <cfvo type="max"/>
        <color theme="0"/>
        <color theme="5" tint="0.59999389629810485"/>
      </colorScale>
    </cfRule>
  </conditionalFormatting>
  <conditionalFormatting sqref="E91:L106">
    <cfRule type="colorScale" priority="2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N91:U106">
    <cfRule type="colorScale" priority="1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printOptions horizontalCentered="1"/>
  <pageMargins left="0" right="0" top="0" bottom="0" header="0" footer="0"/>
  <pageSetup scale="1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  <pageSetUpPr fitToPage="1"/>
  </sheetPr>
  <dimension ref="B3:AH131"/>
  <sheetViews>
    <sheetView showGridLines="0" showZeros="0" topLeftCell="A8" zoomScale="25" zoomScaleNormal="25" workbookViewId="0">
      <selection activeCell="K132" sqref="K132"/>
    </sheetView>
  </sheetViews>
  <sheetFormatPr baseColWidth="10" defaultRowHeight="27" customHeight="1" x14ac:dyDescent="0.3"/>
  <cols>
    <col min="1" max="1" width="11" style="22" customWidth="1"/>
    <col min="2" max="2" width="9.75" style="22" customWidth="1"/>
    <col min="3" max="3" width="32.5" style="22" customWidth="1"/>
    <col min="4" max="4" width="23.125" style="22" customWidth="1"/>
    <col min="5" max="5" width="31" style="22" customWidth="1"/>
    <col min="6" max="6" width="31.125" style="22" customWidth="1"/>
    <col min="7" max="7" width="25.875" style="22" customWidth="1"/>
    <col min="8" max="8" width="33.5" style="22" customWidth="1"/>
    <col min="9" max="9" width="29.25" style="22" customWidth="1"/>
    <col min="10" max="10" width="28.125" style="22" customWidth="1"/>
    <col min="11" max="11" width="27.375" style="22" customWidth="1"/>
    <col min="12" max="12" width="65.75" style="22" customWidth="1"/>
    <col min="13" max="13" width="24.625" style="22" customWidth="1"/>
    <col min="14" max="14" width="28.75" style="22" customWidth="1"/>
    <col min="15" max="15" width="33.125" style="22" customWidth="1"/>
    <col min="16" max="16" width="35.375" style="22" customWidth="1"/>
    <col min="17" max="17" width="20.75" style="22" customWidth="1"/>
    <col min="18" max="18" width="19.875" style="22" customWidth="1"/>
    <col min="19" max="19" width="25.25" style="22" customWidth="1"/>
    <col min="20" max="20" width="29" style="22" customWidth="1"/>
    <col min="21" max="21" width="32.375" style="22" customWidth="1"/>
    <col min="22" max="22" width="28.75" style="22" customWidth="1"/>
    <col min="23" max="23" width="18.875" style="22" customWidth="1"/>
    <col min="24" max="24" width="21.125" style="22" customWidth="1"/>
    <col min="25" max="25" width="20.625" style="22" customWidth="1"/>
    <col min="26" max="26" width="26.125" style="22" customWidth="1"/>
    <col min="27" max="27" width="31.75" style="22" customWidth="1"/>
    <col min="28" max="28" width="38.5" style="22" customWidth="1"/>
    <col min="29" max="29" width="25.125" style="22" customWidth="1"/>
    <col min="30" max="30" width="20" style="22" customWidth="1"/>
    <col min="31" max="31" width="30.25" style="22" customWidth="1"/>
    <col min="32" max="32" width="18.625" style="22" customWidth="1"/>
    <col min="33" max="33" width="17" style="22" customWidth="1"/>
    <col min="34" max="34" width="19.5" style="22" customWidth="1"/>
    <col min="35" max="16384" width="11" style="22"/>
  </cols>
  <sheetData>
    <row r="3" spans="3:34" ht="81" customHeight="1" x14ac:dyDescent="0.3">
      <c r="C3" s="178" t="s">
        <v>264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</row>
    <row r="4" spans="3:34" ht="66" customHeight="1" x14ac:dyDescent="0.3">
      <c r="C4" s="185" t="str">
        <f>TEXT(Historical!H2," mmmm dd, aaaa")</f>
        <v xml:space="preserve"> November 13, Monday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</row>
    <row r="5" spans="3:34" ht="18" customHeight="1" x14ac:dyDescent="0.3"/>
    <row r="6" spans="3:34" ht="18" customHeight="1" x14ac:dyDescent="0.3"/>
    <row r="7" spans="3:34" ht="18" customHeight="1" x14ac:dyDescent="0.3"/>
    <row r="8" spans="3:34" ht="18" customHeight="1" x14ac:dyDescent="0.3"/>
    <row r="9" spans="3:34" ht="18" customHeight="1" x14ac:dyDescent="0.3"/>
    <row r="10" spans="3:34" ht="27" customHeight="1" x14ac:dyDescent="0.3">
      <c r="F10" s="45"/>
    </row>
    <row r="11" spans="3:34" ht="52.5" customHeight="1" x14ac:dyDescent="0.8">
      <c r="D11" s="48" t="s">
        <v>151</v>
      </c>
      <c r="E11" s="49"/>
    </row>
    <row r="12" spans="3:34" ht="27" customHeight="1" x14ac:dyDescent="0.3">
      <c r="O12" s="50"/>
      <c r="P12" s="50"/>
      <c r="Q12" s="50"/>
      <c r="R12" s="50"/>
      <c r="S12" s="50"/>
      <c r="T12" s="50"/>
    </row>
    <row r="13" spans="3:34" ht="51" customHeight="1" x14ac:dyDescent="0.3">
      <c r="J13" s="50"/>
    </row>
    <row r="14" spans="3:34" ht="41.25" customHeight="1" x14ac:dyDescent="0.3">
      <c r="C14" s="174" t="s">
        <v>112</v>
      </c>
      <c r="D14" s="174"/>
      <c r="E14" s="174"/>
      <c r="F14" s="174"/>
      <c r="G14" s="174"/>
      <c r="H14" s="174"/>
      <c r="I14" s="174"/>
      <c r="K14" s="174" t="s">
        <v>267</v>
      </c>
      <c r="L14" s="174"/>
      <c r="M14" s="174"/>
      <c r="N14" s="174"/>
      <c r="O14" s="174"/>
      <c r="P14" s="174"/>
      <c r="Q14" s="174"/>
      <c r="R14" s="174"/>
    </row>
    <row r="15" spans="3:34" ht="35.25" customHeight="1" x14ac:dyDescent="0.3">
      <c r="W15" s="56"/>
    </row>
    <row r="16" spans="3:34" ht="35.25" customHeight="1" x14ac:dyDescent="0.4">
      <c r="C16" s="53"/>
      <c r="D16" s="54" t="s">
        <v>70</v>
      </c>
      <c r="E16" s="54" t="s">
        <v>265</v>
      </c>
      <c r="F16" s="54" t="s">
        <v>75</v>
      </c>
      <c r="G16" s="54" t="s">
        <v>5</v>
      </c>
      <c r="H16" s="54" t="s">
        <v>6</v>
      </c>
      <c r="I16" s="54" t="s">
        <v>21</v>
      </c>
      <c r="K16" s="55" t="s">
        <v>85</v>
      </c>
      <c r="L16" s="55" t="s">
        <v>86</v>
      </c>
      <c r="M16" s="55" t="s">
        <v>70</v>
      </c>
      <c r="N16" s="55" t="s">
        <v>265</v>
      </c>
      <c r="O16" s="55" t="s">
        <v>6</v>
      </c>
      <c r="P16" s="55" t="s">
        <v>71</v>
      </c>
      <c r="Q16" s="55" t="s">
        <v>21</v>
      </c>
      <c r="R16" s="55" t="s">
        <v>72</v>
      </c>
      <c r="Z16" s="62"/>
    </row>
    <row r="17" spans="3:25" ht="35.25" customHeight="1" x14ac:dyDescent="0.5">
      <c r="C17" s="57" t="s">
        <v>192</v>
      </c>
      <c r="D17" s="58">
        <f>SUMIFS(Dataset!AK:AK,Dataset!F:F,'credito latam'!D11,Dataset!Z:Z,"CL")</f>
        <v>0</v>
      </c>
      <c r="E17" s="58">
        <f>SUMIFS(Dataset!AJ:AJ,Dataset!F:F,'credito latam'!D11,Dataset!Z:Z,"CL")</f>
        <v>0</v>
      </c>
      <c r="F17" s="59">
        <f>SUMIFS(Dataset!V:V,Dataset!F:F,'credito latam'!D11,Dataset!Z:Z,"CL")/1000</f>
        <v>0</v>
      </c>
      <c r="G17" s="60">
        <f>SUMIFS(Dataset!H:H,Dataset!F:F,'credito latam'!D11,Dataset!Z:Z,"CL")</f>
        <v>0</v>
      </c>
      <c r="H17" s="58">
        <f>SUMIFS(Dataset!I:I,Dataset!F:F,'credito latam'!D11,Dataset!Z:Z,"CL")</f>
        <v>0</v>
      </c>
      <c r="I17" s="58">
        <f>SUMIFS(Dataset!AA:AA,Dataset!F:F,'credito latam'!D11,Dataset!Z:Z,"CL")</f>
        <v>0</v>
      </c>
      <c r="K17" s="61">
        <v>1</v>
      </c>
      <c r="L17" s="58" t="str">
        <f>IFERROR(INDEX(Dataset!X:X,MATCH(_xlfn.AGGREGATE(14,6,Dataset!AK:AK/(Dataset!F:F=$D$11),K17),Dataset!AK:AK,0),1),"-")</f>
        <v>-</v>
      </c>
      <c r="M17" s="58" t="str">
        <f>IFERROR(INDEX(Dataset!AK:AK,MATCH(_xlfn.AGGREGATE(14,6,Dataset!AK:AK/(Dataset!F:F=$D$11),K17),Dataset!AK:AK,0),1),"-")</f>
        <v>-</v>
      </c>
      <c r="N17" s="58" t="str">
        <f>IFERROR(INDEX(Dataset!AJ:AJ,MATCH(_xlfn.AGGREGATE(14,6,Dataset!AK:AK/(Dataset!F:F=$D$11),K17),Dataset!AK:AK,0),1),"-")</f>
        <v>-</v>
      </c>
      <c r="O17" s="58" t="str">
        <f>IFERROR(INDEX(Dataset!I:I,MATCH(_xlfn.AGGREGATE(14,6,Dataset!AK:AK/(Dataset!F:F=$D$11),K17),Dataset!AK:AK,0),1),"-")</f>
        <v>-</v>
      </c>
      <c r="P17" s="58" t="e">
        <f>IFERROR(INDEX(Dataset!R:R,MATCH(_xlfn.AGGREGATE(14,6,Dataset!AK:AK/(Dataset!F:F=$D$11),K17),Dataset!AK:AK,0),1),"-")/100</f>
        <v>#VALUE!</v>
      </c>
      <c r="Q17" s="58" t="str">
        <f>IFERROR(INDEX(Dataset!AA:AA,MATCH(_xlfn.AGGREGATE(14,6,Dataset!AK:AK/(Dataset!F:F=$D$11),K17),Dataset!AK:AK,0),1),"-")</f>
        <v>-</v>
      </c>
      <c r="R17" s="60" t="str">
        <f>IFERROR(INDEX(Dataset!J:J,MATCH(_xlfn.AGGREGATE(14,6,Dataset!AK:AK/(Dataset!F:F=$D$11),K17),Dataset!AK:AK,0),1),"-")</f>
        <v>-</v>
      </c>
    </row>
    <row r="18" spans="3:25" ht="35.25" customHeight="1" x14ac:dyDescent="0.5">
      <c r="C18" s="57" t="s">
        <v>193</v>
      </c>
      <c r="D18" s="58">
        <f>SUMIFS(Dataset!AK:AK,Dataset!F:F,'credito latam'!D11,Dataset!Z:Z,"MX")</f>
        <v>0</v>
      </c>
      <c r="E18" s="58">
        <f>SUMIFS(Dataset!AJ:AJ,Dataset!F:F,'credito latam'!D11,Dataset!Z:Z,"MX")</f>
        <v>0</v>
      </c>
      <c r="F18" s="59">
        <f>SUMIFS(Dataset!V:V,Dataset!F:F,'credito latam'!D11,Dataset!Z:Z,"MX")/1000</f>
        <v>0</v>
      </c>
      <c r="G18" s="60">
        <f>SUMIFS(Dataset!H:H,Dataset!F:F,'credito latam'!D11,Dataset!Z:Z,"MX")</f>
        <v>0</v>
      </c>
      <c r="H18" s="58">
        <f>SUMIFS(Dataset!I:I,Dataset!F:F,'credito latam'!D11,Dataset!Z:Z,"MX")</f>
        <v>0</v>
      </c>
      <c r="I18" s="58">
        <f>SUMIFS(Dataset!AA:AA,Dataset!F:F,'credito latam'!D11,Dataset!Z:Z,"MX")</f>
        <v>0</v>
      </c>
      <c r="K18" s="61">
        <v>2</v>
      </c>
      <c r="L18" s="58" t="str">
        <f>IFERROR(INDEX(Dataset!X:X,MATCH(_xlfn.AGGREGATE(14,6,Dataset!AK:AK/(Dataset!F:F=$D$11),K18),Dataset!AK:AK,0),1),"-")</f>
        <v>-</v>
      </c>
      <c r="M18" s="58" t="str">
        <f>IFERROR(INDEX(Dataset!AK:AK,MATCH(_xlfn.AGGREGATE(14,6,Dataset!AK:AK/(Dataset!F:F=$D$11),K18),Dataset!AK:AK,0),1),"-")</f>
        <v>-</v>
      </c>
      <c r="N18" s="58" t="str">
        <f>IFERROR(INDEX(Dataset!AJ:AJ,MATCH(_xlfn.AGGREGATE(14,6,Dataset!AK:AK/(Dataset!F:F=$D$11),K18),Dataset!AK:AK,0),1),"-")</f>
        <v>-</v>
      </c>
      <c r="O18" s="58" t="str">
        <f>IFERROR(INDEX(Dataset!I:I,MATCH(_xlfn.AGGREGATE(14,6,Dataset!AK:AK/(Dataset!F:F=$D$11),K18),Dataset!AK:AK,0),1),"-")</f>
        <v>-</v>
      </c>
      <c r="P18" s="58" t="e">
        <f>IFERROR(INDEX(Dataset!R:R,MATCH(_xlfn.AGGREGATE(14,6,Dataset!AK:AK/(Dataset!F:F=$D$11),K18),Dataset!AK:AK,0),1),"-")/100</f>
        <v>#VALUE!</v>
      </c>
      <c r="Q18" s="58" t="str">
        <f>IFERROR(INDEX(Dataset!AA:AA,MATCH(_xlfn.AGGREGATE(14,6,Dataset!AK:AK/(Dataset!F:F=$D$11),K18),Dataset!AK:AK,0),1),"-")</f>
        <v>-</v>
      </c>
      <c r="R18" s="60" t="str">
        <f>IFERROR(INDEX(Dataset!J:J,MATCH(_xlfn.AGGREGATE(14,6,Dataset!AK:AK/(Dataset!F:F=$D$11),K18),Dataset!AK:AK,0),1),"-")</f>
        <v>-</v>
      </c>
      <c r="X18" s="52"/>
      <c r="Y18" s="63"/>
    </row>
    <row r="19" spans="3:25" ht="35.25" customHeight="1" x14ac:dyDescent="0.5">
      <c r="C19" s="57" t="s">
        <v>194</v>
      </c>
      <c r="D19" s="58">
        <f>SUMIFS(Dataset!AK:AK,Dataset!F:F,'credito latam'!D11,Dataset!Z:Z,"CO")</f>
        <v>0</v>
      </c>
      <c r="E19" s="58">
        <f>SUMIFS(Dataset!AJ:AJ,Dataset!F:F,'credito latam'!D11,Dataset!Z:Z,"CO")</f>
        <v>0</v>
      </c>
      <c r="F19" s="59">
        <f>SUMIFS(Dataset!V:V,Dataset!F:F,'credito latam'!D11,Dataset!Z:Z,"CO")/1000</f>
        <v>0</v>
      </c>
      <c r="G19" s="60">
        <f>SUMIFS(Dataset!H:H,Dataset!F:F,'credito latam'!D11,Dataset!Z:Z,"CO")</f>
        <v>0</v>
      </c>
      <c r="H19" s="58">
        <f>SUMIFS(Dataset!I:I,Dataset!F:F,'credito latam'!D11,Dataset!Z:Z,"CO")</f>
        <v>0</v>
      </c>
      <c r="I19" s="58">
        <f>SUMIFS(Dataset!AA:AA,Dataset!F:F,'credito latam'!D11,Dataset!Z:Z,"CO")</f>
        <v>0</v>
      </c>
      <c r="K19" s="61">
        <v>3</v>
      </c>
      <c r="L19" s="58" t="str">
        <f>IFERROR(INDEX(Dataset!X:X,MATCH(_xlfn.AGGREGATE(14,6,Dataset!AK:AK/(Dataset!F:F=$D$11),K19),Dataset!AK:AK,0),1),"-")</f>
        <v>-</v>
      </c>
      <c r="M19" s="58" t="str">
        <f>IFERROR(INDEX(Dataset!AK:AK,MATCH(_xlfn.AGGREGATE(14,6,Dataset!AK:AK/(Dataset!F:F=$D$11),K19),Dataset!AK:AK,0),1),"-")</f>
        <v>-</v>
      </c>
      <c r="N19" s="58" t="str">
        <f>IFERROR(INDEX(Dataset!AJ:AJ,MATCH(_xlfn.AGGREGATE(14,6,Dataset!AK:AK/(Dataset!F:F=$D$11),K19),Dataset!AK:AK,0),1),"-")</f>
        <v>-</v>
      </c>
      <c r="O19" s="58" t="str">
        <f>IFERROR(INDEX(Dataset!I:I,MATCH(_xlfn.AGGREGATE(14,6,Dataset!AK:AK/(Dataset!F:F=$D$11),K19),Dataset!AK:AK,0),1),"-")</f>
        <v>-</v>
      </c>
      <c r="P19" s="58" t="e">
        <f>IFERROR(INDEX(Dataset!R:R,MATCH(_xlfn.AGGREGATE(14,6,Dataset!AK:AK/(Dataset!F:F=$D$11),K19),Dataset!AK:AK,0),1),"-")/100</f>
        <v>#VALUE!</v>
      </c>
      <c r="Q19" s="58" t="str">
        <f>IFERROR(INDEX(Dataset!AA:AA,MATCH(_xlfn.AGGREGATE(14,6,Dataset!AK:AK/(Dataset!F:F=$D$11),K19),Dataset!AK:AK,0),1),"-")</f>
        <v>-</v>
      </c>
      <c r="R19" s="60" t="str">
        <f>IFERROR(INDEX(Dataset!J:J,MATCH(_xlfn.AGGREGATE(14,6,Dataset!AK:AK/(Dataset!F:F=$D$11),K19),Dataset!AK:AK,0),1),"-")</f>
        <v>-</v>
      </c>
    </row>
    <row r="20" spans="3:25" ht="35.25" customHeight="1" x14ac:dyDescent="0.5">
      <c r="C20" s="57" t="s">
        <v>195</v>
      </c>
      <c r="D20" s="58">
        <f>SUMIFS(Dataset!AK:AK,Dataset!F:F,'credito latam'!D11,Dataset!Z:Z,"PE")</f>
        <v>0</v>
      </c>
      <c r="E20" s="58">
        <f>SUMIFS(Dataset!AJ:AJ,Dataset!F:F,'credito latam'!D11,Dataset!Z:Z,"PE")</f>
        <v>0</v>
      </c>
      <c r="F20" s="59">
        <f>SUMIFS(Dataset!V:V,Dataset!F:F,'credito latam'!D11,Dataset!Z:Z,"PE")/1000</f>
        <v>0</v>
      </c>
      <c r="G20" s="60">
        <f>SUMIFS(Dataset!H:H,Dataset!F:F,'credito latam'!D11,Dataset!Z:Z,"PE")</f>
        <v>0</v>
      </c>
      <c r="H20" s="58">
        <f>SUMIFS(Dataset!I:I,Dataset!F:F,'credito latam'!D11,Dataset!Z:Z,"PE")</f>
        <v>0</v>
      </c>
      <c r="I20" s="58">
        <f>SUMIFS(Dataset!AA:AA,Dataset!F:F,'credito latam'!D11,Dataset!Z:Z,"PE")</f>
        <v>0</v>
      </c>
      <c r="K20" s="61">
        <v>4</v>
      </c>
      <c r="L20" s="58" t="str">
        <f>IFERROR(INDEX(Dataset!X:X,MATCH(_xlfn.AGGREGATE(14,6,Dataset!AK:AK/(Dataset!F:F=$D$11),K20),Dataset!AK:AK,0),1),"-")</f>
        <v>-</v>
      </c>
      <c r="M20" s="58" t="str">
        <f>IFERROR(INDEX(Dataset!AK:AK,MATCH(_xlfn.AGGREGATE(14,6,Dataset!AK:AK/(Dataset!F:F=$D$11),K20),Dataset!AK:AK,0),1),"-")</f>
        <v>-</v>
      </c>
      <c r="N20" s="58" t="str">
        <f>IFERROR(INDEX(Dataset!AJ:AJ,MATCH(_xlfn.AGGREGATE(14,6,Dataset!AK:AK/(Dataset!F:F=$D$11),K20),Dataset!AK:AK,0),1),"-")</f>
        <v>-</v>
      </c>
      <c r="O20" s="58" t="str">
        <f>IFERROR(INDEX(Dataset!I:I,MATCH(_xlfn.AGGREGATE(14,6,Dataset!AK:AK/(Dataset!F:F=$D$11),K20),Dataset!AK:AK,0),1),"-")</f>
        <v>-</v>
      </c>
      <c r="P20" s="58" t="e">
        <f>IFERROR(INDEX(Dataset!R:R,MATCH(_xlfn.AGGREGATE(14,6,Dataset!AK:AK/(Dataset!F:F=$D$11),K20),Dataset!AK:AK,0),1),"-")/100</f>
        <v>#VALUE!</v>
      </c>
      <c r="Q20" s="58" t="str">
        <f>IFERROR(INDEX(Dataset!AA:AA,MATCH(_xlfn.AGGREGATE(14,6,Dataset!AK:AK/(Dataset!F:F=$D$11),K20),Dataset!AK:AK,0),1),"-")</f>
        <v>-</v>
      </c>
      <c r="R20" s="60" t="str">
        <f>IFERROR(INDEX(Dataset!J:J,MATCH(_xlfn.AGGREGATE(14,6,Dataset!AK:AK/(Dataset!F:F=$D$11),K20),Dataset!AK:AK,0),1),"-")</f>
        <v>-</v>
      </c>
    </row>
    <row r="21" spans="3:25" ht="35.25" customHeight="1" x14ac:dyDescent="0.5">
      <c r="C21" s="57" t="s">
        <v>196</v>
      </c>
      <c r="D21" s="58">
        <f>SUMIFS(Dataset!AK:AK,Dataset!F:F,'credito latam'!D11,Dataset!Z:Z,"BR")</f>
        <v>0</v>
      </c>
      <c r="E21" s="58">
        <f>SUMIFS(Dataset!AJ:AJ,Dataset!F:F,'credito latam'!D11,Dataset!Z:Z,"BR")</f>
        <v>0</v>
      </c>
      <c r="F21" s="59">
        <f>SUMIFS(Dataset!V:V,Dataset!F:F,'credito latam'!D11,Dataset!Z:Z,"BR")/1000</f>
        <v>0</v>
      </c>
      <c r="G21" s="60">
        <f>SUMIFS(Dataset!H:H,Dataset!F:F,'credito latam'!D11,Dataset!Z:Z,"BR")</f>
        <v>0</v>
      </c>
      <c r="H21" s="58">
        <f>SUMIFS(Dataset!I:I,Dataset!F:F,'credito latam'!D11,Dataset!Z:Z,"BR")</f>
        <v>0</v>
      </c>
      <c r="I21" s="58">
        <f>SUMIFS(Dataset!AA:AA,Dataset!F:F,'credito latam'!D11,Dataset!Z:Z,"BR")</f>
        <v>0</v>
      </c>
      <c r="K21" s="61">
        <v>5</v>
      </c>
      <c r="L21" s="58" t="str">
        <f>IFERROR(INDEX(Dataset!X:X,MATCH(_xlfn.AGGREGATE(14,6,Dataset!AK:AK/(Dataset!F:F=$D$11),K21),Dataset!AK:AK,0),1),"-")</f>
        <v>-</v>
      </c>
      <c r="M21" s="58" t="str">
        <f>IFERROR(INDEX(Dataset!AK:AK,MATCH(_xlfn.AGGREGATE(14,6,Dataset!AK:AK/(Dataset!F:F=$D$11),K21),Dataset!AK:AK,0),1),"-")</f>
        <v>-</v>
      </c>
      <c r="N21" s="58" t="str">
        <f>IFERROR(INDEX(Dataset!AJ:AJ,MATCH(_xlfn.AGGREGATE(14,6,Dataset!AK:AK/(Dataset!F:F=$D$11),K21),Dataset!AK:AK,0),1),"-")</f>
        <v>-</v>
      </c>
      <c r="O21" s="58" t="str">
        <f>IFERROR(INDEX(Dataset!I:I,MATCH(_xlfn.AGGREGATE(14,6,Dataset!AK:AK/(Dataset!F:F=$D$11),K21),Dataset!AK:AK,0),1),"-")</f>
        <v>-</v>
      </c>
      <c r="P21" s="58" t="e">
        <f>IFERROR(INDEX(Dataset!R:R,MATCH(_xlfn.AGGREGATE(14,6,Dataset!AK:AK/(Dataset!F:F=$D$11),K21),Dataset!AK:AK,0),1),"-")/100</f>
        <v>#VALUE!</v>
      </c>
      <c r="Q21" s="58" t="str">
        <f>IFERROR(INDEX(Dataset!AA:AA,MATCH(_xlfn.AGGREGATE(14,6,Dataset!AK:AK/(Dataset!F:F=$D$11),K21),Dataset!AK:AK,0),1),"-")</f>
        <v>-</v>
      </c>
      <c r="R21" s="60" t="str">
        <f>IFERROR(INDEX(Dataset!J:J,MATCH(_xlfn.AGGREGATE(14,6,Dataset!AK:AK/(Dataset!F:F=$D$11),K21),Dataset!AK:AK,0),1),"-")</f>
        <v>-</v>
      </c>
    </row>
    <row r="22" spans="3:25" ht="35.25" customHeight="1" x14ac:dyDescent="0.5">
      <c r="C22" s="57" t="s">
        <v>197</v>
      </c>
      <c r="D22" s="58">
        <f>SUMIFS(Dataset!AK:AK,Dataset!F:F,'credito latam'!D11,Dataset!Z:Z,"PA")</f>
        <v>0</v>
      </c>
      <c r="E22" s="58">
        <f>SUMIFS(Dataset!AJ:AJ,Dataset!F:F,'credito latam'!D11,Dataset!Z:Z,"PA")</f>
        <v>0</v>
      </c>
      <c r="F22" s="59">
        <f>SUMIFS(Dataset!V:V,Dataset!F:F,'credito latam'!D11,Dataset!Z:Z,"PA")/1000</f>
        <v>0</v>
      </c>
      <c r="G22" s="60">
        <f>SUMIFS(Dataset!H:H,Dataset!F:F,'credito latam'!D11,Dataset!Z:Z,"PA")</f>
        <v>0</v>
      </c>
      <c r="H22" s="58">
        <f>SUMIFS(Dataset!I:I,Dataset!F:F,'credito latam'!D11,Dataset!Z:Z,"PA")</f>
        <v>0</v>
      </c>
      <c r="I22" s="58">
        <f>SUMIFS(Dataset!AA:AA,Dataset!F:F,'credito latam'!D11,Dataset!Z:Z,"PA")</f>
        <v>0</v>
      </c>
      <c r="K22" s="61">
        <v>6</v>
      </c>
      <c r="L22" s="58" t="str">
        <f>IFERROR(INDEX(Dataset!X:X,MATCH(_xlfn.AGGREGATE(14,6,Dataset!AK:AK/(Dataset!F:F=$D$11),K22),Dataset!AK:AK,0),1),"-")</f>
        <v>-</v>
      </c>
      <c r="M22" s="58" t="str">
        <f>IFERROR(INDEX(Dataset!AK:AK,MATCH(_xlfn.AGGREGATE(14,6,Dataset!AK:AK/(Dataset!F:F=$D$11),K22),Dataset!AK:AK,0),1),"-")</f>
        <v>-</v>
      </c>
      <c r="N22" s="58" t="str">
        <f>IFERROR(INDEX(Dataset!AJ:AJ,MATCH(_xlfn.AGGREGATE(14,6,Dataset!AK:AK/(Dataset!F:F=$D$11),K22),Dataset!AK:AK,0),1),"-")</f>
        <v>-</v>
      </c>
      <c r="O22" s="58" t="str">
        <f>IFERROR(INDEX(Dataset!I:I,MATCH(_xlfn.AGGREGATE(14,6,Dataset!AK:AK/(Dataset!F:F=$D$11),K22),Dataset!AK:AK,0),1),"-")</f>
        <v>-</v>
      </c>
      <c r="P22" s="58" t="e">
        <f>IFERROR(INDEX(Dataset!R:R,MATCH(_xlfn.AGGREGATE(14,6,Dataset!AK:AK/(Dataset!F:F=$D$11),K22),Dataset!AK:AK,0),1),"-")/100</f>
        <v>#VALUE!</v>
      </c>
      <c r="Q22" s="58" t="str">
        <f>IFERROR(INDEX(Dataset!AA:AA,MATCH(_xlfn.AGGREGATE(14,6,Dataset!AK:AK/(Dataset!F:F=$D$11),K22),Dataset!AK:AK,0),1),"-")</f>
        <v>-</v>
      </c>
      <c r="R22" s="60" t="str">
        <f>IFERROR(INDEX(Dataset!J:J,MATCH(_xlfn.AGGREGATE(14,6,Dataset!AK:AK/(Dataset!F:F=$D$11),K22),Dataset!AK:AK,0),1),"-")</f>
        <v>-</v>
      </c>
    </row>
    <row r="23" spans="3:25" ht="35.25" customHeight="1" x14ac:dyDescent="0.5">
      <c r="C23" s="57" t="s">
        <v>198</v>
      </c>
      <c r="D23" s="58">
        <f>SUMIFS(Dataset!AK:AK,Dataset!F:F,'credito latam'!D11,Dataset!Z:Z,"N/A")</f>
        <v>0</v>
      </c>
      <c r="E23" s="58">
        <f>SUMIFS(Dataset!AJ:AJ,Dataset!F:F,'credito latam'!D11,Dataset!Z:Z,"N/A")</f>
        <v>0</v>
      </c>
      <c r="F23" s="59">
        <f>SUMIFS(Dataset!V:V,Dataset!F:F,'credito latam'!D11,Dataset!Z:Z,"N/A")/1000</f>
        <v>0</v>
      </c>
      <c r="G23" s="60">
        <f>SUMIFS(Dataset!H:H,Dataset!F:F,'credito latam'!D11,Dataset!Z:Z,"N/A")</f>
        <v>0</v>
      </c>
      <c r="H23" s="58">
        <f>SUMIFS(Dataset!I:I,Dataset!F:F,'credito latam'!D11,Dataset!Z:Z,"N/A")</f>
        <v>0</v>
      </c>
      <c r="I23" s="58">
        <f>SUMIFS(Dataset!AA:AA,Dataset!F:F,'credito latam'!D11,Dataset!Z:Z,"N/A")</f>
        <v>0</v>
      </c>
      <c r="K23" s="61">
        <v>7</v>
      </c>
      <c r="L23" s="58" t="str">
        <f>IFERROR(INDEX(Dataset!X:X,MATCH(_xlfn.AGGREGATE(14,6,Dataset!AK:AK/(Dataset!F:F=$D$11),K23),Dataset!AK:AK,0),1),"-")</f>
        <v>-</v>
      </c>
      <c r="M23" s="58" t="str">
        <f>IFERROR(INDEX(Dataset!AK:AK,MATCH(_xlfn.AGGREGATE(14,6,Dataset!AK:AK/(Dataset!F:F=$D$11),K23),Dataset!AK:AK,0),1),"-")</f>
        <v>-</v>
      </c>
      <c r="N23" s="58" t="str">
        <f>IFERROR(INDEX(Dataset!AJ:AJ,MATCH(_xlfn.AGGREGATE(14,6,Dataset!AK:AK/(Dataset!F:F=$D$11),K23),Dataset!AK:AK,0),1),"-")</f>
        <v>-</v>
      </c>
      <c r="O23" s="58" t="str">
        <f>IFERROR(INDEX(Dataset!I:I,MATCH(_xlfn.AGGREGATE(14,6,Dataset!AK:AK/(Dataset!F:F=$D$11),K23),Dataset!AK:AK,0),1),"-")</f>
        <v>-</v>
      </c>
      <c r="P23" s="58" t="e">
        <f>IFERROR(INDEX(Dataset!R:R,MATCH(_xlfn.AGGREGATE(14,6,Dataset!AK:AK/(Dataset!F:F=$D$11),K23),Dataset!AK:AK,0),1),"-")/100</f>
        <v>#VALUE!</v>
      </c>
      <c r="Q23" s="58" t="str">
        <f>IFERROR(INDEX(Dataset!AA:AA,MATCH(_xlfn.AGGREGATE(14,6,Dataset!AK:AK/(Dataset!F:F=$D$11),K23),Dataset!AK:AK,0),1),"-")</f>
        <v>-</v>
      </c>
      <c r="R23" s="60" t="str">
        <f>IFERROR(INDEX(Dataset!J:J,MATCH(_xlfn.AGGREGATE(14,6,Dataset!AK:AK/(Dataset!F:F=$D$11),K23),Dataset!AK:AK,0),1),"-")</f>
        <v>-</v>
      </c>
    </row>
    <row r="24" spans="3:25" ht="35.25" customHeight="1" x14ac:dyDescent="0.5">
      <c r="C24" s="57" t="s">
        <v>199</v>
      </c>
      <c r="D24" s="58">
        <f>SUMIFS(Dataset!AK:AK,Dataset!F:F,'credito latam'!D11,Dataset!Z:Z,"&lt;&gt;CL",Dataset!Z:Z,"&lt;&gt;MX",Dataset!Z:Z,"&lt;&gt;CO",Dataset!Z:Z,"&lt;&gt;PE",Dataset!Z:Z,"&lt;&gt;BR",Dataset!Z:Z,"&lt;&gt;PA",Dataset!Z:Z,"&lt;&gt;N/A")</f>
        <v>0</v>
      </c>
      <c r="E24" s="58">
        <f>SUMIFS(Dataset!AJ:AJ,Dataset!F:F,'credito latam'!D11,Dataset!Z:Z,"&lt;&gt;CL",Dataset!Z:Z,"&lt;&gt;MX",Dataset!Z:Z,"&lt;&gt;CO",Dataset!Z:Z,"&lt;&gt;PE",Dataset!Z:Z,"&lt;&gt;BR",Dataset!Z:Z,"&lt;&gt;PA",Dataset!Z:Z,"&lt;&gt;N/A")</f>
        <v>0</v>
      </c>
      <c r="F24" s="59">
        <f>SUMIFS(Dataset!V:V,Dataset!F:F,'credito latam'!D11,Dataset!Z:Z,"&lt;&gt;CL",Dataset!Z:Z,"&lt;&gt;MX",Dataset!Z:Z,"&lt;&gt;CO",Dataset!Z:Z,"&lt;&gt;PE",Dataset!Z:Z,"&lt;&gt;BR",Dataset!Z:Z,"&lt;&gt;PA",Dataset!Z:Z,"&lt;&gt;N/A")/1000</f>
        <v>0</v>
      </c>
      <c r="G24" s="60">
        <f>SUMIFS(Dataset!H:H,Dataset!F:F,'credito latam'!D11,Dataset!Z:Z,"&lt;&gt;CL",Dataset!Z:Z,"&lt;&gt;MX",Dataset!Z:Z,"&lt;&gt;CO",Dataset!Z:Z,"&lt;&gt;PE",Dataset!Z:Z,"&lt;&gt;BR",Dataset!Z:Z,"&lt;&gt;PA",Dataset!Z:Z,"&lt;&gt;N/A")</f>
        <v>0</v>
      </c>
      <c r="H24" s="58">
        <f>SUMIFS(Dataset!I:I,Dataset!F:F,'credito latam'!D11,Dataset!Z:Z,"&lt;&gt;CL",Dataset!Z:Z,"&lt;&gt;MX",Dataset!Z:Z,"&lt;&gt;CO",Dataset!Z:Z,"&lt;&gt;PE",Dataset!Z:Z,"&lt;&gt;BR",Dataset!Z:Z,"&lt;&gt;PA",Dataset!Z:Z,"&lt;&gt;N/A")</f>
        <v>0</v>
      </c>
      <c r="I24" s="58">
        <f>SUMIFS(Dataset!AA:AA,Dataset!F:F,'credito latam'!D11,Dataset!Z:Z,"&lt;&gt;CL",Dataset!Z:Z,"&lt;&gt;MX",Dataset!Z:Z,"&lt;&gt;CO",Dataset!Z:Z,"&lt;&gt;PE",Dataset!Z:Z,"&lt;&gt;BR",Dataset!Z:Z,"&lt;&gt;PA",Dataset!Z:Z,"&lt;&gt;N/A")</f>
        <v>0</v>
      </c>
      <c r="K24" s="61">
        <v>8</v>
      </c>
      <c r="L24" s="58" t="str">
        <f>IFERROR(INDEX(Dataset!X:X,MATCH(_xlfn.AGGREGATE(14,6,Dataset!AK:AK/(Dataset!F:F=$D$11),K24),Dataset!AK:AK,0),1),"-")</f>
        <v>-</v>
      </c>
      <c r="M24" s="58" t="str">
        <f>IFERROR(INDEX(Dataset!AK:AK,MATCH(_xlfn.AGGREGATE(14,6,Dataset!AK:AK/(Dataset!F:F=$D$11),K24),Dataset!AK:AK,0),1),"-")</f>
        <v>-</v>
      </c>
      <c r="N24" s="58" t="str">
        <f>IFERROR(INDEX(Dataset!AJ:AJ,MATCH(_xlfn.AGGREGATE(14,6,Dataset!AK:AK/(Dataset!F:F=$D$11),K24),Dataset!AK:AK,0),1),"-")</f>
        <v>-</v>
      </c>
      <c r="O24" s="58" t="str">
        <f>IFERROR(INDEX(Dataset!I:I,MATCH(_xlfn.AGGREGATE(14,6,Dataset!AK:AK/(Dataset!F:F=$D$11),K24),Dataset!AK:AK,0),1),"-")</f>
        <v>-</v>
      </c>
      <c r="P24" s="58" t="e">
        <f>IFERROR(INDEX(Dataset!R:R,MATCH(_xlfn.AGGREGATE(14,6,Dataset!AK:AK/(Dataset!F:F=$D$11),K24),Dataset!AK:AK,0),1),"-")/100</f>
        <v>#VALUE!</v>
      </c>
      <c r="Q24" s="58" t="str">
        <f>IFERROR(INDEX(Dataset!AA:AA,MATCH(_xlfn.AGGREGATE(14,6,Dataset!AK:AK/(Dataset!F:F=$D$11),K24),Dataset!AK:AK,0),1),"-")</f>
        <v>-</v>
      </c>
      <c r="R24" s="60" t="str">
        <f>IFERROR(INDEX(Dataset!J:J,MATCH(_xlfn.AGGREGATE(14,6,Dataset!AK:AK/(Dataset!F:F=$D$11),K24),Dataset!AK:AK,0),1),"-")</f>
        <v>-</v>
      </c>
    </row>
    <row r="25" spans="3:25" ht="35.25" customHeight="1" x14ac:dyDescent="0.5">
      <c r="C25" s="65" t="s">
        <v>66</v>
      </c>
      <c r="D25" s="66">
        <f t="shared" ref="D25:I25" si="0">SUM(D17:D24)</f>
        <v>0</v>
      </c>
      <c r="E25" s="66">
        <f t="shared" si="0"/>
        <v>0</v>
      </c>
      <c r="F25" s="67">
        <f t="shared" si="0"/>
        <v>0</v>
      </c>
      <c r="G25" s="68">
        <f t="shared" si="0"/>
        <v>0</v>
      </c>
      <c r="H25" s="66">
        <f t="shared" si="0"/>
        <v>0</v>
      </c>
      <c r="I25" s="66">
        <f t="shared" si="0"/>
        <v>0</v>
      </c>
      <c r="K25" s="61">
        <v>9</v>
      </c>
      <c r="L25" s="58" t="str">
        <f>IFERROR(INDEX(Dataset!X:X,MATCH(_xlfn.AGGREGATE(14,6,Dataset!AK:AK/(Dataset!F:F=$D$11),K25),Dataset!AK:AK,0),1),"-")</f>
        <v>-</v>
      </c>
      <c r="M25" s="58" t="str">
        <f>IFERROR(INDEX(Dataset!AK:AK,MATCH(_xlfn.AGGREGATE(14,6,Dataset!AK:AK/(Dataset!F:F=$D$11),K25),Dataset!AK:AK,0),1),"-")</f>
        <v>-</v>
      </c>
      <c r="N25" s="58" t="str">
        <f>IFERROR(INDEX(Dataset!AJ:AJ,MATCH(_xlfn.AGGREGATE(14,6,Dataset!AK:AK/(Dataset!F:F=$D$11),K25),Dataset!AK:AK,0),1),"-")</f>
        <v>-</v>
      </c>
      <c r="O25" s="58" t="str">
        <f>IFERROR(INDEX(Dataset!I:I,MATCH(_xlfn.AGGREGATE(14,6,Dataset!AK:AK/(Dataset!F:F=$D$11),K25),Dataset!AK:AK,0),1),"-")</f>
        <v>-</v>
      </c>
      <c r="P25" s="58" t="e">
        <f>IFERROR(INDEX(Dataset!R:R,MATCH(_xlfn.AGGREGATE(14,6,Dataset!AK:AK/(Dataset!F:F=$D$11),K25),Dataset!AK:AK,0),1),"-")/100</f>
        <v>#VALUE!</v>
      </c>
      <c r="Q25" s="58" t="str">
        <f>IFERROR(INDEX(Dataset!AA:AA,MATCH(_xlfn.AGGREGATE(14,6,Dataset!AK:AK/(Dataset!F:F=$D$11),K25),Dataset!AK:AK,0),1),"-")</f>
        <v>-</v>
      </c>
      <c r="R25" s="60" t="str">
        <f>IFERROR(INDEX(Dataset!J:J,MATCH(_xlfn.AGGREGATE(14,6,Dataset!AK:AK/(Dataset!F:F=$D$11),K25),Dataset!AK:AK,0),1),"-")</f>
        <v>-</v>
      </c>
    </row>
    <row r="26" spans="3:25" ht="35.25" customHeight="1" x14ac:dyDescent="0.5">
      <c r="K26" s="61">
        <v>10</v>
      </c>
      <c r="L26" s="58" t="str">
        <f>IFERROR(INDEX(Dataset!X:X,MATCH(_xlfn.AGGREGATE(14,6,Dataset!AK:AK/(Dataset!F:F=$D$11),K26),Dataset!AK:AK,0),1),"-")</f>
        <v>-</v>
      </c>
      <c r="M26" s="58" t="str">
        <f>IFERROR(INDEX(Dataset!AK:AK,MATCH(_xlfn.AGGREGATE(14,6,Dataset!AK:AK/(Dataset!F:F=$D$11),K26),Dataset!AK:AK,0),1),"-")</f>
        <v>-</v>
      </c>
      <c r="N26" s="58" t="str">
        <f>IFERROR(INDEX(Dataset!AJ:AJ,MATCH(_xlfn.AGGREGATE(14,6,Dataset!AK:AK/(Dataset!F:F=$D$11),K26),Dataset!AK:AK,0),1),"-")</f>
        <v>-</v>
      </c>
      <c r="O26" s="58" t="str">
        <f>IFERROR(INDEX(Dataset!I:I,MATCH(_xlfn.AGGREGATE(14,6,Dataset!AK:AK/(Dataset!F:F=$D$11),K26),Dataset!AK:AK,0),1),"-")</f>
        <v>-</v>
      </c>
      <c r="P26" s="58" t="e">
        <f>IFERROR(INDEX(Dataset!R:R,MATCH(_xlfn.AGGREGATE(14,6,Dataset!AK:AK/(Dataset!F:F=$D$11),K26),Dataset!AK:AK,0),1),"-")/100</f>
        <v>#VALUE!</v>
      </c>
      <c r="Q26" s="58" t="str">
        <f>IFERROR(INDEX(Dataset!AA:AA,MATCH(_xlfn.AGGREGATE(14,6,Dataset!AK:AK/(Dataset!F:F=$D$11),K26),Dataset!AK:AK,0),1),"-")</f>
        <v>-</v>
      </c>
      <c r="R26" s="60" t="str">
        <f>IFERROR(INDEX(Dataset!J:J,MATCH(_xlfn.AGGREGATE(14,6,Dataset!AK:AK/(Dataset!F:F=$D$11),K26),Dataset!AK:AK,0),1),"-")</f>
        <v>-</v>
      </c>
    </row>
    <row r="27" spans="3:25" ht="35.25" customHeight="1" x14ac:dyDescent="0.3"/>
    <row r="28" spans="3:25" ht="44.25" customHeight="1" x14ac:dyDescent="0.3"/>
    <row r="29" spans="3:25" ht="46.5" customHeight="1" x14ac:dyDescent="0.3">
      <c r="C29" s="174" t="s">
        <v>266</v>
      </c>
      <c r="D29" s="174"/>
      <c r="E29" s="174"/>
      <c r="F29" s="174"/>
      <c r="G29" s="174"/>
      <c r="H29" s="174"/>
      <c r="K29" s="174" t="s">
        <v>268</v>
      </c>
      <c r="L29" s="174"/>
      <c r="M29" s="174"/>
      <c r="N29" s="174"/>
      <c r="O29" s="174"/>
      <c r="P29" s="174"/>
      <c r="Q29" s="174"/>
      <c r="R29" s="174"/>
    </row>
    <row r="30" spans="3:25" ht="23.25" customHeight="1" x14ac:dyDescent="0.3"/>
    <row r="31" spans="3:25" ht="33" customHeight="1" x14ac:dyDescent="0.4">
      <c r="C31" s="53"/>
      <c r="D31" s="54" t="s">
        <v>70</v>
      </c>
      <c r="E31" s="54" t="s">
        <v>265</v>
      </c>
      <c r="F31" s="54" t="s">
        <v>75</v>
      </c>
      <c r="G31" s="54" t="s">
        <v>6</v>
      </c>
      <c r="H31" s="54" t="s">
        <v>21</v>
      </c>
      <c r="K31" s="55" t="s">
        <v>85</v>
      </c>
      <c r="L31" s="55" t="s">
        <v>86</v>
      </c>
      <c r="M31" s="55" t="s">
        <v>70</v>
      </c>
      <c r="N31" s="55" t="s">
        <v>265</v>
      </c>
      <c r="O31" s="55" t="s">
        <v>6</v>
      </c>
      <c r="P31" s="55" t="s">
        <v>71</v>
      </c>
      <c r="Q31" s="55" t="s">
        <v>21</v>
      </c>
      <c r="R31" s="55" t="s">
        <v>72</v>
      </c>
    </row>
    <row r="32" spans="3:25" ht="33" customHeight="1" x14ac:dyDescent="0.5">
      <c r="C32" s="57" t="s">
        <v>39</v>
      </c>
      <c r="D32" s="58">
        <f>SUMIFS(Dataset!AK:AK,Dataset!F:F,'credito latam'!$D$11,Dataset!T:T,$C32)</f>
        <v>0</v>
      </c>
      <c r="E32" s="58">
        <f>SUMIFS(Dataset!AJ:AJ,Dataset!F:F,'credito latam'!$D$11,Dataset!T:T,$C32)</f>
        <v>0</v>
      </c>
      <c r="F32" s="59">
        <f>SUMIFS(Dataset!V:V,Dataset!F:F,'credito latam'!$D$11,Dataset!T:T,$C32)/1000000</f>
        <v>0</v>
      </c>
      <c r="G32" s="58">
        <f>SUMIFS(Dataset!I:I,Dataset!F:F,'credito latam'!$D$11,Dataset!T:T,$C32)</f>
        <v>0</v>
      </c>
      <c r="H32" s="58">
        <f>SUMIFS(Dataset!AA:AA,Dataset!F:F,'credito latam'!$D$11,Dataset!T:T,$C32)</f>
        <v>0</v>
      </c>
      <c r="K32" s="61">
        <v>1</v>
      </c>
      <c r="L32" s="58" t="str">
        <f>IFERROR(INDEX(Dataset!W:W,MATCH(_xlfn.AGGREGATE(14,6,Dataset!I:I/(Dataset!F:F=$D$11),K32),Dataset!I:I,0),1),"-")</f>
        <v>-</v>
      </c>
      <c r="M32" s="58" t="str">
        <f>IFERROR(INDEX(Dataset!AK:AK,MATCH(_xlfn.AGGREGATE(14,6,Dataset!I:I/(Dataset!F:F=$D$11),K32),Dataset!I:I,0),1),"-")</f>
        <v>-</v>
      </c>
      <c r="N32" s="58" t="str">
        <f>IFERROR(INDEX(Dataset!AJ:AJ,MATCH(_xlfn.AGGREGATE(14,6,Dataset!I:I/(Dataset!F:F=$D$11),K32),Dataset!I:I,0),1),"-")</f>
        <v>-</v>
      </c>
      <c r="O32" s="58" t="str">
        <f>IFERROR(INDEX(Dataset!I:I,MATCH(_xlfn.AGGREGATE(14,6,Dataset!I:I/(Dataset!F:F=$D$11),K32),Dataset!I:I,0),1),"-")</f>
        <v>-</v>
      </c>
      <c r="P32" s="58" t="e">
        <f>IFERROR(INDEX(Dataset!R:R,MATCH(_xlfn.AGGREGATE(14,6,Dataset!I:I/(Dataset!F:F=$D$11),K32),Dataset!I:I,0),1),"-")/100</f>
        <v>#VALUE!</v>
      </c>
      <c r="Q32" s="58" t="str">
        <f>IFERROR(INDEX(Dataset!AA:AA,MATCH(_xlfn.AGGREGATE(14,6,Dataset!I:I/(Dataset!F:F=$D$11),K32),Dataset!I:I,0),1),"-")</f>
        <v>-</v>
      </c>
      <c r="R32" s="60" t="str">
        <f>IFERROR(INDEX(Dataset!J:J,MATCH(_xlfn.AGGREGATE(14,6,Dataset!I:I/(Dataset!F:F=$D$11),K32),Dataset!I:I,0),1),"-")</f>
        <v>-</v>
      </c>
    </row>
    <row r="33" spans="3:34" ht="42" customHeight="1" x14ac:dyDescent="0.5">
      <c r="C33" s="57" t="s">
        <v>32</v>
      </c>
      <c r="D33" s="58">
        <f>SUMIFS(Dataset!AK:AK,Dataset!F:F,'credito latam'!$D$11,Dataset!T:T,$C33)</f>
        <v>0</v>
      </c>
      <c r="E33" s="58">
        <f>SUMIFS(Dataset!AJ:AJ,Dataset!F:F,'credito latam'!$D$11,Dataset!T:T,$C33)</f>
        <v>0</v>
      </c>
      <c r="F33" s="59">
        <f>SUMIFS(Dataset!V:V,Dataset!F:F,'credito latam'!$D$11,Dataset!T:T,$C33)/1000000</f>
        <v>0</v>
      </c>
      <c r="G33" s="58">
        <f>SUMIFS(Dataset!I:I,Dataset!F:F,'credito latam'!$D$11,Dataset!T:T,$C33)</f>
        <v>0</v>
      </c>
      <c r="H33" s="58">
        <f>SUMIFS(Dataset!AA:AA,Dataset!F:F,'credito latam'!$D$11,Dataset!T:T,$C33)</f>
        <v>0</v>
      </c>
      <c r="K33" s="61">
        <v>2</v>
      </c>
      <c r="L33" s="58" t="str">
        <f>IFERROR(INDEX(Dataset!W:W,MATCH(_xlfn.AGGREGATE(14,6,Dataset!I:I/(Dataset!F:F=$D$11),K33),Dataset!I:I,0),1),"-")</f>
        <v>-</v>
      </c>
      <c r="M33" s="58" t="str">
        <f>IFERROR(INDEX(Dataset!AK:AK,MATCH(_xlfn.AGGREGATE(14,6,Dataset!I:I/(Dataset!F:F=$D$11),K33),Dataset!I:I,0),1),"-")</f>
        <v>-</v>
      </c>
      <c r="N33" s="58" t="str">
        <f>IFERROR(INDEX(Dataset!AJ:AJ,MATCH(_xlfn.AGGREGATE(14,6,Dataset!I:I/(Dataset!F:F=$D$11),K33),Dataset!I:I,0),1),"-")</f>
        <v>-</v>
      </c>
      <c r="O33" s="58" t="str">
        <f>IFERROR(INDEX(Dataset!I:I,MATCH(_xlfn.AGGREGATE(14,6,Dataset!I:I/(Dataset!F:F=$D$11),K33),Dataset!I:I,0),1),"-")</f>
        <v>-</v>
      </c>
      <c r="P33" s="58" t="e">
        <f>IFERROR(INDEX(Dataset!R:R,MATCH(_xlfn.AGGREGATE(14,6,Dataset!I:I/(Dataset!F:F=$D$11),K33),Dataset!I:I,0),1),"-")/100</f>
        <v>#VALUE!</v>
      </c>
      <c r="Q33" s="58" t="str">
        <f>IFERROR(INDEX(Dataset!AA:AA,MATCH(_xlfn.AGGREGATE(14,6,Dataset!I:I/(Dataset!F:F=$D$11),K33),Dataset!I:I,0),1),"-")</f>
        <v>-</v>
      </c>
      <c r="R33" s="60" t="str">
        <f>IFERROR(INDEX(Dataset!J:J,MATCH(_xlfn.AGGREGATE(14,6,Dataset!I:I/(Dataset!F:F=$D$11),K33),Dataset!I:I,0),1),"-")</f>
        <v>-</v>
      </c>
    </row>
    <row r="34" spans="3:34" ht="45.75" customHeight="1" x14ac:dyDescent="0.5">
      <c r="C34" s="57" t="s">
        <v>30</v>
      </c>
      <c r="D34" s="58">
        <f>SUMIFS(Dataset!AK:AK,Dataset!F:F,'credito latam'!$D$11,Dataset!T:T,$C34)</f>
        <v>0</v>
      </c>
      <c r="E34" s="58">
        <f>SUMIFS(Dataset!AJ:AJ,Dataset!F:F,'credito latam'!$D$11,Dataset!T:T,$C34)</f>
        <v>0</v>
      </c>
      <c r="F34" s="59">
        <f>SUMIFS(Dataset!V:V,Dataset!F:F,'credito latam'!$D$11,Dataset!T:T,$C34)/1000000</f>
        <v>0</v>
      </c>
      <c r="G34" s="58">
        <f>SUMIFS(Dataset!I:I,Dataset!F:F,'credito latam'!$D$11,Dataset!T:T,$C34)</f>
        <v>0</v>
      </c>
      <c r="H34" s="58">
        <f>SUMIFS(Dataset!AA:AA,Dataset!F:F,'credito latam'!$D$11,Dataset!T:T,$C34)</f>
        <v>0</v>
      </c>
      <c r="K34" s="61">
        <v>3</v>
      </c>
      <c r="L34" s="58" t="str">
        <f>IFERROR(INDEX(Dataset!W:W,MATCH(_xlfn.AGGREGATE(14,6,Dataset!I:I/(Dataset!F:F=$D$11),K34),Dataset!I:I,0),1),"-")</f>
        <v>-</v>
      </c>
      <c r="M34" s="58" t="str">
        <f>IFERROR(INDEX(Dataset!AK:AK,MATCH(_xlfn.AGGREGATE(14,6,Dataset!I:I/(Dataset!F:F=$D$11),K34),Dataset!I:I,0),1),"-")</f>
        <v>-</v>
      </c>
      <c r="N34" s="58" t="str">
        <f>IFERROR(INDEX(Dataset!AJ:AJ,MATCH(_xlfn.AGGREGATE(14,6,Dataset!I:I/(Dataset!F:F=$D$11),K34),Dataset!I:I,0),1),"-")</f>
        <v>-</v>
      </c>
      <c r="O34" s="58" t="str">
        <f>IFERROR(INDEX(Dataset!I:I,MATCH(_xlfn.AGGREGATE(14,6,Dataset!I:I/(Dataset!F:F=$D$11),K34),Dataset!I:I,0),1),"-")</f>
        <v>-</v>
      </c>
      <c r="P34" s="58" t="e">
        <f>IFERROR(INDEX(Dataset!R:R,MATCH(_xlfn.AGGREGATE(14,6,Dataset!I:I/(Dataset!F:F=$D$11),K34),Dataset!I:I,0),1),"-")/100</f>
        <v>#VALUE!</v>
      </c>
      <c r="Q34" s="58" t="str">
        <f>IFERROR(INDEX(Dataset!AA:AA,MATCH(_xlfn.AGGREGATE(14,6,Dataset!I:I/(Dataset!F:F=$D$11),K34),Dataset!I:I,0),1),"-")</f>
        <v>-</v>
      </c>
      <c r="R34" s="60" t="str">
        <f>IFERROR(INDEX(Dataset!J:J,MATCH(_xlfn.AGGREGATE(14,6,Dataset!I:I/(Dataset!F:F=$D$11),K34),Dataset!I:I,0),1),"-")</f>
        <v>-</v>
      </c>
    </row>
    <row r="35" spans="3:34" ht="33" customHeight="1" x14ac:dyDescent="0.5">
      <c r="C35" s="57" t="s">
        <v>49</v>
      </c>
      <c r="D35" s="58">
        <f>SUMIFS(Dataset!AK:AK,Dataset!F:F,'credito latam'!$D$11,Dataset!T:T,$C35)</f>
        <v>0</v>
      </c>
      <c r="E35" s="58">
        <f>SUMIFS(Dataset!AJ:AJ,Dataset!F:F,'credito latam'!$D$11,Dataset!T:T,$C35)</f>
        <v>0</v>
      </c>
      <c r="F35" s="59">
        <f>SUMIFS(Dataset!V:V,Dataset!F:F,'credito latam'!$D$11,Dataset!T:T,$C35)/1000000</f>
        <v>0</v>
      </c>
      <c r="G35" s="58">
        <f>SUMIFS(Dataset!I:I,Dataset!F:F,'credito latam'!$D$11,Dataset!T:T,$C35)</f>
        <v>0</v>
      </c>
      <c r="H35" s="58">
        <f>SUMIFS(Dataset!AA:AA,Dataset!F:F,'credito latam'!$D$11,Dataset!T:T,$C35)</f>
        <v>0</v>
      </c>
      <c r="K35" s="61">
        <v>4</v>
      </c>
      <c r="L35" s="58" t="str">
        <f>IFERROR(INDEX(Dataset!W:W,MATCH(_xlfn.AGGREGATE(14,6,Dataset!I:I/(Dataset!F:F=$D$11),K35),Dataset!I:I,0),1),"-")</f>
        <v>-</v>
      </c>
      <c r="M35" s="58" t="str">
        <f>IFERROR(INDEX(Dataset!AK:AK,MATCH(_xlfn.AGGREGATE(14,6,Dataset!I:I/(Dataset!F:F=$D$11),K35),Dataset!I:I,0),1),"-")</f>
        <v>-</v>
      </c>
      <c r="N35" s="58" t="str">
        <f>IFERROR(INDEX(Dataset!AJ:AJ,MATCH(_xlfn.AGGREGATE(14,6,Dataset!I:I/(Dataset!F:F=$D$11),K35),Dataset!I:I,0),1),"-")</f>
        <v>-</v>
      </c>
      <c r="O35" s="58" t="str">
        <f>IFERROR(INDEX(Dataset!I:I,MATCH(_xlfn.AGGREGATE(14,6,Dataset!I:I/(Dataset!F:F=$D$11),K35),Dataset!I:I,0),1),"-")</f>
        <v>-</v>
      </c>
      <c r="P35" s="58" t="e">
        <f>IFERROR(INDEX(Dataset!R:R,MATCH(_xlfn.AGGREGATE(14,6,Dataset!I:I/(Dataset!F:F=$D$11),K35),Dataset!I:I,0),1),"-")/100</f>
        <v>#VALUE!</v>
      </c>
      <c r="Q35" s="58" t="str">
        <f>IFERROR(INDEX(Dataset!AA:AA,MATCH(_xlfn.AGGREGATE(14,6,Dataset!I:I/(Dataset!F:F=$D$11),K35),Dataset!I:I,0),1),"-")</f>
        <v>-</v>
      </c>
      <c r="R35" s="60" t="str">
        <f>IFERROR(INDEX(Dataset!J:J,MATCH(_xlfn.AGGREGATE(14,6,Dataset!I:I/(Dataset!F:F=$D$11),K35),Dataset!I:I,0),1),"-")</f>
        <v>-</v>
      </c>
    </row>
    <row r="36" spans="3:34" ht="33" customHeight="1" x14ac:dyDescent="0.5">
      <c r="C36" s="65" t="s">
        <v>66</v>
      </c>
      <c r="D36" s="66">
        <f>SUM(D32:D35)</f>
        <v>0</v>
      </c>
      <c r="E36" s="66">
        <f>SUM(E32:E35)</f>
        <v>0</v>
      </c>
      <c r="F36" s="67">
        <f>SUM(F32:F35)</f>
        <v>0</v>
      </c>
      <c r="G36" s="66">
        <f>SUM(G32:G35)</f>
        <v>0</v>
      </c>
      <c r="H36" s="66">
        <f>SUM(H32:H35)</f>
        <v>0</v>
      </c>
      <c r="K36" s="61">
        <v>5</v>
      </c>
      <c r="L36" s="58" t="str">
        <f>IFERROR(INDEX(Dataset!W:W,MATCH(_xlfn.AGGREGATE(14,6,Dataset!I:I/(Dataset!F:F=$D$11),K36),Dataset!I:I,0),1),"-")</f>
        <v>-</v>
      </c>
      <c r="M36" s="58" t="str">
        <f>IFERROR(INDEX(Dataset!AK:AK,MATCH(_xlfn.AGGREGATE(14,6,Dataset!I:I/(Dataset!F:F=$D$11),K36),Dataset!I:I,0),1),"-")</f>
        <v>-</v>
      </c>
      <c r="N36" s="58" t="str">
        <f>IFERROR(INDEX(Dataset!AJ:AJ,MATCH(_xlfn.AGGREGATE(14,6,Dataset!I:I/(Dataset!F:F=$D$11),K36),Dataset!I:I,0),1),"-")</f>
        <v>-</v>
      </c>
      <c r="O36" s="58" t="str">
        <f>IFERROR(INDEX(Dataset!I:I,MATCH(_xlfn.AGGREGATE(14,6,Dataset!I:I/(Dataset!F:F=$D$11),K36),Dataset!I:I,0),1),"-")</f>
        <v>-</v>
      </c>
      <c r="P36" s="58" t="e">
        <f>IFERROR(INDEX(Dataset!R:R,MATCH(_xlfn.AGGREGATE(14,6,Dataset!I:I/(Dataset!F:F=$D$11),K36),Dataset!I:I,0),1),"-")/100</f>
        <v>#VALUE!</v>
      </c>
      <c r="Q36" s="58" t="str">
        <f>IFERROR(INDEX(Dataset!AA:AA,MATCH(_xlfn.AGGREGATE(14,6,Dataset!I:I/(Dataset!F:F=$D$11),K36),Dataset!I:I,0),1),"-")</f>
        <v>-</v>
      </c>
      <c r="R36" s="60" t="str">
        <f>IFERROR(INDEX(Dataset!J:J,MATCH(_xlfn.AGGREGATE(14,6,Dataset!I:I/(Dataset!F:F=$D$11),K36),Dataset!I:I,0),1),"-")</f>
        <v>-</v>
      </c>
    </row>
    <row r="37" spans="3:34" ht="33" customHeight="1" x14ac:dyDescent="0.5">
      <c r="J37" s="22" t="s">
        <v>137</v>
      </c>
      <c r="K37" s="61">
        <v>6</v>
      </c>
      <c r="L37" s="58" t="str">
        <f>IFERROR(INDEX(Dataset!W:W,MATCH(_xlfn.AGGREGATE(14,6,Dataset!I:I/(Dataset!F:F=$D$11),K37),Dataset!I:I,0),1),"-")</f>
        <v>-</v>
      </c>
      <c r="M37" s="58" t="str">
        <f>IFERROR(INDEX(Dataset!AK:AK,MATCH(_xlfn.AGGREGATE(14,6,Dataset!I:I/(Dataset!F:F=$D$11),K37),Dataset!I:I,0),1),"-")</f>
        <v>-</v>
      </c>
      <c r="N37" s="58" t="str">
        <f>IFERROR(INDEX(Dataset!AJ:AJ,MATCH(_xlfn.AGGREGATE(14,6,Dataset!I:I/(Dataset!F:F=$D$11),K37),Dataset!I:I,0),1),"-")</f>
        <v>-</v>
      </c>
      <c r="O37" s="58" t="str">
        <f>IFERROR(INDEX(Dataset!I:I,MATCH(_xlfn.AGGREGATE(14,6,Dataset!I:I/(Dataset!F:F=$D$11),K37),Dataset!I:I,0),1),"-")</f>
        <v>-</v>
      </c>
      <c r="P37" s="58" t="e">
        <f>IFERROR(INDEX(Dataset!R:R,MATCH(_xlfn.AGGREGATE(14,6,Dataset!I:I/(Dataset!F:F=$D$11),K37),Dataset!I:I,0),1),"-")/100</f>
        <v>#VALUE!</v>
      </c>
      <c r="Q37" s="58" t="str">
        <f>IFERROR(INDEX(Dataset!AA:AA,MATCH(_xlfn.AGGREGATE(14,6,Dataset!I:I/(Dataset!F:F=$D$11),K37),Dataset!I:I,0),1),"-")</f>
        <v>-</v>
      </c>
      <c r="R37" s="60" t="str">
        <f>IFERROR(INDEX(Dataset!J:J,MATCH(_xlfn.AGGREGATE(14,6,Dataset!I:I/(Dataset!F:F=$D$11),K37),Dataset!I:I,0),1),"-")</f>
        <v>-</v>
      </c>
    </row>
    <row r="38" spans="3:34" ht="33" customHeight="1" x14ac:dyDescent="0.5">
      <c r="K38" s="61">
        <v>7</v>
      </c>
      <c r="L38" s="58" t="str">
        <f>IFERROR(INDEX(Dataset!W:W,MATCH(_xlfn.AGGREGATE(14,6,Dataset!I:I/(Dataset!F:F=$D$11),K38),Dataset!I:I,0),1),"-")</f>
        <v>-</v>
      </c>
      <c r="M38" s="58" t="str">
        <f>IFERROR(INDEX(Dataset!AK:AK,MATCH(_xlfn.AGGREGATE(14,6,Dataset!I:I/(Dataset!F:F=$D$11),K38),Dataset!I:I,0),1),"-")</f>
        <v>-</v>
      </c>
      <c r="N38" s="58" t="str">
        <f>IFERROR(INDEX(Dataset!AJ:AJ,MATCH(_xlfn.AGGREGATE(14,6,Dataset!I:I/(Dataset!F:F=$D$11),K38),Dataset!I:I,0),1),"-")</f>
        <v>-</v>
      </c>
      <c r="O38" s="58" t="str">
        <f>IFERROR(INDEX(Dataset!I:I,MATCH(_xlfn.AGGREGATE(14,6,Dataset!I:I/(Dataset!F:F=$D$11),K38),Dataset!I:I,0),1),"-")</f>
        <v>-</v>
      </c>
      <c r="P38" s="58" t="e">
        <f>IFERROR(INDEX(Dataset!R:R,MATCH(_xlfn.AGGREGATE(14,6,Dataset!I:I/(Dataset!F:F=$D$11),K38),Dataset!I:I,0),1),"-")/100</f>
        <v>#VALUE!</v>
      </c>
      <c r="Q38" s="58" t="str">
        <f>IFERROR(INDEX(Dataset!AA:AA,MATCH(_xlfn.AGGREGATE(14,6,Dataset!I:I/(Dataset!F:F=$D$11),K38),Dataset!I:I,0),1),"-")</f>
        <v>-</v>
      </c>
      <c r="R38" s="60" t="str">
        <f>IFERROR(INDEX(Dataset!J:J,MATCH(_xlfn.AGGREGATE(14,6,Dataset!I:I/(Dataset!F:F=$D$11),K38),Dataset!I:I,0),1),"-")</f>
        <v>-</v>
      </c>
    </row>
    <row r="39" spans="3:34" ht="33" customHeight="1" x14ac:dyDescent="0.5">
      <c r="K39" s="61">
        <v>8</v>
      </c>
      <c r="L39" s="58" t="str">
        <f>IFERROR(INDEX(Dataset!W:W,MATCH(_xlfn.AGGREGATE(14,6,Dataset!I:I/(Dataset!F:F=$D$11),K39),Dataset!I:I,0),1),"-")</f>
        <v>-</v>
      </c>
      <c r="M39" s="58" t="str">
        <f>IFERROR(INDEX(Dataset!AK:AK,MATCH(_xlfn.AGGREGATE(14,6,Dataset!I:I/(Dataset!F:F=$D$11),K39),Dataset!I:I,0),1),"-")</f>
        <v>-</v>
      </c>
      <c r="N39" s="58" t="str">
        <f>IFERROR(INDEX(Dataset!AJ:AJ,MATCH(_xlfn.AGGREGATE(14,6,Dataset!I:I/(Dataset!F:F=$D$11),K39),Dataset!I:I,0),1),"-")</f>
        <v>-</v>
      </c>
      <c r="O39" s="58" t="str">
        <f>IFERROR(INDEX(Dataset!I:I,MATCH(_xlfn.AGGREGATE(14,6,Dataset!I:I/(Dataset!F:F=$D$11),K39),Dataset!I:I,0),1),"-")</f>
        <v>-</v>
      </c>
      <c r="P39" s="58" t="e">
        <f>IFERROR(INDEX(Dataset!R:R,MATCH(_xlfn.AGGREGATE(14,6,Dataset!I:I/(Dataset!F:F=$D$11),K39),Dataset!I:I,0),1),"-")/100</f>
        <v>#VALUE!</v>
      </c>
      <c r="Q39" s="58" t="str">
        <f>IFERROR(INDEX(Dataset!AA:AA,MATCH(_xlfn.AGGREGATE(14,6,Dataset!I:I/(Dataset!F:F=$D$11),K39),Dataset!I:I,0),1),"-")</f>
        <v>-</v>
      </c>
      <c r="R39" s="60" t="str">
        <f>IFERROR(INDEX(Dataset!J:J,MATCH(_xlfn.AGGREGATE(14,6,Dataset!I:I/(Dataset!F:F=$D$11),K39),Dataset!I:I,0),1),"-")</f>
        <v>-</v>
      </c>
    </row>
    <row r="40" spans="3:34" ht="33" customHeight="1" x14ac:dyDescent="0.5">
      <c r="K40" s="61">
        <v>9</v>
      </c>
      <c r="L40" s="58" t="str">
        <f>IFERROR(INDEX(Dataset!W:W,MATCH(_xlfn.AGGREGATE(14,6,Dataset!I:I/(Dataset!F:F=$D$11),K40),Dataset!I:I,0),1),"-")</f>
        <v>-</v>
      </c>
      <c r="M40" s="58" t="str">
        <f>IFERROR(INDEX(Dataset!AK:AK,MATCH(_xlfn.AGGREGATE(14,6,Dataset!I:I/(Dataset!F:F=$D$11),K40),Dataset!I:I,0),1),"-")</f>
        <v>-</v>
      </c>
      <c r="N40" s="58" t="str">
        <f>IFERROR(INDEX(Dataset!AJ:AJ,MATCH(_xlfn.AGGREGATE(14,6,Dataset!I:I/(Dataset!F:F=$D$11),K40),Dataset!I:I,0),1),"-")</f>
        <v>-</v>
      </c>
      <c r="O40" s="58" t="str">
        <f>IFERROR(INDEX(Dataset!I:I,MATCH(_xlfn.AGGREGATE(14,6,Dataset!I:I/(Dataset!F:F=$D$11),K40),Dataset!I:I,0),1),"-")</f>
        <v>-</v>
      </c>
      <c r="P40" s="58" t="e">
        <f>IFERROR(INDEX(Dataset!R:R,MATCH(_xlfn.AGGREGATE(14,6,Dataset!I:I/(Dataset!F:F=$D$11),K40),Dataset!I:I,0),1),"-")/100</f>
        <v>#VALUE!</v>
      </c>
      <c r="Q40" s="58" t="str">
        <f>IFERROR(INDEX(Dataset!AA:AA,MATCH(_xlfn.AGGREGATE(14,6,Dataset!I:I/(Dataset!F:F=$D$11),K40),Dataset!I:I,0),1),"-")</f>
        <v>-</v>
      </c>
      <c r="R40" s="60" t="str">
        <f>IFERROR(INDEX(Dataset!J:J,MATCH(_xlfn.AGGREGATE(14,6,Dataset!I:I/(Dataset!F:F=$D$11),K40),Dataset!I:I,0),1),"-")</f>
        <v>-</v>
      </c>
    </row>
    <row r="41" spans="3:34" ht="60" customHeight="1" x14ac:dyDescent="0.5">
      <c r="I41" s="52"/>
      <c r="J41" s="52"/>
      <c r="K41" s="61">
        <v>10</v>
      </c>
      <c r="L41" s="58" t="str">
        <f>IFERROR(INDEX(Dataset!W:W,MATCH(_xlfn.AGGREGATE(14,6,Dataset!I:I/(Dataset!F:F=$D$11),K41),Dataset!I:I,0),1),"-")</f>
        <v>-</v>
      </c>
      <c r="M41" s="58" t="str">
        <f>IFERROR(INDEX(Dataset!AK:AK,MATCH(_xlfn.AGGREGATE(14,6,Dataset!I:I/(Dataset!F:F=$D$11),K41),Dataset!I:I,0),1),"-")</f>
        <v>-</v>
      </c>
      <c r="N41" s="58" t="str">
        <f>IFERROR(INDEX(Dataset!AJ:AJ,MATCH(_xlfn.AGGREGATE(14,6,Dataset!I:I/(Dataset!F:F=$D$11),K41),Dataset!I:I,0),1),"-")</f>
        <v>-</v>
      </c>
      <c r="O41" s="58" t="str">
        <f>IFERROR(INDEX(Dataset!I:I,MATCH(_xlfn.AGGREGATE(14,6,Dataset!I:I/(Dataset!F:F=$D$11),K41),Dataset!I:I,0),1),"-")</f>
        <v>-</v>
      </c>
      <c r="P41" s="58" t="e">
        <f>IFERROR(INDEX(Dataset!R:R,MATCH(_xlfn.AGGREGATE(14,6,Dataset!I:I/(Dataset!F:F=$D$11),K41),Dataset!I:I,0),1),"-")/100</f>
        <v>#VALUE!</v>
      </c>
      <c r="Q41" s="58" t="str">
        <f>IFERROR(INDEX(Dataset!AA:AA,MATCH(_xlfn.AGGREGATE(14,6,Dataset!I:I/(Dataset!F:F=$D$11),K41),Dataset!I:I,0),1),"-")</f>
        <v>-</v>
      </c>
      <c r="R41" s="60" t="str">
        <f>IFERROR(INDEX(Dataset!J:J,MATCH(_xlfn.AGGREGATE(14,6,Dataset!I:I/(Dataset!F:F=$D$11),K41),Dataset!I:I,0),1),"-")</f>
        <v>-</v>
      </c>
      <c r="S41" s="52"/>
      <c r="T41" s="52"/>
      <c r="U41" s="52"/>
      <c r="V41" s="52"/>
      <c r="W41" s="52"/>
      <c r="X41" s="52"/>
      <c r="Y41" s="52"/>
    </row>
    <row r="42" spans="3:34" ht="60" customHeight="1" x14ac:dyDescent="0.3">
      <c r="E42" s="174" t="s">
        <v>277</v>
      </c>
      <c r="F42" s="174"/>
      <c r="G42" s="174"/>
      <c r="H42" s="174"/>
      <c r="I42" s="174"/>
      <c r="J42" s="174"/>
      <c r="K42" s="174"/>
      <c r="L42" s="50"/>
      <c r="M42" s="174" t="s">
        <v>269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50"/>
      <c r="AA42" s="174" t="s">
        <v>278</v>
      </c>
      <c r="AB42" s="174"/>
      <c r="AC42" s="174"/>
      <c r="AD42" s="174"/>
      <c r="AE42" s="174"/>
      <c r="AF42" s="174"/>
      <c r="AG42" s="174"/>
    </row>
    <row r="43" spans="3:34" ht="15" customHeight="1" x14ac:dyDescent="0.3"/>
    <row r="44" spans="3:34" ht="27" customHeight="1" x14ac:dyDescent="0.3">
      <c r="C44" s="180" t="s">
        <v>72</v>
      </c>
      <c r="D44" s="180"/>
      <c r="E44" s="94" t="s">
        <v>31</v>
      </c>
      <c r="F44" s="94" t="s">
        <v>145</v>
      </c>
      <c r="G44" s="94" t="s">
        <v>143</v>
      </c>
      <c r="H44" s="94" t="s">
        <v>147</v>
      </c>
      <c r="I44" s="94" t="s">
        <v>157</v>
      </c>
      <c r="J44" s="94" t="s">
        <v>158</v>
      </c>
      <c r="K44" s="94" t="s">
        <v>83</v>
      </c>
      <c r="L44" s="94"/>
      <c r="M44" s="94" t="s">
        <v>42</v>
      </c>
      <c r="N44" s="94" t="s">
        <v>33</v>
      </c>
      <c r="O44" s="94" t="s">
        <v>142</v>
      </c>
      <c r="P44" s="94" t="s">
        <v>55</v>
      </c>
      <c r="Q44" s="94" t="s">
        <v>150</v>
      </c>
      <c r="R44" s="94" t="s">
        <v>148</v>
      </c>
      <c r="S44" s="94" t="s">
        <v>54</v>
      </c>
      <c r="T44" s="94" t="s">
        <v>146</v>
      </c>
      <c r="U44" s="94" t="s">
        <v>149</v>
      </c>
      <c r="V44" s="94" t="s">
        <v>144</v>
      </c>
      <c r="W44" s="94" t="s">
        <v>154</v>
      </c>
      <c r="X44" s="94" t="s">
        <v>163</v>
      </c>
      <c r="Y44" s="94" t="s">
        <v>47</v>
      </c>
      <c r="Z44" s="94"/>
      <c r="AA44" s="94" t="s">
        <v>31</v>
      </c>
      <c r="AB44" s="94" t="s">
        <v>145</v>
      </c>
      <c r="AC44" s="94" t="s">
        <v>143</v>
      </c>
      <c r="AD44" s="94" t="s">
        <v>147</v>
      </c>
      <c r="AE44" s="94" t="s">
        <v>157</v>
      </c>
      <c r="AF44" s="94" t="s">
        <v>158</v>
      </c>
      <c r="AG44" s="94" t="s">
        <v>83</v>
      </c>
      <c r="AH44" s="94"/>
    </row>
    <row r="45" spans="3:34" ht="38.25" customHeight="1" x14ac:dyDescent="0.3">
      <c r="C45" s="72">
        <v>0</v>
      </c>
      <c r="D45" s="73">
        <v>0.5</v>
      </c>
      <c r="E45" s="109">
        <f>SUMIFS(Dataset!$AK:$AK,Dataset!$F:$F,'credito latam'!$D$11,Dataset!$Z:$Z,E$44,Dataset!$J:$J,"&lt;"&amp;$D45,Dataset!$J:$J,"&gt;="&amp;$C45)</f>
        <v>0</v>
      </c>
      <c r="F45" s="98">
        <f>SUMIFS(Dataset!$AK:$AK,Dataset!$F:$F,'credito latam'!$D$11,Dataset!$Z:$Z,F$44,Dataset!$J:$J,"&lt;"&amp;$D45,Dataset!$J:$J,"&gt;="&amp;$C45)</f>
        <v>0</v>
      </c>
      <c r="G45" s="98">
        <f>SUMIFS(Dataset!$AK:$AK,Dataset!$F:$F,'credito latam'!$D$11,Dataset!$Z:$Z,G$44,Dataset!$J:$J,"&lt;"&amp;$D45,Dataset!$J:$J,"&gt;="&amp;$C45)</f>
        <v>0</v>
      </c>
      <c r="H45" s="98">
        <f>SUMIFS(Dataset!$AK:$AK,Dataset!$F:$F,'credito latam'!$D$11,Dataset!$Z:$Z,H$44,Dataset!$J:$J,"&lt;"&amp;$D45,Dataset!$J:$J,"&gt;="&amp;$C45)</f>
        <v>0</v>
      </c>
      <c r="I45" s="98">
        <f>SUMIFS(Dataset!$AK:$AK,Dataset!$F:$F,'credito latam'!$D$11,Dataset!$Z:$Z,I$44,Dataset!$J:$J,"&lt;"&amp;$D45,Dataset!$J:$J,"&gt;="&amp;$C45)</f>
        <v>0</v>
      </c>
      <c r="J45" s="98">
        <f>SUMIFS(Dataset!$AK:$AK,Dataset!$F:$F,'credito latam'!$D$11,Dataset!$Z:$Z,J$44,Dataset!$J:$J,"&lt;"&amp;$D45,Dataset!$J:$J,"&gt;="&amp;$C45)</f>
        <v>0</v>
      </c>
      <c r="K45" s="99">
        <f>SUMIFS(Dataset!$AK:$AK,Dataset!$F:$F,'credito latam'!$D$11,Dataset!$J:$J,"&lt;"&amp;$D45,Dataset!J:J,"&gt;="&amp;$C45,Dataset!$Z:$Z,"&lt;&gt;CL",Dataset!$Z:$Z,"&lt;&gt;MX",Dataset!$Z:$Z,"&lt;&gt;CO",Dataset!$Z:$Z,"&lt;&gt;PE",Dataset!$Z:$Z,"&lt;&gt;BR",Dataset!$Z:$Z,"&lt;&gt;PA")</f>
        <v>0</v>
      </c>
      <c r="L45" s="84">
        <f t="shared" ref="L45:L61" si="1">SUM(E45:K45)</f>
        <v>0</v>
      </c>
      <c r="M45" s="109">
        <f>SUMIFS(Dataset!$AK:$AK,Dataset!$F:$F,'credito latam'!$D$11,Dataset!$AN:$AN,"*AAA*",Dataset!$J:$J,"&lt;"&amp;$D45,Dataset!$J:$J,"&gt;="&amp;$C45)</f>
        <v>0</v>
      </c>
      <c r="N45" s="98">
        <f>SUMIFS(Dataset!$AK:$AK,Dataset!$F:$F,'credito latam'!$D$11,Dataset!$AN:$AN,"AA+",Dataset!$J:$J,"&lt;"&amp;$D45,Dataset!$J:$J,"&gt;="&amp;$C45)+SUMIFS(Dataset!$AK:$AK,Dataset!$F:$F,'credito latam'!$D$11,Dataset!$AN:$AN,"AA",Dataset!$J:$J,"&lt;"&amp;$D45,Dataset!$J:$J,"&gt;="&amp;$C45)+SUMIFS(Dataset!$AK:$AK,Dataset!$F:$F,'credito latam'!$D$11,Dataset!$AN:$AN,"AA-",Dataset!$J:$J,"&lt;"&amp;$D45,Dataset!$J:$J,"&gt;="&amp;$C45)</f>
        <v>0</v>
      </c>
      <c r="O45" s="98">
        <f>SUMIFS(Dataset!$AK:$AK,Dataset!$F:$F,'credito latam'!$D$11,Dataset!$AN:$AN,O$44,Dataset!$J:$J,"&lt;"&amp;$D45,Dataset!$J:$J,"&gt;="&amp;$C45)</f>
        <v>0</v>
      </c>
      <c r="P45" s="98">
        <f>SUMIFS(Dataset!$AK:$AK,Dataset!$F:$F,'credito latam'!$D$11,Dataset!$AN:$AN,P$44,Dataset!$J:$J,"&lt;"&amp;$D45,Dataset!$J:$J,"&gt;="&amp;$C45)</f>
        <v>0</v>
      </c>
      <c r="Q45" s="98">
        <f>SUMIFS(Dataset!$AK:$AK,Dataset!$F:$F,'credito latam'!$D$11,Dataset!$AN:$AN,Q$44,Dataset!$J:$J,"&lt;"&amp;$D45,Dataset!$J:$J,"&gt;="&amp;$C45)</f>
        <v>0</v>
      </c>
      <c r="R45" s="98">
        <f>SUMIFS(Dataset!$AK:$AK,Dataset!$F:$F,'credito latam'!$D$11,Dataset!$AN:$AN,R$44,Dataset!$J:$J,"&lt;"&amp;$D45,Dataset!$J:$J,"&gt;="&amp;$C45)</f>
        <v>0</v>
      </c>
      <c r="S45" s="98">
        <f>SUMIFS(Dataset!$AK:$AK,Dataset!$F:$F,'credito latam'!$D$11,Dataset!$AN:$AN,S$44,Dataset!$J:$J,"&lt;"&amp;$D45,Dataset!$J:$J,"&gt;="&amp;$C45)</f>
        <v>0</v>
      </c>
      <c r="T45" s="98">
        <f>SUMIFS(Dataset!$AK:$AK,Dataset!$F:$F,'credito latam'!$D$11,Dataset!$AN:$AN,T$44,Dataset!$J:$J,"&lt;"&amp;$D45,Dataset!$J:$J,"&gt;="&amp;$C45)</f>
        <v>0</v>
      </c>
      <c r="U45" s="98">
        <f>SUMIFS(Dataset!$AK:$AK,Dataset!$F:$F,'credito latam'!$D$11,Dataset!$AN:$AN,U$44,Dataset!$J:$J,"&lt;"&amp;$D45,Dataset!$J:$J,"&gt;="&amp;$C45)</f>
        <v>0</v>
      </c>
      <c r="V45" s="98">
        <f>SUMIFS(Dataset!$AK:$AK,Dataset!$F:$F,'credito latam'!$D$11,Dataset!$AN:$AN,V$44,Dataset!$J:$J,"&lt;"&amp;$D45,Dataset!$J:$J,"&gt;="&amp;$C45)</f>
        <v>0</v>
      </c>
      <c r="W45" s="98">
        <f>SUMIFS(Dataset!$AK:$AK,Dataset!$F:$F,'credito latam'!$D$11,Dataset!$AN:$AN,W$44,Dataset!$J:$J,"&lt;"&amp;$D45,Dataset!$J:$J,"&gt;="&amp;$C45)</f>
        <v>0</v>
      </c>
      <c r="X45" s="98">
        <f>SUMIFS(Dataset!$AK:$AK,Dataset!$F:$F,'credito latam'!$D$11,Dataset!$AN:$AN,"B-",Dataset!$J:$J,"&lt;"&amp;$D45,Dataset!$J:$J,"&gt;="&amp;$C45)+SUMIFS(Dataset!$AK:$AK,Dataset!$F:$F,'credito latam'!$D$11,Dataset!$AN:$AN,"B",Dataset!$J:$J,"&lt;"&amp;$D45,Dataset!$J:$J,"&gt;="&amp;$C45)+SUMIFS(Dataset!$AK:$AK,Dataset!$F:$F,'credito latam'!$D$11,Dataset!$AN:$AN,"B+",Dataset!$J:$J,"&lt;"&amp;$D45,Dataset!$J:$J,"&gt;="&amp;$C45)</f>
        <v>0</v>
      </c>
      <c r="Y45" s="99">
        <f>SUMIFS(Dataset!$AK:$AK,Dataset!$F:$F,'credito latam'!$D$11,Dataset!$AN:$AN,Y$44,Dataset!$J:$J,"&lt;"&amp;$D45,Dataset!$J:$J,"&gt;="&amp;$C45)</f>
        <v>0</v>
      </c>
      <c r="Z45" s="84">
        <f t="shared" ref="Z45:Z61" si="2">SUM(M45:Y45)</f>
        <v>0</v>
      </c>
      <c r="AA45" s="110">
        <f>(SUMIFS(Dataset!$H:$H,Dataset!$F:$F,'credito latam'!$D$11,Dataset!$Z:$Z,AA$44,Dataset!$J:$J,"&lt;"&amp;$D45,Dataset!$J:$J,"&gt;="&amp;$C45))*10</f>
        <v>0</v>
      </c>
      <c r="AB45" s="111">
        <f>(SUMIFS(Dataset!$H:$H,Dataset!$F:$F,'credito latam'!$D$11,Dataset!$Z:$Z,AB$44,Dataset!$J:$J,"&lt;"&amp;$D45,Dataset!$J:$J,"&gt;="&amp;$C45))*10</f>
        <v>0</v>
      </c>
      <c r="AC45" s="111">
        <f>(SUMIFS(Dataset!$H:$H,Dataset!$F:$F,'credito latam'!$D$11,Dataset!$Z:$Z,AC$44,Dataset!$J:$J,"&lt;"&amp;$D45,Dataset!$J:$J,"&gt;="&amp;$C45))*10</f>
        <v>0</v>
      </c>
      <c r="AD45" s="111">
        <f>(SUMIFS(Dataset!$H:$H,Dataset!$F:$F,'credito latam'!$D$11,Dataset!$Z:$Z,AD$44,Dataset!$J:$J,"&lt;"&amp;$D45,Dataset!$J:$J,"&gt;="&amp;$C45))*10</f>
        <v>0</v>
      </c>
      <c r="AE45" s="111">
        <f>(SUMIFS(Dataset!$H:$H,Dataset!$F:$F,'credito latam'!$D$11,Dataset!$Z:$Z,AE$44,Dataset!$J:$J,"&lt;"&amp;$D45,Dataset!$J:$J,"&gt;="&amp;$C45))*10</f>
        <v>0</v>
      </c>
      <c r="AF45" s="111">
        <f>(SUMIFS(Dataset!$H:$H,Dataset!$F:$F,'credito latam'!$D$11,Dataset!$Z:$Z,AF$44,Dataset!$J:$J,"&lt;"&amp;$D45,Dataset!$J:$J,"&gt;="&amp;$C45))*10</f>
        <v>0</v>
      </c>
      <c r="AG45" s="112">
        <f>SUMIFS(Dataset!$H:$H,Dataset!$F:$F,'credito latam'!$D$11,Dataset!$J:$J,"&lt;"&amp;$D45,Dataset!J:J,"&gt;="&amp;$C45,Dataset!$Z:$Z,"&lt;&gt;CL",Dataset!$Z:$Z,"&lt;&gt;MX",Dataset!$Z:$Z,"&lt;&gt;CO",Dataset!$Z:$Z,"&lt;&gt;PE",Dataset!$Z:$Z,"&lt;&gt;BR",Dataset!$Z:$Z,"&lt;&gt;CI",Dataset!$Z:$Z,"&lt;&gt;PA")*10</f>
        <v>0</v>
      </c>
      <c r="AH45" s="87">
        <f t="shared" ref="AH45:AH61" si="3">SUM(AA45:AG45)</f>
        <v>0</v>
      </c>
    </row>
    <row r="46" spans="3:34" ht="27" customHeight="1" x14ac:dyDescent="0.3">
      <c r="C46" s="61">
        <v>0.5</v>
      </c>
      <c r="D46" s="81">
        <v>1.5</v>
      </c>
      <c r="E46" s="113">
        <f>SUMIFS(Dataset!$AK:$AK,Dataset!$F:$F,'credito latam'!$D$11,Dataset!$Z:$Z,E$44,Dataset!$J:$J,"&lt;"&amp;$D46,Dataset!$J:$J,"&gt;="&amp;$C46)</f>
        <v>0</v>
      </c>
      <c r="F46" s="83">
        <f>SUMIFS(Dataset!$AK:$AK,Dataset!$F:$F,'credito latam'!$D$11,Dataset!$Z:$Z,F$44,Dataset!$J:$J,"&lt;"&amp;$D46,Dataset!$J:$J,"&gt;="&amp;$C46)</f>
        <v>0</v>
      </c>
      <c r="G46" s="83">
        <f>SUMIFS(Dataset!$AK:$AK,Dataset!$F:$F,'credito latam'!$D$11,Dataset!$Z:$Z,G$44,Dataset!$J:$J,"&lt;"&amp;$D46,Dataset!$J:$J,"&gt;="&amp;$C46)</f>
        <v>0</v>
      </c>
      <c r="H46" s="83">
        <f>SUMIFS(Dataset!$AK:$AK,Dataset!$F:$F,'credito latam'!$D$11,Dataset!$Z:$Z,H$44,Dataset!$J:$J,"&lt;"&amp;$D46,Dataset!$J:$J,"&gt;="&amp;$C46)</f>
        <v>0</v>
      </c>
      <c r="I46" s="83">
        <f>SUMIFS(Dataset!$AK:$AK,Dataset!$F:$F,'credito latam'!$D$11,Dataset!$Z:$Z,I$44,Dataset!$J:$J,"&lt;"&amp;$D46,Dataset!$J:$J,"&gt;="&amp;$C46)</f>
        <v>0</v>
      </c>
      <c r="J46" s="83">
        <f>SUMIFS(Dataset!$AK:$AK,Dataset!$F:$F,'credito latam'!$D$11,Dataset!$Z:$Z,J$44,Dataset!$J:$J,"&lt;"&amp;$D46,Dataset!$J:$J,"&gt;="&amp;$C46)</f>
        <v>0</v>
      </c>
      <c r="K46" s="114">
        <f>SUMIFS(Dataset!$AK:$AK,Dataset!$F:$F,'credito latam'!$D$11,Dataset!$J:$J,"&lt;"&amp;$D46,Dataset!J:J,"&gt;="&amp;$C46,Dataset!$Z:$Z,"&lt;&gt;CL",Dataset!$Z:$Z,"&lt;&gt;MX",Dataset!$Z:$Z,"&lt;&gt;CO",Dataset!$Z:$Z,"&lt;&gt;PE",Dataset!$Z:$Z,"&lt;&gt;BR",Dataset!$Z:$Z,"&lt;&gt;PA")</f>
        <v>0</v>
      </c>
      <c r="L46" s="84">
        <f t="shared" si="1"/>
        <v>0</v>
      </c>
      <c r="M46" s="113">
        <f>SUMIFS(Dataset!$AK:$AK,Dataset!$F:$F,'credito latam'!$D$11,Dataset!$AN:$AN,"*AAA*",Dataset!$J:$J,"&lt;"&amp;$D46,Dataset!$J:$J,"&gt;="&amp;$C46)</f>
        <v>0</v>
      </c>
      <c r="N46" s="83">
        <f>SUMIFS(Dataset!$AK:$AK,Dataset!$F:$F,'credito latam'!$D$11,Dataset!$AN:$AN,"AA+",Dataset!$J:$J,"&lt;"&amp;$D46,Dataset!$J:$J,"&gt;="&amp;$C46)+SUMIFS(Dataset!$AK:$AK,Dataset!$F:$F,'credito latam'!$D$11,Dataset!$AN:$AN,"AA",Dataset!$J:$J,"&lt;"&amp;$D46,Dataset!$J:$J,"&gt;="&amp;$C46)+SUMIFS(Dataset!$AK:$AK,Dataset!$F:$F,'credito latam'!$D$11,Dataset!$AN:$AN,"AA-",Dataset!$J:$J,"&lt;"&amp;$D46,Dataset!$J:$J,"&gt;="&amp;$C46)</f>
        <v>0</v>
      </c>
      <c r="O46" s="83">
        <f>SUMIFS(Dataset!$AK:$AK,Dataset!$F:$F,'credito latam'!$D$11,Dataset!$AN:$AN,O$44,Dataset!$J:$J,"&lt;"&amp;$D46,Dataset!$J:$J,"&gt;="&amp;$C46)</f>
        <v>0</v>
      </c>
      <c r="P46" s="83">
        <f>SUMIFS(Dataset!$AK:$AK,Dataset!$F:$F,'credito latam'!$D$11,Dataset!$AN:$AN,P$44,Dataset!$J:$J,"&lt;"&amp;$D46,Dataset!$J:$J,"&gt;="&amp;$C46)</f>
        <v>0</v>
      </c>
      <c r="Q46" s="83">
        <f>SUMIFS(Dataset!$AK:$AK,Dataset!$F:$F,'credito latam'!$D$11,Dataset!$AN:$AN,Q$44,Dataset!$J:$J,"&lt;"&amp;$D46,Dataset!$J:$J,"&gt;="&amp;$C46)</f>
        <v>0</v>
      </c>
      <c r="R46" s="83">
        <f>SUMIFS(Dataset!$AK:$AK,Dataset!$F:$F,'credito latam'!$D$11,Dataset!$AN:$AN,R$44,Dataset!$J:$J,"&lt;"&amp;$D46,Dataset!$J:$J,"&gt;="&amp;$C46)</f>
        <v>0</v>
      </c>
      <c r="S46" s="83">
        <f>SUMIFS(Dataset!$AK:$AK,Dataset!$F:$F,'credito latam'!$D$11,Dataset!$AN:$AN,S$44,Dataset!$J:$J,"&lt;"&amp;$D46,Dataset!$J:$J,"&gt;="&amp;$C46)</f>
        <v>0</v>
      </c>
      <c r="T46" s="83">
        <f>SUMIFS(Dataset!$AK:$AK,Dataset!$F:$F,'credito latam'!$D$11,Dataset!$AN:$AN,T$44,Dataset!$J:$J,"&lt;"&amp;$D46,Dataset!$J:$J,"&gt;="&amp;$C46)</f>
        <v>0</v>
      </c>
      <c r="U46" s="83">
        <f>SUMIFS(Dataset!$AK:$AK,Dataset!$F:$F,'credito latam'!$D$11,Dataset!$AN:$AN,U$44,Dataset!$J:$J,"&lt;"&amp;$D46,Dataset!$J:$J,"&gt;="&amp;$C46)</f>
        <v>0</v>
      </c>
      <c r="V46" s="83">
        <f>SUMIFS(Dataset!$AK:$AK,Dataset!$F:$F,'credito latam'!$D$11,Dataset!$AN:$AN,V$44,Dataset!$J:$J,"&lt;"&amp;$D46,Dataset!$J:$J,"&gt;="&amp;$C46)</f>
        <v>0</v>
      </c>
      <c r="W46" s="83">
        <f>SUMIFS(Dataset!$AK:$AK,Dataset!$F:$F,'credito latam'!$D$11,Dataset!$AN:$AN,W$44,Dataset!$J:$J,"&lt;"&amp;$D46,Dataset!$J:$J,"&gt;="&amp;$C46)</f>
        <v>0</v>
      </c>
      <c r="X46" s="83">
        <f>SUMIFS(Dataset!$AK:$AK,Dataset!$F:$F,'credito latam'!$D$11,Dataset!$AN:$AN,"B-",Dataset!$J:$J,"&lt;"&amp;$D46,Dataset!$J:$J,"&gt;="&amp;$C46)+SUMIFS(Dataset!$AK:$AK,Dataset!$F:$F,'credito latam'!$D$11,Dataset!$AN:$AN,"B",Dataset!$J:$J,"&lt;"&amp;$D46,Dataset!$J:$J,"&gt;="&amp;$C46)+SUMIFS(Dataset!$AK:$AK,Dataset!$F:$F,'credito latam'!$D$11,Dataset!$AN:$AN,"B+",Dataset!$J:$J,"&lt;"&amp;$D46,Dataset!$J:$J,"&gt;="&amp;$C46)</f>
        <v>0</v>
      </c>
      <c r="Y46" s="114">
        <f>SUMIFS(Dataset!$AK:$AK,Dataset!$F:$F,'credito latam'!$D$11,Dataset!$AN:$AN,Y$44,Dataset!$J:$J,"&lt;"&amp;$D46,Dataset!$J:$J,"&gt;="&amp;$C46)</f>
        <v>0</v>
      </c>
      <c r="Z46" s="84">
        <f t="shared" si="2"/>
        <v>0</v>
      </c>
      <c r="AA46" s="115">
        <f>(SUMIFS(Dataset!$H:$H,Dataset!$F:$F,'credito latam'!$D$11,Dataset!$Z:$Z,AA$44,Dataset!$J:$J,"&lt;"&amp;$D46,Dataset!$J:$J,"&gt;="&amp;$C46))*10</f>
        <v>0</v>
      </c>
      <c r="AB46" s="86">
        <f>(SUMIFS(Dataset!$H:$H,Dataset!$F:$F,'credito latam'!$D$11,Dataset!$Z:$Z,AB$44,Dataset!$J:$J,"&lt;"&amp;$D46,Dataset!$J:$J,"&gt;="&amp;$C46))*10</f>
        <v>0</v>
      </c>
      <c r="AC46" s="86">
        <f>(SUMIFS(Dataset!$H:$H,Dataset!$F:$F,'credito latam'!$D$11,Dataset!$Z:$Z,AC$44,Dataset!$J:$J,"&lt;"&amp;$D46,Dataset!$J:$J,"&gt;="&amp;$C46))*10</f>
        <v>0</v>
      </c>
      <c r="AD46" s="86">
        <f>(SUMIFS(Dataset!$H:$H,Dataset!$F:$F,'credito latam'!$D$11,Dataset!$Z:$Z,AD$44,Dataset!$J:$J,"&lt;"&amp;$D46,Dataset!$J:$J,"&gt;="&amp;$C46))*10</f>
        <v>0</v>
      </c>
      <c r="AE46" s="86">
        <f>(SUMIFS(Dataset!$H:$H,Dataset!$F:$F,'credito latam'!$D$11,Dataset!$Z:$Z,AE$44,Dataset!$J:$J,"&lt;"&amp;$D46,Dataset!$J:$J,"&gt;="&amp;$C46))*10</f>
        <v>0</v>
      </c>
      <c r="AF46" s="86">
        <f>(SUMIFS(Dataset!$H:$H,Dataset!$F:$F,'credito latam'!$D$11,Dataset!$Z:$Z,AF$44,Dataset!$J:$J,"&lt;"&amp;$D46,Dataset!$J:$J,"&gt;="&amp;$C46))*10</f>
        <v>0</v>
      </c>
      <c r="AG46" s="116">
        <f>SUMIFS(Dataset!$H:$H,Dataset!$F:$F,'credito latam'!$D$11,Dataset!$J:$J,"&lt;"&amp;$D46,Dataset!J:J,"&gt;="&amp;$C46,Dataset!$Z:$Z,"&lt;&gt;CL",Dataset!$Z:$Z,"&lt;&gt;MX",Dataset!$Z:$Z,"&lt;&gt;CO",Dataset!$Z:$Z,"&lt;&gt;PE",Dataset!$Z:$Z,"&lt;&gt;BR",Dataset!$Z:$Z,"&lt;&gt;CI",Dataset!$Z:$Z,"&lt;&gt;PA")*10</f>
        <v>0</v>
      </c>
      <c r="AH46" s="87">
        <f t="shared" si="3"/>
        <v>0</v>
      </c>
    </row>
    <row r="47" spans="3:34" ht="33" customHeight="1" x14ac:dyDescent="0.3">
      <c r="C47" s="61">
        <v>1.5</v>
      </c>
      <c r="D47" s="81">
        <v>2.5</v>
      </c>
      <c r="E47" s="113">
        <f>SUMIFS(Dataset!$AK:$AK,Dataset!$F:$F,'credito latam'!$D$11,Dataset!$Z:$Z,E$44,Dataset!$J:$J,"&lt;"&amp;$D47,Dataset!$J:$J,"&gt;="&amp;$C47)</f>
        <v>0</v>
      </c>
      <c r="F47" s="101">
        <f>SUMIFS(Dataset!$AK:$AK,Dataset!$F:$F,'credito latam'!$D$11,Dataset!$Z:$Z,F$44,Dataset!$J:$J,"&lt;"&amp;$D47,Dataset!$J:$J,"&gt;="&amp;$C47)</f>
        <v>0</v>
      </c>
      <c r="G47" s="101">
        <f>SUMIFS(Dataset!$AK:$AK,Dataset!$F:$F,'credito latam'!$D$11,Dataset!$Z:$Z,G$44,Dataset!$J:$J,"&lt;"&amp;$D47,Dataset!$J:$J,"&gt;="&amp;$C47)</f>
        <v>0</v>
      </c>
      <c r="H47" s="101">
        <f>SUMIFS(Dataset!$AK:$AK,Dataset!$F:$F,'credito latam'!$D$11,Dataset!$Z:$Z,H$44,Dataset!$J:$J,"&lt;"&amp;$D47,Dataset!$J:$J,"&gt;="&amp;$C47)</f>
        <v>0</v>
      </c>
      <c r="I47" s="101">
        <f>SUMIFS(Dataset!$AK:$AK,Dataset!$F:$F,'credito latam'!$D$11,Dataset!$Z:$Z,I$44,Dataset!$J:$J,"&lt;"&amp;$D47,Dataset!$J:$J,"&gt;="&amp;$C47)</f>
        <v>0</v>
      </c>
      <c r="J47" s="101">
        <f>SUMIFS(Dataset!$AK:$AK,Dataset!$F:$F,'credito latam'!$D$11,Dataset!$Z:$Z,J$44,Dataset!$J:$J,"&lt;"&amp;$D47,Dataset!$J:$J,"&gt;="&amp;$C47)</f>
        <v>0</v>
      </c>
      <c r="K47" s="102">
        <f>SUMIFS(Dataset!$AK:$AK,Dataset!$F:$F,'credito latam'!$D$11,Dataset!$J:$J,"&lt;"&amp;$D47,Dataset!J:J,"&gt;="&amp;$C47,Dataset!$Z:$Z,"&lt;&gt;CL",Dataset!$Z:$Z,"&lt;&gt;MX",Dataset!$Z:$Z,"&lt;&gt;CO",Dataset!$Z:$Z,"&lt;&gt;PE",Dataset!$Z:$Z,"&lt;&gt;BR",Dataset!$Z:$Z,"&lt;&gt;PA")</f>
        <v>0</v>
      </c>
      <c r="L47" s="84">
        <f t="shared" si="1"/>
        <v>0</v>
      </c>
      <c r="M47" s="113">
        <f>SUMIFS(Dataset!$AK:$AK,Dataset!$F:$F,'credito latam'!$D$11,Dataset!$AN:$AN,"*AAA*",Dataset!$J:$J,"&lt;"&amp;$D47,Dataset!$J:$J,"&gt;="&amp;$C47)</f>
        <v>0</v>
      </c>
      <c r="N47" s="101">
        <f>SUMIFS(Dataset!$AK:$AK,Dataset!$F:$F,'credito latam'!$D$11,Dataset!$AN:$AN,"AA+",Dataset!$J:$J,"&lt;"&amp;$D47,Dataset!$J:$J,"&gt;="&amp;$C47)+SUMIFS(Dataset!$AK:$AK,Dataset!$F:$F,'credito latam'!$D$11,Dataset!$AN:$AN,"AA",Dataset!$J:$J,"&lt;"&amp;$D47,Dataset!$J:$J,"&gt;="&amp;$C47)+SUMIFS(Dataset!$AK:$AK,Dataset!$F:$F,'credito latam'!$D$11,Dataset!$AN:$AN,"AA-",Dataset!$J:$J,"&lt;"&amp;$D47,Dataset!$J:$J,"&gt;="&amp;$C47)</f>
        <v>0</v>
      </c>
      <c r="O47" s="101">
        <f>SUMIFS(Dataset!$AK:$AK,Dataset!$F:$F,'credito latam'!$D$11,Dataset!$AN:$AN,O$44,Dataset!$J:$J,"&lt;"&amp;$D47,Dataset!$J:$J,"&gt;="&amp;$C47)</f>
        <v>0</v>
      </c>
      <c r="P47" s="101">
        <f>SUMIFS(Dataset!$AK:$AK,Dataset!$F:$F,'credito latam'!$D$11,Dataset!$AN:$AN,P$44,Dataset!$J:$J,"&lt;"&amp;$D47,Dataset!$J:$J,"&gt;="&amp;$C47)</f>
        <v>0</v>
      </c>
      <c r="Q47" s="101">
        <f>SUMIFS(Dataset!$AK:$AK,Dataset!$F:$F,'credito latam'!$D$11,Dataset!$AN:$AN,Q$44,Dataset!$J:$J,"&lt;"&amp;$D47,Dataset!$J:$J,"&gt;="&amp;$C47)</f>
        <v>0</v>
      </c>
      <c r="R47" s="101">
        <f>SUMIFS(Dataset!$AK:$AK,Dataset!$F:$F,'credito latam'!$D$11,Dataset!$AN:$AN,R$44,Dataset!$J:$J,"&lt;"&amp;$D47,Dataset!$J:$J,"&gt;="&amp;$C47)</f>
        <v>0</v>
      </c>
      <c r="S47" s="101">
        <f>SUMIFS(Dataset!$AK:$AK,Dataset!$F:$F,'credito latam'!$D$11,Dataset!$AN:$AN,S$44,Dataset!$J:$J,"&lt;"&amp;$D47,Dataset!$J:$J,"&gt;="&amp;$C47)</f>
        <v>0</v>
      </c>
      <c r="T47" s="101">
        <f>SUMIFS(Dataset!$AK:$AK,Dataset!$F:$F,'credito latam'!$D$11,Dataset!$AN:$AN,T$44,Dataset!$J:$J,"&lt;"&amp;$D47,Dataset!$J:$J,"&gt;="&amp;$C47)</f>
        <v>0</v>
      </c>
      <c r="U47" s="101">
        <f>SUMIFS(Dataset!$AK:$AK,Dataset!$F:$F,'credito latam'!$D$11,Dataset!$AN:$AN,U$44,Dataset!$J:$J,"&lt;"&amp;$D47,Dataset!$J:$J,"&gt;="&amp;$C47)</f>
        <v>0</v>
      </c>
      <c r="V47" s="101">
        <f>SUMIFS(Dataset!$AK:$AK,Dataset!$F:$F,'credito latam'!$D$11,Dataset!$AN:$AN,V$44,Dataset!$J:$J,"&lt;"&amp;$D47,Dataset!$J:$J,"&gt;="&amp;$C47)</f>
        <v>0</v>
      </c>
      <c r="W47" s="101">
        <f>SUMIFS(Dataset!$AK:$AK,Dataset!$F:$F,'credito latam'!$D$11,Dataset!$AN:$AN,W$44,Dataset!$J:$J,"&lt;"&amp;$D47,Dataset!$J:$J,"&gt;="&amp;$C47)</f>
        <v>0</v>
      </c>
      <c r="X47" s="101">
        <f>SUMIFS(Dataset!$AK:$AK,Dataset!$F:$F,'credito latam'!$D$11,Dataset!$AN:$AN,"B-",Dataset!$J:$J,"&lt;"&amp;$D47,Dataset!$J:$J,"&gt;="&amp;$C47)+SUMIFS(Dataset!$AK:$AK,Dataset!$F:$F,'credito latam'!$D$11,Dataset!$AN:$AN,"B",Dataset!$J:$J,"&lt;"&amp;$D47,Dataset!$J:$J,"&gt;="&amp;$C47)+SUMIFS(Dataset!$AK:$AK,Dataset!$F:$F,'credito latam'!$D$11,Dataset!$AN:$AN,"B+",Dataset!$J:$J,"&lt;"&amp;$D47,Dataset!$J:$J,"&gt;="&amp;$C47)</f>
        <v>0</v>
      </c>
      <c r="Y47" s="102">
        <f>SUMIFS(Dataset!$AK:$AK,Dataset!$F:$F,'credito latam'!$D$11,Dataset!$AN:$AN,Y$44,Dataset!$J:$J,"&lt;"&amp;$D47,Dataset!$J:$J,"&gt;="&amp;$C47)</f>
        <v>0</v>
      </c>
      <c r="Z47" s="84">
        <f t="shared" si="2"/>
        <v>0</v>
      </c>
      <c r="AA47" s="115">
        <f>(SUMIFS(Dataset!$H:$H,Dataset!$F:$F,'credito latam'!$D$11,Dataset!$Z:$Z,AA$44,Dataset!$J:$J,"&lt;"&amp;$D47,Dataset!$J:$J,"&gt;="&amp;$C47))*10</f>
        <v>0</v>
      </c>
      <c r="AB47" s="117">
        <f>(SUMIFS(Dataset!$H:$H,Dataset!$F:$F,'credito latam'!$D$11,Dataset!$Z:$Z,AB$44,Dataset!$J:$J,"&lt;"&amp;$D47,Dataset!$J:$J,"&gt;="&amp;$C47))*10</f>
        <v>0</v>
      </c>
      <c r="AC47" s="117">
        <f>(SUMIFS(Dataset!$H:$H,Dataset!$F:$F,'credito latam'!$D$11,Dataset!$Z:$Z,AC$44,Dataset!$J:$J,"&lt;"&amp;$D47,Dataset!$J:$J,"&gt;="&amp;$C47))*10</f>
        <v>0</v>
      </c>
      <c r="AD47" s="117">
        <f>(SUMIFS(Dataset!$H:$H,Dataset!$F:$F,'credito latam'!$D$11,Dataset!$Z:$Z,AD$44,Dataset!$J:$J,"&lt;"&amp;$D47,Dataset!$J:$J,"&gt;="&amp;$C47))*10</f>
        <v>0</v>
      </c>
      <c r="AE47" s="117">
        <f>(SUMIFS(Dataset!$H:$H,Dataset!$F:$F,'credito latam'!$D$11,Dataset!$Z:$Z,AE$44,Dataset!$J:$J,"&lt;"&amp;$D47,Dataset!$J:$J,"&gt;="&amp;$C47))*10</f>
        <v>0</v>
      </c>
      <c r="AF47" s="117">
        <f>(SUMIFS(Dataset!$H:$H,Dataset!$F:$F,'credito latam'!$D$11,Dataset!$Z:$Z,AF$44,Dataset!$J:$J,"&lt;"&amp;$D47,Dataset!$J:$J,"&gt;="&amp;$C47))*10</f>
        <v>0</v>
      </c>
      <c r="AG47" s="118">
        <f>SUMIFS(Dataset!$H:$H,Dataset!$F:$F,'credito latam'!$D$11,Dataset!$J:$J,"&lt;"&amp;$D47,Dataset!J:J,"&gt;="&amp;$C47,Dataset!$Z:$Z,"&lt;&gt;CL",Dataset!$Z:$Z,"&lt;&gt;MX",Dataset!$Z:$Z,"&lt;&gt;CO",Dataset!$Z:$Z,"&lt;&gt;PE",Dataset!$Z:$Z,"&lt;&gt;BR",Dataset!$Z:$Z,"&lt;&gt;CI",Dataset!$Z:$Z,"&lt;&gt;PA")*10</f>
        <v>0</v>
      </c>
      <c r="AH47" s="87">
        <f t="shared" si="3"/>
        <v>0</v>
      </c>
    </row>
    <row r="48" spans="3:34" ht="33" customHeight="1" x14ac:dyDescent="0.3">
      <c r="C48" s="61">
        <v>2.5</v>
      </c>
      <c r="D48" s="81">
        <v>3.5</v>
      </c>
      <c r="E48" s="113">
        <f>SUMIFS(Dataset!$AK:$AK,Dataset!$F:$F,'credito latam'!$D$11,Dataset!$Z:$Z,E$44,Dataset!$J:$J,"&lt;"&amp;$D48,Dataset!$J:$J,"&gt;="&amp;$C48)</f>
        <v>0</v>
      </c>
      <c r="F48" s="83">
        <f>SUMIFS(Dataset!$AK:$AK,Dataset!$F:$F,'credito latam'!$D$11,Dataset!$Z:$Z,F$44,Dataset!$J:$J,"&lt;"&amp;$D48,Dataset!$J:$J,"&gt;="&amp;$C48)</f>
        <v>0</v>
      </c>
      <c r="G48" s="83">
        <f>SUMIFS(Dataset!$AK:$AK,Dataset!$F:$F,'credito latam'!$D$11,Dataset!$Z:$Z,G$44,Dataset!$J:$J,"&lt;"&amp;$D48,Dataset!$J:$J,"&gt;="&amp;$C48)</f>
        <v>0</v>
      </c>
      <c r="H48" s="83">
        <f>SUMIFS(Dataset!$AK:$AK,Dataset!$F:$F,'credito latam'!$D$11,Dataset!$Z:$Z,H$44,Dataset!$J:$J,"&lt;"&amp;$D48,Dataset!$J:$J,"&gt;="&amp;$C48)</f>
        <v>0</v>
      </c>
      <c r="I48" s="83">
        <f>SUMIFS(Dataset!$AK:$AK,Dataset!$F:$F,'credito latam'!$D$11,Dataset!$Z:$Z,I$44,Dataset!$J:$J,"&lt;"&amp;$D48,Dataset!$J:$J,"&gt;="&amp;$C48)</f>
        <v>0</v>
      </c>
      <c r="J48" s="83">
        <f>SUMIFS(Dataset!$AK:$AK,Dataset!$F:$F,'credito latam'!$D$11,Dataset!$Z:$Z,J$44,Dataset!$J:$J,"&lt;"&amp;$D48,Dataset!$J:$J,"&gt;="&amp;$C48)</f>
        <v>0</v>
      </c>
      <c r="K48" s="114">
        <f>SUMIFS(Dataset!$AK:$AK,Dataset!$F:$F,'credito latam'!$D$11,Dataset!$J:$J,"&lt;"&amp;$D48,Dataset!J:J,"&gt;="&amp;$C48,Dataset!$Z:$Z,"&lt;&gt;CL",Dataset!$Z:$Z,"&lt;&gt;MX",Dataset!$Z:$Z,"&lt;&gt;CO",Dataset!$Z:$Z,"&lt;&gt;PE",Dataset!$Z:$Z,"&lt;&gt;BR",Dataset!$Z:$Z,"&lt;&gt;PA")</f>
        <v>0</v>
      </c>
      <c r="L48" s="84">
        <f t="shared" si="1"/>
        <v>0</v>
      </c>
      <c r="M48" s="113">
        <f>SUMIFS(Dataset!$AK:$AK,Dataset!$F:$F,'credito latam'!$D$11,Dataset!$AN:$AN,"*AAA*",Dataset!$J:$J,"&lt;"&amp;$D48,Dataset!$J:$J,"&gt;="&amp;$C48)</f>
        <v>0</v>
      </c>
      <c r="N48" s="83">
        <f>SUMIFS(Dataset!$AK:$AK,Dataset!$F:$F,'credito latam'!$D$11,Dataset!$AN:$AN,"AA+",Dataset!$J:$J,"&lt;"&amp;$D48,Dataset!$J:$J,"&gt;="&amp;$C48)+SUMIFS(Dataset!$AK:$AK,Dataset!$F:$F,'credito latam'!$D$11,Dataset!$AN:$AN,"AA",Dataset!$J:$J,"&lt;"&amp;$D48,Dataset!$J:$J,"&gt;="&amp;$C48)+SUMIFS(Dataset!$AK:$AK,Dataset!$F:$F,'credito latam'!$D$11,Dataset!$AN:$AN,"AA-",Dataset!$J:$J,"&lt;"&amp;$D48,Dataset!$J:$J,"&gt;="&amp;$C48)</f>
        <v>0</v>
      </c>
      <c r="O48" s="83">
        <f>SUMIFS(Dataset!$AK:$AK,Dataset!$F:$F,'credito latam'!$D$11,Dataset!$AN:$AN,O$44,Dataset!$J:$J,"&lt;"&amp;$D48,Dataset!$J:$J,"&gt;="&amp;$C48)</f>
        <v>0</v>
      </c>
      <c r="P48" s="83">
        <f>SUMIFS(Dataset!$AK:$AK,Dataset!$F:$F,'credito latam'!$D$11,Dataset!$AN:$AN,P$44,Dataset!$J:$J,"&lt;"&amp;$D48,Dataset!$J:$J,"&gt;="&amp;$C48)</f>
        <v>0</v>
      </c>
      <c r="Q48" s="83">
        <f>SUMIFS(Dataset!$AK:$AK,Dataset!$F:$F,'credito latam'!$D$11,Dataset!$AN:$AN,Q$44,Dataset!$J:$J,"&lt;"&amp;$D48,Dataset!$J:$J,"&gt;="&amp;$C48)</f>
        <v>0</v>
      </c>
      <c r="R48" s="83">
        <f>SUMIFS(Dataset!$AK:$AK,Dataset!$F:$F,'credito latam'!$D$11,Dataset!$AN:$AN,R$44,Dataset!$J:$J,"&lt;"&amp;$D48,Dataset!$J:$J,"&gt;="&amp;$C48)</f>
        <v>0</v>
      </c>
      <c r="S48" s="83">
        <f>SUMIFS(Dataset!$AK:$AK,Dataset!$F:$F,'credito latam'!$D$11,Dataset!$AN:$AN,S$44,Dataset!$J:$J,"&lt;"&amp;$D48,Dataset!$J:$J,"&gt;="&amp;$C48)</f>
        <v>0</v>
      </c>
      <c r="T48" s="83">
        <f>SUMIFS(Dataset!$AK:$AK,Dataset!$F:$F,'credito latam'!$D$11,Dataset!$AN:$AN,T$44,Dataset!$J:$J,"&lt;"&amp;$D48,Dataset!$J:$J,"&gt;="&amp;$C48)</f>
        <v>0</v>
      </c>
      <c r="U48" s="83">
        <f>SUMIFS(Dataset!$AK:$AK,Dataset!$F:$F,'credito latam'!$D$11,Dataset!$AN:$AN,U$44,Dataset!$J:$J,"&lt;"&amp;$D48,Dataset!$J:$J,"&gt;="&amp;$C48)</f>
        <v>0</v>
      </c>
      <c r="V48" s="83">
        <f>SUMIFS(Dataset!$AK:$AK,Dataset!$F:$F,'credito latam'!$D$11,Dataset!$AN:$AN,V$44,Dataset!$J:$J,"&lt;"&amp;$D48,Dataset!$J:$J,"&gt;="&amp;$C48)</f>
        <v>0</v>
      </c>
      <c r="W48" s="83">
        <f>SUMIFS(Dataset!$AK:$AK,Dataset!$F:$F,'credito latam'!$D$11,Dataset!$AN:$AN,W$44,Dataset!$J:$J,"&lt;"&amp;$D48,Dataset!$J:$J,"&gt;="&amp;$C48)</f>
        <v>0</v>
      </c>
      <c r="X48" s="83">
        <f>SUMIFS(Dataset!$AK:$AK,Dataset!$F:$F,'credito latam'!$D$11,Dataset!$AN:$AN,"B-",Dataset!$J:$J,"&lt;"&amp;$D48,Dataset!$J:$J,"&gt;="&amp;$C48)+SUMIFS(Dataset!$AK:$AK,Dataset!$F:$F,'credito latam'!$D$11,Dataset!$AN:$AN,"B",Dataset!$J:$J,"&lt;"&amp;$D48,Dataset!$J:$J,"&gt;="&amp;$C48)+SUMIFS(Dataset!$AK:$AK,Dataset!$F:$F,'credito latam'!$D$11,Dataset!$AN:$AN,"B+",Dataset!$J:$J,"&lt;"&amp;$D48,Dataset!$J:$J,"&gt;="&amp;$C48)</f>
        <v>0</v>
      </c>
      <c r="Y48" s="114">
        <f>SUMIFS(Dataset!$AK:$AK,Dataset!$F:$F,'credito latam'!$D$11,Dataset!$AN:$AN,Y$44,Dataset!$J:$J,"&lt;"&amp;$D48,Dataset!$J:$J,"&gt;="&amp;$C48)</f>
        <v>0</v>
      </c>
      <c r="Z48" s="84">
        <f t="shared" si="2"/>
        <v>0</v>
      </c>
      <c r="AA48" s="115">
        <f>(SUMIFS(Dataset!$H:$H,Dataset!$F:$F,'credito latam'!$D$11,Dataset!$Z:$Z,AA$44,Dataset!$J:$J,"&lt;"&amp;$D48,Dataset!$J:$J,"&gt;="&amp;$C48))*10</f>
        <v>0</v>
      </c>
      <c r="AB48" s="86">
        <f>(SUMIFS(Dataset!$H:$H,Dataset!$F:$F,'credito latam'!$D$11,Dataset!$Z:$Z,AB$44,Dataset!$J:$J,"&lt;"&amp;$D48,Dataset!$J:$J,"&gt;="&amp;$C48))*10</f>
        <v>0</v>
      </c>
      <c r="AC48" s="86">
        <f>(SUMIFS(Dataset!$H:$H,Dataset!$F:$F,'credito latam'!$D$11,Dataset!$Z:$Z,AC$44,Dataset!$J:$J,"&lt;"&amp;$D48,Dataset!$J:$J,"&gt;="&amp;$C48))*10</f>
        <v>0</v>
      </c>
      <c r="AD48" s="86">
        <f>(SUMIFS(Dataset!$H:$H,Dataset!$F:$F,'credito latam'!$D$11,Dataset!$Z:$Z,AD$44,Dataset!$J:$J,"&lt;"&amp;$D48,Dataset!$J:$J,"&gt;="&amp;$C48))*10</f>
        <v>0</v>
      </c>
      <c r="AE48" s="86">
        <f>(SUMIFS(Dataset!$H:$H,Dataset!$F:$F,'credito latam'!$D$11,Dataset!$Z:$Z,AE$44,Dataset!$J:$J,"&lt;"&amp;$D48,Dataset!$J:$J,"&gt;="&amp;$C48))*10</f>
        <v>0</v>
      </c>
      <c r="AF48" s="86">
        <f>(SUMIFS(Dataset!$H:$H,Dataset!$F:$F,'credito latam'!$D$11,Dataset!$Z:$Z,AF$44,Dataset!$J:$J,"&lt;"&amp;$D48,Dataset!$J:$J,"&gt;="&amp;$C48))*10</f>
        <v>0</v>
      </c>
      <c r="AG48" s="116">
        <f>SUMIFS(Dataset!$H:$H,Dataset!$F:$F,'credito latam'!$D$11,Dataset!$J:$J,"&lt;"&amp;$D48,Dataset!J:J,"&gt;="&amp;$C48,Dataset!$Z:$Z,"&lt;&gt;CL",Dataset!$Z:$Z,"&lt;&gt;MX",Dataset!$Z:$Z,"&lt;&gt;CO",Dataset!$Z:$Z,"&lt;&gt;PE",Dataset!$Z:$Z,"&lt;&gt;BR",Dataset!$Z:$Z,"&lt;&gt;CI",Dataset!$Z:$Z,"&lt;&gt;PA")*10</f>
        <v>0</v>
      </c>
      <c r="AH48" s="87">
        <f t="shared" si="3"/>
        <v>0</v>
      </c>
    </row>
    <row r="49" spans="3:34" ht="33" customHeight="1" x14ac:dyDescent="0.3">
      <c r="C49" s="61">
        <v>3.5</v>
      </c>
      <c r="D49" s="81">
        <v>4.5</v>
      </c>
      <c r="E49" s="113">
        <f>SUMIFS(Dataset!$AK:$AK,Dataset!$F:$F,'credito latam'!$D$11,Dataset!$Z:$Z,E$44,Dataset!$J:$J,"&lt;"&amp;$D49,Dataset!$J:$J,"&gt;="&amp;$C49)</f>
        <v>0</v>
      </c>
      <c r="F49" s="101">
        <f>SUMIFS(Dataset!$AK:$AK,Dataset!$F:$F,'credito latam'!$D$11,Dataset!$Z:$Z,F$44,Dataset!$J:$J,"&lt;"&amp;$D49,Dataset!$J:$J,"&gt;="&amp;$C49)</f>
        <v>0</v>
      </c>
      <c r="G49" s="101">
        <f>SUMIFS(Dataset!$AK:$AK,Dataset!$F:$F,'credito latam'!$D$11,Dataset!$Z:$Z,G$44,Dataset!$J:$J,"&lt;"&amp;$D49,Dataset!$J:$J,"&gt;="&amp;$C49)</f>
        <v>0</v>
      </c>
      <c r="H49" s="101">
        <f>SUMIFS(Dataset!$AK:$AK,Dataset!$F:$F,'credito latam'!$D$11,Dataset!$Z:$Z,H$44,Dataset!$J:$J,"&lt;"&amp;$D49,Dataset!$J:$J,"&gt;="&amp;$C49)</f>
        <v>0</v>
      </c>
      <c r="I49" s="101">
        <f>SUMIFS(Dataset!$AK:$AK,Dataset!$F:$F,'credito latam'!$D$11,Dataset!$Z:$Z,I$44,Dataset!$J:$J,"&lt;"&amp;$D49,Dataset!$J:$J,"&gt;="&amp;$C49)</f>
        <v>0</v>
      </c>
      <c r="J49" s="101">
        <f>SUMIFS(Dataset!$AK:$AK,Dataset!$F:$F,'credito latam'!$D$11,Dataset!$Z:$Z,J$44,Dataset!$J:$J,"&lt;"&amp;$D49,Dataset!$J:$J,"&gt;="&amp;$C49)</f>
        <v>0</v>
      </c>
      <c r="K49" s="102">
        <f>SUMIFS(Dataset!$AK:$AK,Dataset!$F:$F,'credito latam'!$D$11,Dataset!$J:$J,"&lt;"&amp;$D49,Dataset!J:J,"&gt;="&amp;$C49,Dataset!$Z:$Z,"&lt;&gt;CL",Dataset!$Z:$Z,"&lt;&gt;MX",Dataset!$Z:$Z,"&lt;&gt;CO",Dataset!$Z:$Z,"&lt;&gt;PE",Dataset!$Z:$Z,"&lt;&gt;BR",Dataset!$Z:$Z,"&lt;&gt;PA")</f>
        <v>0</v>
      </c>
      <c r="L49" s="84">
        <f t="shared" si="1"/>
        <v>0</v>
      </c>
      <c r="M49" s="113">
        <f>SUMIFS(Dataset!$AK:$AK,Dataset!$F:$F,'credito latam'!$D$11,Dataset!$AN:$AN,"*AAA*",Dataset!$J:$J,"&lt;"&amp;$D49,Dataset!$J:$J,"&gt;="&amp;$C49)</f>
        <v>0</v>
      </c>
      <c r="N49" s="101">
        <f>SUMIFS(Dataset!$AK:$AK,Dataset!$F:$F,'credito latam'!$D$11,Dataset!$AN:$AN,"AA+",Dataset!$J:$J,"&lt;"&amp;$D49,Dataset!$J:$J,"&gt;="&amp;$C49)+SUMIFS(Dataset!$AK:$AK,Dataset!$F:$F,'credito latam'!$D$11,Dataset!$AN:$AN,"AA",Dataset!$J:$J,"&lt;"&amp;$D49,Dataset!$J:$J,"&gt;="&amp;$C49)+SUMIFS(Dataset!$AK:$AK,Dataset!$F:$F,'credito latam'!$D$11,Dataset!$AN:$AN,"AA-",Dataset!$J:$J,"&lt;"&amp;$D49,Dataset!$J:$J,"&gt;="&amp;$C49)</f>
        <v>0</v>
      </c>
      <c r="O49" s="101">
        <f>SUMIFS(Dataset!$AK:$AK,Dataset!$F:$F,'credito latam'!$D$11,Dataset!$AN:$AN,O$44,Dataset!$J:$J,"&lt;"&amp;$D49,Dataset!$J:$J,"&gt;="&amp;$C49)</f>
        <v>0</v>
      </c>
      <c r="P49" s="101">
        <f>SUMIFS(Dataset!$AK:$AK,Dataset!$F:$F,'credito latam'!$D$11,Dataset!$AN:$AN,P$44,Dataset!$J:$J,"&lt;"&amp;$D49,Dataset!$J:$J,"&gt;="&amp;$C49)</f>
        <v>0</v>
      </c>
      <c r="Q49" s="101">
        <f>SUMIFS(Dataset!$AK:$AK,Dataset!$F:$F,'credito latam'!$D$11,Dataset!$AN:$AN,Q$44,Dataset!$J:$J,"&lt;"&amp;$D49,Dataset!$J:$J,"&gt;="&amp;$C49)</f>
        <v>0</v>
      </c>
      <c r="R49" s="101">
        <f>SUMIFS(Dataset!$AK:$AK,Dataset!$F:$F,'credito latam'!$D$11,Dataset!$AN:$AN,R$44,Dataset!$J:$J,"&lt;"&amp;$D49,Dataset!$J:$J,"&gt;="&amp;$C49)</f>
        <v>0</v>
      </c>
      <c r="S49" s="101">
        <f>SUMIFS(Dataset!$AK:$AK,Dataset!$F:$F,'credito latam'!$D$11,Dataset!$AN:$AN,S$44,Dataset!$J:$J,"&lt;"&amp;$D49,Dataset!$J:$J,"&gt;="&amp;$C49)</f>
        <v>0</v>
      </c>
      <c r="T49" s="101">
        <f>SUMIFS(Dataset!$AK:$AK,Dataset!$F:$F,'credito latam'!$D$11,Dataset!$AN:$AN,T$44,Dataset!$J:$J,"&lt;"&amp;$D49,Dataset!$J:$J,"&gt;="&amp;$C49)</f>
        <v>0</v>
      </c>
      <c r="U49" s="101">
        <f>SUMIFS(Dataset!$AK:$AK,Dataset!$F:$F,'credito latam'!$D$11,Dataset!$AN:$AN,U$44,Dataset!$J:$J,"&lt;"&amp;$D49,Dataset!$J:$J,"&gt;="&amp;$C49)</f>
        <v>0</v>
      </c>
      <c r="V49" s="101">
        <f>SUMIFS(Dataset!$AK:$AK,Dataset!$F:$F,'credito latam'!$D$11,Dataset!$AN:$AN,V$44,Dataset!$J:$J,"&lt;"&amp;$D49,Dataset!$J:$J,"&gt;="&amp;$C49)</f>
        <v>0</v>
      </c>
      <c r="W49" s="101">
        <f>SUMIFS(Dataset!$AK:$AK,Dataset!$F:$F,'credito latam'!$D$11,Dataset!$AN:$AN,W$44,Dataset!$J:$J,"&lt;"&amp;$D49,Dataset!$J:$J,"&gt;="&amp;$C49)</f>
        <v>0</v>
      </c>
      <c r="X49" s="101">
        <f>SUMIFS(Dataset!$AK:$AK,Dataset!$F:$F,'credito latam'!$D$11,Dataset!$AN:$AN,"B-",Dataset!$J:$J,"&lt;"&amp;$D49,Dataset!$J:$J,"&gt;="&amp;$C49)+SUMIFS(Dataset!$AK:$AK,Dataset!$F:$F,'credito latam'!$D$11,Dataset!$AN:$AN,"B",Dataset!$J:$J,"&lt;"&amp;$D49,Dataset!$J:$J,"&gt;="&amp;$C49)+SUMIFS(Dataset!$AK:$AK,Dataset!$F:$F,'credito latam'!$D$11,Dataset!$AN:$AN,"B+",Dataset!$J:$J,"&lt;"&amp;$D49,Dataset!$J:$J,"&gt;="&amp;$C49)</f>
        <v>0</v>
      </c>
      <c r="Y49" s="102">
        <f>SUMIFS(Dataset!$AK:$AK,Dataset!$F:$F,'credito latam'!$D$11,Dataset!$AN:$AN,Y$44,Dataset!$J:$J,"&lt;"&amp;$D49,Dataset!$J:$J,"&gt;="&amp;$C49)</f>
        <v>0</v>
      </c>
      <c r="Z49" s="84">
        <f t="shared" si="2"/>
        <v>0</v>
      </c>
      <c r="AA49" s="115">
        <f>(SUMIFS(Dataset!$H:$H,Dataset!$F:$F,'credito latam'!$D$11,Dataset!$Z:$Z,AA$44,Dataset!$J:$J,"&lt;"&amp;$D49,Dataset!$J:$J,"&gt;="&amp;$C49))*10</f>
        <v>0</v>
      </c>
      <c r="AB49" s="117">
        <f>(SUMIFS(Dataset!$H:$H,Dataset!$F:$F,'credito latam'!$D$11,Dataset!$Z:$Z,AB$44,Dataset!$J:$J,"&lt;"&amp;$D49,Dataset!$J:$J,"&gt;="&amp;$C49))*10</f>
        <v>0</v>
      </c>
      <c r="AC49" s="117">
        <f>(SUMIFS(Dataset!$H:$H,Dataset!$F:$F,'credito latam'!$D$11,Dataset!$Z:$Z,AC$44,Dataset!$J:$J,"&lt;"&amp;$D49,Dataset!$J:$J,"&gt;="&amp;$C49))*10</f>
        <v>0</v>
      </c>
      <c r="AD49" s="117">
        <f>(SUMIFS(Dataset!$H:$H,Dataset!$F:$F,'credito latam'!$D$11,Dataset!$Z:$Z,AD$44,Dataset!$J:$J,"&lt;"&amp;$D49,Dataset!$J:$J,"&gt;="&amp;$C49))*10</f>
        <v>0</v>
      </c>
      <c r="AE49" s="117">
        <f>(SUMIFS(Dataset!$H:$H,Dataset!$F:$F,'credito latam'!$D$11,Dataset!$Z:$Z,AE$44,Dataset!$J:$J,"&lt;"&amp;$D49,Dataset!$J:$J,"&gt;="&amp;$C49))*10</f>
        <v>0</v>
      </c>
      <c r="AF49" s="117">
        <f>(SUMIFS(Dataset!$H:$H,Dataset!$F:$F,'credito latam'!$D$11,Dataset!$Z:$Z,AF$44,Dataset!$J:$J,"&lt;"&amp;$D49,Dataset!$J:$J,"&gt;="&amp;$C49))*10</f>
        <v>0</v>
      </c>
      <c r="AG49" s="118">
        <f>SUMIFS(Dataset!$H:$H,Dataset!$F:$F,'credito latam'!$D$11,Dataset!$J:$J,"&lt;"&amp;$D49,Dataset!J:J,"&gt;="&amp;$C49,Dataset!$Z:$Z,"&lt;&gt;CL",Dataset!$Z:$Z,"&lt;&gt;MX",Dataset!$Z:$Z,"&lt;&gt;CO",Dataset!$Z:$Z,"&lt;&gt;PE",Dataset!$Z:$Z,"&lt;&gt;BR",Dataset!$Z:$Z,"&lt;&gt;CI",Dataset!$Z:$Z,"&lt;&gt;PA")*10</f>
        <v>0</v>
      </c>
      <c r="AH49" s="87">
        <f t="shared" si="3"/>
        <v>0</v>
      </c>
    </row>
    <row r="50" spans="3:34" ht="33" customHeight="1" x14ac:dyDescent="0.3">
      <c r="C50" s="61">
        <v>4.5</v>
      </c>
      <c r="D50" s="81">
        <v>5.5</v>
      </c>
      <c r="E50" s="113">
        <f>SUMIFS(Dataset!$AK:$AK,Dataset!$F:$F,'credito latam'!$D$11,Dataset!$Z:$Z,E$44,Dataset!$J:$J,"&lt;"&amp;$D50,Dataset!$J:$J,"&gt;="&amp;$C50)</f>
        <v>0</v>
      </c>
      <c r="F50" s="83">
        <f>SUMIFS(Dataset!$AK:$AK,Dataset!$F:$F,'credito latam'!$D$11,Dataset!$Z:$Z,F$44,Dataset!$J:$J,"&lt;"&amp;$D50,Dataset!$J:$J,"&gt;="&amp;$C50)</f>
        <v>0</v>
      </c>
      <c r="G50" s="83">
        <f>SUMIFS(Dataset!$AK:$AK,Dataset!$F:$F,'credito latam'!$D$11,Dataset!$Z:$Z,G$44,Dataset!$J:$J,"&lt;"&amp;$D50,Dataset!$J:$J,"&gt;="&amp;$C50)</f>
        <v>0</v>
      </c>
      <c r="H50" s="83">
        <f>SUMIFS(Dataset!$AK:$AK,Dataset!$F:$F,'credito latam'!$D$11,Dataset!$Z:$Z,H$44,Dataset!$J:$J,"&lt;"&amp;$D50,Dataset!$J:$J,"&gt;="&amp;$C50)</f>
        <v>0</v>
      </c>
      <c r="I50" s="83">
        <f>SUMIFS(Dataset!$AK:$AK,Dataset!$F:$F,'credito latam'!$D$11,Dataset!$Z:$Z,I$44,Dataset!$J:$J,"&lt;"&amp;$D50,Dataset!$J:$J,"&gt;="&amp;$C50)</f>
        <v>0</v>
      </c>
      <c r="J50" s="83">
        <f>SUMIFS(Dataset!$AK:$AK,Dataset!$F:$F,'credito latam'!$D$11,Dataset!$Z:$Z,J$44,Dataset!$J:$J,"&lt;"&amp;$D50,Dataset!$J:$J,"&gt;="&amp;$C50)</f>
        <v>0</v>
      </c>
      <c r="K50" s="114">
        <f>SUMIFS(Dataset!$AK:$AK,Dataset!$F:$F,'credito latam'!$D$11,Dataset!$J:$J,"&lt;"&amp;$D50,Dataset!J:J,"&gt;="&amp;$C50,Dataset!$Z:$Z,"&lt;&gt;CL",Dataset!$Z:$Z,"&lt;&gt;MX",Dataset!$Z:$Z,"&lt;&gt;CO",Dataset!$Z:$Z,"&lt;&gt;PE",Dataset!$Z:$Z,"&lt;&gt;BR",Dataset!$Z:$Z,"&lt;&gt;PA")</f>
        <v>0</v>
      </c>
      <c r="L50" s="84">
        <f t="shared" si="1"/>
        <v>0</v>
      </c>
      <c r="M50" s="113">
        <f>SUMIFS(Dataset!$AK:$AK,Dataset!$F:$F,'credito latam'!$D$11,Dataset!$AN:$AN,"*AAA*",Dataset!$J:$J,"&lt;"&amp;$D50,Dataset!$J:$J,"&gt;="&amp;$C50)</f>
        <v>0</v>
      </c>
      <c r="N50" s="83">
        <f>SUMIFS(Dataset!$AK:$AK,Dataset!$F:$F,'credito latam'!$D$11,Dataset!$AN:$AN,"AA+",Dataset!$J:$J,"&lt;"&amp;$D50,Dataset!$J:$J,"&gt;="&amp;$C50)+SUMIFS(Dataset!$AK:$AK,Dataset!$F:$F,'credito latam'!$D$11,Dataset!$AN:$AN,"AA",Dataset!$J:$J,"&lt;"&amp;$D50,Dataset!$J:$J,"&gt;="&amp;$C50)+SUMIFS(Dataset!$AK:$AK,Dataset!$F:$F,'credito latam'!$D$11,Dataset!$AN:$AN,"AA-",Dataset!$J:$J,"&lt;"&amp;$D50,Dataset!$J:$J,"&gt;="&amp;$C50)</f>
        <v>0</v>
      </c>
      <c r="O50" s="83">
        <f>SUMIFS(Dataset!$AK:$AK,Dataset!$F:$F,'credito latam'!$D$11,Dataset!$AN:$AN,O$44,Dataset!$J:$J,"&lt;"&amp;$D50,Dataset!$J:$J,"&gt;="&amp;$C50)</f>
        <v>0</v>
      </c>
      <c r="P50" s="83">
        <f>SUMIFS(Dataset!$AK:$AK,Dataset!$F:$F,'credito latam'!$D$11,Dataset!$AN:$AN,P$44,Dataset!$J:$J,"&lt;"&amp;$D50,Dataset!$J:$J,"&gt;="&amp;$C50)</f>
        <v>0</v>
      </c>
      <c r="Q50" s="83">
        <f>SUMIFS(Dataset!$AK:$AK,Dataset!$F:$F,'credito latam'!$D$11,Dataset!$AN:$AN,Q$44,Dataset!$J:$J,"&lt;"&amp;$D50,Dataset!$J:$J,"&gt;="&amp;$C50)</f>
        <v>0</v>
      </c>
      <c r="R50" s="83">
        <f>SUMIFS(Dataset!$AK:$AK,Dataset!$F:$F,'credito latam'!$D$11,Dataset!$AN:$AN,R$44,Dataset!$J:$J,"&lt;"&amp;$D50,Dataset!$J:$J,"&gt;="&amp;$C50)</f>
        <v>0</v>
      </c>
      <c r="S50" s="83">
        <f>SUMIFS(Dataset!$AK:$AK,Dataset!$F:$F,'credito latam'!$D$11,Dataset!$AN:$AN,S$44,Dataset!$J:$J,"&lt;"&amp;$D50,Dataset!$J:$J,"&gt;="&amp;$C50)</f>
        <v>0</v>
      </c>
      <c r="T50" s="83">
        <f>SUMIFS(Dataset!$AK:$AK,Dataset!$F:$F,'credito latam'!$D$11,Dataset!$AN:$AN,T$44,Dataset!$J:$J,"&lt;"&amp;$D50,Dataset!$J:$J,"&gt;="&amp;$C50)</f>
        <v>0</v>
      </c>
      <c r="U50" s="83">
        <f>SUMIFS(Dataset!$AK:$AK,Dataset!$F:$F,'credito latam'!$D$11,Dataset!$AN:$AN,U$44,Dataset!$J:$J,"&lt;"&amp;$D50,Dataset!$J:$J,"&gt;="&amp;$C50)</f>
        <v>0</v>
      </c>
      <c r="V50" s="83">
        <f>SUMIFS(Dataset!$AK:$AK,Dataset!$F:$F,'credito latam'!$D$11,Dataset!$AN:$AN,V$44,Dataset!$J:$J,"&lt;"&amp;$D50,Dataset!$J:$J,"&gt;="&amp;$C50)</f>
        <v>0</v>
      </c>
      <c r="W50" s="83">
        <f>SUMIFS(Dataset!$AK:$AK,Dataset!$F:$F,'credito latam'!$D$11,Dataset!$AN:$AN,W$44,Dataset!$J:$J,"&lt;"&amp;$D50,Dataset!$J:$J,"&gt;="&amp;$C50)</f>
        <v>0</v>
      </c>
      <c r="X50" s="83">
        <f>SUMIFS(Dataset!$AK:$AK,Dataset!$F:$F,'credito latam'!$D$11,Dataset!$AN:$AN,"B-",Dataset!$J:$J,"&lt;"&amp;$D50,Dataset!$J:$J,"&gt;="&amp;$C50)+SUMIFS(Dataset!$AK:$AK,Dataset!$F:$F,'credito latam'!$D$11,Dataset!$AN:$AN,"B",Dataset!$J:$J,"&lt;"&amp;$D50,Dataset!$J:$J,"&gt;="&amp;$C50)+SUMIFS(Dataset!$AK:$AK,Dataset!$F:$F,'credito latam'!$D$11,Dataset!$AN:$AN,"B+",Dataset!$J:$J,"&lt;"&amp;$D50,Dataset!$J:$J,"&gt;="&amp;$C50)</f>
        <v>0</v>
      </c>
      <c r="Y50" s="114">
        <f>SUMIFS(Dataset!$AK:$AK,Dataset!$F:$F,'credito latam'!$D$11,Dataset!$AN:$AN,Y$44,Dataset!$J:$J,"&lt;"&amp;$D50,Dataset!$J:$J,"&gt;="&amp;$C50)</f>
        <v>0</v>
      </c>
      <c r="Z50" s="84">
        <f t="shared" si="2"/>
        <v>0</v>
      </c>
      <c r="AA50" s="115">
        <f>(SUMIFS(Dataset!$H:$H,Dataset!$F:$F,'credito latam'!$D$11,Dataset!$Z:$Z,AA$44,Dataset!$J:$J,"&lt;"&amp;$D50,Dataset!$J:$J,"&gt;="&amp;$C50))*10</f>
        <v>0</v>
      </c>
      <c r="AB50" s="86">
        <f>(SUMIFS(Dataset!$H:$H,Dataset!$F:$F,'credito latam'!$D$11,Dataset!$Z:$Z,AB$44,Dataset!$J:$J,"&lt;"&amp;$D50,Dataset!$J:$J,"&gt;="&amp;$C50))*10</f>
        <v>0</v>
      </c>
      <c r="AC50" s="86">
        <f>(SUMIFS(Dataset!$H:$H,Dataset!$F:$F,'credito latam'!$D$11,Dataset!$Z:$Z,AC$44,Dataset!$J:$J,"&lt;"&amp;$D50,Dataset!$J:$J,"&gt;="&amp;$C50))*10</f>
        <v>0</v>
      </c>
      <c r="AD50" s="86">
        <f>(SUMIFS(Dataset!$H:$H,Dataset!$F:$F,'credito latam'!$D$11,Dataset!$Z:$Z,AD$44,Dataset!$J:$J,"&lt;"&amp;$D50,Dataset!$J:$J,"&gt;="&amp;$C50))*10</f>
        <v>0</v>
      </c>
      <c r="AE50" s="86">
        <f>(SUMIFS(Dataset!$H:$H,Dataset!$F:$F,'credito latam'!$D$11,Dataset!$Z:$Z,AE$44,Dataset!$J:$J,"&lt;"&amp;$D50,Dataset!$J:$J,"&gt;="&amp;$C50))*10</f>
        <v>0</v>
      </c>
      <c r="AF50" s="86">
        <f>(SUMIFS(Dataset!$H:$H,Dataset!$F:$F,'credito latam'!$D$11,Dataset!$Z:$Z,AF$44,Dataset!$J:$J,"&lt;"&amp;$D50,Dataset!$J:$J,"&gt;="&amp;$C50))*10</f>
        <v>0</v>
      </c>
      <c r="AG50" s="116">
        <f>SUMIFS(Dataset!$H:$H,Dataset!$F:$F,'credito latam'!$D$11,Dataset!$J:$J,"&lt;"&amp;$D50,Dataset!J:J,"&gt;="&amp;$C50,Dataset!$Z:$Z,"&lt;&gt;CL",Dataset!$Z:$Z,"&lt;&gt;MX",Dataset!$Z:$Z,"&lt;&gt;CO",Dataset!$Z:$Z,"&lt;&gt;PE",Dataset!$Z:$Z,"&lt;&gt;BR",Dataset!$Z:$Z,"&lt;&gt;CI",Dataset!$Z:$Z,"&lt;&gt;PA")*10</f>
        <v>0</v>
      </c>
      <c r="AH50" s="87">
        <f t="shared" si="3"/>
        <v>0</v>
      </c>
    </row>
    <row r="51" spans="3:34" ht="33" customHeight="1" x14ac:dyDescent="0.3">
      <c r="C51" s="61">
        <v>5.5</v>
      </c>
      <c r="D51" s="81">
        <v>6.5</v>
      </c>
      <c r="E51" s="113">
        <f>SUMIFS(Dataset!$AK:$AK,Dataset!$F:$F,'credito latam'!$D$11,Dataset!$Z:$Z,E$44,Dataset!$J:$J,"&lt;"&amp;$D51,Dataset!$J:$J,"&gt;="&amp;$C51)</f>
        <v>0</v>
      </c>
      <c r="F51" s="101">
        <f>SUMIFS(Dataset!$AK:$AK,Dataset!$F:$F,'credito latam'!$D$11,Dataset!$Z:$Z,F$44,Dataset!$J:$J,"&lt;"&amp;$D51,Dataset!$J:$J,"&gt;="&amp;$C51)</f>
        <v>0</v>
      </c>
      <c r="G51" s="101">
        <f>SUMIFS(Dataset!$AK:$AK,Dataset!$F:$F,'credito latam'!$D$11,Dataset!$Z:$Z,G$44,Dataset!$J:$J,"&lt;"&amp;$D51,Dataset!$J:$J,"&gt;="&amp;$C51)</f>
        <v>0</v>
      </c>
      <c r="H51" s="101">
        <f>SUMIFS(Dataset!$AK:$AK,Dataset!$F:$F,'credito latam'!$D$11,Dataset!$Z:$Z,H$44,Dataset!$J:$J,"&lt;"&amp;$D51,Dataset!$J:$J,"&gt;="&amp;$C51)</f>
        <v>0</v>
      </c>
      <c r="I51" s="101">
        <f>SUMIFS(Dataset!$AK:$AK,Dataset!$F:$F,'credito latam'!$D$11,Dataset!$Z:$Z,I$44,Dataset!$J:$J,"&lt;"&amp;$D51,Dataset!$J:$J,"&gt;="&amp;$C51)</f>
        <v>0</v>
      </c>
      <c r="J51" s="101">
        <f>SUMIFS(Dataset!$AK:$AK,Dataset!$F:$F,'credito latam'!$D$11,Dataset!$Z:$Z,J$44,Dataset!$J:$J,"&lt;"&amp;$D51,Dataset!$J:$J,"&gt;="&amp;$C51)</f>
        <v>0</v>
      </c>
      <c r="K51" s="102">
        <f>SUMIFS(Dataset!$AK:$AK,Dataset!$F:$F,'credito latam'!$D$11,Dataset!$J:$J,"&lt;"&amp;$D51,Dataset!J:J,"&gt;="&amp;$C51,Dataset!$Z:$Z,"&lt;&gt;CL",Dataset!$Z:$Z,"&lt;&gt;MX",Dataset!$Z:$Z,"&lt;&gt;CO",Dataset!$Z:$Z,"&lt;&gt;PE",Dataset!$Z:$Z,"&lt;&gt;BR",Dataset!$Z:$Z,"&lt;&gt;PA")</f>
        <v>0</v>
      </c>
      <c r="L51" s="84">
        <f t="shared" si="1"/>
        <v>0</v>
      </c>
      <c r="M51" s="113">
        <f>SUMIFS(Dataset!$AK:$AK,Dataset!$F:$F,'credito latam'!$D$11,Dataset!$AN:$AN,"*AAA*",Dataset!$J:$J,"&lt;"&amp;$D51,Dataset!$J:$J,"&gt;="&amp;$C51)</f>
        <v>0</v>
      </c>
      <c r="N51" s="101">
        <f>SUMIFS(Dataset!$AK:$AK,Dataset!$F:$F,'credito latam'!$D$11,Dataset!$AN:$AN,"AA+",Dataset!$J:$J,"&lt;"&amp;$D51,Dataset!$J:$J,"&gt;="&amp;$C51)+SUMIFS(Dataset!$AK:$AK,Dataset!$F:$F,'credito latam'!$D$11,Dataset!$AN:$AN,"AA",Dataset!$J:$J,"&lt;"&amp;$D51,Dataset!$J:$J,"&gt;="&amp;$C51)+SUMIFS(Dataset!$AK:$AK,Dataset!$F:$F,'credito latam'!$D$11,Dataset!$AN:$AN,"AA-",Dataset!$J:$J,"&lt;"&amp;$D51,Dataset!$J:$J,"&gt;="&amp;$C51)</f>
        <v>0</v>
      </c>
      <c r="O51" s="101">
        <f>SUMIFS(Dataset!$AK:$AK,Dataset!$F:$F,'credito latam'!$D$11,Dataset!$AN:$AN,O$44,Dataset!$J:$J,"&lt;"&amp;$D51,Dataset!$J:$J,"&gt;="&amp;$C51)</f>
        <v>0</v>
      </c>
      <c r="P51" s="101">
        <f>SUMIFS(Dataset!$AK:$AK,Dataset!$F:$F,'credito latam'!$D$11,Dataset!$AN:$AN,P$44,Dataset!$J:$J,"&lt;"&amp;$D51,Dataset!$J:$J,"&gt;="&amp;$C51)</f>
        <v>0</v>
      </c>
      <c r="Q51" s="101">
        <f>SUMIFS(Dataset!$AK:$AK,Dataset!$F:$F,'credito latam'!$D$11,Dataset!$AN:$AN,Q$44,Dataset!$J:$J,"&lt;"&amp;$D51,Dataset!$J:$J,"&gt;="&amp;$C51)</f>
        <v>0</v>
      </c>
      <c r="R51" s="101">
        <f>SUMIFS(Dataset!$AK:$AK,Dataset!$F:$F,'credito latam'!$D$11,Dataset!$AN:$AN,R$44,Dataset!$J:$J,"&lt;"&amp;$D51,Dataset!$J:$J,"&gt;="&amp;$C51)</f>
        <v>0</v>
      </c>
      <c r="S51" s="101">
        <f>SUMIFS(Dataset!$AK:$AK,Dataset!$F:$F,'credito latam'!$D$11,Dataset!$AN:$AN,S$44,Dataset!$J:$J,"&lt;"&amp;$D51,Dataset!$J:$J,"&gt;="&amp;$C51)</f>
        <v>0</v>
      </c>
      <c r="T51" s="101">
        <f>SUMIFS(Dataset!$AK:$AK,Dataset!$F:$F,'credito latam'!$D$11,Dataset!$AN:$AN,T$44,Dataset!$J:$J,"&lt;"&amp;$D51,Dataset!$J:$J,"&gt;="&amp;$C51)</f>
        <v>0</v>
      </c>
      <c r="U51" s="101">
        <f>SUMIFS(Dataset!$AK:$AK,Dataset!$F:$F,'credito latam'!$D$11,Dataset!$AN:$AN,U$44,Dataset!$J:$J,"&lt;"&amp;$D51,Dataset!$J:$J,"&gt;="&amp;$C51)</f>
        <v>0</v>
      </c>
      <c r="V51" s="101">
        <f>SUMIFS(Dataset!$AK:$AK,Dataset!$F:$F,'credito latam'!$D$11,Dataset!$AN:$AN,V$44,Dataset!$J:$J,"&lt;"&amp;$D51,Dataset!$J:$J,"&gt;="&amp;$C51)</f>
        <v>0</v>
      </c>
      <c r="W51" s="101">
        <f>SUMIFS(Dataset!$AK:$AK,Dataset!$F:$F,'credito latam'!$D$11,Dataset!$AN:$AN,W$44,Dataset!$J:$J,"&lt;"&amp;$D51,Dataset!$J:$J,"&gt;="&amp;$C51)</f>
        <v>0</v>
      </c>
      <c r="X51" s="101">
        <f>SUMIFS(Dataset!$AK:$AK,Dataset!$F:$F,'credito latam'!$D$11,Dataset!$AN:$AN,"B-",Dataset!$J:$J,"&lt;"&amp;$D51,Dataset!$J:$J,"&gt;="&amp;$C51)+SUMIFS(Dataset!$AK:$AK,Dataset!$F:$F,'credito latam'!$D$11,Dataset!$AN:$AN,"B",Dataset!$J:$J,"&lt;"&amp;$D51,Dataset!$J:$J,"&gt;="&amp;$C51)+SUMIFS(Dataset!$AK:$AK,Dataset!$F:$F,'credito latam'!$D$11,Dataset!$AN:$AN,"B+",Dataset!$J:$J,"&lt;"&amp;$D51,Dataset!$J:$J,"&gt;="&amp;$C51)</f>
        <v>0</v>
      </c>
      <c r="Y51" s="102">
        <f>SUMIFS(Dataset!$AK:$AK,Dataset!$F:$F,'credito latam'!$D$11,Dataset!$AN:$AN,Y$44,Dataset!$J:$J,"&lt;"&amp;$D51,Dataset!$J:$J,"&gt;="&amp;$C51)</f>
        <v>0</v>
      </c>
      <c r="Z51" s="84">
        <f t="shared" si="2"/>
        <v>0</v>
      </c>
      <c r="AA51" s="115">
        <f>(SUMIFS(Dataset!$H:$H,Dataset!$F:$F,'credito latam'!$D$11,Dataset!$Z:$Z,AA$44,Dataset!$J:$J,"&lt;"&amp;$D51,Dataset!$J:$J,"&gt;="&amp;$C51))*10</f>
        <v>0</v>
      </c>
      <c r="AB51" s="117">
        <f>(SUMIFS(Dataset!$H:$H,Dataset!$F:$F,'credito latam'!$D$11,Dataset!$Z:$Z,AB$44,Dataset!$J:$J,"&lt;"&amp;$D51,Dataset!$J:$J,"&gt;="&amp;$C51))*10</f>
        <v>0</v>
      </c>
      <c r="AC51" s="117">
        <f>(SUMIFS(Dataset!$H:$H,Dataset!$F:$F,'credito latam'!$D$11,Dataset!$Z:$Z,AC$44,Dataset!$J:$J,"&lt;"&amp;$D51,Dataset!$J:$J,"&gt;="&amp;$C51))*10</f>
        <v>0</v>
      </c>
      <c r="AD51" s="117">
        <f>(SUMIFS(Dataset!$H:$H,Dataset!$F:$F,'credito latam'!$D$11,Dataset!$Z:$Z,AD$44,Dataset!$J:$J,"&lt;"&amp;$D51,Dataset!$J:$J,"&gt;="&amp;$C51))*10</f>
        <v>0</v>
      </c>
      <c r="AE51" s="117">
        <f>(SUMIFS(Dataset!$H:$H,Dataset!$F:$F,'credito latam'!$D$11,Dataset!$Z:$Z,AE$44,Dataset!$J:$J,"&lt;"&amp;$D51,Dataset!$J:$J,"&gt;="&amp;$C51))*10</f>
        <v>0</v>
      </c>
      <c r="AF51" s="117">
        <f>(SUMIFS(Dataset!$H:$H,Dataset!$F:$F,'credito latam'!$D$11,Dataset!$Z:$Z,AF$44,Dataset!$J:$J,"&lt;"&amp;$D51,Dataset!$J:$J,"&gt;="&amp;$C51))*10</f>
        <v>0</v>
      </c>
      <c r="AG51" s="118">
        <f>SUMIFS(Dataset!$H:$H,Dataset!$F:$F,'credito latam'!$D$11,Dataset!$J:$J,"&lt;"&amp;$D51,Dataset!J:J,"&gt;="&amp;$C51,Dataset!$Z:$Z,"&lt;&gt;CL",Dataset!$Z:$Z,"&lt;&gt;MX",Dataset!$Z:$Z,"&lt;&gt;CO",Dataset!$Z:$Z,"&lt;&gt;PE",Dataset!$Z:$Z,"&lt;&gt;BR",Dataset!$Z:$Z,"&lt;&gt;CI",Dataset!$Z:$Z,"&lt;&gt;PA")*10</f>
        <v>0</v>
      </c>
      <c r="AH51" s="87">
        <f t="shared" si="3"/>
        <v>0</v>
      </c>
    </row>
    <row r="52" spans="3:34" ht="33" customHeight="1" x14ac:dyDescent="0.3">
      <c r="C52" s="61">
        <v>6.5</v>
      </c>
      <c r="D52" s="81">
        <v>7.5</v>
      </c>
      <c r="E52" s="113">
        <f>SUMIFS(Dataset!$AK:$AK,Dataset!$F:$F,'credito latam'!$D$11,Dataset!$Z:$Z,E$44,Dataset!$J:$J,"&lt;"&amp;$D52,Dataset!$J:$J,"&gt;="&amp;$C52)</f>
        <v>0</v>
      </c>
      <c r="F52" s="83">
        <f>SUMIFS(Dataset!$AK:$AK,Dataset!$F:$F,'credito latam'!$D$11,Dataset!$Z:$Z,F$44,Dataset!$J:$J,"&lt;"&amp;$D52,Dataset!$J:$J,"&gt;="&amp;$C52)</f>
        <v>0</v>
      </c>
      <c r="G52" s="83">
        <f>SUMIFS(Dataset!$AK:$AK,Dataset!$F:$F,'credito latam'!$D$11,Dataset!$Z:$Z,G$44,Dataset!$J:$J,"&lt;"&amp;$D52,Dataset!$J:$J,"&gt;="&amp;$C52)</f>
        <v>0</v>
      </c>
      <c r="H52" s="83">
        <f>SUMIFS(Dataset!$AK:$AK,Dataset!$F:$F,'credito latam'!$D$11,Dataset!$Z:$Z,H$44,Dataset!$J:$J,"&lt;"&amp;$D52,Dataset!$J:$J,"&gt;="&amp;$C52)</f>
        <v>0</v>
      </c>
      <c r="I52" s="83">
        <f>SUMIFS(Dataset!$AK:$AK,Dataset!$F:$F,'credito latam'!$D$11,Dataset!$Z:$Z,I$44,Dataset!$J:$J,"&lt;"&amp;$D52,Dataset!$J:$J,"&gt;="&amp;$C52)</f>
        <v>0</v>
      </c>
      <c r="J52" s="83">
        <f>SUMIFS(Dataset!$AK:$AK,Dataset!$F:$F,'credito latam'!$D$11,Dataset!$Z:$Z,J$44,Dataset!$J:$J,"&lt;"&amp;$D52,Dataset!$J:$J,"&gt;="&amp;$C52)</f>
        <v>0</v>
      </c>
      <c r="K52" s="114">
        <f>SUMIFS(Dataset!$AK:$AK,Dataset!$F:$F,'credito latam'!$D$11,Dataset!$J:$J,"&lt;"&amp;$D52,Dataset!J:J,"&gt;="&amp;$C52,Dataset!$Z:$Z,"&lt;&gt;CL",Dataset!$Z:$Z,"&lt;&gt;MX",Dataset!$Z:$Z,"&lt;&gt;CO",Dataset!$Z:$Z,"&lt;&gt;PE",Dataset!$Z:$Z,"&lt;&gt;BR",Dataset!$Z:$Z,"&lt;&gt;PA")</f>
        <v>0</v>
      </c>
      <c r="L52" s="84">
        <f t="shared" si="1"/>
        <v>0</v>
      </c>
      <c r="M52" s="113">
        <f>SUMIFS(Dataset!$AK:$AK,Dataset!$F:$F,'credito latam'!$D$11,Dataset!$AN:$AN,"*AAA*",Dataset!$J:$J,"&lt;"&amp;$D52,Dataset!$J:$J,"&gt;="&amp;$C52)</f>
        <v>0</v>
      </c>
      <c r="N52" s="83">
        <f>SUMIFS(Dataset!$AK:$AK,Dataset!$F:$F,'credito latam'!$D$11,Dataset!$AN:$AN,"AA+",Dataset!$J:$J,"&lt;"&amp;$D52,Dataset!$J:$J,"&gt;="&amp;$C52)+SUMIFS(Dataset!$AK:$AK,Dataset!$F:$F,'credito latam'!$D$11,Dataset!$AN:$AN,"AA",Dataset!$J:$J,"&lt;"&amp;$D52,Dataset!$J:$J,"&gt;="&amp;$C52)+SUMIFS(Dataset!$AK:$AK,Dataset!$F:$F,'credito latam'!$D$11,Dataset!$AN:$AN,"AA-",Dataset!$J:$J,"&lt;"&amp;$D52,Dataset!$J:$J,"&gt;="&amp;$C52)</f>
        <v>0</v>
      </c>
      <c r="O52" s="83">
        <f>SUMIFS(Dataset!$AK:$AK,Dataset!$F:$F,'credito latam'!$D$11,Dataset!$AN:$AN,O$44,Dataset!$J:$J,"&lt;"&amp;$D52,Dataset!$J:$J,"&gt;="&amp;$C52)</f>
        <v>0</v>
      </c>
      <c r="P52" s="83">
        <f>SUMIFS(Dataset!$AK:$AK,Dataset!$F:$F,'credito latam'!$D$11,Dataset!$AN:$AN,P$44,Dataset!$J:$J,"&lt;"&amp;$D52,Dataset!$J:$J,"&gt;="&amp;$C52)</f>
        <v>0</v>
      </c>
      <c r="Q52" s="83">
        <f>SUMIFS(Dataset!$AK:$AK,Dataset!$F:$F,'credito latam'!$D$11,Dataset!$AN:$AN,Q$44,Dataset!$J:$J,"&lt;"&amp;$D52,Dataset!$J:$J,"&gt;="&amp;$C52)</f>
        <v>0</v>
      </c>
      <c r="R52" s="83">
        <f>SUMIFS(Dataset!$AK:$AK,Dataset!$F:$F,'credito latam'!$D$11,Dataset!$AN:$AN,R$44,Dataset!$J:$J,"&lt;"&amp;$D52,Dataset!$J:$J,"&gt;="&amp;$C52)</f>
        <v>0</v>
      </c>
      <c r="S52" s="83">
        <f>SUMIFS(Dataset!$AK:$AK,Dataset!$F:$F,'credito latam'!$D$11,Dataset!$AN:$AN,S$44,Dataset!$J:$J,"&lt;"&amp;$D52,Dataset!$J:$J,"&gt;="&amp;$C52)</f>
        <v>0</v>
      </c>
      <c r="T52" s="83">
        <f>SUMIFS(Dataset!$AK:$AK,Dataset!$F:$F,'credito latam'!$D$11,Dataset!$AN:$AN,T$44,Dataset!$J:$J,"&lt;"&amp;$D52,Dataset!$J:$J,"&gt;="&amp;$C52)</f>
        <v>0</v>
      </c>
      <c r="U52" s="83">
        <f>SUMIFS(Dataset!$AK:$AK,Dataset!$F:$F,'credito latam'!$D$11,Dataset!$AN:$AN,U$44,Dataset!$J:$J,"&lt;"&amp;$D52,Dataset!$J:$J,"&gt;="&amp;$C52)</f>
        <v>0</v>
      </c>
      <c r="V52" s="83">
        <f>SUMIFS(Dataset!$AK:$AK,Dataset!$F:$F,'credito latam'!$D$11,Dataset!$AN:$AN,V$44,Dataset!$J:$J,"&lt;"&amp;$D52,Dataset!$J:$J,"&gt;="&amp;$C52)</f>
        <v>0</v>
      </c>
      <c r="W52" s="83">
        <f>SUMIFS(Dataset!$AK:$AK,Dataset!$F:$F,'credito latam'!$D$11,Dataset!$AN:$AN,W$44,Dataset!$J:$J,"&lt;"&amp;$D52,Dataset!$J:$J,"&gt;="&amp;$C52)</f>
        <v>0</v>
      </c>
      <c r="X52" s="83">
        <f>SUMIFS(Dataset!$AK:$AK,Dataset!$F:$F,'credito latam'!$D$11,Dataset!$AN:$AN,"B-",Dataset!$J:$J,"&lt;"&amp;$D52,Dataset!$J:$J,"&gt;="&amp;$C52)+SUMIFS(Dataset!$AK:$AK,Dataset!$F:$F,'credito latam'!$D$11,Dataset!$AN:$AN,"B",Dataset!$J:$J,"&lt;"&amp;$D52,Dataset!$J:$J,"&gt;="&amp;$C52)+SUMIFS(Dataset!$AK:$AK,Dataset!$F:$F,'credito latam'!$D$11,Dataset!$AN:$AN,"B+",Dataset!$J:$J,"&lt;"&amp;$D52,Dataset!$J:$J,"&gt;="&amp;$C52)</f>
        <v>0</v>
      </c>
      <c r="Y52" s="114">
        <f>SUMIFS(Dataset!$AK:$AK,Dataset!$F:$F,'credito latam'!$D$11,Dataset!$AN:$AN,Y$44,Dataset!$J:$J,"&lt;"&amp;$D52,Dataset!$J:$J,"&gt;="&amp;$C52)</f>
        <v>0</v>
      </c>
      <c r="Z52" s="84">
        <f t="shared" si="2"/>
        <v>0</v>
      </c>
      <c r="AA52" s="115">
        <f>(SUMIFS(Dataset!$H:$H,Dataset!$F:$F,'credito latam'!$D$11,Dataset!$Z:$Z,AA$44,Dataset!$J:$J,"&lt;"&amp;$D52,Dataset!$J:$J,"&gt;="&amp;$C52))*10</f>
        <v>0</v>
      </c>
      <c r="AB52" s="86">
        <f>(SUMIFS(Dataset!$H:$H,Dataset!$F:$F,'credito latam'!$D$11,Dataset!$Z:$Z,AB$44,Dataset!$J:$J,"&lt;"&amp;$D52,Dataset!$J:$J,"&gt;="&amp;$C52))*10</f>
        <v>0</v>
      </c>
      <c r="AC52" s="86">
        <f>(SUMIFS(Dataset!$H:$H,Dataset!$F:$F,'credito latam'!$D$11,Dataset!$Z:$Z,AC$44,Dataset!$J:$J,"&lt;"&amp;$D52,Dataset!$J:$J,"&gt;="&amp;$C52))*10</f>
        <v>0</v>
      </c>
      <c r="AD52" s="86">
        <f>(SUMIFS(Dataset!$H:$H,Dataset!$F:$F,'credito latam'!$D$11,Dataset!$Z:$Z,AD$44,Dataset!$J:$J,"&lt;"&amp;$D52,Dataset!$J:$J,"&gt;="&amp;$C52))*10</f>
        <v>0</v>
      </c>
      <c r="AE52" s="86">
        <f>(SUMIFS(Dataset!$H:$H,Dataset!$F:$F,'credito latam'!$D$11,Dataset!$Z:$Z,AE$44,Dataset!$J:$J,"&lt;"&amp;$D52,Dataset!$J:$J,"&gt;="&amp;$C52))*10</f>
        <v>0</v>
      </c>
      <c r="AF52" s="86">
        <f>(SUMIFS(Dataset!$H:$H,Dataset!$F:$F,'credito latam'!$D$11,Dataset!$Z:$Z,AF$44,Dataset!$J:$J,"&lt;"&amp;$D52,Dataset!$J:$J,"&gt;="&amp;$C52))*10</f>
        <v>0</v>
      </c>
      <c r="AG52" s="116">
        <f>SUMIFS(Dataset!$H:$H,Dataset!$F:$F,'credito latam'!$D$11,Dataset!$J:$J,"&lt;"&amp;$D52,Dataset!J:J,"&gt;="&amp;$C52,Dataset!$Z:$Z,"&lt;&gt;CL",Dataset!$Z:$Z,"&lt;&gt;MX",Dataset!$Z:$Z,"&lt;&gt;CO",Dataset!$Z:$Z,"&lt;&gt;PE",Dataset!$Z:$Z,"&lt;&gt;BR",Dataset!$Z:$Z,"&lt;&gt;CI",Dataset!$Z:$Z,"&lt;&gt;PA")*10</f>
        <v>0</v>
      </c>
      <c r="AH52" s="87">
        <f t="shared" si="3"/>
        <v>0</v>
      </c>
    </row>
    <row r="53" spans="3:34" ht="33" customHeight="1" x14ac:dyDescent="0.3">
      <c r="C53" s="61">
        <v>7.5</v>
      </c>
      <c r="D53" s="81">
        <v>8.5</v>
      </c>
      <c r="E53" s="113">
        <f>SUMIFS(Dataset!$AK:$AK,Dataset!$F:$F,'credito latam'!$D$11,Dataset!$Z:$Z,E$44,Dataset!$J:$J,"&lt;"&amp;$D53,Dataset!$J:$J,"&gt;="&amp;$C53)</f>
        <v>0</v>
      </c>
      <c r="F53" s="101">
        <f>SUMIFS(Dataset!$AK:$AK,Dataset!$F:$F,'credito latam'!$D$11,Dataset!$Z:$Z,F$44,Dataset!$J:$J,"&lt;"&amp;$D53,Dataset!$J:$J,"&gt;="&amp;$C53)</f>
        <v>0</v>
      </c>
      <c r="G53" s="101">
        <f>SUMIFS(Dataset!$AK:$AK,Dataset!$F:$F,'credito latam'!$D$11,Dataset!$Z:$Z,G$44,Dataset!$J:$J,"&lt;"&amp;$D53,Dataset!$J:$J,"&gt;="&amp;$C53)</f>
        <v>0</v>
      </c>
      <c r="H53" s="101">
        <f>SUMIFS(Dataset!$AK:$AK,Dataset!$F:$F,'credito latam'!$D$11,Dataset!$Z:$Z,H$44,Dataset!$J:$J,"&lt;"&amp;$D53,Dataset!$J:$J,"&gt;="&amp;$C53)</f>
        <v>0</v>
      </c>
      <c r="I53" s="101">
        <f>SUMIFS(Dataset!$AK:$AK,Dataset!$F:$F,'credito latam'!$D$11,Dataset!$Z:$Z,I$44,Dataset!$J:$J,"&lt;"&amp;$D53,Dataset!$J:$J,"&gt;="&amp;$C53)</f>
        <v>0</v>
      </c>
      <c r="J53" s="101">
        <f>SUMIFS(Dataset!$AK:$AK,Dataset!$F:$F,'credito latam'!$D$11,Dataset!$Z:$Z,J$44,Dataset!$J:$J,"&lt;"&amp;$D53,Dataset!$J:$J,"&gt;="&amp;$C53)</f>
        <v>0</v>
      </c>
      <c r="K53" s="102">
        <f>SUMIFS(Dataset!$AK:$AK,Dataset!$F:$F,'credito latam'!$D$11,Dataset!$J:$J,"&lt;"&amp;$D53,Dataset!J:J,"&gt;="&amp;$C53,Dataset!$Z:$Z,"&lt;&gt;CL",Dataset!$Z:$Z,"&lt;&gt;MX",Dataset!$Z:$Z,"&lt;&gt;CO",Dataset!$Z:$Z,"&lt;&gt;PE",Dataset!$Z:$Z,"&lt;&gt;BR",Dataset!$Z:$Z,"&lt;&gt;PA")</f>
        <v>0</v>
      </c>
      <c r="L53" s="84">
        <f t="shared" si="1"/>
        <v>0</v>
      </c>
      <c r="M53" s="113">
        <f>SUMIFS(Dataset!$AK:$AK,Dataset!$F:$F,'credito latam'!$D$11,Dataset!$AN:$AN,"*AAA*",Dataset!$J:$J,"&lt;"&amp;$D53,Dataset!$J:$J,"&gt;="&amp;$C53)</f>
        <v>0</v>
      </c>
      <c r="N53" s="101">
        <f>SUMIFS(Dataset!$AK:$AK,Dataset!$F:$F,'credito latam'!$D$11,Dataset!$AN:$AN,"AA+",Dataset!$J:$J,"&lt;"&amp;$D53,Dataset!$J:$J,"&gt;="&amp;$C53)+SUMIFS(Dataset!$AK:$AK,Dataset!$F:$F,'credito latam'!$D$11,Dataset!$AN:$AN,"AA",Dataset!$J:$J,"&lt;"&amp;$D53,Dataset!$J:$J,"&gt;="&amp;$C53)+SUMIFS(Dataset!$AK:$AK,Dataset!$F:$F,'credito latam'!$D$11,Dataset!$AN:$AN,"AA-",Dataset!$J:$J,"&lt;"&amp;$D53,Dataset!$J:$J,"&gt;="&amp;$C53)</f>
        <v>0</v>
      </c>
      <c r="O53" s="101">
        <f>SUMIFS(Dataset!$AK:$AK,Dataset!$F:$F,'credito latam'!$D$11,Dataset!$AN:$AN,O$44,Dataset!$J:$J,"&lt;"&amp;$D53,Dataset!$J:$J,"&gt;="&amp;$C53)</f>
        <v>0</v>
      </c>
      <c r="P53" s="101">
        <f>SUMIFS(Dataset!$AK:$AK,Dataset!$F:$F,'credito latam'!$D$11,Dataset!$AN:$AN,P$44,Dataset!$J:$J,"&lt;"&amp;$D53,Dataset!$J:$J,"&gt;="&amp;$C53)</f>
        <v>0</v>
      </c>
      <c r="Q53" s="101">
        <f>SUMIFS(Dataset!$AK:$AK,Dataset!$F:$F,'credito latam'!$D$11,Dataset!$AN:$AN,Q$44,Dataset!$J:$J,"&lt;"&amp;$D53,Dataset!$J:$J,"&gt;="&amp;$C53)</f>
        <v>0</v>
      </c>
      <c r="R53" s="101">
        <f>SUMIFS(Dataset!$AK:$AK,Dataset!$F:$F,'credito latam'!$D$11,Dataset!$AN:$AN,R$44,Dataset!$J:$J,"&lt;"&amp;$D53,Dataset!$J:$J,"&gt;="&amp;$C53)</f>
        <v>0</v>
      </c>
      <c r="S53" s="101">
        <f>SUMIFS(Dataset!$AK:$AK,Dataset!$F:$F,'credito latam'!$D$11,Dataset!$AN:$AN,S$44,Dataset!$J:$J,"&lt;"&amp;$D53,Dataset!$J:$J,"&gt;="&amp;$C53)</f>
        <v>0</v>
      </c>
      <c r="T53" s="101">
        <f>SUMIFS(Dataset!$AK:$AK,Dataset!$F:$F,'credito latam'!$D$11,Dataset!$AN:$AN,T$44,Dataset!$J:$J,"&lt;"&amp;$D53,Dataset!$J:$J,"&gt;="&amp;$C53)</f>
        <v>0</v>
      </c>
      <c r="U53" s="101">
        <f>SUMIFS(Dataset!$AK:$AK,Dataset!$F:$F,'credito latam'!$D$11,Dataset!$AN:$AN,U$44,Dataset!$J:$J,"&lt;"&amp;$D53,Dataset!$J:$J,"&gt;="&amp;$C53)</f>
        <v>0</v>
      </c>
      <c r="V53" s="101">
        <f>SUMIFS(Dataset!$AK:$AK,Dataset!$F:$F,'credito latam'!$D$11,Dataset!$AN:$AN,V$44,Dataset!$J:$J,"&lt;"&amp;$D53,Dataset!$J:$J,"&gt;="&amp;$C53)</f>
        <v>0</v>
      </c>
      <c r="W53" s="101">
        <f>SUMIFS(Dataset!$AK:$AK,Dataset!$F:$F,'credito latam'!$D$11,Dataset!$AN:$AN,W$44,Dataset!$J:$J,"&lt;"&amp;$D53,Dataset!$J:$J,"&gt;="&amp;$C53)</f>
        <v>0</v>
      </c>
      <c r="X53" s="101">
        <f>SUMIFS(Dataset!$AK:$AK,Dataset!$F:$F,'credito latam'!$D$11,Dataset!$AN:$AN,"B-",Dataset!$J:$J,"&lt;"&amp;$D53,Dataset!$J:$J,"&gt;="&amp;$C53)+SUMIFS(Dataset!$AK:$AK,Dataset!$F:$F,'credito latam'!$D$11,Dataset!$AN:$AN,"B",Dataset!$J:$J,"&lt;"&amp;$D53,Dataset!$J:$J,"&gt;="&amp;$C53)+SUMIFS(Dataset!$AK:$AK,Dataset!$F:$F,'credito latam'!$D$11,Dataset!$AN:$AN,"B+",Dataset!$J:$J,"&lt;"&amp;$D53,Dataset!$J:$J,"&gt;="&amp;$C53)</f>
        <v>0</v>
      </c>
      <c r="Y53" s="102">
        <f>SUMIFS(Dataset!$AK:$AK,Dataset!$F:$F,'credito latam'!$D$11,Dataset!$AN:$AN,Y$44,Dataset!$J:$J,"&lt;"&amp;$D53,Dataset!$J:$J,"&gt;="&amp;$C53)</f>
        <v>0</v>
      </c>
      <c r="Z53" s="84">
        <f t="shared" si="2"/>
        <v>0</v>
      </c>
      <c r="AA53" s="115">
        <f>(SUMIFS(Dataset!$H:$H,Dataset!$F:$F,'credito latam'!$D$11,Dataset!$Z:$Z,AA$44,Dataset!$J:$J,"&lt;"&amp;$D53,Dataset!$J:$J,"&gt;="&amp;$C53))*10</f>
        <v>0</v>
      </c>
      <c r="AB53" s="117">
        <f>(SUMIFS(Dataset!$H:$H,Dataset!$F:$F,'credito latam'!$D$11,Dataset!$Z:$Z,AB$44,Dataset!$J:$J,"&lt;"&amp;$D53,Dataset!$J:$J,"&gt;="&amp;$C53))*10</f>
        <v>0</v>
      </c>
      <c r="AC53" s="117">
        <f>(SUMIFS(Dataset!$H:$H,Dataset!$F:$F,'credito latam'!$D$11,Dataset!$Z:$Z,AC$44,Dataset!$J:$J,"&lt;"&amp;$D53,Dataset!$J:$J,"&gt;="&amp;$C53))*10</f>
        <v>0</v>
      </c>
      <c r="AD53" s="117">
        <f>(SUMIFS(Dataset!$H:$H,Dataset!$F:$F,'credito latam'!$D$11,Dataset!$Z:$Z,AD$44,Dataset!$J:$J,"&lt;"&amp;$D53,Dataset!$J:$J,"&gt;="&amp;$C53))*10</f>
        <v>0</v>
      </c>
      <c r="AE53" s="117">
        <f>(SUMIFS(Dataset!$H:$H,Dataset!$F:$F,'credito latam'!$D$11,Dataset!$Z:$Z,AE$44,Dataset!$J:$J,"&lt;"&amp;$D53,Dataset!$J:$J,"&gt;="&amp;$C53))*10</f>
        <v>0</v>
      </c>
      <c r="AF53" s="117">
        <f>(SUMIFS(Dataset!$H:$H,Dataset!$F:$F,'credito latam'!$D$11,Dataset!$Z:$Z,AF$44,Dataset!$J:$J,"&lt;"&amp;$D53,Dataset!$J:$J,"&gt;="&amp;$C53))*10</f>
        <v>0</v>
      </c>
      <c r="AG53" s="118">
        <f>SUMIFS(Dataset!$H:$H,Dataset!$F:$F,'credito latam'!$D$11,Dataset!$J:$J,"&lt;"&amp;$D53,Dataset!J:J,"&gt;="&amp;$C53,Dataset!$Z:$Z,"&lt;&gt;CL",Dataset!$Z:$Z,"&lt;&gt;MX",Dataset!$Z:$Z,"&lt;&gt;CO",Dataset!$Z:$Z,"&lt;&gt;PE",Dataset!$Z:$Z,"&lt;&gt;BR",Dataset!$Z:$Z,"&lt;&gt;CI",Dataset!$Z:$Z,"&lt;&gt;PA")*10</f>
        <v>0</v>
      </c>
      <c r="AH53" s="87">
        <f t="shared" si="3"/>
        <v>0</v>
      </c>
    </row>
    <row r="54" spans="3:34" ht="33" customHeight="1" x14ac:dyDescent="0.3">
      <c r="C54" s="61">
        <v>8.5</v>
      </c>
      <c r="D54" s="81">
        <v>9.5</v>
      </c>
      <c r="E54" s="113">
        <f>SUMIFS(Dataset!$AK:$AK,Dataset!$F:$F,'credito latam'!$D$11,Dataset!$Z:$Z,E$44,Dataset!$J:$J,"&lt;"&amp;$D54,Dataset!$J:$J,"&gt;="&amp;$C54)</f>
        <v>0</v>
      </c>
      <c r="F54" s="83">
        <f>SUMIFS(Dataset!$AK:$AK,Dataset!$F:$F,'credito latam'!$D$11,Dataset!$Z:$Z,F$44,Dataset!$J:$J,"&lt;"&amp;$D54,Dataset!$J:$J,"&gt;="&amp;$C54)</f>
        <v>0</v>
      </c>
      <c r="G54" s="83">
        <f>SUMIFS(Dataset!$AK:$AK,Dataset!$F:$F,'credito latam'!$D$11,Dataset!$Z:$Z,G$44,Dataset!$J:$J,"&lt;"&amp;$D54,Dataset!$J:$J,"&gt;="&amp;$C54)</f>
        <v>0</v>
      </c>
      <c r="H54" s="83">
        <f>SUMIFS(Dataset!$AK:$AK,Dataset!$F:$F,'credito latam'!$D$11,Dataset!$Z:$Z,H$44,Dataset!$J:$J,"&lt;"&amp;$D54,Dataset!$J:$J,"&gt;="&amp;$C54)</f>
        <v>0</v>
      </c>
      <c r="I54" s="83">
        <f>SUMIFS(Dataset!$AK:$AK,Dataset!$F:$F,'credito latam'!$D$11,Dataset!$Z:$Z,I$44,Dataset!$J:$J,"&lt;"&amp;$D54,Dataset!$J:$J,"&gt;="&amp;$C54)</f>
        <v>0</v>
      </c>
      <c r="J54" s="83">
        <f>SUMIFS(Dataset!$AK:$AK,Dataset!$F:$F,'credito latam'!$D$11,Dataset!$Z:$Z,J$44,Dataset!$J:$J,"&lt;"&amp;$D54,Dataset!$J:$J,"&gt;="&amp;$C54)</f>
        <v>0</v>
      </c>
      <c r="K54" s="114">
        <f>SUMIFS(Dataset!$AK:$AK,Dataset!$F:$F,'credito latam'!$D$11,Dataset!$J:$J,"&lt;"&amp;$D54,Dataset!J:J,"&gt;="&amp;$C54,Dataset!$Z:$Z,"&lt;&gt;CL",Dataset!$Z:$Z,"&lt;&gt;MX",Dataset!$Z:$Z,"&lt;&gt;CO",Dataset!$Z:$Z,"&lt;&gt;PE",Dataset!$Z:$Z,"&lt;&gt;BR",Dataset!$Z:$Z,"&lt;&gt;PA")</f>
        <v>0</v>
      </c>
      <c r="L54" s="84">
        <f t="shared" si="1"/>
        <v>0</v>
      </c>
      <c r="M54" s="113">
        <f>SUMIFS(Dataset!$AK:$AK,Dataset!$F:$F,'credito latam'!$D$11,Dataset!$AN:$AN,"*AAA*",Dataset!$J:$J,"&lt;"&amp;$D54,Dataset!$J:$J,"&gt;="&amp;$C54)</f>
        <v>0</v>
      </c>
      <c r="N54" s="83">
        <f>SUMIFS(Dataset!$AK:$AK,Dataset!$F:$F,'credito latam'!$D$11,Dataset!$AN:$AN,"AA+",Dataset!$J:$J,"&lt;"&amp;$D54,Dataset!$J:$J,"&gt;="&amp;$C54)+SUMIFS(Dataset!$AK:$AK,Dataset!$F:$F,'credito latam'!$D$11,Dataset!$AN:$AN,"AA",Dataset!$J:$J,"&lt;"&amp;$D54,Dataset!$J:$J,"&gt;="&amp;$C54)+SUMIFS(Dataset!$AK:$AK,Dataset!$F:$F,'credito latam'!$D$11,Dataset!$AN:$AN,"AA-",Dataset!$J:$J,"&lt;"&amp;$D54,Dataset!$J:$J,"&gt;="&amp;$C54)</f>
        <v>0</v>
      </c>
      <c r="O54" s="83">
        <f>SUMIFS(Dataset!$AK:$AK,Dataset!$F:$F,'credito latam'!$D$11,Dataset!$AN:$AN,O$44,Dataset!$J:$J,"&lt;"&amp;$D54,Dataset!$J:$J,"&gt;="&amp;$C54)</f>
        <v>0</v>
      </c>
      <c r="P54" s="83">
        <f>SUMIFS(Dataset!$AK:$AK,Dataset!$F:$F,'credito latam'!$D$11,Dataset!$AN:$AN,P$44,Dataset!$J:$J,"&lt;"&amp;$D54,Dataset!$J:$J,"&gt;="&amp;$C54)</f>
        <v>0</v>
      </c>
      <c r="Q54" s="83">
        <f>SUMIFS(Dataset!$AK:$AK,Dataset!$F:$F,'credito latam'!$D$11,Dataset!$AN:$AN,Q$44,Dataset!$J:$J,"&lt;"&amp;$D54,Dataset!$J:$J,"&gt;="&amp;$C54)</f>
        <v>0</v>
      </c>
      <c r="R54" s="83">
        <f>SUMIFS(Dataset!$AK:$AK,Dataset!$F:$F,'credito latam'!$D$11,Dataset!$AN:$AN,R$44,Dataset!$J:$J,"&lt;"&amp;$D54,Dataset!$J:$J,"&gt;="&amp;$C54)</f>
        <v>0</v>
      </c>
      <c r="S54" s="83">
        <f>SUMIFS(Dataset!$AK:$AK,Dataset!$F:$F,'credito latam'!$D$11,Dataset!$AN:$AN,S$44,Dataset!$J:$J,"&lt;"&amp;$D54,Dataset!$J:$J,"&gt;="&amp;$C54)</f>
        <v>0</v>
      </c>
      <c r="T54" s="83">
        <f>SUMIFS(Dataset!$AK:$AK,Dataset!$F:$F,'credito latam'!$D$11,Dataset!$AN:$AN,T$44,Dataset!$J:$J,"&lt;"&amp;$D54,Dataset!$J:$J,"&gt;="&amp;$C54)</f>
        <v>0</v>
      </c>
      <c r="U54" s="83">
        <f>SUMIFS(Dataset!$AK:$AK,Dataset!$F:$F,'credito latam'!$D$11,Dataset!$AN:$AN,U$44,Dataset!$J:$J,"&lt;"&amp;$D54,Dataset!$J:$J,"&gt;="&amp;$C54)</f>
        <v>0</v>
      </c>
      <c r="V54" s="83">
        <f>SUMIFS(Dataset!$AK:$AK,Dataset!$F:$F,'credito latam'!$D$11,Dataset!$AN:$AN,V$44,Dataset!$J:$J,"&lt;"&amp;$D54,Dataset!$J:$J,"&gt;="&amp;$C54)</f>
        <v>0</v>
      </c>
      <c r="W54" s="83">
        <f>SUMIFS(Dataset!$AK:$AK,Dataset!$F:$F,'credito latam'!$D$11,Dataset!$AN:$AN,W$44,Dataset!$J:$J,"&lt;"&amp;$D54,Dataset!$J:$J,"&gt;="&amp;$C54)</f>
        <v>0</v>
      </c>
      <c r="X54" s="83">
        <f>SUMIFS(Dataset!$AK:$AK,Dataset!$F:$F,'credito latam'!$D$11,Dataset!$AN:$AN,"B-",Dataset!$J:$J,"&lt;"&amp;$D54,Dataset!$J:$J,"&gt;="&amp;$C54)+SUMIFS(Dataset!$AK:$AK,Dataset!$F:$F,'credito latam'!$D$11,Dataset!$AN:$AN,"B",Dataset!$J:$J,"&lt;"&amp;$D54,Dataset!$J:$J,"&gt;="&amp;$C54)+SUMIFS(Dataset!$AK:$AK,Dataset!$F:$F,'credito latam'!$D$11,Dataset!$AN:$AN,"B+",Dataset!$J:$J,"&lt;"&amp;$D54,Dataset!$J:$J,"&gt;="&amp;$C54)</f>
        <v>0</v>
      </c>
      <c r="Y54" s="114">
        <f>SUMIFS(Dataset!$AK:$AK,Dataset!$F:$F,'credito latam'!$D$11,Dataset!$AN:$AN,Y$44,Dataset!$J:$J,"&lt;"&amp;$D54,Dataset!$J:$J,"&gt;="&amp;$C54)</f>
        <v>0</v>
      </c>
      <c r="Z54" s="84">
        <f t="shared" si="2"/>
        <v>0</v>
      </c>
      <c r="AA54" s="115">
        <f>(SUMIFS(Dataset!$H:$H,Dataset!$F:$F,'credito latam'!$D$11,Dataset!$Z:$Z,AA$44,Dataset!$J:$J,"&lt;"&amp;$D54,Dataset!$J:$J,"&gt;="&amp;$C54))*10</f>
        <v>0</v>
      </c>
      <c r="AB54" s="86">
        <f>(SUMIFS(Dataset!$H:$H,Dataset!$F:$F,'credito latam'!$D$11,Dataset!$Z:$Z,AB$44,Dataset!$J:$J,"&lt;"&amp;$D54,Dataset!$J:$J,"&gt;="&amp;$C54))*10</f>
        <v>0</v>
      </c>
      <c r="AC54" s="86">
        <f>(SUMIFS(Dataset!$H:$H,Dataset!$F:$F,'credito latam'!$D$11,Dataset!$Z:$Z,AC$44,Dataset!$J:$J,"&lt;"&amp;$D54,Dataset!$J:$J,"&gt;="&amp;$C54))*10</f>
        <v>0</v>
      </c>
      <c r="AD54" s="86">
        <f>(SUMIFS(Dataset!$H:$H,Dataset!$F:$F,'credito latam'!$D$11,Dataset!$Z:$Z,AD$44,Dataset!$J:$J,"&lt;"&amp;$D54,Dataset!$J:$J,"&gt;="&amp;$C54))*10</f>
        <v>0</v>
      </c>
      <c r="AE54" s="86">
        <f>(SUMIFS(Dataset!$H:$H,Dataset!$F:$F,'credito latam'!$D$11,Dataset!$Z:$Z,AE$44,Dataset!$J:$J,"&lt;"&amp;$D54,Dataset!$J:$J,"&gt;="&amp;$C54))*10</f>
        <v>0</v>
      </c>
      <c r="AF54" s="86">
        <f>(SUMIFS(Dataset!$H:$H,Dataset!$F:$F,'credito latam'!$D$11,Dataset!$Z:$Z,AF$44,Dataset!$J:$J,"&lt;"&amp;$D54,Dataset!$J:$J,"&gt;="&amp;$C54))*10</f>
        <v>0</v>
      </c>
      <c r="AG54" s="116">
        <f>SUMIFS(Dataset!$H:$H,Dataset!$F:$F,'credito latam'!$D$11,Dataset!$J:$J,"&lt;"&amp;$D54,Dataset!J:J,"&gt;="&amp;$C54,Dataset!$Z:$Z,"&lt;&gt;CL",Dataset!$Z:$Z,"&lt;&gt;MX",Dataset!$Z:$Z,"&lt;&gt;CO",Dataset!$Z:$Z,"&lt;&gt;PE",Dataset!$Z:$Z,"&lt;&gt;BR",Dataset!$Z:$Z,"&lt;&gt;CI",Dataset!$Z:$Z,"&lt;&gt;PA")*10</f>
        <v>0</v>
      </c>
      <c r="AH54" s="87">
        <f t="shared" si="3"/>
        <v>0</v>
      </c>
    </row>
    <row r="55" spans="3:34" ht="33" customHeight="1" x14ac:dyDescent="0.3">
      <c r="C55" s="61">
        <v>9.5</v>
      </c>
      <c r="D55" s="81">
        <v>10.5</v>
      </c>
      <c r="E55" s="113">
        <f>SUMIFS(Dataset!$AK:$AK,Dataset!$F:$F,'credito latam'!$D$11,Dataset!$Z:$Z,E$44,Dataset!$J:$J,"&lt;"&amp;$D55,Dataset!$J:$J,"&gt;="&amp;$C55)</f>
        <v>0</v>
      </c>
      <c r="F55" s="101">
        <f>SUMIFS(Dataset!$AK:$AK,Dataset!$F:$F,'credito latam'!$D$11,Dataset!$Z:$Z,F$44,Dataset!$J:$J,"&lt;"&amp;$D55,Dataset!$J:$J,"&gt;="&amp;$C55)</f>
        <v>0</v>
      </c>
      <c r="G55" s="101">
        <f>SUMIFS(Dataset!$AK:$AK,Dataset!$F:$F,'credito latam'!$D$11,Dataset!$Z:$Z,G$44,Dataset!$J:$J,"&lt;"&amp;$D55,Dataset!$J:$J,"&gt;="&amp;$C55)</f>
        <v>0</v>
      </c>
      <c r="H55" s="101">
        <f>SUMIFS(Dataset!$AK:$AK,Dataset!$F:$F,'credito latam'!$D$11,Dataset!$Z:$Z,H$44,Dataset!$J:$J,"&lt;"&amp;$D55,Dataset!$J:$J,"&gt;="&amp;$C55)</f>
        <v>0</v>
      </c>
      <c r="I55" s="101">
        <f>SUMIFS(Dataset!$AK:$AK,Dataset!$F:$F,'credito latam'!$D$11,Dataset!$Z:$Z,I$44,Dataset!$J:$J,"&lt;"&amp;$D55,Dataset!$J:$J,"&gt;="&amp;$C55)</f>
        <v>0</v>
      </c>
      <c r="J55" s="101">
        <f>SUMIFS(Dataset!$AK:$AK,Dataset!$F:$F,'credito latam'!$D$11,Dataset!$Z:$Z,J$44,Dataset!$J:$J,"&lt;"&amp;$D55,Dataset!$J:$J,"&gt;="&amp;$C55)</f>
        <v>0</v>
      </c>
      <c r="K55" s="102">
        <f>SUMIFS(Dataset!$AK:$AK,Dataset!$F:$F,'credito latam'!$D$11,Dataset!$J:$J,"&lt;"&amp;$D55,Dataset!J:J,"&gt;="&amp;$C55,Dataset!$Z:$Z,"&lt;&gt;CL",Dataset!$Z:$Z,"&lt;&gt;MX",Dataset!$Z:$Z,"&lt;&gt;CO",Dataset!$Z:$Z,"&lt;&gt;PE",Dataset!$Z:$Z,"&lt;&gt;BR",Dataset!$Z:$Z,"&lt;&gt;PA")</f>
        <v>0</v>
      </c>
      <c r="L55" s="84">
        <f t="shared" si="1"/>
        <v>0</v>
      </c>
      <c r="M55" s="113">
        <f>SUMIFS(Dataset!$AK:$AK,Dataset!$F:$F,'credito latam'!$D$11,Dataset!$AN:$AN,"*AAA*",Dataset!$J:$J,"&lt;"&amp;$D55,Dataset!$J:$J,"&gt;="&amp;$C55)</f>
        <v>0</v>
      </c>
      <c r="N55" s="101">
        <f>SUMIFS(Dataset!$AK:$AK,Dataset!$F:$F,'credito latam'!$D$11,Dataset!$AN:$AN,"AA+",Dataset!$J:$J,"&lt;"&amp;$D55,Dataset!$J:$J,"&gt;="&amp;$C55)+SUMIFS(Dataset!$AK:$AK,Dataset!$F:$F,'credito latam'!$D$11,Dataset!$AN:$AN,"AA",Dataset!$J:$J,"&lt;"&amp;$D55,Dataset!$J:$J,"&gt;="&amp;$C55)+SUMIFS(Dataset!$AK:$AK,Dataset!$F:$F,'credito latam'!$D$11,Dataset!$AN:$AN,"AA-",Dataset!$J:$J,"&lt;"&amp;$D55,Dataset!$J:$J,"&gt;="&amp;$C55)</f>
        <v>0</v>
      </c>
      <c r="O55" s="101">
        <f>SUMIFS(Dataset!$AK:$AK,Dataset!$F:$F,'credito latam'!$D$11,Dataset!$AN:$AN,O$44,Dataset!$J:$J,"&lt;"&amp;$D55,Dataset!$J:$J,"&gt;="&amp;$C55)</f>
        <v>0</v>
      </c>
      <c r="P55" s="101">
        <f>SUMIFS(Dataset!$AK:$AK,Dataset!$F:$F,'credito latam'!$D$11,Dataset!$AN:$AN,P$44,Dataset!$J:$J,"&lt;"&amp;$D55,Dataset!$J:$J,"&gt;="&amp;$C55)</f>
        <v>0</v>
      </c>
      <c r="Q55" s="101">
        <f>SUMIFS(Dataset!$AK:$AK,Dataset!$F:$F,'credito latam'!$D$11,Dataset!$AN:$AN,Q$44,Dataset!$J:$J,"&lt;"&amp;$D55,Dataset!$J:$J,"&gt;="&amp;$C55)</f>
        <v>0</v>
      </c>
      <c r="R55" s="101">
        <f>SUMIFS(Dataset!$AK:$AK,Dataset!$F:$F,'credito latam'!$D$11,Dataset!$AN:$AN,R$44,Dataset!$J:$J,"&lt;"&amp;$D55,Dataset!$J:$J,"&gt;="&amp;$C55)</f>
        <v>0</v>
      </c>
      <c r="S55" s="101">
        <f>SUMIFS(Dataset!$AK:$AK,Dataset!$F:$F,'credito latam'!$D$11,Dataset!$AN:$AN,S$44,Dataset!$J:$J,"&lt;"&amp;$D55,Dataset!$J:$J,"&gt;="&amp;$C55)</f>
        <v>0</v>
      </c>
      <c r="T55" s="101">
        <f>SUMIFS(Dataset!$AK:$AK,Dataset!$F:$F,'credito latam'!$D$11,Dataset!$AN:$AN,T$44,Dataset!$J:$J,"&lt;"&amp;$D55,Dataset!$J:$J,"&gt;="&amp;$C55)</f>
        <v>0</v>
      </c>
      <c r="U55" s="101">
        <f>SUMIFS(Dataset!$AK:$AK,Dataset!$F:$F,'credito latam'!$D$11,Dataset!$AN:$AN,U$44,Dataset!$J:$J,"&lt;"&amp;$D55,Dataset!$J:$J,"&gt;="&amp;$C55)</f>
        <v>0</v>
      </c>
      <c r="V55" s="101">
        <f>SUMIFS(Dataset!$AK:$AK,Dataset!$F:$F,'credito latam'!$D$11,Dataset!$AN:$AN,V$44,Dataset!$J:$J,"&lt;"&amp;$D55,Dataset!$J:$J,"&gt;="&amp;$C55)</f>
        <v>0</v>
      </c>
      <c r="W55" s="101">
        <f>SUMIFS(Dataset!$AK:$AK,Dataset!$F:$F,'credito latam'!$D$11,Dataset!$AN:$AN,W$44,Dataset!$J:$J,"&lt;"&amp;$D55,Dataset!$J:$J,"&gt;="&amp;$C55)</f>
        <v>0</v>
      </c>
      <c r="X55" s="101">
        <f>SUMIFS(Dataset!$AK:$AK,Dataset!$F:$F,'credito latam'!$D$11,Dataset!$AN:$AN,"B-",Dataset!$J:$J,"&lt;"&amp;$D55,Dataset!$J:$J,"&gt;="&amp;$C55)+SUMIFS(Dataset!$AK:$AK,Dataset!$F:$F,'credito latam'!$D$11,Dataset!$AN:$AN,"B",Dataset!$J:$J,"&lt;"&amp;$D55,Dataset!$J:$J,"&gt;="&amp;$C55)+SUMIFS(Dataset!$AK:$AK,Dataset!$F:$F,'credito latam'!$D$11,Dataset!$AN:$AN,"B+",Dataset!$J:$J,"&lt;"&amp;$D55,Dataset!$J:$J,"&gt;="&amp;$C55)</f>
        <v>0</v>
      </c>
      <c r="Y55" s="102">
        <f>SUMIFS(Dataset!$AK:$AK,Dataset!$F:$F,'credito latam'!$D$11,Dataset!$AN:$AN,Y$44,Dataset!$J:$J,"&lt;"&amp;$D55,Dataset!$J:$J,"&gt;="&amp;$C55)</f>
        <v>0</v>
      </c>
      <c r="Z55" s="84">
        <f t="shared" si="2"/>
        <v>0</v>
      </c>
      <c r="AA55" s="115">
        <f>(SUMIFS(Dataset!$H:$H,Dataset!$F:$F,'credito latam'!$D$11,Dataset!$Z:$Z,AA$44,Dataset!$J:$J,"&lt;"&amp;$D55,Dataset!$J:$J,"&gt;="&amp;$C55))*10</f>
        <v>0</v>
      </c>
      <c r="AB55" s="117">
        <f>(SUMIFS(Dataset!$H:$H,Dataset!$F:$F,'credito latam'!$D$11,Dataset!$Z:$Z,AB$44,Dataset!$J:$J,"&lt;"&amp;$D55,Dataset!$J:$J,"&gt;="&amp;$C55))*10</f>
        <v>0</v>
      </c>
      <c r="AC55" s="117">
        <f>(SUMIFS(Dataset!$H:$H,Dataset!$F:$F,'credito latam'!$D$11,Dataset!$Z:$Z,AC$44,Dataset!$J:$J,"&lt;"&amp;$D55,Dataset!$J:$J,"&gt;="&amp;$C55))*10</f>
        <v>0</v>
      </c>
      <c r="AD55" s="117">
        <f>(SUMIFS(Dataset!$H:$H,Dataset!$F:$F,'credito latam'!$D$11,Dataset!$Z:$Z,AD$44,Dataset!$J:$J,"&lt;"&amp;$D55,Dataset!$J:$J,"&gt;="&amp;$C55))*10</f>
        <v>0</v>
      </c>
      <c r="AE55" s="117">
        <f>(SUMIFS(Dataset!$H:$H,Dataset!$F:$F,'credito latam'!$D$11,Dataset!$Z:$Z,AE$44,Dataset!$J:$J,"&lt;"&amp;$D55,Dataset!$J:$J,"&gt;="&amp;$C55))*10</f>
        <v>0</v>
      </c>
      <c r="AF55" s="117">
        <f>(SUMIFS(Dataset!$H:$H,Dataset!$F:$F,'credito latam'!$D$11,Dataset!$Z:$Z,AF$44,Dataset!$J:$J,"&lt;"&amp;$D55,Dataset!$J:$J,"&gt;="&amp;$C55))*10</f>
        <v>0</v>
      </c>
      <c r="AG55" s="118">
        <f>SUMIFS(Dataset!$H:$H,Dataset!$F:$F,'credito latam'!$D$11,Dataset!$J:$J,"&lt;"&amp;$D55,Dataset!J:J,"&gt;="&amp;$C55,Dataset!$Z:$Z,"&lt;&gt;CL",Dataset!$Z:$Z,"&lt;&gt;MX",Dataset!$Z:$Z,"&lt;&gt;CO",Dataset!$Z:$Z,"&lt;&gt;PE",Dataset!$Z:$Z,"&lt;&gt;BR",Dataset!$Z:$Z,"&lt;&gt;CI",Dataset!$Z:$Z,"&lt;&gt;PA")*10</f>
        <v>0</v>
      </c>
      <c r="AH55" s="87">
        <f t="shared" si="3"/>
        <v>0</v>
      </c>
    </row>
    <row r="56" spans="3:34" ht="33" customHeight="1" x14ac:dyDescent="0.3">
      <c r="C56" s="61">
        <v>10.5</v>
      </c>
      <c r="D56" s="81">
        <v>11.5</v>
      </c>
      <c r="E56" s="113">
        <f>SUMIFS(Dataset!$AK:$AK,Dataset!$F:$F,'credito latam'!$D$11,Dataset!$Z:$Z,E$44,Dataset!$J:$J,"&lt;"&amp;$D56,Dataset!$J:$J,"&gt;="&amp;$C56)</f>
        <v>0</v>
      </c>
      <c r="F56" s="83">
        <f>SUMIFS(Dataset!$AK:$AK,Dataset!$F:$F,'credito latam'!$D$11,Dataset!$Z:$Z,F$44,Dataset!$J:$J,"&lt;"&amp;$D56,Dataset!$J:$J,"&gt;="&amp;$C56)</f>
        <v>0</v>
      </c>
      <c r="G56" s="83">
        <f>SUMIFS(Dataset!$AK:$AK,Dataset!$F:$F,'credito latam'!$D$11,Dataset!$Z:$Z,G$44,Dataset!$J:$J,"&lt;"&amp;$D56,Dataset!$J:$J,"&gt;="&amp;$C56)</f>
        <v>0</v>
      </c>
      <c r="H56" s="83">
        <f>SUMIFS(Dataset!$AK:$AK,Dataset!$F:$F,'credito latam'!$D$11,Dataset!$Z:$Z,H$44,Dataset!$J:$J,"&lt;"&amp;$D56,Dataset!$J:$J,"&gt;="&amp;$C56)</f>
        <v>0</v>
      </c>
      <c r="I56" s="83">
        <f>SUMIFS(Dataset!$AK:$AK,Dataset!$F:$F,'credito latam'!$D$11,Dataset!$Z:$Z,I$44,Dataset!$J:$J,"&lt;"&amp;$D56,Dataset!$J:$J,"&gt;="&amp;$C56)</f>
        <v>0</v>
      </c>
      <c r="J56" s="83">
        <f>SUMIFS(Dataset!$AK:$AK,Dataset!$F:$F,'credito latam'!$D$11,Dataset!$Z:$Z,J$44,Dataset!$J:$J,"&lt;"&amp;$D56,Dataset!$J:$J,"&gt;="&amp;$C56)</f>
        <v>0</v>
      </c>
      <c r="K56" s="114">
        <f>SUMIFS(Dataset!$AK:$AK,Dataset!$F:$F,'credito latam'!$D$11,Dataset!$J:$J,"&lt;"&amp;$D56,Dataset!J:J,"&gt;="&amp;$C56,Dataset!$Z:$Z,"&lt;&gt;CL",Dataset!$Z:$Z,"&lt;&gt;MX",Dataset!$Z:$Z,"&lt;&gt;CO",Dataset!$Z:$Z,"&lt;&gt;PE",Dataset!$Z:$Z,"&lt;&gt;BR",Dataset!$Z:$Z,"&lt;&gt;PA")</f>
        <v>0</v>
      </c>
      <c r="L56" s="84">
        <f t="shared" si="1"/>
        <v>0</v>
      </c>
      <c r="M56" s="113">
        <f>SUMIFS(Dataset!$AK:$AK,Dataset!$F:$F,'credito latam'!$D$11,Dataset!$AN:$AN,"*AAA*",Dataset!$J:$J,"&lt;"&amp;$D56,Dataset!$J:$J,"&gt;="&amp;$C56)</f>
        <v>0</v>
      </c>
      <c r="N56" s="83">
        <f>SUMIFS(Dataset!$AK:$AK,Dataset!$F:$F,'credito latam'!$D$11,Dataset!$AN:$AN,"AA+",Dataset!$J:$J,"&lt;"&amp;$D56,Dataset!$J:$J,"&gt;="&amp;$C56)+SUMIFS(Dataset!$AK:$AK,Dataset!$F:$F,'credito latam'!$D$11,Dataset!$AN:$AN,"AA",Dataset!$J:$J,"&lt;"&amp;$D56,Dataset!$J:$J,"&gt;="&amp;$C56)+SUMIFS(Dataset!$AK:$AK,Dataset!$F:$F,'credito latam'!$D$11,Dataset!$AN:$AN,"AA-",Dataset!$J:$J,"&lt;"&amp;$D56,Dataset!$J:$J,"&gt;="&amp;$C56)</f>
        <v>0</v>
      </c>
      <c r="O56" s="83">
        <f>SUMIFS(Dataset!$AK:$AK,Dataset!$F:$F,'credito latam'!$D$11,Dataset!$AN:$AN,O$44,Dataset!$J:$J,"&lt;"&amp;$D56,Dataset!$J:$J,"&gt;="&amp;$C56)</f>
        <v>0</v>
      </c>
      <c r="P56" s="83">
        <f>SUMIFS(Dataset!$AK:$AK,Dataset!$F:$F,'credito latam'!$D$11,Dataset!$AN:$AN,P$44,Dataset!$J:$J,"&lt;"&amp;$D56,Dataset!$J:$J,"&gt;="&amp;$C56)</f>
        <v>0</v>
      </c>
      <c r="Q56" s="83">
        <f>SUMIFS(Dataset!$AK:$AK,Dataset!$F:$F,'credito latam'!$D$11,Dataset!$AN:$AN,Q$44,Dataset!$J:$J,"&lt;"&amp;$D56,Dataset!$J:$J,"&gt;="&amp;$C56)</f>
        <v>0</v>
      </c>
      <c r="R56" s="83">
        <f>SUMIFS(Dataset!$AK:$AK,Dataset!$F:$F,'credito latam'!$D$11,Dataset!$AN:$AN,R$44,Dataset!$J:$J,"&lt;"&amp;$D56,Dataset!$J:$J,"&gt;="&amp;$C56)</f>
        <v>0</v>
      </c>
      <c r="S56" s="83">
        <f>SUMIFS(Dataset!$AK:$AK,Dataset!$F:$F,'credito latam'!$D$11,Dataset!$AN:$AN,S$44,Dataset!$J:$J,"&lt;"&amp;$D56,Dataset!$J:$J,"&gt;="&amp;$C56)</f>
        <v>0</v>
      </c>
      <c r="T56" s="83">
        <f>SUMIFS(Dataset!$AK:$AK,Dataset!$F:$F,'credito latam'!$D$11,Dataset!$AN:$AN,T$44,Dataset!$J:$J,"&lt;"&amp;$D56,Dataset!$J:$J,"&gt;="&amp;$C56)</f>
        <v>0</v>
      </c>
      <c r="U56" s="83">
        <f>SUMIFS(Dataset!$AK:$AK,Dataset!$F:$F,'credito latam'!$D$11,Dataset!$AN:$AN,U$44,Dataset!$J:$J,"&lt;"&amp;$D56,Dataset!$J:$J,"&gt;="&amp;$C56)</f>
        <v>0</v>
      </c>
      <c r="V56" s="83">
        <f>SUMIFS(Dataset!$AK:$AK,Dataset!$F:$F,'credito latam'!$D$11,Dataset!$AN:$AN,V$44,Dataset!$J:$J,"&lt;"&amp;$D56,Dataset!$J:$J,"&gt;="&amp;$C56)</f>
        <v>0</v>
      </c>
      <c r="W56" s="83">
        <f>SUMIFS(Dataset!$AK:$AK,Dataset!$F:$F,'credito latam'!$D$11,Dataset!$AN:$AN,W$44,Dataset!$J:$J,"&lt;"&amp;$D56,Dataset!$J:$J,"&gt;="&amp;$C56)</f>
        <v>0</v>
      </c>
      <c r="X56" s="83">
        <f>SUMIFS(Dataset!$AK:$AK,Dataset!$F:$F,'credito latam'!$D$11,Dataset!$AN:$AN,"B-",Dataset!$J:$J,"&lt;"&amp;$D56,Dataset!$J:$J,"&gt;="&amp;$C56)+SUMIFS(Dataset!$AK:$AK,Dataset!$F:$F,'credito latam'!$D$11,Dataset!$AN:$AN,"B",Dataset!$J:$J,"&lt;"&amp;$D56,Dataset!$J:$J,"&gt;="&amp;$C56)+SUMIFS(Dataset!$AK:$AK,Dataset!$F:$F,'credito latam'!$D$11,Dataset!$AN:$AN,"B+",Dataset!$J:$J,"&lt;"&amp;$D56,Dataset!$J:$J,"&gt;="&amp;$C56)</f>
        <v>0</v>
      </c>
      <c r="Y56" s="114">
        <f>SUMIFS(Dataset!$AK:$AK,Dataset!$F:$F,'credito latam'!$D$11,Dataset!$AN:$AN,Y$44,Dataset!$J:$J,"&lt;"&amp;$D56,Dataset!$J:$J,"&gt;="&amp;$C56)</f>
        <v>0</v>
      </c>
      <c r="Z56" s="84">
        <f t="shared" si="2"/>
        <v>0</v>
      </c>
      <c r="AA56" s="115">
        <f>(SUMIFS(Dataset!$H:$H,Dataset!$F:$F,'credito latam'!$D$11,Dataset!$Z:$Z,AA$44,Dataset!$J:$J,"&lt;"&amp;$D56,Dataset!$J:$J,"&gt;="&amp;$C56))*10</f>
        <v>0</v>
      </c>
      <c r="AB56" s="86">
        <f>(SUMIFS(Dataset!$H:$H,Dataset!$F:$F,'credito latam'!$D$11,Dataset!$Z:$Z,AB$44,Dataset!$J:$J,"&lt;"&amp;$D56,Dataset!$J:$J,"&gt;="&amp;$C56))*10</f>
        <v>0</v>
      </c>
      <c r="AC56" s="86">
        <f>(SUMIFS(Dataset!$H:$H,Dataset!$F:$F,'credito latam'!$D$11,Dataset!$Z:$Z,AC$44,Dataset!$J:$J,"&lt;"&amp;$D56,Dataset!$J:$J,"&gt;="&amp;$C56))*10</f>
        <v>0</v>
      </c>
      <c r="AD56" s="86">
        <f>(SUMIFS(Dataset!$H:$H,Dataset!$F:$F,'credito latam'!$D$11,Dataset!$Z:$Z,AD$44,Dataset!$J:$J,"&lt;"&amp;$D56,Dataset!$J:$J,"&gt;="&amp;$C56))*10</f>
        <v>0</v>
      </c>
      <c r="AE56" s="86">
        <f>(SUMIFS(Dataset!$H:$H,Dataset!$F:$F,'credito latam'!$D$11,Dataset!$Z:$Z,AE$44,Dataset!$J:$J,"&lt;"&amp;$D56,Dataset!$J:$J,"&gt;="&amp;$C56))*10</f>
        <v>0</v>
      </c>
      <c r="AF56" s="86">
        <f>(SUMIFS(Dataset!$H:$H,Dataset!$F:$F,'credito latam'!$D$11,Dataset!$Z:$Z,AF$44,Dataset!$J:$J,"&lt;"&amp;$D56,Dataset!$J:$J,"&gt;="&amp;$C56))*10</f>
        <v>0</v>
      </c>
      <c r="AG56" s="116">
        <f>SUMIFS(Dataset!$H:$H,Dataset!$F:$F,'credito latam'!$D$11,Dataset!$J:$J,"&lt;"&amp;$D56,Dataset!J:J,"&gt;="&amp;$C56,Dataset!$Z:$Z,"&lt;&gt;CL",Dataset!$Z:$Z,"&lt;&gt;MX",Dataset!$Z:$Z,"&lt;&gt;CO",Dataset!$Z:$Z,"&lt;&gt;PE",Dataset!$Z:$Z,"&lt;&gt;BR",Dataset!$Z:$Z,"&lt;&gt;CI",Dataset!$Z:$Z,"&lt;&gt;PA")*10</f>
        <v>0</v>
      </c>
      <c r="AH56" s="87">
        <f t="shared" si="3"/>
        <v>0</v>
      </c>
    </row>
    <row r="57" spans="3:34" ht="33" customHeight="1" x14ac:dyDescent="0.3">
      <c r="C57" s="61">
        <v>11.5</v>
      </c>
      <c r="D57" s="81">
        <v>12.5</v>
      </c>
      <c r="E57" s="113">
        <f>SUMIFS(Dataset!$AK:$AK,Dataset!$F:$F,'credito latam'!$D$11,Dataset!$Z:$Z,E$44,Dataset!$J:$J,"&lt;"&amp;$D57,Dataset!$J:$J,"&gt;="&amp;$C57)</f>
        <v>0</v>
      </c>
      <c r="F57" s="101">
        <f>SUMIFS(Dataset!$AK:$AK,Dataset!$F:$F,'credito latam'!$D$11,Dataset!$Z:$Z,F$44,Dataset!$J:$J,"&lt;"&amp;$D57,Dataset!$J:$J,"&gt;="&amp;$C57)</f>
        <v>0</v>
      </c>
      <c r="G57" s="101">
        <f>SUMIFS(Dataset!$AK:$AK,Dataset!$F:$F,'credito latam'!$D$11,Dataset!$Z:$Z,G$44,Dataset!$J:$J,"&lt;"&amp;$D57,Dataset!$J:$J,"&gt;="&amp;$C57)</f>
        <v>0</v>
      </c>
      <c r="H57" s="101">
        <f>SUMIFS(Dataset!$AK:$AK,Dataset!$F:$F,'credito latam'!$D$11,Dataset!$Z:$Z,H$44,Dataset!$J:$J,"&lt;"&amp;$D57,Dataset!$J:$J,"&gt;="&amp;$C57)</f>
        <v>0</v>
      </c>
      <c r="I57" s="101">
        <f>SUMIFS(Dataset!$AK:$AK,Dataset!$F:$F,'credito latam'!$D$11,Dataset!$Z:$Z,I$44,Dataset!$J:$J,"&lt;"&amp;$D57,Dataset!$J:$J,"&gt;="&amp;$C57)</f>
        <v>0</v>
      </c>
      <c r="J57" s="101">
        <f>SUMIFS(Dataset!$AK:$AK,Dataset!$F:$F,'credito latam'!$D$11,Dataset!$Z:$Z,J$44,Dataset!$J:$J,"&lt;"&amp;$D57,Dataset!$J:$J,"&gt;="&amp;$C57)</f>
        <v>0</v>
      </c>
      <c r="K57" s="102">
        <f>SUMIFS(Dataset!$AK:$AK,Dataset!$F:$F,'credito latam'!$D$11,Dataset!$J:$J,"&lt;"&amp;$D57,Dataset!J:J,"&gt;="&amp;$C57,Dataset!$Z:$Z,"&lt;&gt;CL",Dataset!$Z:$Z,"&lt;&gt;MX",Dataset!$Z:$Z,"&lt;&gt;CO",Dataset!$Z:$Z,"&lt;&gt;PE",Dataset!$Z:$Z,"&lt;&gt;BR",Dataset!$Z:$Z,"&lt;&gt;PA")</f>
        <v>0</v>
      </c>
      <c r="L57" s="84">
        <f t="shared" si="1"/>
        <v>0</v>
      </c>
      <c r="M57" s="113">
        <f>SUMIFS(Dataset!$AK:$AK,Dataset!$F:$F,'credito latam'!$D$11,Dataset!$AN:$AN,"*AAA*",Dataset!$J:$J,"&lt;"&amp;$D57,Dataset!$J:$J,"&gt;="&amp;$C57)</f>
        <v>0</v>
      </c>
      <c r="N57" s="101">
        <f>SUMIFS(Dataset!$AK:$AK,Dataset!$F:$F,'credito latam'!$D$11,Dataset!$AN:$AN,"AA+",Dataset!$J:$J,"&lt;"&amp;$D57,Dataset!$J:$J,"&gt;="&amp;$C57)+SUMIFS(Dataset!$AK:$AK,Dataset!$F:$F,'credito latam'!$D$11,Dataset!$AN:$AN,"AA",Dataset!$J:$J,"&lt;"&amp;$D57,Dataset!$J:$J,"&gt;="&amp;$C57)+SUMIFS(Dataset!$AK:$AK,Dataset!$F:$F,'credito latam'!$D$11,Dataset!$AN:$AN,"AA-",Dataset!$J:$J,"&lt;"&amp;$D57,Dataset!$J:$J,"&gt;="&amp;$C57)</f>
        <v>0</v>
      </c>
      <c r="O57" s="101">
        <f>SUMIFS(Dataset!$AK:$AK,Dataset!$F:$F,'credito latam'!$D$11,Dataset!$AN:$AN,O$44,Dataset!$J:$J,"&lt;"&amp;$D57,Dataset!$J:$J,"&gt;="&amp;$C57)</f>
        <v>0</v>
      </c>
      <c r="P57" s="101">
        <f>SUMIFS(Dataset!$AK:$AK,Dataset!$F:$F,'credito latam'!$D$11,Dataset!$AN:$AN,P$44,Dataset!$J:$J,"&lt;"&amp;$D57,Dataset!$J:$J,"&gt;="&amp;$C57)</f>
        <v>0</v>
      </c>
      <c r="Q57" s="101">
        <f>SUMIFS(Dataset!$AK:$AK,Dataset!$F:$F,'credito latam'!$D$11,Dataset!$AN:$AN,Q$44,Dataset!$J:$J,"&lt;"&amp;$D57,Dataset!$J:$J,"&gt;="&amp;$C57)</f>
        <v>0</v>
      </c>
      <c r="R57" s="101">
        <f>SUMIFS(Dataset!$AK:$AK,Dataset!$F:$F,'credito latam'!$D$11,Dataset!$AN:$AN,R$44,Dataset!$J:$J,"&lt;"&amp;$D57,Dataset!$J:$J,"&gt;="&amp;$C57)</f>
        <v>0</v>
      </c>
      <c r="S57" s="101">
        <f>SUMIFS(Dataset!$AK:$AK,Dataset!$F:$F,'credito latam'!$D$11,Dataset!$AN:$AN,S$44,Dataset!$J:$J,"&lt;"&amp;$D57,Dataset!$J:$J,"&gt;="&amp;$C57)</f>
        <v>0</v>
      </c>
      <c r="T57" s="101">
        <f>SUMIFS(Dataset!$AK:$AK,Dataset!$F:$F,'credito latam'!$D$11,Dataset!$AN:$AN,T$44,Dataset!$J:$J,"&lt;"&amp;$D57,Dataset!$J:$J,"&gt;="&amp;$C57)</f>
        <v>0</v>
      </c>
      <c r="U57" s="101">
        <f>SUMIFS(Dataset!$AK:$AK,Dataset!$F:$F,'credito latam'!$D$11,Dataset!$AN:$AN,U$44,Dataset!$J:$J,"&lt;"&amp;$D57,Dataset!$J:$J,"&gt;="&amp;$C57)</f>
        <v>0</v>
      </c>
      <c r="V57" s="101">
        <f>SUMIFS(Dataset!$AK:$AK,Dataset!$F:$F,'credito latam'!$D$11,Dataset!$AN:$AN,V$44,Dataset!$J:$J,"&lt;"&amp;$D57,Dataset!$J:$J,"&gt;="&amp;$C57)</f>
        <v>0</v>
      </c>
      <c r="W57" s="101">
        <f>SUMIFS(Dataset!$AK:$AK,Dataset!$F:$F,'credito latam'!$D$11,Dataset!$AN:$AN,W$44,Dataset!$J:$J,"&lt;"&amp;$D57,Dataset!$J:$J,"&gt;="&amp;$C57)</f>
        <v>0</v>
      </c>
      <c r="X57" s="101">
        <f>SUMIFS(Dataset!$AK:$AK,Dataset!$F:$F,'credito latam'!$D$11,Dataset!$AN:$AN,"B-",Dataset!$J:$J,"&lt;"&amp;$D57,Dataset!$J:$J,"&gt;="&amp;$C57)+SUMIFS(Dataset!$AK:$AK,Dataset!$F:$F,'credito latam'!$D$11,Dataset!$AN:$AN,"B",Dataset!$J:$J,"&lt;"&amp;$D57,Dataset!$J:$J,"&gt;="&amp;$C57)+SUMIFS(Dataset!$AK:$AK,Dataset!$F:$F,'credito latam'!$D$11,Dataset!$AN:$AN,"B+",Dataset!$J:$J,"&lt;"&amp;$D57,Dataset!$J:$J,"&gt;="&amp;$C57)</f>
        <v>0</v>
      </c>
      <c r="Y57" s="102">
        <f>SUMIFS(Dataset!$AK:$AK,Dataset!$F:$F,'credito latam'!$D$11,Dataset!$AN:$AN,Y$44,Dataset!$J:$J,"&lt;"&amp;$D57,Dataset!$J:$J,"&gt;="&amp;$C57)</f>
        <v>0</v>
      </c>
      <c r="Z57" s="84">
        <f t="shared" si="2"/>
        <v>0</v>
      </c>
      <c r="AA57" s="115">
        <f>(SUMIFS(Dataset!$H:$H,Dataset!$F:$F,'credito latam'!$D$11,Dataset!$Z:$Z,AA$44,Dataset!$J:$J,"&lt;"&amp;$D57,Dataset!$J:$J,"&gt;="&amp;$C57))*10</f>
        <v>0</v>
      </c>
      <c r="AB57" s="117">
        <f>(SUMIFS(Dataset!$H:$H,Dataset!$F:$F,'credito latam'!$D$11,Dataset!$Z:$Z,AB$44,Dataset!$J:$J,"&lt;"&amp;$D57,Dataset!$J:$J,"&gt;="&amp;$C57))*10</f>
        <v>0</v>
      </c>
      <c r="AC57" s="117">
        <f>(SUMIFS(Dataset!$H:$H,Dataset!$F:$F,'credito latam'!$D$11,Dataset!$Z:$Z,AC$44,Dataset!$J:$J,"&lt;"&amp;$D57,Dataset!$J:$J,"&gt;="&amp;$C57))*10</f>
        <v>0</v>
      </c>
      <c r="AD57" s="117">
        <f>(SUMIFS(Dataset!$H:$H,Dataset!$F:$F,'credito latam'!$D$11,Dataset!$Z:$Z,AD$44,Dataset!$J:$J,"&lt;"&amp;$D57,Dataset!$J:$J,"&gt;="&amp;$C57))*10</f>
        <v>0</v>
      </c>
      <c r="AE57" s="117">
        <f>(SUMIFS(Dataset!$H:$H,Dataset!$F:$F,'credito latam'!$D$11,Dataset!$Z:$Z,AE$44,Dataset!$J:$J,"&lt;"&amp;$D57,Dataset!$J:$J,"&gt;="&amp;$C57))*10</f>
        <v>0</v>
      </c>
      <c r="AF57" s="117">
        <f>(SUMIFS(Dataset!$H:$H,Dataset!$F:$F,'credito latam'!$D$11,Dataset!$Z:$Z,AF$44,Dataset!$J:$J,"&lt;"&amp;$D57,Dataset!$J:$J,"&gt;="&amp;$C57))*10</f>
        <v>0</v>
      </c>
      <c r="AG57" s="118">
        <f>SUMIFS(Dataset!$H:$H,Dataset!$F:$F,'credito latam'!$D$11,Dataset!$J:$J,"&lt;"&amp;$D57,Dataset!J:J,"&gt;="&amp;$C57,Dataset!$Z:$Z,"&lt;&gt;CL",Dataset!$Z:$Z,"&lt;&gt;MX",Dataset!$Z:$Z,"&lt;&gt;CO",Dataset!$Z:$Z,"&lt;&gt;PE",Dataset!$Z:$Z,"&lt;&gt;BR",Dataset!$Z:$Z,"&lt;&gt;CI",Dataset!$Z:$Z,"&lt;&gt;PA")*10</f>
        <v>0</v>
      </c>
      <c r="AH57" s="87">
        <f t="shared" si="3"/>
        <v>0</v>
      </c>
    </row>
    <row r="58" spans="3:34" ht="33" customHeight="1" x14ac:dyDescent="0.3">
      <c r="C58" s="61">
        <v>12.5</v>
      </c>
      <c r="D58" s="81">
        <v>13.5</v>
      </c>
      <c r="E58" s="113">
        <f>SUMIFS(Dataset!$AK:$AK,Dataset!$F:$F,'credito latam'!$D$11,Dataset!$Z:$Z,E$44,Dataset!$J:$J,"&lt;"&amp;$D58,Dataset!$J:$J,"&gt;="&amp;$C58)</f>
        <v>0</v>
      </c>
      <c r="F58" s="83">
        <f>SUMIFS(Dataset!$AK:$AK,Dataset!$F:$F,'credito latam'!$D$11,Dataset!$Z:$Z,F$44,Dataset!$J:$J,"&lt;"&amp;$D58,Dataset!$J:$J,"&gt;="&amp;$C58)</f>
        <v>0</v>
      </c>
      <c r="G58" s="83">
        <f>SUMIFS(Dataset!$AK:$AK,Dataset!$F:$F,'credito latam'!$D$11,Dataset!$Z:$Z,G$44,Dataset!$J:$J,"&lt;"&amp;$D58,Dataset!$J:$J,"&gt;="&amp;$C58)</f>
        <v>0</v>
      </c>
      <c r="H58" s="83">
        <f>SUMIFS(Dataset!$AK:$AK,Dataset!$F:$F,'credito latam'!$D$11,Dataset!$Z:$Z,H$44,Dataset!$J:$J,"&lt;"&amp;$D58,Dataset!$J:$J,"&gt;="&amp;$C58)</f>
        <v>0</v>
      </c>
      <c r="I58" s="83">
        <f>SUMIFS(Dataset!$AK:$AK,Dataset!$F:$F,'credito latam'!$D$11,Dataset!$Z:$Z,I$44,Dataset!$J:$J,"&lt;"&amp;$D58,Dataset!$J:$J,"&gt;="&amp;$C58)</f>
        <v>0</v>
      </c>
      <c r="J58" s="83">
        <f>SUMIFS(Dataset!$AK:$AK,Dataset!$F:$F,'credito latam'!$D$11,Dataset!$Z:$Z,J$44,Dataset!$J:$J,"&lt;"&amp;$D58,Dataset!$J:$J,"&gt;="&amp;$C58)</f>
        <v>0</v>
      </c>
      <c r="K58" s="114">
        <f>SUMIFS(Dataset!$AK:$AK,Dataset!$F:$F,'credito latam'!$D$11,Dataset!$J:$J,"&lt;"&amp;$D58,Dataset!J:J,"&gt;="&amp;$C58,Dataset!$Z:$Z,"&lt;&gt;CL",Dataset!$Z:$Z,"&lt;&gt;MX",Dataset!$Z:$Z,"&lt;&gt;CO",Dataset!$Z:$Z,"&lt;&gt;PE",Dataset!$Z:$Z,"&lt;&gt;BR",Dataset!$Z:$Z,"&lt;&gt;PA")</f>
        <v>0</v>
      </c>
      <c r="L58" s="84">
        <f t="shared" si="1"/>
        <v>0</v>
      </c>
      <c r="M58" s="113">
        <f>SUMIFS(Dataset!$AK:$AK,Dataset!$F:$F,'credito latam'!$D$11,Dataset!$AN:$AN,"*AAA*",Dataset!$J:$J,"&lt;"&amp;$D58,Dataset!$J:$J,"&gt;="&amp;$C58)</f>
        <v>0</v>
      </c>
      <c r="N58" s="83">
        <f>SUMIFS(Dataset!$AK:$AK,Dataset!$F:$F,'credito latam'!$D$11,Dataset!$AN:$AN,"AA+",Dataset!$J:$J,"&lt;"&amp;$D58,Dataset!$J:$J,"&gt;="&amp;$C58)+SUMIFS(Dataset!$AK:$AK,Dataset!$F:$F,'credito latam'!$D$11,Dataset!$AN:$AN,"AA",Dataset!$J:$J,"&lt;"&amp;$D58,Dataset!$J:$J,"&gt;="&amp;$C58)+SUMIFS(Dataset!$AK:$AK,Dataset!$F:$F,'credito latam'!$D$11,Dataset!$AN:$AN,"AA-",Dataset!$J:$J,"&lt;"&amp;$D58,Dataset!$J:$J,"&gt;="&amp;$C58)</f>
        <v>0</v>
      </c>
      <c r="O58" s="83">
        <f>SUMIFS(Dataset!$AK:$AK,Dataset!$F:$F,'credito latam'!$D$11,Dataset!$AN:$AN,O$44,Dataset!$J:$J,"&lt;"&amp;$D58,Dataset!$J:$J,"&gt;="&amp;$C58)</f>
        <v>0</v>
      </c>
      <c r="P58" s="83">
        <f>SUMIFS(Dataset!$AK:$AK,Dataset!$F:$F,'credito latam'!$D$11,Dataset!$AN:$AN,P$44,Dataset!$J:$J,"&lt;"&amp;$D58,Dataset!$J:$J,"&gt;="&amp;$C58)</f>
        <v>0</v>
      </c>
      <c r="Q58" s="83">
        <f>SUMIFS(Dataset!$AK:$AK,Dataset!$F:$F,'credito latam'!$D$11,Dataset!$AN:$AN,Q$44,Dataset!$J:$J,"&lt;"&amp;$D58,Dataset!$J:$J,"&gt;="&amp;$C58)</f>
        <v>0</v>
      </c>
      <c r="R58" s="83">
        <f>SUMIFS(Dataset!$AK:$AK,Dataset!$F:$F,'credito latam'!$D$11,Dataset!$AN:$AN,R$44,Dataset!$J:$J,"&lt;"&amp;$D58,Dataset!$J:$J,"&gt;="&amp;$C58)</f>
        <v>0</v>
      </c>
      <c r="S58" s="83">
        <f>SUMIFS(Dataset!$AK:$AK,Dataset!$F:$F,'credito latam'!$D$11,Dataset!$AN:$AN,S$44,Dataset!$J:$J,"&lt;"&amp;$D58,Dataset!$J:$J,"&gt;="&amp;$C58)</f>
        <v>0</v>
      </c>
      <c r="T58" s="83">
        <f>SUMIFS(Dataset!$AK:$AK,Dataset!$F:$F,'credito latam'!$D$11,Dataset!$AN:$AN,T$44,Dataset!$J:$J,"&lt;"&amp;$D58,Dataset!$J:$J,"&gt;="&amp;$C58)</f>
        <v>0</v>
      </c>
      <c r="U58" s="83">
        <f>SUMIFS(Dataset!$AK:$AK,Dataset!$F:$F,'credito latam'!$D$11,Dataset!$AN:$AN,U$44,Dataset!$J:$J,"&lt;"&amp;$D58,Dataset!$J:$J,"&gt;="&amp;$C58)</f>
        <v>0</v>
      </c>
      <c r="V58" s="83">
        <f>SUMIFS(Dataset!$AK:$AK,Dataset!$F:$F,'credito latam'!$D$11,Dataset!$AN:$AN,V$44,Dataset!$J:$J,"&lt;"&amp;$D58,Dataset!$J:$J,"&gt;="&amp;$C58)</f>
        <v>0</v>
      </c>
      <c r="W58" s="83">
        <f>SUMIFS(Dataset!$AK:$AK,Dataset!$F:$F,'credito latam'!$D$11,Dataset!$AN:$AN,W$44,Dataset!$J:$J,"&lt;"&amp;$D58,Dataset!$J:$J,"&gt;="&amp;$C58)</f>
        <v>0</v>
      </c>
      <c r="X58" s="83">
        <f>SUMIFS(Dataset!$AK:$AK,Dataset!$F:$F,'credito latam'!$D$11,Dataset!$AN:$AN,"B-",Dataset!$J:$J,"&lt;"&amp;$D58,Dataset!$J:$J,"&gt;="&amp;$C58)+SUMIFS(Dataset!$AK:$AK,Dataset!$F:$F,'credito latam'!$D$11,Dataset!$AN:$AN,"B",Dataset!$J:$J,"&lt;"&amp;$D58,Dataset!$J:$J,"&gt;="&amp;$C58)+SUMIFS(Dataset!$AK:$AK,Dataset!$F:$F,'credito latam'!$D$11,Dataset!$AN:$AN,"B+",Dataset!$J:$J,"&lt;"&amp;$D58,Dataset!$J:$J,"&gt;="&amp;$C58)</f>
        <v>0</v>
      </c>
      <c r="Y58" s="114">
        <f>SUMIFS(Dataset!$AK:$AK,Dataset!$F:$F,'credito latam'!$D$11,Dataset!$AN:$AN,Y$44,Dataset!$J:$J,"&lt;"&amp;$D58,Dataset!$J:$J,"&gt;="&amp;$C58)</f>
        <v>0</v>
      </c>
      <c r="Z58" s="84">
        <f t="shared" si="2"/>
        <v>0</v>
      </c>
      <c r="AA58" s="115">
        <f>(SUMIFS(Dataset!$H:$H,Dataset!$F:$F,'credito latam'!$D$11,Dataset!$Z:$Z,AA$44,Dataset!$J:$J,"&lt;"&amp;$D58,Dataset!$J:$J,"&gt;="&amp;$C58))*10</f>
        <v>0</v>
      </c>
      <c r="AB58" s="86">
        <f>(SUMIFS(Dataset!$H:$H,Dataset!$F:$F,'credito latam'!$D$11,Dataset!$Z:$Z,AB$44,Dataset!$J:$J,"&lt;"&amp;$D58,Dataset!$J:$J,"&gt;="&amp;$C58))*10</f>
        <v>0</v>
      </c>
      <c r="AC58" s="86">
        <f>(SUMIFS(Dataset!$H:$H,Dataset!$F:$F,'credito latam'!$D$11,Dataset!$Z:$Z,AC$44,Dataset!$J:$J,"&lt;"&amp;$D58,Dataset!$J:$J,"&gt;="&amp;$C58))*10</f>
        <v>0</v>
      </c>
      <c r="AD58" s="86">
        <f>(SUMIFS(Dataset!$H:$H,Dataset!$F:$F,'credito latam'!$D$11,Dataset!$Z:$Z,AD$44,Dataset!$J:$J,"&lt;"&amp;$D58,Dataset!$J:$J,"&gt;="&amp;$C58))*10</f>
        <v>0</v>
      </c>
      <c r="AE58" s="86">
        <f>(SUMIFS(Dataset!$H:$H,Dataset!$F:$F,'credito latam'!$D$11,Dataset!$Z:$Z,AE$44,Dataset!$J:$J,"&lt;"&amp;$D58,Dataset!$J:$J,"&gt;="&amp;$C58))*10</f>
        <v>0</v>
      </c>
      <c r="AF58" s="86">
        <f>(SUMIFS(Dataset!$H:$H,Dataset!$F:$F,'credito latam'!$D$11,Dataset!$Z:$Z,AF$44,Dataset!$J:$J,"&lt;"&amp;$D58,Dataset!$J:$J,"&gt;="&amp;$C58))*10</f>
        <v>0</v>
      </c>
      <c r="AG58" s="116">
        <f>SUMIFS(Dataset!$H:$H,Dataset!$F:$F,'credito latam'!$D$11,Dataset!$J:$J,"&lt;"&amp;$D58,Dataset!J:J,"&gt;="&amp;$C58,Dataset!$Z:$Z,"&lt;&gt;CL",Dataset!$Z:$Z,"&lt;&gt;MX",Dataset!$Z:$Z,"&lt;&gt;CO",Dataset!$Z:$Z,"&lt;&gt;PE",Dataset!$Z:$Z,"&lt;&gt;BR",Dataset!$Z:$Z,"&lt;&gt;CI",Dataset!$Z:$Z,"&lt;&gt;PA")*10</f>
        <v>0</v>
      </c>
      <c r="AH58" s="87">
        <f t="shared" si="3"/>
        <v>0</v>
      </c>
    </row>
    <row r="59" spans="3:34" ht="33" customHeight="1" x14ac:dyDescent="0.3">
      <c r="C59" s="61">
        <v>13.5</v>
      </c>
      <c r="D59" s="81">
        <v>14.5</v>
      </c>
      <c r="E59" s="113">
        <f>SUMIFS(Dataset!$AK:$AK,Dataset!$F:$F,'credito latam'!$D$11,Dataset!$Z:$Z,E$44,Dataset!$J:$J,"&lt;"&amp;$D59,Dataset!$J:$J,"&gt;="&amp;$C59)</f>
        <v>0</v>
      </c>
      <c r="F59" s="101">
        <f>SUMIFS(Dataset!$AK:$AK,Dataset!$F:$F,'credito latam'!$D$11,Dataset!$Z:$Z,F$44,Dataset!$J:$J,"&lt;"&amp;$D59,Dataset!$J:$J,"&gt;="&amp;$C59)</f>
        <v>0</v>
      </c>
      <c r="G59" s="101">
        <f>SUMIFS(Dataset!$AK:$AK,Dataset!$F:$F,'credito latam'!$D$11,Dataset!$Z:$Z,G$44,Dataset!$J:$J,"&lt;"&amp;$D59,Dataset!$J:$J,"&gt;="&amp;$C59)</f>
        <v>0</v>
      </c>
      <c r="H59" s="101">
        <f>SUMIFS(Dataset!$AK:$AK,Dataset!$F:$F,'credito latam'!$D$11,Dataset!$Z:$Z,H$44,Dataset!$J:$J,"&lt;"&amp;$D59,Dataset!$J:$J,"&gt;="&amp;$C59)</f>
        <v>0</v>
      </c>
      <c r="I59" s="101">
        <f>SUMIFS(Dataset!$AK:$AK,Dataset!$F:$F,'credito latam'!$D$11,Dataset!$Z:$Z,I$44,Dataset!$J:$J,"&lt;"&amp;$D59,Dataset!$J:$J,"&gt;="&amp;$C59)</f>
        <v>0</v>
      </c>
      <c r="J59" s="101">
        <f>SUMIFS(Dataset!$AK:$AK,Dataset!$F:$F,'credito latam'!$D$11,Dataset!$Z:$Z,J$44,Dataset!$J:$J,"&lt;"&amp;$D59,Dataset!$J:$J,"&gt;="&amp;$C59)</f>
        <v>0</v>
      </c>
      <c r="K59" s="102">
        <f>SUMIFS(Dataset!$AK:$AK,Dataset!$F:$F,'credito latam'!$D$11,Dataset!$J:$J,"&lt;"&amp;$D59,Dataset!J:J,"&gt;="&amp;$C59,Dataset!$Z:$Z,"&lt;&gt;CL",Dataset!$Z:$Z,"&lt;&gt;MX",Dataset!$Z:$Z,"&lt;&gt;CO",Dataset!$Z:$Z,"&lt;&gt;PE",Dataset!$Z:$Z,"&lt;&gt;BR",Dataset!$Z:$Z,"&lt;&gt;PA")</f>
        <v>0</v>
      </c>
      <c r="L59" s="84">
        <f t="shared" si="1"/>
        <v>0</v>
      </c>
      <c r="M59" s="113">
        <f>SUMIFS(Dataset!$AK:$AK,Dataset!$F:$F,'credito latam'!$D$11,Dataset!$AN:$AN,"*AAA*",Dataset!$J:$J,"&lt;"&amp;$D59,Dataset!$J:$J,"&gt;="&amp;$C59)</f>
        <v>0</v>
      </c>
      <c r="N59" s="101">
        <f>SUMIFS(Dataset!$AK:$AK,Dataset!$F:$F,'credito latam'!$D$11,Dataset!$AN:$AN,"AA+",Dataset!$J:$J,"&lt;"&amp;$D59,Dataset!$J:$J,"&gt;="&amp;$C59)+SUMIFS(Dataset!$AK:$AK,Dataset!$F:$F,'credito latam'!$D$11,Dataset!$AN:$AN,"AA",Dataset!$J:$J,"&lt;"&amp;$D59,Dataset!$J:$J,"&gt;="&amp;$C59)+SUMIFS(Dataset!$AK:$AK,Dataset!$F:$F,'credito latam'!$D$11,Dataset!$AN:$AN,"AA-",Dataset!$J:$J,"&lt;"&amp;$D59,Dataset!$J:$J,"&gt;="&amp;$C59)</f>
        <v>0</v>
      </c>
      <c r="O59" s="101">
        <f>SUMIFS(Dataset!$AK:$AK,Dataset!$F:$F,'credito latam'!$D$11,Dataset!$AN:$AN,O$44,Dataset!$J:$J,"&lt;"&amp;$D59,Dataset!$J:$J,"&gt;="&amp;$C59)</f>
        <v>0</v>
      </c>
      <c r="P59" s="101">
        <f>SUMIFS(Dataset!$AK:$AK,Dataset!$F:$F,'credito latam'!$D$11,Dataset!$AN:$AN,P$44,Dataset!$J:$J,"&lt;"&amp;$D59,Dataset!$J:$J,"&gt;="&amp;$C59)</f>
        <v>0</v>
      </c>
      <c r="Q59" s="101">
        <f>SUMIFS(Dataset!$AK:$AK,Dataset!$F:$F,'credito latam'!$D$11,Dataset!$AN:$AN,Q$44,Dataset!$J:$J,"&lt;"&amp;$D59,Dataset!$J:$J,"&gt;="&amp;$C59)</f>
        <v>0</v>
      </c>
      <c r="R59" s="101">
        <f>SUMIFS(Dataset!$AK:$AK,Dataset!$F:$F,'credito latam'!$D$11,Dataset!$AN:$AN,R$44,Dataset!$J:$J,"&lt;"&amp;$D59,Dataset!$J:$J,"&gt;="&amp;$C59)</f>
        <v>0</v>
      </c>
      <c r="S59" s="101">
        <f>SUMIFS(Dataset!$AK:$AK,Dataset!$F:$F,'credito latam'!$D$11,Dataset!$AN:$AN,S$44,Dataset!$J:$J,"&lt;"&amp;$D59,Dataset!$J:$J,"&gt;="&amp;$C59)</f>
        <v>0</v>
      </c>
      <c r="T59" s="101">
        <f>SUMIFS(Dataset!$AK:$AK,Dataset!$F:$F,'credito latam'!$D$11,Dataset!$AN:$AN,T$44,Dataset!$J:$J,"&lt;"&amp;$D59,Dataset!$J:$J,"&gt;="&amp;$C59)</f>
        <v>0</v>
      </c>
      <c r="U59" s="101">
        <f>SUMIFS(Dataset!$AK:$AK,Dataset!$F:$F,'credito latam'!$D$11,Dataset!$AN:$AN,U$44,Dataset!$J:$J,"&lt;"&amp;$D59,Dataset!$J:$J,"&gt;="&amp;$C59)</f>
        <v>0</v>
      </c>
      <c r="V59" s="101">
        <f>SUMIFS(Dataset!$AK:$AK,Dataset!$F:$F,'credito latam'!$D$11,Dataset!$AN:$AN,V$44,Dataset!$J:$J,"&lt;"&amp;$D59,Dataset!$J:$J,"&gt;="&amp;$C59)</f>
        <v>0</v>
      </c>
      <c r="W59" s="101">
        <f>SUMIFS(Dataset!$AK:$AK,Dataset!$F:$F,'credito latam'!$D$11,Dataset!$AN:$AN,W$44,Dataset!$J:$J,"&lt;"&amp;$D59,Dataset!$J:$J,"&gt;="&amp;$C59)</f>
        <v>0</v>
      </c>
      <c r="X59" s="101">
        <f>SUMIFS(Dataset!$AK:$AK,Dataset!$F:$F,'credito latam'!$D$11,Dataset!$AN:$AN,"B-",Dataset!$J:$J,"&lt;"&amp;$D59,Dataset!$J:$J,"&gt;="&amp;$C59)+SUMIFS(Dataset!$AK:$AK,Dataset!$F:$F,'credito latam'!$D$11,Dataset!$AN:$AN,"B",Dataset!$J:$J,"&lt;"&amp;$D59,Dataset!$J:$J,"&gt;="&amp;$C59)+SUMIFS(Dataset!$AK:$AK,Dataset!$F:$F,'credito latam'!$D$11,Dataset!$AN:$AN,"B+",Dataset!$J:$J,"&lt;"&amp;$D59,Dataset!$J:$J,"&gt;="&amp;$C59)</f>
        <v>0</v>
      </c>
      <c r="Y59" s="102">
        <f>SUMIFS(Dataset!$AK:$AK,Dataset!$F:$F,'credito latam'!$D$11,Dataset!$AN:$AN,Y$44,Dataset!$J:$J,"&lt;"&amp;$D59,Dataset!$J:$J,"&gt;="&amp;$C59)</f>
        <v>0</v>
      </c>
      <c r="Z59" s="84">
        <f t="shared" si="2"/>
        <v>0</v>
      </c>
      <c r="AA59" s="115">
        <f>(SUMIFS(Dataset!$H:$H,Dataset!$F:$F,'credito latam'!$D$11,Dataset!$Z:$Z,AA$44,Dataset!$J:$J,"&lt;"&amp;$D59,Dataset!$J:$J,"&gt;="&amp;$C59))*10</f>
        <v>0</v>
      </c>
      <c r="AB59" s="117">
        <f>(SUMIFS(Dataset!$H:$H,Dataset!$F:$F,'credito latam'!$D$11,Dataset!$Z:$Z,AB$44,Dataset!$J:$J,"&lt;"&amp;$D59,Dataset!$J:$J,"&gt;="&amp;$C59))*10</f>
        <v>0</v>
      </c>
      <c r="AC59" s="117">
        <f>(SUMIFS(Dataset!$H:$H,Dataset!$F:$F,'credito latam'!$D$11,Dataset!$Z:$Z,AC$44,Dataset!$J:$J,"&lt;"&amp;$D59,Dataset!$J:$J,"&gt;="&amp;$C59))*10</f>
        <v>0</v>
      </c>
      <c r="AD59" s="117">
        <f>(SUMIFS(Dataset!$H:$H,Dataset!$F:$F,'credito latam'!$D$11,Dataset!$Z:$Z,AD$44,Dataset!$J:$J,"&lt;"&amp;$D59,Dataset!$J:$J,"&gt;="&amp;$C59))*10</f>
        <v>0</v>
      </c>
      <c r="AE59" s="117">
        <f>(SUMIFS(Dataset!$H:$H,Dataset!$F:$F,'credito latam'!$D$11,Dataset!$Z:$Z,AE$44,Dataset!$J:$J,"&lt;"&amp;$D59,Dataset!$J:$J,"&gt;="&amp;$C59))*10</f>
        <v>0</v>
      </c>
      <c r="AF59" s="117">
        <f>(SUMIFS(Dataset!$H:$H,Dataset!$F:$F,'credito latam'!$D$11,Dataset!$Z:$Z,AF$44,Dataset!$J:$J,"&lt;"&amp;$D59,Dataset!$J:$J,"&gt;="&amp;$C59))*10</f>
        <v>0</v>
      </c>
      <c r="AG59" s="118">
        <f>SUMIFS(Dataset!$H:$H,Dataset!$F:$F,'credito latam'!$D$11,Dataset!$J:$J,"&lt;"&amp;$D59,Dataset!J:J,"&gt;="&amp;$C59,Dataset!$Z:$Z,"&lt;&gt;CL",Dataset!$Z:$Z,"&lt;&gt;MX",Dataset!$Z:$Z,"&lt;&gt;CO",Dataset!$Z:$Z,"&lt;&gt;PE",Dataset!$Z:$Z,"&lt;&gt;BR",Dataset!$Z:$Z,"&lt;&gt;CI",Dataset!$Z:$Z,"&lt;&gt;PA")*10</f>
        <v>0</v>
      </c>
      <c r="AH59" s="87">
        <f t="shared" si="3"/>
        <v>0</v>
      </c>
    </row>
    <row r="60" spans="3:34" ht="33" customHeight="1" x14ac:dyDescent="0.3">
      <c r="C60" s="61">
        <v>14.5</v>
      </c>
      <c r="D60" s="81">
        <v>100</v>
      </c>
      <c r="E60" s="119">
        <f>SUMIFS(Dataset!$AK:$AK,Dataset!$F:$F,'credito latam'!$D$11,Dataset!$Z:$Z,E$44,Dataset!$J:$J,"&lt;"&amp;$D60,Dataset!$J:$J,"&gt;="&amp;$C60)</f>
        <v>0</v>
      </c>
      <c r="F60" s="89">
        <f>SUMIFS(Dataset!$AK:$AK,Dataset!$F:$F,'credito latam'!$D$11,Dataset!$Z:$Z,F$44,Dataset!$J:$J,"&lt;"&amp;$D60,Dataset!$J:$J,"&gt;="&amp;$C60)</f>
        <v>0</v>
      </c>
      <c r="G60" s="89">
        <f>SUMIFS(Dataset!$AK:$AK,Dataset!$F:$F,'credito latam'!$D$11,Dataset!$Z:$Z,G$44,Dataset!$J:$J,"&lt;"&amp;$D60,Dataset!$J:$J,"&gt;="&amp;$C60)</f>
        <v>0</v>
      </c>
      <c r="H60" s="89">
        <f>SUMIFS(Dataset!$AK:$AK,Dataset!$F:$F,'credito latam'!$D$11,Dataset!$Z:$Z,H$44,Dataset!$J:$J,"&lt;"&amp;$D60,Dataset!$J:$J,"&gt;="&amp;$C60)</f>
        <v>0</v>
      </c>
      <c r="I60" s="89">
        <f>SUMIFS(Dataset!$AK:$AK,Dataset!$F:$F,'credito latam'!$D$11,Dataset!$Z:$Z,I$44,Dataset!$J:$J,"&lt;"&amp;$D60,Dataset!$J:$J,"&gt;="&amp;$C60)</f>
        <v>0</v>
      </c>
      <c r="J60" s="89">
        <f>SUMIFS(Dataset!$AK:$AK,Dataset!$F:$F,'credito latam'!$D$11,Dataset!$Z:$Z,J$44,Dataset!$J:$J,"&lt;"&amp;$D60,Dataset!$J:$J,"&gt;="&amp;$C60)</f>
        <v>0</v>
      </c>
      <c r="K60" s="120">
        <f>SUMIFS(Dataset!$AK:$AK,Dataset!$F:$F,'credito latam'!$D$11,Dataset!$J:$J,"&lt;"&amp;$D60,Dataset!J:J,"&gt;="&amp;$C60,Dataset!$Z:$Z,"&lt;&gt;CL",Dataset!$Z:$Z,"&lt;&gt;MX",Dataset!$Z:$Z,"&lt;&gt;CO",Dataset!$Z:$Z,"&lt;&gt;PE",Dataset!$Z:$Z,"&lt;&gt;BR",Dataset!$Z:$Z,"&lt;&gt;PA")</f>
        <v>0</v>
      </c>
      <c r="L60" s="90">
        <f t="shared" si="1"/>
        <v>0</v>
      </c>
      <c r="M60" s="119">
        <f>SUMIFS(Dataset!$AK:$AK,Dataset!$F:$F,'credito latam'!$D$11,Dataset!$AN:$AN,"*AAA*",Dataset!$J:$J,"&lt;"&amp;$D60,Dataset!$J:$J,"&gt;="&amp;$C60)</f>
        <v>0</v>
      </c>
      <c r="N60" s="89">
        <f>SUMIFS(Dataset!$AK:$AK,Dataset!$F:$F,'credito latam'!$D$11,Dataset!$AN:$AN,"AA+",Dataset!$J:$J,"&lt;"&amp;$D60,Dataset!$J:$J,"&gt;="&amp;$C60)+SUMIFS(Dataset!$AK:$AK,Dataset!$F:$F,'credito latam'!$D$11,Dataset!$AN:$AN,"AA",Dataset!$J:$J,"&lt;"&amp;$D60,Dataset!$J:$J,"&gt;="&amp;$C60)+SUMIFS(Dataset!$AK:$AK,Dataset!$F:$F,'credito latam'!$D$11,Dataset!$AN:$AN,"AA-",Dataset!$J:$J,"&lt;"&amp;$D60,Dataset!$J:$J,"&gt;="&amp;$C60)</f>
        <v>0</v>
      </c>
      <c r="O60" s="89">
        <f>SUMIFS(Dataset!$AK:$AK,Dataset!$F:$F,'credito latam'!$D$11,Dataset!$AN:$AN,O$44,Dataset!$J:$J,"&lt;"&amp;$D60,Dataset!$J:$J,"&gt;="&amp;$C60)</f>
        <v>0</v>
      </c>
      <c r="P60" s="89">
        <f>SUMIFS(Dataset!$AK:$AK,Dataset!$F:$F,'credito latam'!$D$11,Dataset!$AN:$AN,P$44,Dataset!$J:$J,"&lt;"&amp;$D60,Dataset!$J:$J,"&gt;="&amp;$C60)</f>
        <v>0</v>
      </c>
      <c r="Q60" s="89">
        <f>SUMIFS(Dataset!$AK:$AK,Dataset!$F:$F,'credito latam'!$D$11,Dataset!$AN:$AN,Q$44,Dataset!$J:$J,"&lt;"&amp;$D60,Dataset!$J:$J,"&gt;="&amp;$C60)</f>
        <v>0</v>
      </c>
      <c r="R60" s="89">
        <f>SUMIFS(Dataset!$AK:$AK,Dataset!$F:$F,'credito latam'!$D$11,Dataset!$AN:$AN,R$44,Dataset!$J:$J,"&lt;"&amp;$D60,Dataset!$J:$J,"&gt;="&amp;$C60)</f>
        <v>0</v>
      </c>
      <c r="S60" s="89">
        <f>SUMIFS(Dataset!$AK:$AK,Dataset!$F:$F,'credito latam'!$D$11,Dataset!$AN:$AN,S$44,Dataset!$J:$J,"&lt;"&amp;$D60,Dataset!$J:$J,"&gt;="&amp;$C60)</f>
        <v>0</v>
      </c>
      <c r="T60" s="89">
        <f>SUMIFS(Dataset!$AK:$AK,Dataset!$F:$F,'credito latam'!$D$11,Dataset!$AN:$AN,T$44,Dataset!$J:$J,"&lt;"&amp;$D60,Dataset!$J:$J,"&gt;="&amp;$C60)</f>
        <v>0</v>
      </c>
      <c r="U60" s="89">
        <f>SUMIFS(Dataset!$AK:$AK,Dataset!$F:$F,'credito latam'!$D$11,Dataset!$AN:$AN,U$44,Dataset!$J:$J,"&lt;"&amp;$D60,Dataset!$J:$J,"&gt;="&amp;$C60)</f>
        <v>0</v>
      </c>
      <c r="V60" s="89">
        <f>SUMIFS(Dataset!$AK:$AK,Dataset!$F:$F,'credito latam'!$D$11,Dataset!$AN:$AN,V$44,Dataset!$J:$J,"&lt;"&amp;$D60,Dataset!$J:$J,"&gt;="&amp;$C60)</f>
        <v>0</v>
      </c>
      <c r="W60" s="83">
        <f>SUMIFS(Dataset!$AK:$AK,Dataset!$F:$F,'credito latam'!$D$11,Dataset!$AN:$AN,W$44,Dataset!$J:$J,"&lt;"&amp;$D60,Dataset!$J:$J,"&gt;="&amp;$C60)</f>
        <v>0</v>
      </c>
      <c r="X60" s="83">
        <f>SUMIFS(Dataset!$AK:$AK,Dataset!$F:$F,'credito latam'!$D$11,Dataset!$AN:$AN,"B-",Dataset!$J:$J,"&lt;"&amp;$D60,Dataset!$J:$J,"&gt;="&amp;$C60)+SUMIFS(Dataset!$AK:$AK,Dataset!$F:$F,'credito latam'!$D$11,Dataset!$AN:$AN,"B",Dataset!$J:$J,"&lt;"&amp;$D60,Dataset!$J:$J,"&gt;="&amp;$C60)+SUMIFS(Dataset!$AK:$AK,Dataset!$F:$F,'credito latam'!$D$11,Dataset!$AN:$AN,"B+",Dataset!$J:$J,"&lt;"&amp;$D60,Dataset!$J:$J,"&gt;="&amp;$C60)</f>
        <v>0</v>
      </c>
      <c r="Y60" s="120">
        <f>SUMIFS(Dataset!$AK:$AK,Dataset!$F:$F,'credito latam'!$D$11,Dataset!$AN:$AN,Y$44,Dataset!$J:$J,"&lt;"&amp;$D60,Dataset!$J:$J,"&gt;="&amp;$C60)</f>
        <v>0</v>
      </c>
      <c r="Z60" s="90">
        <f t="shared" si="2"/>
        <v>0</v>
      </c>
      <c r="AA60" s="121">
        <f>(SUMIFS(Dataset!$H:$H,Dataset!$F:$F,'credito latam'!$D$11,Dataset!$Z:$Z,AA$44,Dataset!$J:$J,"&lt;"&amp;$D60,Dataset!$J:$J,"&gt;="&amp;$C60))*10</f>
        <v>0</v>
      </c>
      <c r="AB60" s="92">
        <f>(SUMIFS(Dataset!$H:$H,Dataset!$F:$F,'credito latam'!$D$11,Dataset!$Z:$Z,AB$44,Dataset!$J:$J,"&lt;"&amp;$D60,Dataset!$J:$J,"&gt;="&amp;$C60))*10</f>
        <v>0</v>
      </c>
      <c r="AC60" s="92">
        <f>(SUMIFS(Dataset!$H:$H,Dataset!$F:$F,'credito latam'!$D$11,Dataset!$Z:$Z,AC$44,Dataset!$J:$J,"&lt;"&amp;$D60,Dataset!$J:$J,"&gt;="&amp;$C60))*10</f>
        <v>0</v>
      </c>
      <c r="AD60" s="92">
        <f>(SUMIFS(Dataset!$H:$H,Dataset!$F:$F,'credito latam'!$D$11,Dataset!$Z:$Z,AD$44,Dataset!$J:$J,"&lt;"&amp;$D60,Dataset!$J:$J,"&gt;="&amp;$C60))*10</f>
        <v>0</v>
      </c>
      <c r="AE60" s="92">
        <f>(SUMIFS(Dataset!$H:$H,Dataset!$F:$F,'credito latam'!$D$11,Dataset!$Z:$Z,AE$44,Dataset!$J:$J,"&lt;"&amp;$D60,Dataset!$J:$J,"&gt;="&amp;$C60))*10</f>
        <v>0</v>
      </c>
      <c r="AF60" s="92">
        <f>(SUMIFS(Dataset!$H:$H,Dataset!$F:$F,'credito latam'!$D$11,Dataset!$Z:$Z,AF$44,Dataset!$J:$J,"&lt;"&amp;$D60,Dataset!$J:$J,"&gt;="&amp;$C60))*10</f>
        <v>0</v>
      </c>
      <c r="AG60" s="122">
        <f>SUMIFS(Dataset!$H:$H,Dataset!$F:$F,'credito latam'!$D$11,Dataset!$J:$J,"&lt;"&amp;$D60,Dataset!J:J,"&gt;="&amp;$C60,Dataset!$Z:$Z,"&lt;&gt;CL",Dataset!$Z:$Z,"&lt;&gt;MX",Dataset!$Z:$Z,"&lt;&gt;CO",Dataset!$Z:$Z,"&lt;&gt;PE",Dataset!$Z:$Z,"&lt;&gt;BR",Dataset!$Z:$Z,"&lt;&gt;CI",Dataset!$Z:$Z,"&lt;&gt;PA")*10</f>
        <v>0</v>
      </c>
      <c r="AH60" s="93">
        <f t="shared" si="3"/>
        <v>0</v>
      </c>
    </row>
    <row r="61" spans="3:34" ht="33" customHeight="1" x14ac:dyDescent="0.3">
      <c r="C61" s="183"/>
      <c r="D61" s="184"/>
      <c r="E61" s="75">
        <f t="shared" ref="E61:K61" si="4">SUM(E45:E60)</f>
        <v>0</v>
      </c>
      <c r="F61" s="75">
        <f t="shared" si="4"/>
        <v>0</v>
      </c>
      <c r="G61" s="75">
        <f t="shared" si="4"/>
        <v>0</v>
      </c>
      <c r="H61" s="75">
        <f t="shared" si="4"/>
        <v>0</v>
      </c>
      <c r="I61" s="75">
        <f t="shared" si="4"/>
        <v>0</v>
      </c>
      <c r="J61" s="75">
        <f t="shared" si="4"/>
        <v>0</v>
      </c>
      <c r="K61" s="123">
        <f t="shared" si="4"/>
        <v>0</v>
      </c>
      <c r="L61" s="84">
        <f t="shared" si="1"/>
        <v>0</v>
      </c>
      <c r="M61" s="75">
        <f t="shared" ref="M61:Y61" si="5">SUM(M45:M60)</f>
        <v>0</v>
      </c>
      <c r="N61" s="75">
        <f t="shared" si="5"/>
        <v>0</v>
      </c>
      <c r="O61" s="75">
        <f t="shared" si="5"/>
        <v>0</v>
      </c>
      <c r="P61" s="75">
        <f t="shared" si="5"/>
        <v>0</v>
      </c>
      <c r="Q61" s="75">
        <f t="shared" si="5"/>
        <v>0</v>
      </c>
      <c r="R61" s="75">
        <f t="shared" si="5"/>
        <v>0</v>
      </c>
      <c r="S61" s="75">
        <f t="shared" si="5"/>
        <v>0</v>
      </c>
      <c r="T61" s="75">
        <f t="shared" si="5"/>
        <v>0</v>
      </c>
      <c r="U61" s="75">
        <f t="shared" si="5"/>
        <v>0</v>
      </c>
      <c r="V61" s="75">
        <f t="shared" si="5"/>
        <v>0</v>
      </c>
      <c r="W61" s="75">
        <f t="shared" si="5"/>
        <v>0</v>
      </c>
      <c r="X61" s="75">
        <f t="shared" si="5"/>
        <v>0</v>
      </c>
      <c r="Y61" s="123">
        <f t="shared" si="5"/>
        <v>0</v>
      </c>
      <c r="Z61" s="84">
        <f t="shared" si="2"/>
        <v>0</v>
      </c>
      <c r="AA61" s="78">
        <f t="shared" ref="AA61:AF61" si="6">SUM(AA45:AA60)</f>
        <v>0</v>
      </c>
      <c r="AB61" s="78">
        <f t="shared" si="6"/>
        <v>0</v>
      </c>
      <c r="AC61" s="78">
        <f t="shared" si="6"/>
        <v>0</v>
      </c>
      <c r="AD61" s="78">
        <f t="shared" si="6"/>
        <v>0</v>
      </c>
      <c r="AE61" s="78">
        <f t="shared" si="6"/>
        <v>0</v>
      </c>
      <c r="AF61" s="78">
        <f t="shared" si="6"/>
        <v>0</v>
      </c>
      <c r="AG61" s="124">
        <f>SUM(AG45:AG60)</f>
        <v>0</v>
      </c>
      <c r="AH61" s="87">
        <f t="shared" si="3"/>
        <v>0</v>
      </c>
    </row>
    <row r="62" spans="3:34" ht="15" customHeight="1" x14ac:dyDescent="0.3">
      <c r="W62" s="125"/>
      <c r="X62" s="125"/>
    </row>
    <row r="63" spans="3:34" ht="48" customHeight="1" x14ac:dyDescent="0.3">
      <c r="E63" s="174" t="s">
        <v>279</v>
      </c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50"/>
      <c r="S63" s="174" t="s">
        <v>270</v>
      </c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</row>
    <row r="64" spans="3:34" ht="15" customHeight="1" x14ac:dyDescent="0.3">
      <c r="L64" s="70"/>
      <c r="O64" s="69"/>
      <c r="P64" s="69"/>
      <c r="Q64" s="69"/>
      <c r="R64" s="69"/>
      <c r="S64" s="69"/>
      <c r="T64" s="69"/>
      <c r="U64" s="69"/>
      <c r="V64" s="70"/>
    </row>
    <row r="65" spans="3:32" ht="42" customHeight="1" x14ac:dyDescent="0.3">
      <c r="C65" s="180" t="s">
        <v>72</v>
      </c>
      <c r="D65" s="180"/>
      <c r="E65" s="94" t="s">
        <v>42</v>
      </c>
      <c r="F65" s="94" t="s">
        <v>33</v>
      </c>
      <c r="G65" s="94" t="s">
        <v>142</v>
      </c>
      <c r="H65" s="94" t="s">
        <v>55</v>
      </c>
      <c r="I65" s="94" t="s">
        <v>150</v>
      </c>
      <c r="J65" s="94" t="s">
        <v>148</v>
      </c>
      <c r="K65" s="94" t="s">
        <v>54</v>
      </c>
      <c r="L65" s="94" t="s">
        <v>146</v>
      </c>
      <c r="M65" s="94" t="s">
        <v>149</v>
      </c>
      <c r="N65" s="94" t="s">
        <v>144</v>
      </c>
      <c r="O65" s="94" t="s">
        <v>154</v>
      </c>
      <c r="P65" s="94" t="s">
        <v>163</v>
      </c>
      <c r="Q65" s="94" t="s">
        <v>47</v>
      </c>
      <c r="R65" s="94" t="s">
        <v>84</v>
      </c>
      <c r="S65" s="94" t="s">
        <v>42</v>
      </c>
      <c r="T65" s="94" t="s">
        <v>33</v>
      </c>
      <c r="U65" s="94" t="s">
        <v>142</v>
      </c>
      <c r="V65" s="94" t="s">
        <v>55</v>
      </c>
      <c r="W65" s="94" t="s">
        <v>150</v>
      </c>
      <c r="X65" s="94" t="s">
        <v>148</v>
      </c>
      <c r="Y65" s="94" t="s">
        <v>54</v>
      </c>
      <c r="Z65" s="94" t="s">
        <v>146</v>
      </c>
      <c r="AA65" s="94" t="s">
        <v>149</v>
      </c>
      <c r="AB65" s="94" t="s">
        <v>144</v>
      </c>
      <c r="AC65" s="94" t="s">
        <v>154</v>
      </c>
      <c r="AD65" s="94" t="s">
        <v>163</v>
      </c>
      <c r="AE65" s="94" t="s">
        <v>47</v>
      </c>
      <c r="AF65" s="94"/>
    </row>
    <row r="66" spans="3:32" ht="27" customHeight="1" x14ac:dyDescent="0.3">
      <c r="C66" s="72">
        <v>0</v>
      </c>
      <c r="D66" s="73">
        <v>0.5</v>
      </c>
      <c r="E66" s="109">
        <f>SUMIFS(Dataset!$AJ:$AJ,Dataset!$F:$F,'credito latam'!$D$11,Dataset!$AN:$AN,"*AAA*",Dataset!$J:$J,"&lt;"&amp;$D66,Dataset!$J:$J,"&gt;="&amp;$C66)</f>
        <v>0</v>
      </c>
      <c r="F66" s="98">
        <f>SUMIFS(Dataset!$AJ:$AJ,Dataset!$F:$F,'credito latam'!$D$11,Dataset!$AN:$AN,"AA+",Dataset!$J:$J,"&lt;"&amp;$D66,Dataset!$J:$J,"&gt;="&amp;$C66)+SUMIFS(Dataset!$AJ:$AJ,Dataset!$F:$F,'credito latam'!$D$11,Dataset!$AN:$AN,"AA",Dataset!$J:$J,"&lt;"&amp;$D66,Dataset!$J:$J,"&gt;="&amp;$C66)+SUMIFS(Dataset!$AJ:$AJ,Dataset!$F:$F,'credito latam'!$D$11,Dataset!$AN:$AN,"AA-",Dataset!$J:$J,"&lt;"&amp;$D66,Dataset!$J:$J,"&gt;="&amp;$C66)</f>
        <v>0</v>
      </c>
      <c r="G66" s="98">
        <f>SUMIFS(Dataset!$AJ:$AJ,Dataset!$F:$F,'credito latam'!$D$11,Dataset!$AN:$AN,G$65,Dataset!$J:$J,"&lt;"&amp;$D66,Dataset!$J:$J,"&gt;="&amp;$C66)</f>
        <v>0</v>
      </c>
      <c r="H66" s="98">
        <f>SUMIFS(Dataset!$AJ:$AJ,Dataset!$F:$F,'credito latam'!$D$11,Dataset!$AN:$AN,H$65,Dataset!$J:$J,"&lt;"&amp;$D66,Dataset!$J:$J,"&gt;="&amp;$C66)</f>
        <v>0</v>
      </c>
      <c r="I66" s="98">
        <f>SUMIFS(Dataset!$AJ:$AJ,Dataset!$F:$F,'credito latam'!$D$11,Dataset!$AN:$AN,I$65,Dataset!$J:$J,"&lt;"&amp;$D66,Dataset!$J:$J,"&gt;="&amp;$C66)</f>
        <v>0</v>
      </c>
      <c r="J66" s="98">
        <f>SUMIFS(Dataset!$AJ:$AJ,Dataset!$F:$F,'credito latam'!$D$11,Dataset!$AN:$AN,J$65,Dataset!$J:$J,"&lt;"&amp;$D66,Dataset!$J:$J,"&gt;="&amp;$C66)</f>
        <v>0</v>
      </c>
      <c r="K66" s="98">
        <f>SUMIFS(Dataset!$AJ:$AJ,Dataset!$F:$F,'credito latam'!$D$11,Dataset!$AN:$AN,K$65,Dataset!$J:$J,"&lt;"&amp;$D66,Dataset!$J:$J,"&gt;="&amp;$C66)</f>
        <v>0</v>
      </c>
      <c r="L66" s="98">
        <f>SUMIFS(Dataset!$AJ:$AJ,Dataset!$F:$F,'credito latam'!$D$11,Dataset!$AN:$AN,L$65,Dataset!$J:$J,"&lt;"&amp;$D66,Dataset!$J:$J,"&gt;="&amp;$C66)</f>
        <v>0</v>
      </c>
      <c r="M66" s="98">
        <f>SUMIFS(Dataset!$AJ:$AJ,Dataset!$F:$F,'credito latam'!$D$11,Dataset!$AN:$AN,M$65,Dataset!$J:$J,"&lt;"&amp;$D66,Dataset!$J:$J,"&gt;="&amp;$C66)</f>
        <v>0</v>
      </c>
      <c r="N66" s="98">
        <f>SUMIFS(Dataset!$AJ:$AJ,Dataset!$F:$F,'credito latam'!$D$11,Dataset!$AN:$AN,N$65,Dataset!$J:$J,"&lt;"&amp;$D66,Dataset!$J:$J,"&gt;="&amp;$C66)</f>
        <v>0</v>
      </c>
      <c r="O66" s="98">
        <f>SUMIFS(Dataset!$AJ:$AJ,Dataset!$F:$F,'credito latam'!$D$11,Dataset!$AN:$AN,O$65,Dataset!$J:$J,"&lt;"&amp;$D66,Dataset!$J:$J,"&gt;="&amp;$C66)</f>
        <v>0</v>
      </c>
      <c r="P66" s="98">
        <f>SUMIFS(Dataset!$AJ:$AJ,Dataset!$F:$F,'credito latam'!$D$11,Dataset!$AN:$AN,"B-",Dataset!$J:$J,"&lt;"&amp;$D66,Dataset!$J:$J,"&gt;="&amp;$C66)+SUMIFS(Dataset!$AJ:$AJ,Dataset!$F:$F,'credito latam'!$D$11,Dataset!$AN:$AN,"B",Dataset!$J:$J,"&lt;"&amp;$D66,Dataset!$J:$J,"&gt;="&amp;$C66)+SUMIFS(Dataset!$AJ:$AJ,Dataset!$F:$F,'credito latam'!$D$11,Dataset!$AN:$AN,"B+",Dataset!$J:$J,"&lt;"&amp;$D66,Dataset!$J:$J,"&gt;="&amp;$C66)</f>
        <v>0</v>
      </c>
      <c r="Q66" s="99">
        <f>SUMIFS(Dataset!$AJ:$AJ,Dataset!$F:$F,'credito latam'!$D$11,Dataset!$AN:$AN,Q$65,Dataset!$J:$J,"&lt;"&amp;$D66,Dataset!$J:$J,"&gt;="&amp;$C66)</f>
        <v>0</v>
      </c>
      <c r="R66" s="84">
        <f t="shared" ref="R66:R82" si="7">SUM(E66:Q66)</f>
        <v>0</v>
      </c>
      <c r="S66" s="109">
        <f>SUMIFS(Dataset!$AA:$AA,Dataset!$F:$F,'credito latam'!$D$11,Dataset!$AN:$AN,"*AAA*",Dataset!$J:$J,"&lt;"&amp;$D66,Dataset!$J:$J,"&gt;="&amp;$C66)</f>
        <v>0</v>
      </c>
      <c r="T66" s="98">
        <f>SUMIFS(Dataset!$AA:$AA,Dataset!$F:$F,'credito latam'!$D$11,Dataset!$AN:$AN,"AA+",Dataset!$J:$J,"&lt;"&amp;$D66,Dataset!$J:$J,"&gt;="&amp;$C66)+SUMIFS(Dataset!$AA:$AA,Dataset!$F:$F,'credito latam'!$D$11,Dataset!$AN:$AN,"AA",Dataset!$J:$J,"&lt;"&amp;$D66,Dataset!$J:$J,"&gt;="&amp;$C66)+SUMIFS(Dataset!$AA:$AA,Dataset!$F:$F,'credito latam'!$D$11,Dataset!$AN:$AN,"AA-",Dataset!$J:$J,"&lt;"&amp;$D66,Dataset!$J:$J,"&gt;="&amp;$C66)</f>
        <v>0</v>
      </c>
      <c r="U66" s="98">
        <f>SUMIFS(Dataset!$AA:$AA,Dataset!$F:$F,'credito latam'!$D$11,Dataset!$AN:$AN,U$65,Dataset!$J:$J,"&lt;"&amp;$D66,Dataset!$J:$J,"&gt;="&amp;$C66)</f>
        <v>0</v>
      </c>
      <c r="V66" s="98">
        <f>SUMIFS(Dataset!$AA:$AA,Dataset!$F:$F,'credito latam'!$D$11,Dataset!$AN:$AN,V$65,Dataset!$J:$J,"&lt;"&amp;$D66,Dataset!$J:$J,"&gt;="&amp;$C66)</f>
        <v>0</v>
      </c>
      <c r="W66" s="98">
        <f>SUMIFS(Dataset!$AA:$AA,Dataset!$F:$F,'credito latam'!$D$11,Dataset!$AN:$AN,W$65,Dataset!$J:$J,"&lt;"&amp;$D66,Dataset!$J:$J,"&gt;="&amp;$C66)</f>
        <v>0</v>
      </c>
      <c r="X66" s="98">
        <f>SUMIFS(Dataset!$AA:$AA,Dataset!$F:$F,'credito latam'!$D$11,Dataset!$AN:$AN,X$65,Dataset!$J:$J,"&lt;"&amp;$D66,Dataset!$J:$J,"&gt;="&amp;$C66)</f>
        <v>0</v>
      </c>
      <c r="Y66" s="98">
        <f>SUMIFS(Dataset!$AA:$AA,Dataset!$F:$F,'credito latam'!$D$11,Dataset!$AN:$AN,Y$65,Dataset!$J:$J,"&lt;"&amp;$D66,Dataset!$J:$J,"&gt;="&amp;$C66)</f>
        <v>0</v>
      </c>
      <c r="Z66" s="98">
        <f>SUMIFS(Dataset!$AA:$AA,Dataset!$F:$F,'credito latam'!$D$11,Dataset!$AN:$AN,Z$65,Dataset!$J:$J,"&lt;"&amp;$D66,Dataset!$J:$J,"&gt;="&amp;$C66)</f>
        <v>0</v>
      </c>
      <c r="AA66" s="98">
        <f>SUMIFS(Dataset!$AA:$AA,Dataset!$F:$F,'credito latam'!$D$11,Dataset!$AN:$AN,AA$65,Dataset!$J:$J,"&lt;"&amp;$D66,Dataset!$J:$J,"&gt;="&amp;$C66)</f>
        <v>0</v>
      </c>
      <c r="AB66" s="98">
        <f>SUMIFS(Dataset!$AA:$AA,Dataset!$F:$F,'credito latam'!$D$11,Dataset!$AN:$AN,AB$65,Dataset!$J:$J,"&lt;"&amp;$D66,Dataset!$J:$J,"&gt;="&amp;$C66)</f>
        <v>0</v>
      </c>
      <c r="AC66" s="98">
        <f>SUMIFS(Dataset!$AA:$AA,Dataset!$F:$F,'credito latam'!$D$11,Dataset!$AN:$AN,AC$65,Dataset!$J:$J,"&lt;"&amp;$D66,Dataset!$J:$J,"&gt;="&amp;$C66)</f>
        <v>0</v>
      </c>
      <c r="AD66" s="98">
        <f>SUMIFS(Dataset!$AA:$AA,Dataset!$F:$F,'credito latam'!$D$11,Dataset!$AN:$AN,"B-",Dataset!$J:$J,"&lt;"&amp;$D66,Dataset!$J:$J,"&gt;="&amp;$C66)+SUMIFS(Dataset!$AA:$AA,Dataset!$F:$F,'credito latam'!$D$11,Dataset!$AN:$AN,"B",Dataset!$J:$J,"&lt;"&amp;$D66,Dataset!$J:$J,"&gt;="&amp;$C66)+SUMIFS(Dataset!$AA:$AA,Dataset!$F:$F,'credito latam'!$D$11,Dataset!$AN:$AN,"B+",Dataset!$J:$J,"&lt;"&amp;$D66,Dataset!$J:$J,"&gt;="&amp;$C66)</f>
        <v>0</v>
      </c>
      <c r="AE66" s="99">
        <f>SUMIFS(Dataset!$AA:$AA,Dataset!$F:$F,'credito latam'!$D$11,Dataset!$AN:$AN,AE$65,Dataset!$J:$J,"&lt;"&amp;$D66,Dataset!$J:$J,"&gt;="&amp;$C66)</f>
        <v>0</v>
      </c>
      <c r="AF66" s="84">
        <f t="shared" ref="AF66:AF82" si="8">SUM(S66:AE66)</f>
        <v>0</v>
      </c>
    </row>
    <row r="67" spans="3:32" ht="27" customHeight="1" x14ac:dyDescent="0.3">
      <c r="C67" s="61">
        <v>0.5</v>
      </c>
      <c r="D67" s="81">
        <v>1.5</v>
      </c>
      <c r="E67" s="113">
        <f>SUMIFS(Dataset!$AJ:$AJ,Dataset!$F:$F,'credito latam'!$D$11,Dataset!$AN:$AN,"*AAA*",Dataset!$J:$J,"&lt;"&amp;$D67,Dataset!$J:$J,"&gt;="&amp;$C67)</f>
        <v>0</v>
      </c>
      <c r="F67" s="83">
        <f>SUMIFS(Dataset!$AJ:$AJ,Dataset!$F:$F,'credito latam'!$D$11,Dataset!$AN:$AN,"AA+",Dataset!$J:$J,"&lt;"&amp;$D67,Dataset!$J:$J,"&gt;="&amp;$C67)+SUMIFS(Dataset!$AJ:$AJ,Dataset!$F:$F,'credito latam'!$D$11,Dataset!$AN:$AN,"AA",Dataset!$J:$J,"&lt;"&amp;$D67,Dataset!$J:$J,"&gt;="&amp;$C67)+SUMIFS(Dataset!$AJ:$AJ,Dataset!$F:$F,'credito latam'!$D$11,Dataset!$AN:$AN,"AA-",Dataset!$J:$J,"&lt;"&amp;$D67,Dataset!$J:$J,"&gt;="&amp;$C67)</f>
        <v>0</v>
      </c>
      <c r="G67" s="83">
        <f>SUMIFS(Dataset!$AJ:$AJ,Dataset!$F:$F,'credito latam'!$D$11,Dataset!$AN:$AN,G$65,Dataset!$J:$J,"&lt;"&amp;$D67,Dataset!$J:$J,"&gt;="&amp;$C67)</f>
        <v>0</v>
      </c>
      <c r="H67" s="83">
        <f>SUMIFS(Dataset!$AJ:$AJ,Dataset!$F:$F,'credito latam'!$D$11,Dataset!$AN:$AN,H$65,Dataset!$J:$J,"&lt;"&amp;$D67,Dataset!$J:$J,"&gt;="&amp;$C67)</f>
        <v>0</v>
      </c>
      <c r="I67" s="83">
        <f>SUMIFS(Dataset!$AJ:$AJ,Dataset!$F:$F,'credito latam'!$D$11,Dataset!$AN:$AN,I$65,Dataset!$J:$J,"&lt;"&amp;$D67,Dataset!$J:$J,"&gt;="&amp;$C67)</f>
        <v>0</v>
      </c>
      <c r="J67" s="83">
        <f>SUMIFS(Dataset!$AJ:$AJ,Dataset!$F:$F,'credito latam'!$D$11,Dataset!$AN:$AN,J$65,Dataset!$J:$J,"&lt;"&amp;$D67,Dataset!$J:$J,"&gt;="&amp;$C67)</f>
        <v>0</v>
      </c>
      <c r="K67" s="83">
        <f>SUMIFS(Dataset!$AJ:$AJ,Dataset!$F:$F,'credito latam'!$D$11,Dataset!$AN:$AN,K$65,Dataset!$J:$J,"&lt;"&amp;$D67,Dataset!$J:$J,"&gt;="&amp;$C67)</f>
        <v>0</v>
      </c>
      <c r="L67" s="83">
        <f>SUMIFS(Dataset!$AJ:$AJ,Dataset!$F:$F,'credito latam'!$D$11,Dataset!$AN:$AN,L$65,Dataset!$J:$J,"&lt;"&amp;$D67,Dataset!$J:$J,"&gt;="&amp;$C67)</f>
        <v>0</v>
      </c>
      <c r="M67" s="83">
        <f>SUMIFS(Dataset!$AJ:$AJ,Dataset!$F:$F,'credito latam'!$D$11,Dataset!$AN:$AN,M$65,Dataset!$J:$J,"&lt;"&amp;$D67,Dataset!$J:$J,"&gt;="&amp;$C67)</f>
        <v>0</v>
      </c>
      <c r="N67" s="83">
        <f>SUMIFS(Dataset!$AJ:$AJ,Dataset!$F:$F,'credito latam'!$D$11,Dataset!$AN:$AN,N$65,Dataset!$J:$J,"&lt;"&amp;$D67,Dataset!$J:$J,"&gt;="&amp;$C67)</f>
        <v>0</v>
      </c>
      <c r="O67" s="83">
        <f>SUMIFS(Dataset!$AJ:$AJ,Dataset!$F:$F,'credito latam'!$D$11,Dataset!$AN:$AN,O$65,Dataset!$J:$J,"&lt;"&amp;$D67,Dataset!$J:$J,"&gt;="&amp;$C67)</f>
        <v>0</v>
      </c>
      <c r="P67" s="83">
        <f>SUMIFS(Dataset!$AJ:$AJ,Dataset!$F:$F,'credito latam'!$D$11,Dataset!$AN:$AN,"B-",Dataset!$J:$J,"&lt;"&amp;$D67,Dataset!$J:$J,"&gt;="&amp;$C67)+SUMIFS(Dataset!$AJ:$AJ,Dataset!$F:$F,'credito latam'!$D$11,Dataset!$AN:$AN,"B",Dataset!$J:$J,"&lt;"&amp;$D67,Dataset!$J:$J,"&gt;="&amp;$C67)+SUMIFS(Dataset!$AJ:$AJ,Dataset!$F:$F,'credito latam'!$D$11,Dataset!$AN:$AN,"B+",Dataset!$J:$J,"&lt;"&amp;$D67,Dataset!$J:$J,"&gt;="&amp;$C67)</f>
        <v>0</v>
      </c>
      <c r="Q67" s="114">
        <f>SUMIFS(Dataset!$AJ:$AJ,Dataset!$F:$F,'credito latam'!$D$11,Dataset!$AN:$AN,Q$65,Dataset!$J:$J,"&lt;"&amp;$D67,Dataset!$J:$J,"&gt;="&amp;$C67)</f>
        <v>0</v>
      </c>
      <c r="R67" s="84">
        <f t="shared" si="7"/>
        <v>0</v>
      </c>
      <c r="S67" s="113">
        <f>SUMIFS(Dataset!$AA:$AA,Dataset!$F:$F,'credito latam'!$D$11,Dataset!$AN:$AN,"*AAA*",Dataset!$J:$J,"&lt;"&amp;$D67,Dataset!$J:$J,"&gt;="&amp;$C67)</f>
        <v>0</v>
      </c>
      <c r="T67" s="83">
        <f>SUMIFS(Dataset!$AA:$AA,Dataset!$F:$F,'credito latam'!$D$11,Dataset!$AN:$AN,"AA+",Dataset!$J:$J,"&lt;"&amp;$D67,Dataset!$J:$J,"&gt;="&amp;$C67)+SUMIFS(Dataset!$AA:$AA,Dataset!$F:$F,'credito latam'!$D$11,Dataset!$AN:$AN,"AA",Dataset!$J:$J,"&lt;"&amp;$D67,Dataset!$J:$J,"&gt;="&amp;$C67)+SUMIFS(Dataset!$AA:$AA,Dataset!$F:$F,'credito latam'!$D$11,Dataset!$AN:$AN,"AA-",Dataset!$J:$J,"&lt;"&amp;$D67,Dataset!$J:$J,"&gt;="&amp;$C67)</f>
        <v>0</v>
      </c>
      <c r="U67" s="83">
        <f>SUMIFS(Dataset!$AA:$AA,Dataset!$F:$F,'credito latam'!$D$11,Dataset!$AN:$AN,U$65,Dataset!$J:$J,"&lt;"&amp;$D67,Dataset!$J:$J,"&gt;="&amp;$C67)</f>
        <v>0</v>
      </c>
      <c r="V67" s="83">
        <f>SUMIFS(Dataset!$AA:$AA,Dataset!$F:$F,'credito latam'!$D$11,Dataset!$AN:$AN,V$65,Dataset!$J:$J,"&lt;"&amp;$D67,Dataset!$J:$J,"&gt;="&amp;$C67)</f>
        <v>0</v>
      </c>
      <c r="W67" s="83">
        <f>SUMIFS(Dataset!$AA:$AA,Dataset!$F:$F,'credito latam'!$D$11,Dataset!$AN:$AN,W$65,Dataset!$J:$J,"&lt;"&amp;$D67,Dataset!$J:$J,"&gt;="&amp;$C67)</f>
        <v>0</v>
      </c>
      <c r="X67" s="83">
        <f>SUMIFS(Dataset!$AA:$AA,Dataset!$F:$F,'credito latam'!$D$11,Dataset!$AN:$AN,X$65,Dataset!$J:$J,"&lt;"&amp;$D67,Dataset!$J:$J,"&gt;="&amp;$C67)</f>
        <v>0</v>
      </c>
      <c r="Y67" s="83">
        <f>SUMIFS(Dataset!$AA:$AA,Dataset!$F:$F,'credito latam'!$D$11,Dataset!$AN:$AN,Y$65,Dataset!$J:$J,"&lt;"&amp;$D67,Dataset!$J:$J,"&gt;="&amp;$C67)</f>
        <v>0</v>
      </c>
      <c r="Z67" s="83">
        <f>SUMIFS(Dataset!$AA:$AA,Dataset!$F:$F,'credito latam'!$D$11,Dataset!$AN:$AN,Z$65,Dataset!$J:$J,"&lt;"&amp;$D67,Dataset!$J:$J,"&gt;="&amp;$C67)</f>
        <v>0</v>
      </c>
      <c r="AA67" s="83">
        <f>SUMIFS(Dataset!$AA:$AA,Dataset!$F:$F,'credito latam'!$D$11,Dataset!$AN:$AN,AA$65,Dataset!$J:$J,"&lt;"&amp;$D67,Dataset!$J:$J,"&gt;="&amp;$C67)</f>
        <v>0</v>
      </c>
      <c r="AB67" s="83">
        <f>SUMIFS(Dataset!$AA:$AA,Dataset!$F:$F,'credito latam'!$D$11,Dataset!$AN:$AN,AB$65,Dataset!$J:$J,"&lt;"&amp;$D67,Dataset!$J:$J,"&gt;="&amp;$C67)</f>
        <v>0</v>
      </c>
      <c r="AC67" s="83">
        <f>SUMIFS(Dataset!$AA:$AA,Dataset!$F:$F,'credito latam'!$D$11,Dataset!$AN:$AN,AC$65,Dataset!$J:$J,"&lt;"&amp;$D67,Dataset!$J:$J,"&gt;="&amp;$C67)</f>
        <v>0</v>
      </c>
      <c r="AD67" s="83">
        <f>SUMIFS(Dataset!$AA:$AA,Dataset!$F:$F,'credito latam'!$D$11,Dataset!$AN:$AN,"B-",Dataset!$J:$J,"&lt;"&amp;$D67,Dataset!$J:$J,"&gt;="&amp;$C67)+SUMIFS(Dataset!$AA:$AA,Dataset!$F:$F,'credito latam'!$D$11,Dataset!$AN:$AN,"B",Dataset!$J:$J,"&lt;"&amp;$D67,Dataset!$J:$J,"&gt;="&amp;$C67)+SUMIFS(Dataset!$AA:$AA,Dataset!$F:$F,'credito latam'!$D$11,Dataset!$AN:$AN,"B+",Dataset!$J:$J,"&lt;"&amp;$D67,Dataset!$J:$J,"&gt;="&amp;$C67)</f>
        <v>0</v>
      </c>
      <c r="AE67" s="114">
        <f>SUMIFS(Dataset!$AA:$AA,Dataset!$F:$F,'credito latam'!$D$11,Dataset!$AN:$AN,AE$65,Dataset!$J:$J,"&lt;"&amp;$D67,Dataset!$J:$J,"&gt;="&amp;$C67)</f>
        <v>0</v>
      </c>
      <c r="AF67" s="84">
        <f t="shared" si="8"/>
        <v>0</v>
      </c>
    </row>
    <row r="68" spans="3:32" ht="39" customHeight="1" x14ac:dyDescent="0.3">
      <c r="C68" s="61">
        <v>1.5</v>
      </c>
      <c r="D68" s="81">
        <v>2.5</v>
      </c>
      <c r="E68" s="113">
        <f>SUMIFS(Dataset!$AJ:$AJ,Dataset!$F:$F,'credito latam'!$D$11,Dataset!$AN:$AN,"*AAA*",Dataset!$J:$J,"&lt;"&amp;$D68,Dataset!$J:$J,"&gt;="&amp;$C68)</f>
        <v>0</v>
      </c>
      <c r="F68" s="101">
        <f>SUMIFS(Dataset!$AJ:$AJ,Dataset!$F:$F,'credito latam'!$D$11,Dataset!$AN:$AN,"AA+",Dataset!$J:$J,"&lt;"&amp;$D68,Dataset!$J:$J,"&gt;="&amp;$C68)+SUMIFS(Dataset!$AJ:$AJ,Dataset!$F:$F,'credito latam'!$D$11,Dataset!$AN:$AN,"AA",Dataset!$J:$J,"&lt;"&amp;$D68,Dataset!$J:$J,"&gt;="&amp;$C68)+SUMIFS(Dataset!$AJ:$AJ,Dataset!$F:$F,'credito latam'!$D$11,Dataset!$AN:$AN,"AA-",Dataset!$J:$J,"&lt;"&amp;$D68,Dataset!$J:$J,"&gt;="&amp;$C68)</f>
        <v>0</v>
      </c>
      <c r="G68" s="101">
        <f>SUMIFS(Dataset!$AJ:$AJ,Dataset!$F:$F,'credito latam'!$D$11,Dataset!$AN:$AN,G$65,Dataset!$J:$J,"&lt;"&amp;$D68,Dataset!$J:$J,"&gt;="&amp;$C68)</f>
        <v>0</v>
      </c>
      <c r="H68" s="101">
        <f>SUMIFS(Dataset!$AJ:$AJ,Dataset!$F:$F,'credito latam'!$D$11,Dataset!$AN:$AN,H$65,Dataset!$J:$J,"&lt;"&amp;$D68,Dataset!$J:$J,"&gt;="&amp;$C68)</f>
        <v>0</v>
      </c>
      <c r="I68" s="101">
        <f>SUMIFS(Dataset!$AJ:$AJ,Dataset!$F:$F,'credito latam'!$D$11,Dataset!$AN:$AN,I$65,Dataset!$J:$J,"&lt;"&amp;$D68,Dataset!$J:$J,"&gt;="&amp;$C68)</f>
        <v>0</v>
      </c>
      <c r="J68" s="101">
        <f>SUMIFS(Dataset!$AJ:$AJ,Dataset!$F:$F,'credito latam'!$D$11,Dataset!$AN:$AN,J$65,Dataset!$J:$J,"&lt;"&amp;$D68,Dataset!$J:$J,"&gt;="&amp;$C68)</f>
        <v>0</v>
      </c>
      <c r="K68" s="101">
        <f>SUMIFS(Dataset!$AJ:$AJ,Dataset!$F:$F,'credito latam'!$D$11,Dataset!$AN:$AN,K$65,Dataset!$J:$J,"&lt;"&amp;$D68,Dataset!$J:$J,"&gt;="&amp;$C68)</f>
        <v>0</v>
      </c>
      <c r="L68" s="101">
        <f>SUMIFS(Dataset!$AJ:$AJ,Dataset!$F:$F,'credito latam'!$D$11,Dataset!$AN:$AN,L$65,Dataset!$J:$J,"&lt;"&amp;$D68,Dataset!$J:$J,"&gt;="&amp;$C68)</f>
        <v>0</v>
      </c>
      <c r="M68" s="101">
        <f>SUMIFS(Dataset!$AJ:$AJ,Dataset!$F:$F,'credito latam'!$D$11,Dataset!$AN:$AN,M$65,Dataset!$J:$J,"&lt;"&amp;$D68,Dataset!$J:$J,"&gt;="&amp;$C68)</f>
        <v>0</v>
      </c>
      <c r="N68" s="101">
        <f>SUMIFS(Dataset!$AJ:$AJ,Dataset!$F:$F,'credito latam'!$D$11,Dataset!$AN:$AN,N$65,Dataset!$J:$J,"&lt;"&amp;$D68,Dataset!$J:$J,"&gt;="&amp;$C68)</f>
        <v>0</v>
      </c>
      <c r="O68" s="101">
        <f>SUMIFS(Dataset!$AJ:$AJ,Dataset!$F:$F,'credito latam'!$D$11,Dataset!$AN:$AN,O$65,Dataset!$J:$J,"&lt;"&amp;$D68,Dataset!$J:$J,"&gt;="&amp;$C68)</f>
        <v>0</v>
      </c>
      <c r="P68" s="101">
        <f>SUMIFS(Dataset!$AJ:$AJ,Dataset!$F:$F,'credito latam'!$D$11,Dataset!$AN:$AN,"B-",Dataset!$J:$J,"&lt;"&amp;$D68,Dataset!$J:$J,"&gt;="&amp;$C68)+SUMIFS(Dataset!$AJ:$AJ,Dataset!$F:$F,'credito latam'!$D$11,Dataset!$AN:$AN,"B",Dataset!$J:$J,"&lt;"&amp;$D68,Dataset!$J:$J,"&gt;="&amp;$C68)+SUMIFS(Dataset!$AJ:$AJ,Dataset!$F:$F,'credito latam'!$D$11,Dataset!$AN:$AN,"B+",Dataset!$J:$J,"&lt;"&amp;$D68,Dataset!$J:$J,"&gt;="&amp;$C68)</f>
        <v>0</v>
      </c>
      <c r="Q68" s="102">
        <f>SUMIFS(Dataset!$AJ:$AJ,Dataset!$F:$F,'credito latam'!$D$11,Dataset!$AN:$AN,Q$65,Dataset!$J:$J,"&lt;"&amp;$D68,Dataset!$J:$J,"&gt;="&amp;$C68)</f>
        <v>0</v>
      </c>
      <c r="R68" s="84">
        <f t="shared" si="7"/>
        <v>0</v>
      </c>
      <c r="S68" s="113">
        <f>SUMIFS(Dataset!$AA:$AA,Dataset!$F:$F,'credito latam'!$D$11,Dataset!$AN:$AN,"*AAA*",Dataset!$J:$J,"&lt;"&amp;$D68,Dataset!$J:$J,"&gt;="&amp;$C68)</f>
        <v>0</v>
      </c>
      <c r="T68" s="101">
        <f>SUMIFS(Dataset!$AA:$AA,Dataset!$F:$F,'credito latam'!$D$11,Dataset!$AN:$AN,"AA+",Dataset!$J:$J,"&lt;"&amp;$D68,Dataset!$J:$J,"&gt;="&amp;$C68)+SUMIFS(Dataset!$AA:$AA,Dataset!$F:$F,'credito latam'!$D$11,Dataset!$AN:$AN,"AA",Dataset!$J:$J,"&lt;"&amp;$D68,Dataset!$J:$J,"&gt;="&amp;$C68)+SUMIFS(Dataset!$AA:$AA,Dataset!$F:$F,'credito latam'!$D$11,Dataset!$AN:$AN,"AA-",Dataset!$J:$J,"&lt;"&amp;$D68,Dataset!$J:$J,"&gt;="&amp;$C68)</f>
        <v>0</v>
      </c>
      <c r="U68" s="101">
        <f>SUMIFS(Dataset!$AA:$AA,Dataset!$F:$F,'credito latam'!$D$11,Dataset!$AN:$AN,U$65,Dataset!$J:$J,"&lt;"&amp;$D68,Dataset!$J:$J,"&gt;="&amp;$C68)</f>
        <v>0</v>
      </c>
      <c r="V68" s="101">
        <f>SUMIFS(Dataset!$AA:$AA,Dataset!$F:$F,'credito latam'!$D$11,Dataset!$AN:$AN,V$65,Dataset!$J:$J,"&lt;"&amp;$D68,Dataset!$J:$J,"&gt;="&amp;$C68)</f>
        <v>0</v>
      </c>
      <c r="W68" s="101">
        <f>SUMIFS(Dataset!$AA:$AA,Dataset!$F:$F,'credito latam'!$D$11,Dataset!$AN:$AN,W$65,Dataset!$J:$J,"&lt;"&amp;$D68,Dataset!$J:$J,"&gt;="&amp;$C68)</f>
        <v>0</v>
      </c>
      <c r="X68" s="101">
        <f>SUMIFS(Dataset!$AA:$AA,Dataset!$F:$F,'credito latam'!$D$11,Dataset!$AN:$AN,X$65,Dataset!$J:$J,"&lt;"&amp;$D68,Dataset!$J:$J,"&gt;="&amp;$C68)</f>
        <v>0</v>
      </c>
      <c r="Y68" s="101">
        <f>SUMIFS(Dataset!$AA:$AA,Dataset!$F:$F,'credito latam'!$D$11,Dataset!$AN:$AN,Y$65,Dataset!$J:$J,"&lt;"&amp;$D68,Dataset!$J:$J,"&gt;="&amp;$C68)</f>
        <v>0</v>
      </c>
      <c r="Z68" s="101">
        <f>SUMIFS(Dataset!$AA:$AA,Dataset!$F:$F,'credito latam'!$D$11,Dataset!$AN:$AN,Z$65,Dataset!$J:$J,"&lt;"&amp;$D68,Dataset!$J:$J,"&gt;="&amp;$C68)</f>
        <v>0</v>
      </c>
      <c r="AA68" s="101">
        <f>SUMIFS(Dataset!$AA:$AA,Dataset!$F:$F,'credito latam'!$D$11,Dataset!$AN:$AN,AA$65,Dataset!$J:$J,"&lt;"&amp;$D68,Dataset!$J:$J,"&gt;="&amp;$C68)</f>
        <v>0</v>
      </c>
      <c r="AB68" s="101">
        <f>SUMIFS(Dataset!$AA:$AA,Dataset!$F:$F,'credito latam'!$D$11,Dataset!$AN:$AN,AB$65,Dataset!$J:$J,"&lt;"&amp;$D68,Dataset!$J:$J,"&gt;="&amp;$C68)</f>
        <v>0</v>
      </c>
      <c r="AC68" s="101">
        <f>SUMIFS(Dataset!$AA:$AA,Dataset!$F:$F,'credito latam'!$D$11,Dataset!$AN:$AN,AC$65,Dataset!$J:$J,"&lt;"&amp;$D68,Dataset!$J:$J,"&gt;="&amp;$C68)</f>
        <v>0</v>
      </c>
      <c r="AD68" s="101">
        <f>SUMIFS(Dataset!$AA:$AA,Dataset!$F:$F,'credito latam'!$D$11,Dataset!$AN:$AN,"B-",Dataset!$J:$J,"&lt;"&amp;$D68,Dataset!$J:$J,"&gt;="&amp;$C68)+SUMIFS(Dataset!$AA:$AA,Dataset!$F:$F,'credito latam'!$D$11,Dataset!$AN:$AN,"B",Dataset!$J:$J,"&lt;"&amp;$D68,Dataset!$J:$J,"&gt;="&amp;$C68)+SUMIFS(Dataset!$AA:$AA,Dataset!$F:$F,'credito latam'!$D$11,Dataset!$AN:$AN,"B+",Dataset!$J:$J,"&lt;"&amp;$D68,Dataset!$J:$J,"&gt;="&amp;$C68)</f>
        <v>0</v>
      </c>
      <c r="AE68" s="102">
        <f>SUMIFS(Dataset!$AA:$AA,Dataset!$F:$F,'credito latam'!$D$11,Dataset!$AN:$AN,AE$65,Dataset!$J:$J,"&lt;"&amp;$D68,Dataset!$J:$J,"&gt;="&amp;$C68)</f>
        <v>0</v>
      </c>
      <c r="AF68" s="84">
        <f t="shared" si="8"/>
        <v>0</v>
      </c>
    </row>
    <row r="69" spans="3:32" ht="35.25" customHeight="1" x14ac:dyDescent="0.3">
      <c r="C69" s="61">
        <v>2.5</v>
      </c>
      <c r="D69" s="81">
        <v>3.5</v>
      </c>
      <c r="E69" s="113">
        <f>SUMIFS(Dataset!$AJ:$AJ,Dataset!$F:$F,'credito latam'!$D$11,Dataset!$AN:$AN,"*AAA*",Dataset!$J:$J,"&lt;"&amp;$D69,Dataset!$J:$J,"&gt;="&amp;$C69)</f>
        <v>0</v>
      </c>
      <c r="F69" s="83">
        <f>SUMIFS(Dataset!$AJ:$AJ,Dataset!$F:$F,'credito latam'!$D$11,Dataset!$AN:$AN,"AA+",Dataset!$J:$J,"&lt;"&amp;$D69,Dataset!$J:$J,"&gt;="&amp;$C69)+SUMIFS(Dataset!$AJ:$AJ,Dataset!$F:$F,'credito latam'!$D$11,Dataset!$AN:$AN,"AA",Dataset!$J:$J,"&lt;"&amp;$D69,Dataset!$J:$J,"&gt;="&amp;$C69)+SUMIFS(Dataset!$AJ:$AJ,Dataset!$F:$F,'credito latam'!$D$11,Dataset!$AN:$AN,"AA-",Dataset!$J:$J,"&lt;"&amp;$D69,Dataset!$J:$J,"&gt;="&amp;$C69)</f>
        <v>0</v>
      </c>
      <c r="G69" s="83">
        <f>SUMIFS(Dataset!$AJ:$AJ,Dataset!$F:$F,'credito latam'!$D$11,Dataset!$AN:$AN,G$65,Dataset!$J:$J,"&lt;"&amp;$D69,Dataset!$J:$J,"&gt;="&amp;$C69)</f>
        <v>0</v>
      </c>
      <c r="H69" s="83">
        <f>SUMIFS(Dataset!$AJ:$AJ,Dataset!$F:$F,'credito latam'!$D$11,Dataset!$AN:$AN,H$65,Dataset!$J:$J,"&lt;"&amp;$D69,Dataset!$J:$J,"&gt;="&amp;$C69)</f>
        <v>0</v>
      </c>
      <c r="I69" s="83">
        <f>SUMIFS(Dataset!$AJ:$AJ,Dataset!$F:$F,'credito latam'!$D$11,Dataset!$AN:$AN,I$65,Dataset!$J:$J,"&lt;"&amp;$D69,Dataset!$J:$J,"&gt;="&amp;$C69)</f>
        <v>0</v>
      </c>
      <c r="J69" s="83">
        <f>SUMIFS(Dataset!$AJ:$AJ,Dataset!$F:$F,'credito latam'!$D$11,Dataset!$AN:$AN,J$65,Dataset!$J:$J,"&lt;"&amp;$D69,Dataset!$J:$J,"&gt;="&amp;$C69)</f>
        <v>0</v>
      </c>
      <c r="K69" s="83">
        <f>SUMIFS(Dataset!$AJ:$AJ,Dataset!$F:$F,'credito latam'!$D$11,Dataset!$AN:$AN,K$65,Dataset!$J:$J,"&lt;"&amp;$D69,Dataset!$J:$J,"&gt;="&amp;$C69)</f>
        <v>0</v>
      </c>
      <c r="L69" s="83">
        <f>SUMIFS(Dataset!$AJ:$AJ,Dataset!$F:$F,'credito latam'!$D$11,Dataset!$AN:$AN,L$65,Dataset!$J:$J,"&lt;"&amp;$D69,Dataset!$J:$J,"&gt;="&amp;$C69)</f>
        <v>0</v>
      </c>
      <c r="M69" s="83">
        <f>SUMIFS(Dataset!$AJ:$AJ,Dataset!$F:$F,'credito latam'!$D$11,Dataset!$AN:$AN,M$65,Dataset!$J:$J,"&lt;"&amp;$D69,Dataset!$J:$J,"&gt;="&amp;$C69)</f>
        <v>0</v>
      </c>
      <c r="N69" s="83">
        <f>SUMIFS(Dataset!$AJ:$AJ,Dataset!$F:$F,'credito latam'!$D$11,Dataset!$AN:$AN,N$65,Dataset!$J:$J,"&lt;"&amp;$D69,Dataset!$J:$J,"&gt;="&amp;$C69)</f>
        <v>0</v>
      </c>
      <c r="O69" s="83">
        <f>SUMIFS(Dataset!$AJ:$AJ,Dataset!$F:$F,'credito latam'!$D$11,Dataset!$AN:$AN,O$65,Dataset!$J:$J,"&lt;"&amp;$D69,Dataset!$J:$J,"&gt;="&amp;$C69)</f>
        <v>0</v>
      </c>
      <c r="P69" s="83">
        <f>SUMIFS(Dataset!$AJ:$AJ,Dataset!$F:$F,'credito latam'!$D$11,Dataset!$AN:$AN,"B-",Dataset!$J:$J,"&lt;"&amp;$D69,Dataset!$J:$J,"&gt;="&amp;$C69)+SUMIFS(Dataset!$AJ:$AJ,Dataset!$F:$F,'credito latam'!$D$11,Dataset!$AN:$AN,"B",Dataset!$J:$J,"&lt;"&amp;$D69,Dataset!$J:$J,"&gt;="&amp;$C69)+SUMIFS(Dataset!$AJ:$AJ,Dataset!$F:$F,'credito latam'!$D$11,Dataset!$AN:$AN,"B+",Dataset!$J:$J,"&lt;"&amp;$D69,Dataset!$J:$J,"&gt;="&amp;$C69)</f>
        <v>0</v>
      </c>
      <c r="Q69" s="114">
        <f>SUMIFS(Dataset!$AJ:$AJ,Dataset!$F:$F,'credito latam'!$D$11,Dataset!$AN:$AN,Q$65,Dataset!$J:$J,"&lt;"&amp;$D69,Dataset!$J:$J,"&gt;="&amp;$C69)</f>
        <v>0</v>
      </c>
      <c r="R69" s="84">
        <f t="shared" si="7"/>
        <v>0</v>
      </c>
      <c r="S69" s="113">
        <f>SUMIFS(Dataset!$AA:$AA,Dataset!$F:$F,'credito latam'!$D$11,Dataset!$AN:$AN,"*AAA*",Dataset!$J:$J,"&lt;"&amp;$D69,Dataset!$J:$J,"&gt;="&amp;$C69)</f>
        <v>0</v>
      </c>
      <c r="T69" s="83">
        <f>SUMIFS(Dataset!$AA:$AA,Dataset!$F:$F,'credito latam'!$D$11,Dataset!$AN:$AN,"AA+",Dataset!$J:$J,"&lt;"&amp;$D69,Dataset!$J:$J,"&gt;="&amp;$C69)+SUMIFS(Dataset!$AA:$AA,Dataset!$F:$F,'credito latam'!$D$11,Dataset!$AN:$AN,"AA",Dataset!$J:$J,"&lt;"&amp;$D69,Dataset!$J:$J,"&gt;="&amp;$C69)+SUMIFS(Dataset!$AA:$AA,Dataset!$F:$F,'credito latam'!$D$11,Dataset!$AN:$AN,"AA-",Dataset!$J:$J,"&lt;"&amp;$D69,Dataset!$J:$J,"&gt;="&amp;$C69)</f>
        <v>0</v>
      </c>
      <c r="U69" s="83">
        <f>SUMIFS(Dataset!$AA:$AA,Dataset!$F:$F,'credito latam'!$D$11,Dataset!$AN:$AN,U$65,Dataset!$J:$J,"&lt;"&amp;$D69,Dataset!$J:$J,"&gt;="&amp;$C69)</f>
        <v>0</v>
      </c>
      <c r="V69" s="83">
        <f>SUMIFS(Dataset!$AA:$AA,Dataset!$F:$F,'credito latam'!$D$11,Dataset!$AN:$AN,V$65,Dataset!$J:$J,"&lt;"&amp;$D69,Dataset!$J:$J,"&gt;="&amp;$C69)</f>
        <v>0</v>
      </c>
      <c r="W69" s="83">
        <f>SUMIFS(Dataset!$AA:$AA,Dataset!$F:$F,'credito latam'!$D$11,Dataset!$AN:$AN,W$65,Dataset!$J:$J,"&lt;"&amp;$D69,Dataset!$J:$J,"&gt;="&amp;$C69)</f>
        <v>0</v>
      </c>
      <c r="X69" s="83">
        <f>SUMIFS(Dataset!$AA:$AA,Dataset!$F:$F,'credito latam'!$D$11,Dataset!$AN:$AN,X$65,Dataset!$J:$J,"&lt;"&amp;$D69,Dataset!$J:$J,"&gt;="&amp;$C69)</f>
        <v>0</v>
      </c>
      <c r="Y69" s="83">
        <f>SUMIFS(Dataset!$AA:$AA,Dataset!$F:$F,'credito latam'!$D$11,Dataset!$AN:$AN,Y$65,Dataset!$J:$J,"&lt;"&amp;$D69,Dataset!$J:$J,"&gt;="&amp;$C69)</f>
        <v>0</v>
      </c>
      <c r="Z69" s="83">
        <f>SUMIFS(Dataset!$AA:$AA,Dataset!$F:$F,'credito latam'!$D$11,Dataset!$AN:$AN,Z$65,Dataset!$J:$J,"&lt;"&amp;$D69,Dataset!$J:$J,"&gt;="&amp;$C69)</f>
        <v>0</v>
      </c>
      <c r="AA69" s="83">
        <f>SUMIFS(Dataset!$AA:$AA,Dataset!$F:$F,'credito latam'!$D$11,Dataset!$AN:$AN,AA$65,Dataset!$J:$J,"&lt;"&amp;$D69,Dataset!$J:$J,"&gt;="&amp;$C69)</f>
        <v>0</v>
      </c>
      <c r="AB69" s="83">
        <f>SUMIFS(Dataset!$AA:$AA,Dataset!$F:$F,'credito latam'!$D$11,Dataset!$AN:$AN,AB$65,Dataset!$J:$J,"&lt;"&amp;$D69,Dataset!$J:$J,"&gt;="&amp;$C69)</f>
        <v>0</v>
      </c>
      <c r="AC69" s="83">
        <f>SUMIFS(Dataset!$AA:$AA,Dataset!$F:$F,'credito latam'!$D$11,Dataset!$AN:$AN,AC$65,Dataset!$J:$J,"&lt;"&amp;$D69,Dataset!$J:$J,"&gt;="&amp;$C69)</f>
        <v>0</v>
      </c>
      <c r="AD69" s="83">
        <f>SUMIFS(Dataset!$AA:$AA,Dataset!$F:$F,'credito latam'!$D$11,Dataset!$AN:$AN,"B-",Dataset!$J:$J,"&lt;"&amp;$D69,Dataset!$J:$J,"&gt;="&amp;$C69)+SUMIFS(Dataset!$AA:$AA,Dataset!$F:$F,'credito latam'!$D$11,Dataset!$AN:$AN,"B",Dataset!$J:$J,"&lt;"&amp;$D69,Dataset!$J:$J,"&gt;="&amp;$C69)+SUMIFS(Dataset!$AA:$AA,Dataset!$F:$F,'credito latam'!$D$11,Dataset!$AN:$AN,"B+",Dataset!$J:$J,"&lt;"&amp;$D69,Dataset!$J:$J,"&gt;="&amp;$C69)</f>
        <v>0</v>
      </c>
      <c r="AE69" s="114">
        <f>SUMIFS(Dataset!$AA:$AA,Dataset!$F:$F,'credito latam'!$D$11,Dataset!$AN:$AN,AE$65,Dataset!$J:$J,"&lt;"&amp;$D69,Dataset!$J:$J,"&gt;="&amp;$C69)</f>
        <v>0</v>
      </c>
      <c r="AF69" s="84">
        <f t="shared" si="8"/>
        <v>0</v>
      </c>
    </row>
    <row r="70" spans="3:32" ht="27" customHeight="1" x14ac:dyDescent="0.3">
      <c r="C70" s="61">
        <v>3.5</v>
      </c>
      <c r="D70" s="81">
        <v>4.5</v>
      </c>
      <c r="E70" s="113">
        <f>SUMIFS(Dataset!$AJ:$AJ,Dataset!$F:$F,'credito latam'!$D$11,Dataset!$AN:$AN,"*AAA*",Dataset!$J:$J,"&lt;"&amp;$D70,Dataset!$J:$J,"&gt;="&amp;$C70)</f>
        <v>0</v>
      </c>
      <c r="F70" s="101">
        <f>SUMIFS(Dataset!$AJ:$AJ,Dataset!$F:$F,'credito latam'!$D$11,Dataset!$AN:$AN,"AA+",Dataset!$J:$J,"&lt;"&amp;$D70,Dataset!$J:$J,"&gt;="&amp;$C70)+SUMIFS(Dataset!$AJ:$AJ,Dataset!$F:$F,'credito latam'!$D$11,Dataset!$AN:$AN,"AA",Dataset!$J:$J,"&lt;"&amp;$D70,Dataset!$J:$J,"&gt;="&amp;$C70)+SUMIFS(Dataset!$AJ:$AJ,Dataset!$F:$F,'credito latam'!$D$11,Dataset!$AN:$AN,"AA-",Dataset!$J:$J,"&lt;"&amp;$D70,Dataset!$J:$J,"&gt;="&amp;$C70)</f>
        <v>0</v>
      </c>
      <c r="G70" s="101">
        <f>SUMIFS(Dataset!$AJ:$AJ,Dataset!$F:$F,'credito latam'!$D$11,Dataset!$AN:$AN,G$65,Dataset!$J:$J,"&lt;"&amp;$D70,Dataset!$J:$J,"&gt;="&amp;$C70)</f>
        <v>0</v>
      </c>
      <c r="H70" s="101">
        <f>SUMIFS(Dataset!$AJ:$AJ,Dataset!$F:$F,'credito latam'!$D$11,Dataset!$AN:$AN,H$65,Dataset!$J:$J,"&lt;"&amp;$D70,Dataset!$J:$J,"&gt;="&amp;$C70)</f>
        <v>0</v>
      </c>
      <c r="I70" s="101">
        <f>SUMIFS(Dataset!$AJ:$AJ,Dataset!$F:$F,'credito latam'!$D$11,Dataset!$AN:$AN,I$65,Dataset!$J:$J,"&lt;"&amp;$D70,Dataset!$J:$J,"&gt;="&amp;$C70)</f>
        <v>0</v>
      </c>
      <c r="J70" s="101">
        <f>SUMIFS(Dataset!$AJ:$AJ,Dataset!$F:$F,'credito latam'!$D$11,Dataset!$AN:$AN,J$65,Dataset!$J:$J,"&lt;"&amp;$D70,Dataset!$J:$J,"&gt;="&amp;$C70)</f>
        <v>0</v>
      </c>
      <c r="K70" s="101">
        <f>SUMIFS(Dataset!$AJ:$AJ,Dataset!$F:$F,'credito latam'!$D$11,Dataset!$AN:$AN,K$65,Dataset!$J:$J,"&lt;"&amp;$D70,Dataset!$J:$J,"&gt;="&amp;$C70)</f>
        <v>0</v>
      </c>
      <c r="L70" s="101">
        <f>SUMIFS(Dataset!$AJ:$AJ,Dataset!$F:$F,'credito latam'!$D$11,Dataset!$AN:$AN,L$65,Dataset!$J:$J,"&lt;"&amp;$D70,Dataset!$J:$J,"&gt;="&amp;$C70)</f>
        <v>0</v>
      </c>
      <c r="M70" s="101">
        <f>SUMIFS(Dataset!$AJ:$AJ,Dataset!$F:$F,'credito latam'!$D$11,Dataset!$AN:$AN,M$65,Dataset!$J:$J,"&lt;"&amp;$D70,Dataset!$J:$J,"&gt;="&amp;$C70)</f>
        <v>0</v>
      </c>
      <c r="N70" s="101">
        <f>SUMIFS(Dataset!$AJ:$AJ,Dataset!$F:$F,'credito latam'!$D$11,Dataset!$AN:$AN,N$65,Dataset!$J:$J,"&lt;"&amp;$D70,Dataset!$J:$J,"&gt;="&amp;$C70)</f>
        <v>0</v>
      </c>
      <c r="O70" s="101">
        <f>SUMIFS(Dataset!$AJ:$AJ,Dataset!$F:$F,'credito latam'!$D$11,Dataset!$AN:$AN,O$65,Dataset!$J:$J,"&lt;"&amp;$D70,Dataset!$J:$J,"&gt;="&amp;$C70)</f>
        <v>0</v>
      </c>
      <c r="P70" s="101">
        <f>SUMIFS(Dataset!$AJ:$AJ,Dataset!$F:$F,'credito latam'!$D$11,Dataset!$AN:$AN,"B-",Dataset!$J:$J,"&lt;"&amp;$D70,Dataset!$J:$J,"&gt;="&amp;$C70)+SUMIFS(Dataset!$AJ:$AJ,Dataset!$F:$F,'credito latam'!$D$11,Dataset!$AN:$AN,"B",Dataset!$J:$J,"&lt;"&amp;$D70,Dataset!$J:$J,"&gt;="&amp;$C70)+SUMIFS(Dataset!$AJ:$AJ,Dataset!$F:$F,'credito latam'!$D$11,Dataset!$AN:$AN,"B+",Dataset!$J:$J,"&lt;"&amp;$D70,Dataset!$J:$J,"&gt;="&amp;$C70)</f>
        <v>0</v>
      </c>
      <c r="Q70" s="102">
        <f>SUMIFS(Dataset!$AJ:$AJ,Dataset!$F:$F,'credito latam'!$D$11,Dataset!$AN:$AN,Q$65,Dataset!$J:$J,"&lt;"&amp;$D70,Dataset!$J:$J,"&gt;="&amp;$C70)</f>
        <v>0</v>
      </c>
      <c r="R70" s="84">
        <f t="shared" si="7"/>
        <v>0</v>
      </c>
      <c r="S70" s="113">
        <f>SUMIFS(Dataset!$AA:$AA,Dataset!$F:$F,'credito latam'!$D$11,Dataset!$AN:$AN,"*AAA*",Dataset!$J:$J,"&lt;"&amp;$D70,Dataset!$J:$J,"&gt;="&amp;$C70)</f>
        <v>0</v>
      </c>
      <c r="T70" s="101">
        <f>SUMIFS(Dataset!$AA:$AA,Dataset!$F:$F,'credito latam'!$D$11,Dataset!$AN:$AN,"AA+",Dataset!$J:$J,"&lt;"&amp;$D70,Dataset!$J:$J,"&gt;="&amp;$C70)+SUMIFS(Dataset!$AA:$AA,Dataset!$F:$F,'credito latam'!$D$11,Dataset!$AN:$AN,"AA",Dataset!$J:$J,"&lt;"&amp;$D70,Dataset!$J:$J,"&gt;="&amp;$C70)+SUMIFS(Dataset!$AA:$AA,Dataset!$F:$F,'credito latam'!$D$11,Dataset!$AN:$AN,"AA-",Dataset!$J:$J,"&lt;"&amp;$D70,Dataset!$J:$J,"&gt;="&amp;$C70)</f>
        <v>0</v>
      </c>
      <c r="U70" s="101">
        <f>SUMIFS(Dataset!$AA:$AA,Dataset!$F:$F,'credito latam'!$D$11,Dataset!$AN:$AN,U$65,Dataset!$J:$J,"&lt;"&amp;$D70,Dataset!$J:$J,"&gt;="&amp;$C70)</f>
        <v>0</v>
      </c>
      <c r="V70" s="101">
        <f>SUMIFS(Dataset!$AA:$AA,Dataset!$F:$F,'credito latam'!$D$11,Dataset!$AN:$AN,V$65,Dataset!$J:$J,"&lt;"&amp;$D70,Dataset!$J:$J,"&gt;="&amp;$C70)</f>
        <v>0</v>
      </c>
      <c r="W70" s="101">
        <f>SUMIFS(Dataset!$AA:$AA,Dataset!$F:$F,'credito latam'!$D$11,Dataset!$AN:$AN,W$65,Dataset!$J:$J,"&lt;"&amp;$D70,Dataset!$J:$J,"&gt;="&amp;$C70)</f>
        <v>0</v>
      </c>
      <c r="X70" s="101">
        <f>SUMIFS(Dataset!$AA:$AA,Dataset!$F:$F,'credito latam'!$D$11,Dataset!$AN:$AN,X$65,Dataset!$J:$J,"&lt;"&amp;$D70,Dataset!$J:$J,"&gt;="&amp;$C70)</f>
        <v>0</v>
      </c>
      <c r="Y70" s="101">
        <f>SUMIFS(Dataset!$AA:$AA,Dataset!$F:$F,'credito latam'!$D$11,Dataset!$AN:$AN,Y$65,Dataset!$J:$J,"&lt;"&amp;$D70,Dataset!$J:$J,"&gt;="&amp;$C70)</f>
        <v>0</v>
      </c>
      <c r="Z70" s="101">
        <f>SUMIFS(Dataset!$AA:$AA,Dataset!$F:$F,'credito latam'!$D$11,Dataset!$AN:$AN,Z$65,Dataset!$J:$J,"&lt;"&amp;$D70,Dataset!$J:$J,"&gt;="&amp;$C70)</f>
        <v>0</v>
      </c>
      <c r="AA70" s="101">
        <f>SUMIFS(Dataset!$AA:$AA,Dataset!$F:$F,'credito latam'!$D$11,Dataset!$AN:$AN,AA$65,Dataset!$J:$J,"&lt;"&amp;$D70,Dataset!$J:$J,"&gt;="&amp;$C70)</f>
        <v>0</v>
      </c>
      <c r="AB70" s="101">
        <f>SUMIFS(Dataset!$AA:$AA,Dataset!$F:$F,'credito latam'!$D$11,Dataset!$AN:$AN,AB$65,Dataset!$J:$J,"&lt;"&amp;$D70,Dataset!$J:$J,"&gt;="&amp;$C70)</f>
        <v>0</v>
      </c>
      <c r="AC70" s="101">
        <f>SUMIFS(Dataset!$AA:$AA,Dataset!$F:$F,'credito latam'!$D$11,Dataset!$AN:$AN,AC$65,Dataset!$J:$J,"&lt;"&amp;$D70,Dataset!$J:$J,"&gt;="&amp;$C70)</f>
        <v>0</v>
      </c>
      <c r="AD70" s="101">
        <f>SUMIFS(Dataset!$AA:$AA,Dataset!$F:$F,'credito latam'!$D$11,Dataset!$AN:$AN,"B-",Dataset!$J:$J,"&lt;"&amp;$D70,Dataset!$J:$J,"&gt;="&amp;$C70)+SUMIFS(Dataset!$AA:$AA,Dataset!$F:$F,'credito latam'!$D$11,Dataset!$AN:$AN,"B",Dataset!$J:$J,"&lt;"&amp;$D70,Dataset!$J:$J,"&gt;="&amp;$C70)+SUMIFS(Dataset!$AA:$AA,Dataset!$F:$F,'credito latam'!$D$11,Dataset!$AN:$AN,"B+",Dataset!$J:$J,"&lt;"&amp;$D70,Dataset!$J:$J,"&gt;="&amp;$C70)</f>
        <v>0</v>
      </c>
      <c r="AE70" s="102">
        <f>SUMIFS(Dataset!$AA:$AA,Dataset!$F:$F,'credito latam'!$D$11,Dataset!$AN:$AN,AE$65,Dataset!$J:$J,"&lt;"&amp;$D70,Dataset!$J:$J,"&gt;="&amp;$C70)</f>
        <v>0</v>
      </c>
      <c r="AF70" s="84">
        <f t="shared" si="8"/>
        <v>0</v>
      </c>
    </row>
    <row r="71" spans="3:32" ht="33" customHeight="1" x14ac:dyDescent="0.3">
      <c r="C71" s="61">
        <v>4.5</v>
      </c>
      <c r="D71" s="81">
        <v>5.5</v>
      </c>
      <c r="E71" s="113">
        <f>SUMIFS(Dataset!$AJ:$AJ,Dataset!$F:$F,'credito latam'!$D$11,Dataset!$AN:$AN,"*AAA*",Dataset!$J:$J,"&lt;"&amp;$D71,Dataset!$J:$J,"&gt;="&amp;$C71)</f>
        <v>0</v>
      </c>
      <c r="F71" s="83">
        <f>SUMIFS(Dataset!$AJ:$AJ,Dataset!$F:$F,'credito latam'!$D$11,Dataset!$AN:$AN,"AA+",Dataset!$J:$J,"&lt;"&amp;$D71,Dataset!$J:$J,"&gt;="&amp;$C71)+SUMIFS(Dataset!$AJ:$AJ,Dataset!$F:$F,'credito latam'!$D$11,Dataset!$AN:$AN,"AA",Dataset!$J:$J,"&lt;"&amp;$D71,Dataset!$J:$J,"&gt;="&amp;$C71)+SUMIFS(Dataset!$AJ:$AJ,Dataset!$F:$F,'credito latam'!$D$11,Dataset!$AN:$AN,"AA-",Dataset!$J:$J,"&lt;"&amp;$D71,Dataset!$J:$J,"&gt;="&amp;$C71)</f>
        <v>0</v>
      </c>
      <c r="G71" s="83">
        <f>SUMIFS(Dataset!$AJ:$AJ,Dataset!$F:$F,'credito latam'!$D$11,Dataset!$AN:$AN,G$65,Dataset!$J:$J,"&lt;"&amp;$D71,Dataset!$J:$J,"&gt;="&amp;$C71)</f>
        <v>0</v>
      </c>
      <c r="H71" s="83">
        <f>SUMIFS(Dataset!$AJ:$AJ,Dataset!$F:$F,'credito latam'!$D$11,Dataset!$AN:$AN,H$65,Dataset!$J:$J,"&lt;"&amp;$D71,Dataset!$J:$J,"&gt;="&amp;$C71)</f>
        <v>0</v>
      </c>
      <c r="I71" s="83">
        <f>SUMIFS(Dataset!$AJ:$AJ,Dataset!$F:$F,'credito latam'!$D$11,Dataset!$AN:$AN,I$65,Dataset!$J:$J,"&lt;"&amp;$D71,Dataset!$J:$J,"&gt;="&amp;$C71)</f>
        <v>0</v>
      </c>
      <c r="J71" s="83">
        <f>SUMIFS(Dataset!$AJ:$AJ,Dataset!$F:$F,'credito latam'!$D$11,Dataset!$AN:$AN,J$65,Dataset!$J:$J,"&lt;"&amp;$D71,Dataset!$J:$J,"&gt;="&amp;$C71)</f>
        <v>0</v>
      </c>
      <c r="K71" s="83">
        <f>SUMIFS(Dataset!$AJ:$AJ,Dataset!$F:$F,'credito latam'!$D$11,Dataset!$AN:$AN,K$65,Dataset!$J:$J,"&lt;"&amp;$D71,Dataset!$J:$J,"&gt;="&amp;$C71)</f>
        <v>0</v>
      </c>
      <c r="L71" s="83">
        <f>SUMIFS(Dataset!$AJ:$AJ,Dataset!$F:$F,'credito latam'!$D$11,Dataset!$AN:$AN,L$65,Dataset!$J:$J,"&lt;"&amp;$D71,Dataset!$J:$J,"&gt;="&amp;$C71)</f>
        <v>0</v>
      </c>
      <c r="M71" s="83">
        <f>SUMIFS(Dataset!$AJ:$AJ,Dataset!$F:$F,'credito latam'!$D$11,Dataset!$AN:$AN,M$65,Dataset!$J:$J,"&lt;"&amp;$D71,Dataset!$J:$J,"&gt;="&amp;$C71)</f>
        <v>0</v>
      </c>
      <c r="N71" s="83">
        <f>SUMIFS(Dataset!$AJ:$AJ,Dataset!$F:$F,'credito latam'!$D$11,Dataset!$AN:$AN,N$65,Dataset!$J:$J,"&lt;"&amp;$D71,Dataset!$J:$J,"&gt;="&amp;$C71)</f>
        <v>0</v>
      </c>
      <c r="O71" s="83">
        <f>SUMIFS(Dataset!$AJ:$AJ,Dataset!$F:$F,'credito latam'!$D$11,Dataset!$AN:$AN,O$65,Dataset!$J:$J,"&lt;"&amp;$D71,Dataset!$J:$J,"&gt;="&amp;$C71)</f>
        <v>0</v>
      </c>
      <c r="P71" s="83">
        <f>SUMIFS(Dataset!$AJ:$AJ,Dataset!$F:$F,'credito latam'!$D$11,Dataset!$AN:$AN,"B-",Dataset!$J:$J,"&lt;"&amp;$D71,Dataset!$J:$J,"&gt;="&amp;$C71)+SUMIFS(Dataset!$AJ:$AJ,Dataset!$F:$F,'credito latam'!$D$11,Dataset!$AN:$AN,"B",Dataset!$J:$J,"&lt;"&amp;$D71,Dataset!$J:$J,"&gt;="&amp;$C71)+SUMIFS(Dataset!$AJ:$AJ,Dataset!$F:$F,'credito latam'!$D$11,Dataset!$AN:$AN,"B+",Dataset!$J:$J,"&lt;"&amp;$D71,Dataset!$J:$J,"&gt;="&amp;$C71)</f>
        <v>0</v>
      </c>
      <c r="Q71" s="114">
        <f>SUMIFS(Dataset!$AJ:$AJ,Dataset!$F:$F,'credito latam'!$D$11,Dataset!$AN:$AN,Q$65,Dataset!$J:$J,"&lt;"&amp;$D71,Dataset!$J:$J,"&gt;="&amp;$C71)</f>
        <v>0</v>
      </c>
      <c r="R71" s="84">
        <f t="shared" si="7"/>
        <v>0</v>
      </c>
      <c r="S71" s="113">
        <f>SUMIFS(Dataset!$AA:$AA,Dataset!$F:$F,'credito latam'!$D$11,Dataset!$AN:$AN,"*AAA*",Dataset!$J:$J,"&lt;"&amp;$D71,Dataset!$J:$J,"&gt;="&amp;$C71)</f>
        <v>0</v>
      </c>
      <c r="T71" s="83">
        <f>SUMIFS(Dataset!$AA:$AA,Dataset!$F:$F,'credito latam'!$D$11,Dataset!$AN:$AN,"AA+",Dataset!$J:$J,"&lt;"&amp;$D71,Dataset!$J:$J,"&gt;="&amp;$C71)+SUMIFS(Dataset!$AA:$AA,Dataset!$F:$F,'credito latam'!$D$11,Dataset!$AN:$AN,"AA",Dataset!$J:$J,"&lt;"&amp;$D71,Dataset!$J:$J,"&gt;="&amp;$C71)+SUMIFS(Dataset!$AA:$AA,Dataset!$F:$F,'credito latam'!$D$11,Dataset!$AN:$AN,"AA-",Dataset!$J:$J,"&lt;"&amp;$D71,Dataset!$J:$J,"&gt;="&amp;$C71)</f>
        <v>0</v>
      </c>
      <c r="U71" s="83">
        <f>SUMIFS(Dataset!$AA:$AA,Dataset!$F:$F,'credito latam'!$D$11,Dataset!$AN:$AN,U$65,Dataset!$J:$J,"&lt;"&amp;$D71,Dataset!$J:$J,"&gt;="&amp;$C71)</f>
        <v>0</v>
      </c>
      <c r="V71" s="83">
        <f>SUMIFS(Dataset!$AA:$AA,Dataset!$F:$F,'credito latam'!$D$11,Dataset!$AN:$AN,V$65,Dataset!$J:$J,"&lt;"&amp;$D71,Dataset!$J:$J,"&gt;="&amp;$C71)</f>
        <v>0</v>
      </c>
      <c r="W71" s="83">
        <f>SUMIFS(Dataset!$AA:$AA,Dataset!$F:$F,'credito latam'!$D$11,Dataset!$AN:$AN,W$65,Dataset!$J:$J,"&lt;"&amp;$D71,Dataset!$J:$J,"&gt;="&amp;$C71)</f>
        <v>0</v>
      </c>
      <c r="X71" s="83">
        <f>SUMIFS(Dataset!$AA:$AA,Dataset!$F:$F,'credito latam'!$D$11,Dataset!$AN:$AN,X$65,Dataset!$J:$J,"&lt;"&amp;$D71,Dataset!$J:$J,"&gt;="&amp;$C71)</f>
        <v>0</v>
      </c>
      <c r="Y71" s="83">
        <f>SUMIFS(Dataset!$AA:$AA,Dataset!$F:$F,'credito latam'!$D$11,Dataset!$AN:$AN,Y$65,Dataset!$J:$J,"&lt;"&amp;$D71,Dataset!$J:$J,"&gt;="&amp;$C71)</f>
        <v>0</v>
      </c>
      <c r="Z71" s="83">
        <f>SUMIFS(Dataset!$AA:$AA,Dataset!$F:$F,'credito latam'!$D$11,Dataset!$AN:$AN,Z$65,Dataset!$J:$J,"&lt;"&amp;$D71,Dataset!$J:$J,"&gt;="&amp;$C71)</f>
        <v>0</v>
      </c>
      <c r="AA71" s="83">
        <f>SUMIFS(Dataset!$AA:$AA,Dataset!$F:$F,'credito latam'!$D$11,Dataset!$AN:$AN,AA$65,Dataset!$J:$J,"&lt;"&amp;$D71,Dataset!$J:$J,"&gt;="&amp;$C71)</f>
        <v>0</v>
      </c>
      <c r="AB71" s="83">
        <f>SUMIFS(Dataset!$AA:$AA,Dataset!$F:$F,'credito latam'!$D$11,Dataset!$AN:$AN,AB$65,Dataset!$J:$J,"&lt;"&amp;$D71,Dataset!$J:$J,"&gt;="&amp;$C71)</f>
        <v>0</v>
      </c>
      <c r="AC71" s="83">
        <f>SUMIFS(Dataset!$AA:$AA,Dataset!$F:$F,'credito latam'!$D$11,Dataset!$AN:$AN,AC$65,Dataset!$J:$J,"&lt;"&amp;$D71,Dataset!$J:$J,"&gt;="&amp;$C71)</f>
        <v>0</v>
      </c>
      <c r="AD71" s="83">
        <f>SUMIFS(Dataset!$AA:$AA,Dataset!$F:$F,'credito latam'!$D$11,Dataset!$AN:$AN,"B-",Dataset!$J:$J,"&lt;"&amp;$D71,Dataset!$J:$J,"&gt;="&amp;$C71)+SUMIFS(Dataset!$AA:$AA,Dataset!$F:$F,'credito latam'!$D$11,Dataset!$AN:$AN,"B",Dataset!$J:$J,"&lt;"&amp;$D71,Dataset!$J:$J,"&gt;="&amp;$C71)+SUMIFS(Dataset!$AA:$AA,Dataset!$F:$F,'credito latam'!$D$11,Dataset!$AN:$AN,"B+",Dataset!$J:$J,"&lt;"&amp;$D71,Dataset!$J:$J,"&gt;="&amp;$C71)</f>
        <v>0</v>
      </c>
      <c r="AE71" s="114">
        <f>SUMIFS(Dataset!$AA:$AA,Dataset!$F:$F,'credito latam'!$D$11,Dataset!$AN:$AN,AE$65,Dataset!$J:$J,"&lt;"&amp;$D71,Dataset!$J:$J,"&gt;="&amp;$C71)</f>
        <v>0</v>
      </c>
      <c r="AF71" s="84">
        <f t="shared" si="8"/>
        <v>0</v>
      </c>
    </row>
    <row r="72" spans="3:32" ht="33" customHeight="1" x14ac:dyDescent="0.3">
      <c r="C72" s="61">
        <v>5.5</v>
      </c>
      <c r="D72" s="81">
        <v>6.5</v>
      </c>
      <c r="E72" s="113">
        <f>SUMIFS(Dataset!$AJ:$AJ,Dataset!$F:$F,'credito latam'!$D$11,Dataset!$AN:$AN,"*AAA*",Dataset!$J:$J,"&lt;"&amp;$D72,Dataset!$J:$J,"&gt;="&amp;$C72)</f>
        <v>0</v>
      </c>
      <c r="F72" s="101">
        <f>SUMIFS(Dataset!$AJ:$AJ,Dataset!$F:$F,'credito latam'!$D$11,Dataset!$AN:$AN,"AA+",Dataset!$J:$J,"&lt;"&amp;$D72,Dataset!$J:$J,"&gt;="&amp;$C72)+SUMIFS(Dataset!$AJ:$AJ,Dataset!$F:$F,'credito latam'!$D$11,Dataset!$AN:$AN,"AA",Dataset!$J:$J,"&lt;"&amp;$D72,Dataset!$J:$J,"&gt;="&amp;$C72)+SUMIFS(Dataset!$AJ:$AJ,Dataset!$F:$F,'credito latam'!$D$11,Dataset!$AN:$AN,"AA-",Dataset!$J:$J,"&lt;"&amp;$D72,Dataset!$J:$J,"&gt;="&amp;$C72)</f>
        <v>0</v>
      </c>
      <c r="G72" s="101">
        <f>SUMIFS(Dataset!$AJ:$AJ,Dataset!$F:$F,'credito latam'!$D$11,Dataset!$AN:$AN,G$65,Dataset!$J:$J,"&lt;"&amp;$D72,Dataset!$J:$J,"&gt;="&amp;$C72)</f>
        <v>0</v>
      </c>
      <c r="H72" s="101">
        <f>SUMIFS(Dataset!$AJ:$AJ,Dataset!$F:$F,'credito latam'!$D$11,Dataset!$AN:$AN,H$65,Dataset!$J:$J,"&lt;"&amp;$D72,Dataset!$J:$J,"&gt;="&amp;$C72)</f>
        <v>0</v>
      </c>
      <c r="I72" s="101">
        <f>SUMIFS(Dataset!$AJ:$AJ,Dataset!$F:$F,'credito latam'!$D$11,Dataset!$AN:$AN,I$65,Dataset!$J:$J,"&lt;"&amp;$D72,Dataset!$J:$J,"&gt;="&amp;$C72)</f>
        <v>0</v>
      </c>
      <c r="J72" s="101">
        <f>SUMIFS(Dataset!$AJ:$AJ,Dataset!$F:$F,'credito latam'!$D$11,Dataset!$AN:$AN,J$65,Dataset!$J:$J,"&lt;"&amp;$D72,Dataset!$J:$J,"&gt;="&amp;$C72)</f>
        <v>0</v>
      </c>
      <c r="K72" s="101">
        <f>SUMIFS(Dataset!$AJ:$AJ,Dataset!$F:$F,'credito latam'!$D$11,Dataset!$AN:$AN,K$65,Dataset!$J:$J,"&lt;"&amp;$D72,Dataset!$J:$J,"&gt;="&amp;$C72)</f>
        <v>0</v>
      </c>
      <c r="L72" s="101">
        <f>SUMIFS(Dataset!$AJ:$AJ,Dataset!$F:$F,'credito latam'!$D$11,Dataset!$AN:$AN,L$65,Dataset!$J:$J,"&lt;"&amp;$D72,Dataset!$J:$J,"&gt;="&amp;$C72)</f>
        <v>0</v>
      </c>
      <c r="M72" s="101">
        <f>SUMIFS(Dataset!$AJ:$AJ,Dataset!$F:$F,'credito latam'!$D$11,Dataset!$AN:$AN,M$65,Dataset!$J:$J,"&lt;"&amp;$D72,Dataset!$J:$J,"&gt;="&amp;$C72)</f>
        <v>0</v>
      </c>
      <c r="N72" s="101">
        <f>SUMIFS(Dataset!$AJ:$AJ,Dataset!$F:$F,'credito latam'!$D$11,Dataset!$AN:$AN,N$65,Dataset!$J:$J,"&lt;"&amp;$D72,Dataset!$J:$J,"&gt;="&amp;$C72)</f>
        <v>0</v>
      </c>
      <c r="O72" s="101">
        <f>SUMIFS(Dataset!$AJ:$AJ,Dataset!$F:$F,'credito latam'!$D$11,Dataset!$AN:$AN,O$65,Dataset!$J:$J,"&lt;"&amp;$D72,Dataset!$J:$J,"&gt;="&amp;$C72)</f>
        <v>0</v>
      </c>
      <c r="P72" s="101">
        <f>SUMIFS(Dataset!$AJ:$AJ,Dataset!$F:$F,'credito latam'!$D$11,Dataset!$AN:$AN,"B-",Dataset!$J:$J,"&lt;"&amp;$D72,Dataset!$J:$J,"&gt;="&amp;$C72)+SUMIFS(Dataset!$AJ:$AJ,Dataset!$F:$F,'credito latam'!$D$11,Dataset!$AN:$AN,"B",Dataset!$J:$J,"&lt;"&amp;$D72,Dataset!$J:$J,"&gt;="&amp;$C72)+SUMIFS(Dataset!$AJ:$AJ,Dataset!$F:$F,'credito latam'!$D$11,Dataset!$AN:$AN,"B+",Dataset!$J:$J,"&lt;"&amp;$D72,Dataset!$J:$J,"&gt;="&amp;$C72)</f>
        <v>0</v>
      </c>
      <c r="Q72" s="102">
        <f>SUMIFS(Dataset!$AJ:$AJ,Dataset!$F:$F,'credito latam'!$D$11,Dataset!$AN:$AN,Q$65,Dataset!$J:$J,"&lt;"&amp;$D72,Dataset!$J:$J,"&gt;="&amp;$C72)</f>
        <v>0</v>
      </c>
      <c r="R72" s="84">
        <f t="shared" si="7"/>
        <v>0</v>
      </c>
      <c r="S72" s="113">
        <f>SUMIFS(Dataset!$AA:$AA,Dataset!$F:$F,'credito latam'!$D$11,Dataset!$AN:$AN,"*AAA*",Dataset!$J:$J,"&lt;"&amp;$D72,Dataset!$J:$J,"&gt;="&amp;$C72)</f>
        <v>0</v>
      </c>
      <c r="T72" s="101">
        <f>SUMIFS(Dataset!$AA:$AA,Dataset!$F:$F,'credito latam'!$D$11,Dataset!$AN:$AN,"AA+",Dataset!$J:$J,"&lt;"&amp;$D72,Dataset!$J:$J,"&gt;="&amp;$C72)+SUMIFS(Dataset!$AA:$AA,Dataset!$F:$F,'credito latam'!$D$11,Dataset!$AN:$AN,"AA",Dataset!$J:$J,"&lt;"&amp;$D72,Dataset!$J:$J,"&gt;="&amp;$C72)+SUMIFS(Dataset!$AA:$AA,Dataset!$F:$F,'credito latam'!$D$11,Dataset!$AN:$AN,"AA-",Dataset!$J:$J,"&lt;"&amp;$D72,Dataset!$J:$J,"&gt;="&amp;$C72)</f>
        <v>0</v>
      </c>
      <c r="U72" s="101">
        <f>SUMIFS(Dataset!$AA:$AA,Dataset!$F:$F,'credito latam'!$D$11,Dataset!$AN:$AN,U$65,Dataset!$J:$J,"&lt;"&amp;$D72,Dataset!$J:$J,"&gt;="&amp;$C72)</f>
        <v>0</v>
      </c>
      <c r="V72" s="101">
        <f>SUMIFS(Dataset!$AA:$AA,Dataset!$F:$F,'credito latam'!$D$11,Dataset!$AN:$AN,V$65,Dataset!$J:$J,"&lt;"&amp;$D72,Dataset!$J:$J,"&gt;="&amp;$C72)</f>
        <v>0</v>
      </c>
      <c r="W72" s="101">
        <f>SUMIFS(Dataset!$AA:$AA,Dataset!$F:$F,'credito latam'!$D$11,Dataset!$AN:$AN,W$65,Dataset!$J:$J,"&lt;"&amp;$D72,Dataset!$J:$J,"&gt;="&amp;$C72)</f>
        <v>0</v>
      </c>
      <c r="X72" s="101">
        <f>SUMIFS(Dataset!$AA:$AA,Dataset!$F:$F,'credito latam'!$D$11,Dataset!$AN:$AN,X$65,Dataset!$J:$J,"&lt;"&amp;$D72,Dataset!$J:$J,"&gt;="&amp;$C72)</f>
        <v>0</v>
      </c>
      <c r="Y72" s="101">
        <f>SUMIFS(Dataset!$AA:$AA,Dataset!$F:$F,'credito latam'!$D$11,Dataset!$AN:$AN,Y$65,Dataset!$J:$J,"&lt;"&amp;$D72,Dataset!$J:$J,"&gt;="&amp;$C72)</f>
        <v>0</v>
      </c>
      <c r="Z72" s="101">
        <f>SUMIFS(Dataset!$AA:$AA,Dataset!$F:$F,'credito latam'!$D$11,Dataset!$AN:$AN,Z$65,Dataset!$J:$J,"&lt;"&amp;$D72,Dataset!$J:$J,"&gt;="&amp;$C72)</f>
        <v>0</v>
      </c>
      <c r="AA72" s="101">
        <f>SUMIFS(Dataset!$AA:$AA,Dataset!$F:$F,'credito latam'!$D$11,Dataset!$AN:$AN,AA$65,Dataset!$J:$J,"&lt;"&amp;$D72,Dataset!$J:$J,"&gt;="&amp;$C72)</f>
        <v>0</v>
      </c>
      <c r="AB72" s="101">
        <f>SUMIFS(Dataset!$AA:$AA,Dataset!$F:$F,'credito latam'!$D$11,Dataset!$AN:$AN,AB$65,Dataset!$J:$J,"&lt;"&amp;$D72,Dataset!$J:$J,"&gt;="&amp;$C72)</f>
        <v>0</v>
      </c>
      <c r="AC72" s="101">
        <f>SUMIFS(Dataset!$AA:$AA,Dataset!$F:$F,'credito latam'!$D$11,Dataset!$AN:$AN,AC$65,Dataset!$J:$J,"&lt;"&amp;$D72,Dataset!$J:$J,"&gt;="&amp;$C72)</f>
        <v>0</v>
      </c>
      <c r="AD72" s="101">
        <f>SUMIFS(Dataset!$AA:$AA,Dataset!$F:$F,'credito latam'!$D$11,Dataset!$AN:$AN,"B-",Dataset!$J:$J,"&lt;"&amp;$D72,Dataset!$J:$J,"&gt;="&amp;$C72)+SUMIFS(Dataset!$AA:$AA,Dataset!$F:$F,'credito latam'!$D$11,Dataset!$AN:$AN,"B",Dataset!$J:$J,"&lt;"&amp;$D72,Dataset!$J:$J,"&gt;="&amp;$C72)+SUMIFS(Dataset!$AA:$AA,Dataset!$F:$F,'credito latam'!$D$11,Dataset!$AN:$AN,"B+",Dataset!$J:$J,"&lt;"&amp;$D72,Dataset!$J:$J,"&gt;="&amp;$C72)</f>
        <v>0</v>
      </c>
      <c r="AE72" s="102">
        <f>SUMIFS(Dataset!$AA:$AA,Dataset!$F:$F,'credito latam'!$D$11,Dataset!$AN:$AN,AE$65,Dataset!$J:$J,"&lt;"&amp;$D72,Dataset!$J:$J,"&gt;="&amp;$C72)</f>
        <v>0</v>
      </c>
      <c r="AF72" s="84">
        <f t="shared" si="8"/>
        <v>0</v>
      </c>
    </row>
    <row r="73" spans="3:32" ht="33" customHeight="1" x14ac:dyDescent="0.3">
      <c r="C73" s="61">
        <v>6.5</v>
      </c>
      <c r="D73" s="81">
        <v>7.5</v>
      </c>
      <c r="E73" s="113">
        <f>SUMIFS(Dataset!$AJ:$AJ,Dataset!$F:$F,'credito latam'!$D$11,Dataset!$AN:$AN,"*AAA*",Dataset!$J:$J,"&lt;"&amp;$D73,Dataset!$J:$J,"&gt;="&amp;$C73)</f>
        <v>0</v>
      </c>
      <c r="F73" s="83">
        <f>SUMIFS(Dataset!$AJ:$AJ,Dataset!$F:$F,'credito latam'!$D$11,Dataset!$AN:$AN,"AA+",Dataset!$J:$J,"&lt;"&amp;$D73,Dataset!$J:$J,"&gt;="&amp;$C73)+SUMIFS(Dataset!$AJ:$AJ,Dataset!$F:$F,'credito latam'!$D$11,Dataset!$AN:$AN,"AA",Dataset!$J:$J,"&lt;"&amp;$D73,Dataset!$J:$J,"&gt;="&amp;$C73)+SUMIFS(Dataset!$AJ:$AJ,Dataset!$F:$F,'credito latam'!$D$11,Dataset!$AN:$AN,"AA-",Dataset!$J:$J,"&lt;"&amp;$D73,Dataset!$J:$J,"&gt;="&amp;$C73)</f>
        <v>0</v>
      </c>
      <c r="G73" s="83">
        <f>SUMIFS(Dataset!$AJ:$AJ,Dataset!$F:$F,'credito latam'!$D$11,Dataset!$AN:$AN,G$65,Dataset!$J:$J,"&lt;"&amp;$D73,Dataset!$J:$J,"&gt;="&amp;$C73)</f>
        <v>0</v>
      </c>
      <c r="H73" s="83">
        <f>SUMIFS(Dataset!$AJ:$AJ,Dataset!$F:$F,'credito latam'!$D$11,Dataset!$AN:$AN,H$65,Dataset!$J:$J,"&lt;"&amp;$D73,Dataset!$J:$J,"&gt;="&amp;$C73)</f>
        <v>0</v>
      </c>
      <c r="I73" s="83">
        <f>SUMIFS(Dataset!$AJ:$AJ,Dataset!$F:$F,'credito latam'!$D$11,Dataset!$AN:$AN,I$65,Dataset!$J:$J,"&lt;"&amp;$D73,Dataset!$J:$J,"&gt;="&amp;$C73)</f>
        <v>0</v>
      </c>
      <c r="J73" s="83">
        <f>SUMIFS(Dataset!$AJ:$AJ,Dataset!$F:$F,'credito latam'!$D$11,Dataset!$AN:$AN,J$65,Dataset!$J:$J,"&lt;"&amp;$D73,Dataset!$J:$J,"&gt;="&amp;$C73)</f>
        <v>0</v>
      </c>
      <c r="K73" s="83">
        <f>SUMIFS(Dataset!$AJ:$AJ,Dataset!$F:$F,'credito latam'!$D$11,Dataset!$AN:$AN,K$65,Dataset!$J:$J,"&lt;"&amp;$D73,Dataset!$J:$J,"&gt;="&amp;$C73)</f>
        <v>0</v>
      </c>
      <c r="L73" s="83">
        <f>SUMIFS(Dataset!$AJ:$AJ,Dataset!$F:$F,'credito latam'!$D$11,Dataset!$AN:$AN,L$65,Dataset!$J:$J,"&lt;"&amp;$D73,Dataset!$J:$J,"&gt;="&amp;$C73)</f>
        <v>0</v>
      </c>
      <c r="M73" s="83">
        <f>SUMIFS(Dataset!$AJ:$AJ,Dataset!$F:$F,'credito latam'!$D$11,Dataset!$AN:$AN,M$65,Dataset!$J:$J,"&lt;"&amp;$D73,Dataset!$J:$J,"&gt;="&amp;$C73)</f>
        <v>0</v>
      </c>
      <c r="N73" s="83">
        <f>SUMIFS(Dataset!$AJ:$AJ,Dataset!$F:$F,'credito latam'!$D$11,Dataset!$AN:$AN,N$65,Dataset!$J:$J,"&lt;"&amp;$D73,Dataset!$J:$J,"&gt;="&amp;$C73)</f>
        <v>0</v>
      </c>
      <c r="O73" s="83">
        <f>SUMIFS(Dataset!$AJ:$AJ,Dataset!$F:$F,'credito latam'!$D$11,Dataset!$AN:$AN,O$65,Dataset!$J:$J,"&lt;"&amp;$D73,Dataset!$J:$J,"&gt;="&amp;$C73)</f>
        <v>0</v>
      </c>
      <c r="P73" s="83">
        <f>SUMIFS(Dataset!$AJ:$AJ,Dataset!$F:$F,'credito latam'!$D$11,Dataset!$AN:$AN,"B-",Dataset!$J:$J,"&lt;"&amp;$D73,Dataset!$J:$J,"&gt;="&amp;$C73)+SUMIFS(Dataset!$AJ:$AJ,Dataset!$F:$F,'credito latam'!$D$11,Dataset!$AN:$AN,"B",Dataset!$J:$J,"&lt;"&amp;$D73,Dataset!$J:$J,"&gt;="&amp;$C73)+SUMIFS(Dataset!$AJ:$AJ,Dataset!$F:$F,'credito latam'!$D$11,Dataset!$AN:$AN,"B+",Dataset!$J:$J,"&lt;"&amp;$D73,Dataset!$J:$J,"&gt;="&amp;$C73)</f>
        <v>0</v>
      </c>
      <c r="Q73" s="114">
        <f>SUMIFS(Dataset!$AJ:$AJ,Dataset!$F:$F,'credito latam'!$D$11,Dataset!$AN:$AN,Q$65,Dataset!$J:$J,"&lt;"&amp;$D73,Dataset!$J:$J,"&gt;="&amp;$C73)</f>
        <v>0</v>
      </c>
      <c r="R73" s="84">
        <f t="shared" si="7"/>
        <v>0</v>
      </c>
      <c r="S73" s="113">
        <f>SUMIFS(Dataset!$AA:$AA,Dataset!$F:$F,'credito latam'!$D$11,Dataset!$AN:$AN,"*AAA*",Dataset!$J:$J,"&lt;"&amp;$D73,Dataset!$J:$J,"&gt;="&amp;$C73)</f>
        <v>0</v>
      </c>
      <c r="T73" s="83">
        <f>SUMIFS(Dataset!$AA:$AA,Dataset!$F:$F,'credito latam'!$D$11,Dataset!$AN:$AN,"AA+",Dataset!$J:$J,"&lt;"&amp;$D73,Dataset!$J:$J,"&gt;="&amp;$C73)+SUMIFS(Dataset!$AA:$AA,Dataset!$F:$F,'credito latam'!$D$11,Dataset!$AN:$AN,"AA",Dataset!$J:$J,"&lt;"&amp;$D73,Dataset!$J:$J,"&gt;="&amp;$C73)+SUMIFS(Dataset!$AA:$AA,Dataset!$F:$F,'credito latam'!$D$11,Dataset!$AN:$AN,"AA-",Dataset!$J:$J,"&lt;"&amp;$D73,Dataset!$J:$J,"&gt;="&amp;$C73)</f>
        <v>0</v>
      </c>
      <c r="U73" s="83">
        <f>SUMIFS(Dataset!$AA:$AA,Dataset!$F:$F,'credito latam'!$D$11,Dataset!$AN:$AN,U$65,Dataset!$J:$J,"&lt;"&amp;$D73,Dataset!$J:$J,"&gt;="&amp;$C73)</f>
        <v>0</v>
      </c>
      <c r="V73" s="83">
        <f>SUMIFS(Dataset!$AA:$AA,Dataset!$F:$F,'credito latam'!$D$11,Dataset!$AN:$AN,V$65,Dataset!$J:$J,"&lt;"&amp;$D73,Dataset!$J:$J,"&gt;="&amp;$C73)</f>
        <v>0</v>
      </c>
      <c r="W73" s="83">
        <f>SUMIFS(Dataset!$AA:$AA,Dataset!$F:$F,'credito latam'!$D$11,Dataset!$AN:$AN,W$65,Dataset!$J:$J,"&lt;"&amp;$D73,Dataset!$J:$J,"&gt;="&amp;$C73)</f>
        <v>0</v>
      </c>
      <c r="X73" s="83">
        <f>SUMIFS(Dataset!$AA:$AA,Dataset!$F:$F,'credito latam'!$D$11,Dataset!$AN:$AN,X$65,Dataset!$J:$J,"&lt;"&amp;$D73,Dataset!$J:$J,"&gt;="&amp;$C73)</f>
        <v>0</v>
      </c>
      <c r="Y73" s="83">
        <f>SUMIFS(Dataset!$AA:$AA,Dataset!$F:$F,'credito latam'!$D$11,Dataset!$AN:$AN,Y$65,Dataset!$J:$J,"&lt;"&amp;$D73,Dataset!$J:$J,"&gt;="&amp;$C73)</f>
        <v>0</v>
      </c>
      <c r="Z73" s="83">
        <f>SUMIFS(Dataset!$AA:$AA,Dataset!$F:$F,'credito latam'!$D$11,Dataset!$AN:$AN,Z$65,Dataset!$J:$J,"&lt;"&amp;$D73,Dataset!$J:$J,"&gt;="&amp;$C73)</f>
        <v>0</v>
      </c>
      <c r="AA73" s="83">
        <f>SUMIFS(Dataset!$AA:$AA,Dataset!$F:$F,'credito latam'!$D$11,Dataset!$AN:$AN,AA$65,Dataset!$J:$J,"&lt;"&amp;$D73,Dataset!$J:$J,"&gt;="&amp;$C73)</f>
        <v>0</v>
      </c>
      <c r="AB73" s="83">
        <f>SUMIFS(Dataset!$AA:$AA,Dataset!$F:$F,'credito latam'!$D$11,Dataset!$AN:$AN,AB$65,Dataset!$J:$J,"&lt;"&amp;$D73,Dataset!$J:$J,"&gt;="&amp;$C73)</f>
        <v>0</v>
      </c>
      <c r="AC73" s="83">
        <f>SUMIFS(Dataset!$AA:$AA,Dataset!$F:$F,'credito latam'!$D$11,Dataset!$AN:$AN,AC$65,Dataset!$J:$J,"&lt;"&amp;$D73,Dataset!$J:$J,"&gt;="&amp;$C73)</f>
        <v>0</v>
      </c>
      <c r="AD73" s="83">
        <f>SUMIFS(Dataset!$AA:$AA,Dataset!$F:$F,'credito latam'!$D$11,Dataset!$AN:$AN,"B-",Dataset!$J:$J,"&lt;"&amp;$D73,Dataset!$J:$J,"&gt;="&amp;$C73)+SUMIFS(Dataset!$AA:$AA,Dataset!$F:$F,'credito latam'!$D$11,Dataset!$AN:$AN,"B",Dataset!$J:$J,"&lt;"&amp;$D73,Dataset!$J:$J,"&gt;="&amp;$C73)+SUMIFS(Dataset!$AA:$AA,Dataset!$F:$F,'credito latam'!$D$11,Dataset!$AN:$AN,"B+",Dataset!$J:$J,"&lt;"&amp;$D73,Dataset!$J:$J,"&gt;="&amp;$C73)</f>
        <v>0</v>
      </c>
      <c r="AE73" s="114">
        <f>SUMIFS(Dataset!$AA:$AA,Dataset!$F:$F,'credito latam'!$D$11,Dataset!$AN:$AN,AE$65,Dataset!$J:$J,"&lt;"&amp;$D73,Dataset!$J:$J,"&gt;="&amp;$C73)</f>
        <v>0</v>
      </c>
      <c r="AF73" s="84">
        <f t="shared" si="8"/>
        <v>0</v>
      </c>
    </row>
    <row r="74" spans="3:32" ht="33" customHeight="1" x14ac:dyDescent="0.3">
      <c r="C74" s="61">
        <v>7.5</v>
      </c>
      <c r="D74" s="81">
        <v>8.5</v>
      </c>
      <c r="E74" s="113">
        <f>SUMIFS(Dataset!$AJ:$AJ,Dataset!$F:$F,'credito latam'!$D$11,Dataset!$AN:$AN,"*AAA*",Dataset!$J:$J,"&lt;"&amp;$D74,Dataset!$J:$J,"&gt;="&amp;$C74)</f>
        <v>0</v>
      </c>
      <c r="F74" s="101">
        <f>SUMIFS(Dataset!$AJ:$AJ,Dataset!$F:$F,'credito latam'!$D$11,Dataset!$AN:$AN,"AA+",Dataset!$J:$J,"&lt;"&amp;$D74,Dataset!$J:$J,"&gt;="&amp;$C74)+SUMIFS(Dataset!$AJ:$AJ,Dataset!$F:$F,'credito latam'!$D$11,Dataset!$AN:$AN,"AA",Dataset!$J:$J,"&lt;"&amp;$D74,Dataset!$J:$J,"&gt;="&amp;$C74)+SUMIFS(Dataset!$AJ:$AJ,Dataset!$F:$F,'credito latam'!$D$11,Dataset!$AN:$AN,"AA-",Dataset!$J:$J,"&lt;"&amp;$D74,Dataset!$J:$J,"&gt;="&amp;$C74)</f>
        <v>0</v>
      </c>
      <c r="G74" s="101">
        <f>SUMIFS(Dataset!$AJ:$AJ,Dataset!$F:$F,'credito latam'!$D$11,Dataset!$AN:$AN,G$65,Dataset!$J:$J,"&lt;"&amp;$D74,Dataset!$J:$J,"&gt;="&amp;$C74)</f>
        <v>0</v>
      </c>
      <c r="H74" s="101">
        <f>SUMIFS(Dataset!$AJ:$AJ,Dataset!$F:$F,'credito latam'!$D$11,Dataset!$AN:$AN,H$65,Dataset!$J:$J,"&lt;"&amp;$D74,Dataset!$J:$J,"&gt;="&amp;$C74)</f>
        <v>0</v>
      </c>
      <c r="I74" s="101">
        <f>SUMIFS(Dataset!$AJ:$AJ,Dataset!$F:$F,'credito latam'!$D$11,Dataset!$AN:$AN,I$65,Dataset!$J:$J,"&lt;"&amp;$D74,Dataset!$J:$J,"&gt;="&amp;$C74)</f>
        <v>0</v>
      </c>
      <c r="J74" s="101">
        <f>SUMIFS(Dataset!$AJ:$AJ,Dataset!$F:$F,'credito latam'!$D$11,Dataset!$AN:$AN,J$65,Dataset!$J:$J,"&lt;"&amp;$D74,Dataset!$J:$J,"&gt;="&amp;$C74)</f>
        <v>0</v>
      </c>
      <c r="K74" s="101">
        <f>SUMIFS(Dataset!$AJ:$AJ,Dataset!$F:$F,'credito latam'!$D$11,Dataset!$AN:$AN,K$65,Dataset!$J:$J,"&lt;"&amp;$D74,Dataset!$J:$J,"&gt;="&amp;$C74)</f>
        <v>0</v>
      </c>
      <c r="L74" s="101">
        <f>SUMIFS(Dataset!$AJ:$AJ,Dataset!$F:$F,'credito latam'!$D$11,Dataset!$AN:$AN,L$65,Dataset!$J:$J,"&lt;"&amp;$D74,Dataset!$J:$J,"&gt;="&amp;$C74)</f>
        <v>0</v>
      </c>
      <c r="M74" s="101">
        <f>SUMIFS(Dataset!$AJ:$AJ,Dataset!$F:$F,'credito latam'!$D$11,Dataset!$AN:$AN,M$65,Dataset!$J:$J,"&lt;"&amp;$D74,Dataset!$J:$J,"&gt;="&amp;$C74)</f>
        <v>0</v>
      </c>
      <c r="N74" s="101">
        <f>SUMIFS(Dataset!$AJ:$AJ,Dataset!$F:$F,'credito latam'!$D$11,Dataset!$AN:$AN,N$65,Dataset!$J:$J,"&lt;"&amp;$D74,Dataset!$J:$J,"&gt;="&amp;$C74)</f>
        <v>0</v>
      </c>
      <c r="O74" s="101">
        <f>SUMIFS(Dataset!$AJ:$AJ,Dataset!$F:$F,'credito latam'!$D$11,Dataset!$AN:$AN,O$65,Dataset!$J:$J,"&lt;"&amp;$D74,Dataset!$J:$J,"&gt;="&amp;$C74)</f>
        <v>0</v>
      </c>
      <c r="P74" s="101">
        <f>SUMIFS(Dataset!$AJ:$AJ,Dataset!$F:$F,'credito latam'!$D$11,Dataset!$AN:$AN,"B-",Dataset!$J:$J,"&lt;"&amp;$D74,Dataset!$J:$J,"&gt;="&amp;$C74)+SUMIFS(Dataset!$AJ:$AJ,Dataset!$F:$F,'credito latam'!$D$11,Dataset!$AN:$AN,"B",Dataset!$J:$J,"&lt;"&amp;$D74,Dataset!$J:$J,"&gt;="&amp;$C74)+SUMIFS(Dataset!$AJ:$AJ,Dataset!$F:$F,'credito latam'!$D$11,Dataset!$AN:$AN,"B+",Dataset!$J:$J,"&lt;"&amp;$D74,Dataset!$J:$J,"&gt;="&amp;$C74)</f>
        <v>0</v>
      </c>
      <c r="Q74" s="102">
        <f>SUMIFS(Dataset!$AJ:$AJ,Dataset!$F:$F,'credito latam'!$D$11,Dataset!$AN:$AN,Q$65,Dataset!$J:$J,"&lt;"&amp;$D74,Dataset!$J:$J,"&gt;="&amp;$C74)</f>
        <v>0</v>
      </c>
      <c r="R74" s="84">
        <f t="shared" si="7"/>
        <v>0</v>
      </c>
      <c r="S74" s="113">
        <f>SUMIFS(Dataset!$AA:$AA,Dataset!$F:$F,'credito latam'!$D$11,Dataset!$AN:$AN,"*AAA*",Dataset!$J:$J,"&lt;"&amp;$D74,Dataset!$J:$J,"&gt;="&amp;$C74)</f>
        <v>0</v>
      </c>
      <c r="T74" s="101">
        <f>SUMIFS(Dataset!$AA:$AA,Dataset!$F:$F,'credito latam'!$D$11,Dataset!$AN:$AN,"AA+",Dataset!$J:$J,"&lt;"&amp;$D74,Dataset!$J:$J,"&gt;="&amp;$C74)+SUMIFS(Dataset!$AA:$AA,Dataset!$F:$F,'credito latam'!$D$11,Dataset!$AN:$AN,"AA",Dataset!$J:$J,"&lt;"&amp;$D74,Dataset!$J:$J,"&gt;="&amp;$C74)+SUMIFS(Dataset!$AA:$AA,Dataset!$F:$F,'credito latam'!$D$11,Dataset!$AN:$AN,"AA-",Dataset!$J:$J,"&lt;"&amp;$D74,Dataset!$J:$J,"&gt;="&amp;$C74)</f>
        <v>0</v>
      </c>
      <c r="U74" s="101">
        <f>SUMIFS(Dataset!$AA:$AA,Dataset!$F:$F,'credito latam'!$D$11,Dataset!$AN:$AN,U$65,Dataset!$J:$J,"&lt;"&amp;$D74,Dataset!$J:$J,"&gt;="&amp;$C74)</f>
        <v>0</v>
      </c>
      <c r="V74" s="101">
        <f>SUMIFS(Dataset!$AA:$AA,Dataset!$F:$F,'credito latam'!$D$11,Dataset!$AN:$AN,V$65,Dataset!$J:$J,"&lt;"&amp;$D74,Dataset!$J:$J,"&gt;="&amp;$C74)</f>
        <v>0</v>
      </c>
      <c r="W74" s="101">
        <f>SUMIFS(Dataset!$AA:$AA,Dataset!$F:$F,'credito latam'!$D$11,Dataset!$AN:$AN,W$65,Dataset!$J:$J,"&lt;"&amp;$D74,Dataset!$J:$J,"&gt;="&amp;$C74)</f>
        <v>0</v>
      </c>
      <c r="X74" s="101">
        <f>SUMIFS(Dataset!$AA:$AA,Dataset!$F:$F,'credito latam'!$D$11,Dataset!$AN:$AN,X$65,Dataset!$J:$J,"&lt;"&amp;$D74,Dataset!$J:$J,"&gt;="&amp;$C74)</f>
        <v>0</v>
      </c>
      <c r="Y74" s="101">
        <f>SUMIFS(Dataset!$AA:$AA,Dataset!$F:$F,'credito latam'!$D$11,Dataset!$AN:$AN,Y$65,Dataset!$J:$J,"&lt;"&amp;$D74,Dataset!$J:$J,"&gt;="&amp;$C74)</f>
        <v>0</v>
      </c>
      <c r="Z74" s="101">
        <f>SUMIFS(Dataset!$AA:$AA,Dataset!$F:$F,'credito latam'!$D$11,Dataset!$AN:$AN,Z$65,Dataset!$J:$J,"&lt;"&amp;$D74,Dataset!$J:$J,"&gt;="&amp;$C74)</f>
        <v>0</v>
      </c>
      <c r="AA74" s="101">
        <f>SUMIFS(Dataset!$AA:$AA,Dataset!$F:$F,'credito latam'!$D$11,Dataset!$AN:$AN,AA$65,Dataset!$J:$J,"&lt;"&amp;$D74,Dataset!$J:$J,"&gt;="&amp;$C74)</f>
        <v>0</v>
      </c>
      <c r="AB74" s="101">
        <f>SUMIFS(Dataset!$AA:$AA,Dataset!$F:$F,'credito latam'!$D$11,Dataset!$AN:$AN,AB$65,Dataset!$J:$J,"&lt;"&amp;$D74,Dataset!$J:$J,"&gt;="&amp;$C74)</f>
        <v>0</v>
      </c>
      <c r="AC74" s="101">
        <f>SUMIFS(Dataset!$AA:$AA,Dataset!$F:$F,'credito latam'!$D$11,Dataset!$AN:$AN,AC$65,Dataset!$J:$J,"&lt;"&amp;$D74,Dataset!$J:$J,"&gt;="&amp;$C74)</f>
        <v>0</v>
      </c>
      <c r="AD74" s="101">
        <f>SUMIFS(Dataset!$AA:$AA,Dataset!$F:$F,'credito latam'!$D$11,Dataset!$AN:$AN,"B-",Dataset!$J:$J,"&lt;"&amp;$D74,Dataset!$J:$J,"&gt;="&amp;$C74)+SUMIFS(Dataset!$AA:$AA,Dataset!$F:$F,'credito latam'!$D$11,Dataset!$AN:$AN,"B",Dataset!$J:$J,"&lt;"&amp;$D74,Dataset!$J:$J,"&gt;="&amp;$C74)+SUMIFS(Dataset!$AA:$AA,Dataset!$F:$F,'credito latam'!$D$11,Dataset!$AN:$AN,"B+",Dataset!$J:$J,"&lt;"&amp;$D74,Dataset!$J:$J,"&gt;="&amp;$C74)</f>
        <v>0</v>
      </c>
      <c r="AE74" s="102">
        <f>SUMIFS(Dataset!$AA:$AA,Dataset!$F:$F,'credito latam'!$D$11,Dataset!$AN:$AN,AE$65,Dataset!$J:$J,"&lt;"&amp;$D74,Dataset!$J:$J,"&gt;="&amp;$C74)</f>
        <v>0</v>
      </c>
      <c r="AF74" s="84">
        <f t="shared" si="8"/>
        <v>0</v>
      </c>
    </row>
    <row r="75" spans="3:32" ht="33" customHeight="1" x14ac:dyDescent="0.3">
      <c r="C75" s="61">
        <v>8.5</v>
      </c>
      <c r="D75" s="81">
        <v>9.5</v>
      </c>
      <c r="E75" s="113">
        <f>SUMIFS(Dataset!$AJ:$AJ,Dataset!$F:$F,'credito latam'!$D$11,Dataset!$AN:$AN,"*AAA*",Dataset!$J:$J,"&lt;"&amp;$D75,Dataset!$J:$J,"&gt;="&amp;$C75)</f>
        <v>0</v>
      </c>
      <c r="F75" s="83">
        <f>SUMIFS(Dataset!$AJ:$AJ,Dataset!$F:$F,'credito latam'!$D$11,Dataset!$AN:$AN,"AA+",Dataset!$J:$J,"&lt;"&amp;$D75,Dataset!$J:$J,"&gt;="&amp;$C75)+SUMIFS(Dataset!$AJ:$AJ,Dataset!$F:$F,'credito latam'!$D$11,Dataset!$AN:$AN,"AA",Dataset!$J:$J,"&lt;"&amp;$D75,Dataset!$J:$J,"&gt;="&amp;$C75)+SUMIFS(Dataset!$AJ:$AJ,Dataset!$F:$F,'credito latam'!$D$11,Dataset!$AN:$AN,"AA-",Dataset!$J:$J,"&lt;"&amp;$D75,Dataset!$J:$J,"&gt;="&amp;$C75)</f>
        <v>0</v>
      </c>
      <c r="G75" s="83">
        <f>SUMIFS(Dataset!$AJ:$AJ,Dataset!$F:$F,'credito latam'!$D$11,Dataset!$AN:$AN,G$65,Dataset!$J:$J,"&lt;"&amp;$D75,Dataset!$J:$J,"&gt;="&amp;$C75)</f>
        <v>0</v>
      </c>
      <c r="H75" s="83">
        <f>SUMIFS(Dataset!$AJ:$AJ,Dataset!$F:$F,'credito latam'!$D$11,Dataset!$AN:$AN,H$65,Dataset!$J:$J,"&lt;"&amp;$D75,Dataset!$J:$J,"&gt;="&amp;$C75)</f>
        <v>0</v>
      </c>
      <c r="I75" s="83">
        <f>SUMIFS(Dataset!$AJ:$AJ,Dataset!$F:$F,'credito latam'!$D$11,Dataset!$AN:$AN,I$65,Dataset!$J:$J,"&lt;"&amp;$D75,Dataset!$J:$J,"&gt;="&amp;$C75)</f>
        <v>0</v>
      </c>
      <c r="J75" s="83">
        <f>SUMIFS(Dataset!$AJ:$AJ,Dataset!$F:$F,'credito latam'!$D$11,Dataset!$AN:$AN,J$65,Dataset!$J:$J,"&lt;"&amp;$D75,Dataset!$J:$J,"&gt;="&amp;$C75)</f>
        <v>0</v>
      </c>
      <c r="K75" s="83">
        <f>SUMIFS(Dataset!$AJ:$AJ,Dataset!$F:$F,'credito latam'!$D$11,Dataset!$AN:$AN,K$65,Dataset!$J:$J,"&lt;"&amp;$D75,Dataset!$J:$J,"&gt;="&amp;$C75)</f>
        <v>0</v>
      </c>
      <c r="L75" s="83">
        <f>SUMIFS(Dataset!$AJ:$AJ,Dataset!$F:$F,'credito latam'!$D$11,Dataset!$AN:$AN,L$65,Dataset!$J:$J,"&lt;"&amp;$D75,Dataset!$J:$J,"&gt;="&amp;$C75)</f>
        <v>0</v>
      </c>
      <c r="M75" s="83">
        <f>SUMIFS(Dataset!$AJ:$AJ,Dataset!$F:$F,'credito latam'!$D$11,Dataset!$AN:$AN,M$65,Dataset!$J:$J,"&lt;"&amp;$D75,Dataset!$J:$J,"&gt;="&amp;$C75)</f>
        <v>0</v>
      </c>
      <c r="N75" s="83">
        <f>SUMIFS(Dataset!$AJ:$AJ,Dataset!$F:$F,'credito latam'!$D$11,Dataset!$AN:$AN,N$65,Dataset!$J:$J,"&lt;"&amp;$D75,Dataset!$J:$J,"&gt;="&amp;$C75)</f>
        <v>0</v>
      </c>
      <c r="O75" s="83">
        <f>SUMIFS(Dataset!$AJ:$AJ,Dataset!$F:$F,'credito latam'!$D$11,Dataset!$AN:$AN,O$65,Dataset!$J:$J,"&lt;"&amp;$D75,Dataset!$J:$J,"&gt;="&amp;$C75)</f>
        <v>0</v>
      </c>
      <c r="P75" s="83">
        <f>SUMIFS(Dataset!$AJ:$AJ,Dataset!$F:$F,'credito latam'!$D$11,Dataset!$AN:$AN,"B-",Dataset!$J:$J,"&lt;"&amp;$D75,Dataset!$J:$J,"&gt;="&amp;$C75)+SUMIFS(Dataset!$AJ:$AJ,Dataset!$F:$F,'credito latam'!$D$11,Dataset!$AN:$AN,"B",Dataset!$J:$J,"&lt;"&amp;$D75,Dataset!$J:$J,"&gt;="&amp;$C75)+SUMIFS(Dataset!$AJ:$AJ,Dataset!$F:$F,'credito latam'!$D$11,Dataset!$AN:$AN,"B+",Dataset!$J:$J,"&lt;"&amp;$D75,Dataset!$J:$J,"&gt;="&amp;$C75)</f>
        <v>0</v>
      </c>
      <c r="Q75" s="114">
        <f>SUMIFS(Dataset!$AJ:$AJ,Dataset!$F:$F,'credito latam'!$D$11,Dataset!$AN:$AN,Q$65,Dataset!$J:$J,"&lt;"&amp;$D75,Dataset!$J:$J,"&gt;="&amp;$C75)</f>
        <v>0</v>
      </c>
      <c r="R75" s="84">
        <f t="shared" si="7"/>
        <v>0</v>
      </c>
      <c r="S75" s="113">
        <f>SUMIFS(Dataset!$AA:$AA,Dataset!$F:$F,'credito latam'!$D$11,Dataset!$AN:$AN,"*AAA*",Dataset!$J:$J,"&lt;"&amp;$D75,Dataset!$J:$J,"&gt;="&amp;$C75)</f>
        <v>0</v>
      </c>
      <c r="T75" s="83">
        <f>SUMIFS(Dataset!$AA:$AA,Dataset!$F:$F,'credito latam'!$D$11,Dataset!$AN:$AN,"AA+",Dataset!$J:$J,"&lt;"&amp;$D75,Dataset!$J:$J,"&gt;="&amp;$C75)+SUMIFS(Dataset!$AA:$AA,Dataset!$F:$F,'credito latam'!$D$11,Dataset!$AN:$AN,"AA",Dataset!$J:$J,"&lt;"&amp;$D75,Dataset!$J:$J,"&gt;="&amp;$C75)+SUMIFS(Dataset!$AA:$AA,Dataset!$F:$F,'credito latam'!$D$11,Dataset!$AN:$AN,"AA-",Dataset!$J:$J,"&lt;"&amp;$D75,Dataset!$J:$J,"&gt;="&amp;$C75)</f>
        <v>0</v>
      </c>
      <c r="U75" s="83">
        <f>SUMIFS(Dataset!$AA:$AA,Dataset!$F:$F,'credito latam'!$D$11,Dataset!$AN:$AN,U$65,Dataset!$J:$J,"&lt;"&amp;$D75,Dataset!$J:$J,"&gt;="&amp;$C75)</f>
        <v>0</v>
      </c>
      <c r="V75" s="83">
        <f>SUMIFS(Dataset!$AA:$AA,Dataset!$F:$F,'credito latam'!$D$11,Dataset!$AN:$AN,V$65,Dataset!$J:$J,"&lt;"&amp;$D75,Dataset!$J:$J,"&gt;="&amp;$C75)</f>
        <v>0</v>
      </c>
      <c r="W75" s="83">
        <f>SUMIFS(Dataset!$AA:$AA,Dataset!$F:$F,'credito latam'!$D$11,Dataset!$AN:$AN,W$65,Dataset!$J:$J,"&lt;"&amp;$D75,Dataset!$J:$J,"&gt;="&amp;$C75)</f>
        <v>0</v>
      </c>
      <c r="X75" s="83">
        <f>SUMIFS(Dataset!$AA:$AA,Dataset!$F:$F,'credito latam'!$D$11,Dataset!$AN:$AN,X$65,Dataset!$J:$J,"&lt;"&amp;$D75,Dataset!$J:$J,"&gt;="&amp;$C75)</f>
        <v>0</v>
      </c>
      <c r="Y75" s="83">
        <f>SUMIFS(Dataset!$AA:$AA,Dataset!$F:$F,'credito latam'!$D$11,Dataset!$AN:$AN,Y$65,Dataset!$J:$J,"&lt;"&amp;$D75,Dataset!$J:$J,"&gt;="&amp;$C75)</f>
        <v>0</v>
      </c>
      <c r="Z75" s="83">
        <f>SUMIFS(Dataset!$AA:$AA,Dataset!$F:$F,'credito latam'!$D$11,Dataset!$AN:$AN,Z$65,Dataset!$J:$J,"&lt;"&amp;$D75,Dataset!$J:$J,"&gt;="&amp;$C75)</f>
        <v>0</v>
      </c>
      <c r="AA75" s="83">
        <f>SUMIFS(Dataset!$AA:$AA,Dataset!$F:$F,'credito latam'!$D$11,Dataset!$AN:$AN,AA$65,Dataset!$J:$J,"&lt;"&amp;$D75,Dataset!$J:$J,"&gt;="&amp;$C75)</f>
        <v>0</v>
      </c>
      <c r="AB75" s="83">
        <f>SUMIFS(Dataset!$AA:$AA,Dataset!$F:$F,'credito latam'!$D$11,Dataset!$AN:$AN,AB$65,Dataset!$J:$J,"&lt;"&amp;$D75,Dataset!$J:$J,"&gt;="&amp;$C75)</f>
        <v>0</v>
      </c>
      <c r="AC75" s="83">
        <f>SUMIFS(Dataset!$AA:$AA,Dataset!$F:$F,'credito latam'!$D$11,Dataset!$AN:$AN,AC$65,Dataset!$J:$J,"&lt;"&amp;$D75,Dataset!$J:$J,"&gt;="&amp;$C75)</f>
        <v>0</v>
      </c>
      <c r="AD75" s="83">
        <f>SUMIFS(Dataset!$AA:$AA,Dataset!$F:$F,'credito latam'!$D$11,Dataset!$AN:$AN,"B-",Dataset!$J:$J,"&lt;"&amp;$D75,Dataset!$J:$J,"&gt;="&amp;$C75)+SUMIFS(Dataset!$AA:$AA,Dataset!$F:$F,'credito latam'!$D$11,Dataset!$AN:$AN,"B",Dataset!$J:$J,"&lt;"&amp;$D75,Dataset!$J:$J,"&gt;="&amp;$C75)+SUMIFS(Dataset!$AA:$AA,Dataset!$F:$F,'credito latam'!$D$11,Dataset!$AN:$AN,"B+",Dataset!$J:$J,"&lt;"&amp;$D75,Dataset!$J:$J,"&gt;="&amp;$C75)</f>
        <v>0</v>
      </c>
      <c r="AE75" s="114">
        <f>SUMIFS(Dataset!$AA:$AA,Dataset!$F:$F,'credito latam'!$D$11,Dataset!$AN:$AN,AE$65,Dataset!$J:$J,"&lt;"&amp;$D75,Dataset!$J:$J,"&gt;="&amp;$C75)</f>
        <v>0</v>
      </c>
      <c r="AF75" s="84">
        <f t="shared" si="8"/>
        <v>0</v>
      </c>
    </row>
    <row r="76" spans="3:32" ht="33" customHeight="1" x14ac:dyDescent="0.3">
      <c r="C76" s="61">
        <v>9.5</v>
      </c>
      <c r="D76" s="81">
        <v>10.5</v>
      </c>
      <c r="E76" s="113">
        <f>SUMIFS(Dataset!$AJ:$AJ,Dataset!$F:$F,'credito latam'!$D$11,Dataset!$AN:$AN,"*AAA*",Dataset!$J:$J,"&lt;"&amp;$D76,Dataset!$J:$J,"&gt;="&amp;$C76)</f>
        <v>0</v>
      </c>
      <c r="F76" s="101">
        <f>SUMIFS(Dataset!$AJ:$AJ,Dataset!$F:$F,'credito latam'!$D$11,Dataset!$AN:$AN,"AA+",Dataset!$J:$J,"&lt;"&amp;$D76,Dataset!$J:$J,"&gt;="&amp;$C76)+SUMIFS(Dataset!$AJ:$AJ,Dataset!$F:$F,'credito latam'!$D$11,Dataset!$AN:$AN,"AA",Dataset!$J:$J,"&lt;"&amp;$D76,Dataset!$J:$J,"&gt;="&amp;$C76)+SUMIFS(Dataset!$AJ:$AJ,Dataset!$F:$F,'credito latam'!$D$11,Dataset!$AN:$AN,"AA-",Dataset!$J:$J,"&lt;"&amp;$D76,Dataset!$J:$J,"&gt;="&amp;$C76)</f>
        <v>0</v>
      </c>
      <c r="G76" s="101">
        <f>SUMIFS(Dataset!$AJ:$AJ,Dataset!$F:$F,'credito latam'!$D$11,Dataset!$AN:$AN,G$65,Dataset!$J:$J,"&lt;"&amp;$D76,Dataset!$J:$J,"&gt;="&amp;$C76)</f>
        <v>0</v>
      </c>
      <c r="H76" s="101">
        <f>SUMIFS(Dataset!$AJ:$AJ,Dataset!$F:$F,'credito latam'!$D$11,Dataset!$AN:$AN,H$65,Dataset!$J:$J,"&lt;"&amp;$D76,Dataset!$J:$J,"&gt;="&amp;$C76)</f>
        <v>0</v>
      </c>
      <c r="I76" s="101">
        <f>SUMIFS(Dataset!$AJ:$AJ,Dataset!$F:$F,'credito latam'!$D$11,Dataset!$AN:$AN,I$65,Dataset!$J:$J,"&lt;"&amp;$D76,Dataset!$J:$J,"&gt;="&amp;$C76)</f>
        <v>0</v>
      </c>
      <c r="J76" s="101">
        <f>SUMIFS(Dataset!$AJ:$AJ,Dataset!$F:$F,'credito latam'!$D$11,Dataset!$AN:$AN,J$65,Dataset!$J:$J,"&lt;"&amp;$D76,Dataset!$J:$J,"&gt;="&amp;$C76)</f>
        <v>0</v>
      </c>
      <c r="K76" s="101">
        <f>SUMIFS(Dataset!$AJ:$AJ,Dataset!$F:$F,'credito latam'!$D$11,Dataset!$AN:$AN,K$65,Dataset!$J:$J,"&lt;"&amp;$D76,Dataset!$J:$J,"&gt;="&amp;$C76)</f>
        <v>0</v>
      </c>
      <c r="L76" s="101">
        <f>SUMIFS(Dataset!$AJ:$AJ,Dataset!$F:$F,'credito latam'!$D$11,Dataset!$AN:$AN,L$65,Dataset!$J:$J,"&lt;"&amp;$D76,Dataset!$J:$J,"&gt;="&amp;$C76)</f>
        <v>0</v>
      </c>
      <c r="M76" s="101">
        <f>SUMIFS(Dataset!$AJ:$AJ,Dataset!$F:$F,'credito latam'!$D$11,Dataset!$AN:$AN,M$65,Dataset!$J:$J,"&lt;"&amp;$D76,Dataset!$J:$J,"&gt;="&amp;$C76)</f>
        <v>0</v>
      </c>
      <c r="N76" s="101">
        <f>SUMIFS(Dataset!$AJ:$AJ,Dataset!$F:$F,'credito latam'!$D$11,Dataset!$AN:$AN,N$65,Dataset!$J:$J,"&lt;"&amp;$D76,Dataset!$J:$J,"&gt;="&amp;$C76)</f>
        <v>0</v>
      </c>
      <c r="O76" s="101">
        <f>SUMIFS(Dataset!$AJ:$AJ,Dataset!$F:$F,'credito latam'!$D$11,Dataset!$AN:$AN,O$65,Dataset!$J:$J,"&lt;"&amp;$D76,Dataset!$J:$J,"&gt;="&amp;$C76)</f>
        <v>0</v>
      </c>
      <c r="P76" s="101">
        <f>SUMIFS(Dataset!$AJ:$AJ,Dataset!$F:$F,'credito latam'!$D$11,Dataset!$AN:$AN,"B-",Dataset!$J:$J,"&lt;"&amp;$D76,Dataset!$J:$J,"&gt;="&amp;$C76)+SUMIFS(Dataset!$AJ:$AJ,Dataset!$F:$F,'credito latam'!$D$11,Dataset!$AN:$AN,"B",Dataset!$J:$J,"&lt;"&amp;$D76,Dataset!$J:$J,"&gt;="&amp;$C76)+SUMIFS(Dataset!$AJ:$AJ,Dataset!$F:$F,'credito latam'!$D$11,Dataset!$AN:$AN,"B+",Dataset!$J:$J,"&lt;"&amp;$D76,Dataset!$J:$J,"&gt;="&amp;$C76)</f>
        <v>0</v>
      </c>
      <c r="Q76" s="102">
        <f>SUMIFS(Dataset!$AJ:$AJ,Dataset!$F:$F,'credito latam'!$D$11,Dataset!$AN:$AN,Q$65,Dataset!$J:$J,"&lt;"&amp;$D76,Dataset!$J:$J,"&gt;="&amp;$C76)</f>
        <v>0</v>
      </c>
      <c r="R76" s="84">
        <f t="shared" si="7"/>
        <v>0</v>
      </c>
      <c r="S76" s="113">
        <f>SUMIFS(Dataset!$AA:$AA,Dataset!$F:$F,'credito latam'!$D$11,Dataset!$AN:$AN,"*AAA*",Dataset!$J:$J,"&lt;"&amp;$D76,Dataset!$J:$J,"&gt;="&amp;$C76)</f>
        <v>0</v>
      </c>
      <c r="T76" s="101">
        <f>SUMIFS(Dataset!$AA:$AA,Dataset!$F:$F,'credito latam'!$D$11,Dataset!$AN:$AN,"AA+",Dataset!$J:$J,"&lt;"&amp;$D76,Dataset!$J:$J,"&gt;="&amp;$C76)+SUMIFS(Dataset!$AA:$AA,Dataset!$F:$F,'credito latam'!$D$11,Dataset!$AN:$AN,"AA",Dataset!$J:$J,"&lt;"&amp;$D76,Dataset!$J:$J,"&gt;="&amp;$C76)+SUMIFS(Dataset!$AA:$AA,Dataset!$F:$F,'credito latam'!$D$11,Dataset!$AN:$AN,"AA-",Dataset!$J:$J,"&lt;"&amp;$D76,Dataset!$J:$J,"&gt;="&amp;$C76)</f>
        <v>0</v>
      </c>
      <c r="U76" s="101">
        <f>SUMIFS(Dataset!$AA:$AA,Dataset!$F:$F,'credito latam'!$D$11,Dataset!$AN:$AN,U$65,Dataset!$J:$J,"&lt;"&amp;$D76,Dataset!$J:$J,"&gt;="&amp;$C76)</f>
        <v>0</v>
      </c>
      <c r="V76" s="101">
        <f>SUMIFS(Dataset!$AA:$AA,Dataset!$F:$F,'credito latam'!$D$11,Dataset!$AN:$AN,V$65,Dataset!$J:$J,"&lt;"&amp;$D76,Dataset!$J:$J,"&gt;="&amp;$C76)</f>
        <v>0</v>
      </c>
      <c r="W76" s="101">
        <f>SUMIFS(Dataset!$AA:$AA,Dataset!$F:$F,'credito latam'!$D$11,Dataset!$AN:$AN,W$65,Dataset!$J:$J,"&lt;"&amp;$D76,Dataset!$J:$J,"&gt;="&amp;$C76)</f>
        <v>0</v>
      </c>
      <c r="X76" s="101">
        <f>SUMIFS(Dataset!$AA:$AA,Dataset!$F:$F,'credito latam'!$D$11,Dataset!$AN:$AN,X$65,Dataset!$J:$J,"&lt;"&amp;$D76,Dataset!$J:$J,"&gt;="&amp;$C76)</f>
        <v>0</v>
      </c>
      <c r="Y76" s="101">
        <f>SUMIFS(Dataset!$AA:$AA,Dataset!$F:$F,'credito latam'!$D$11,Dataset!$AN:$AN,Y$65,Dataset!$J:$J,"&lt;"&amp;$D76,Dataset!$J:$J,"&gt;="&amp;$C76)</f>
        <v>0</v>
      </c>
      <c r="Z76" s="101">
        <f>SUMIFS(Dataset!$AA:$AA,Dataset!$F:$F,'credito latam'!$D$11,Dataset!$AN:$AN,Z$65,Dataset!$J:$J,"&lt;"&amp;$D76,Dataset!$J:$J,"&gt;="&amp;$C76)</f>
        <v>0</v>
      </c>
      <c r="AA76" s="101">
        <f>SUMIFS(Dataset!$AA:$AA,Dataset!$F:$F,'credito latam'!$D$11,Dataset!$AN:$AN,AA$65,Dataset!$J:$J,"&lt;"&amp;$D76,Dataset!$J:$J,"&gt;="&amp;$C76)</f>
        <v>0</v>
      </c>
      <c r="AB76" s="101">
        <f>SUMIFS(Dataset!$AA:$AA,Dataset!$F:$F,'credito latam'!$D$11,Dataset!$AN:$AN,AB$65,Dataset!$J:$J,"&lt;"&amp;$D76,Dataset!$J:$J,"&gt;="&amp;$C76)</f>
        <v>0</v>
      </c>
      <c r="AC76" s="101">
        <f>SUMIFS(Dataset!$AA:$AA,Dataset!$F:$F,'credito latam'!$D$11,Dataset!$AN:$AN,AC$65,Dataset!$J:$J,"&lt;"&amp;$D76,Dataset!$J:$J,"&gt;="&amp;$C76)</f>
        <v>0</v>
      </c>
      <c r="AD76" s="101">
        <f>SUMIFS(Dataset!$AA:$AA,Dataset!$F:$F,'credito latam'!$D$11,Dataset!$AN:$AN,"B-",Dataset!$J:$J,"&lt;"&amp;$D76,Dataset!$J:$J,"&gt;="&amp;$C76)+SUMIFS(Dataset!$AA:$AA,Dataset!$F:$F,'credito latam'!$D$11,Dataset!$AN:$AN,"B",Dataset!$J:$J,"&lt;"&amp;$D76,Dataset!$J:$J,"&gt;="&amp;$C76)+SUMIFS(Dataset!$AA:$AA,Dataset!$F:$F,'credito latam'!$D$11,Dataset!$AN:$AN,"B+",Dataset!$J:$J,"&lt;"&amp;$D76,Dataset!$J:$J,"&gt;="&amp;$C76)</f>
        <v>0</v>
      </c>
      <c r="AE76" s="102">
        <f>SUMIFS(Dataset!$AA:$AA,Dataset!$F:$F,'credito latam'!$D$11,Dataset!$AN:$AN,AE$65,Dataset!$J:$J,"&lt;"&amp;$D76,Dataset!$J:$J,"&gt;="&amp;$C76)</f>
        <v>0</v>
      </c>
      <c r="AF76" s="84">
        <f t="shared" si="8"/>
        <v>0</v>
      </c>
    </row>
    <row r="77" spans="3:32" ht="33" customHeight="1" x14ac:dyDescent="0.3">
      <c r="C77" s="61">
        <v>10.5</v>
      </c>
      <c r="D77" s="81">
        <v>11.5</v>
      </c>
      <c r="E77" s="113">
        <f>SUMIFS(Dataset!$AJ:$AJ,Dataset!$F:$F,'credito latam'!$D$11,Dataset!$AN:$AN,"*AAA*",Dataset!$J:$J,"&lt;"&amp;$D77,Dataset!$J:$J,"&gt;="&amp;$C77)</f>
        <v>0</v>
      </c>
      <c r="F77" s="83">
        <f>SUMIFS(Dataset!$AJ:$AJ,Dataset!$F:$F,'credito latam'!$D$11,Dataset!$AN:$AN,"AA+",Dataset!$J:$J,"&lt;"&amp;$D77,Dataset!$J:$J,"&gt;="&amp;$C77)+SUMIFS(Dataset!$AJ:$AJ,Dataset!$F:$F,'credito latam'!$D$11,Dataset!$AN:$AN,"AA",Dataset!$J:$J,"&lt;"&amp;$D77,Dataset!$J:$J,"&gt;="&amp;$C77)+SUMIFS(Dataset!$AJ:$AJ,Dataset!$F:$F,'credito latam'!$D$11,Dataset!$AN:$AN,"AA-",Dataset!$J:$J,"&lt;"&amp;$D77,Dataset!$J:$J,"&gt;="&amp;$C77)</f>
        <v>0</v>
      </c>
      <c r="G77" s="83">
        <f>SUMIFS(Dataset!$AJ:$AJ,Dataset!$F:$F,'credito latam'!$D$11,Dataset!$AN:$AN,G$65,Dataset!$J:$J,"&lt;"&amp;$D77,Dataset!$J:$J,"&gt;="&amp;$C77)</f>
        <v>0</v>
      </c>
      <c r="H77" s="83">
        <f>SUMIFS(Dataset!$AJ:$AJ,Dataset!$F:$F,'credito latam'!$D$11,Dataset!$AN:$AN,H$65,Dataset!$J:$J,"&lt;"&amp;$D77,Dataset!$J:$J,"&gt;="&amp;$C77)</f>
        <v>0</v>
      </c>
      <c r="I77" s="83">
        <f>SUMIFS(Dataset!$AJ:$AJ,Dataset!$F:$F,'credito latam'!$D$11,Dataset!$AN:$AN,I$65,Dataset!$J:$J,"&lt;"&amp;$D77,Dataset!$J:$J,"&gt;="&amp;$C77)</f>
        <v>0</v>
      </c>
      <c r="J77" s="83">
        <f>SUMIFS(Dataset!$AJ:$AJ,Dataset!$F:$F,'credito latam'!$D$11,Dataset!$AN:$AN,J$65,Dataset!$J:$J,"&lt;"&amp;$D77,Dataset!$J:$J,"&gt;="&amp;$C77)</f>
        <v>0</v>
      </c>
      <c r="K77" s="83">
        <f>SUMIFS(Dataset!$AJ:$AJ,Dataset!$F:$F,'credito latam'!$D$11,Dataset!$AN:$AN,K$65,Dataset!$J:$J,"&lt;"&amp;$D77,Dataset!$J:$J,"&gt;="&amp;$C77)</f>
        <v>0</v>
      </c>
      <c r="L77" s="83">
        <f>SUMIFS(Dataset!$AJ:$AJ,Dataset!$F:$F,'credito latam'!$D$11,Dataset!$AN:$AN,L$65,Dataset!$J:$J,"&lt;"&amp;$D77,Dataset!$J:$J,"&gt;="&amp;$C77)</f>
        <v>0</v>
      </c>
      <c r="M77" s="83">
        <f>SUMIFS(Dataset!$AJ:$AJ,Dataset!$F:$F,'credito latam'!$D$11,Dataset!$AN:$AN,M$65,Dataset!$J:$J,"&lt;"&amp;$D77,Dataset!$J:$J,"&gt;="&amp;$C77)</f>
        <v>0</v>
      </c>
      <c r="N77" s="83">
        <f>SUMIFS(Dataset!$AJ:$AJ,Dataset!$F:$F,'credito latam'!$D$11,Dataset!$AN:$AN,N$65,Dataset!$J:$J,"&lt;"&amp;$D77,Dataset!$J:$J,"&gt;="&amp;$C77)</f>
        <v>0</v>
      </c>
      <c r="O77" s="83">
        <f>SUMIFS(Dataset!$AJ:$AJ,Dataset!$F:$F,'credito latam'!$D$11,Dataset!$AN:$AN,O$65,Dataset!$J:$J,"&lt;"&amp;$D77,Dataset!$J:$J,"&gt;="&amp;$C77)</f>
        <v>0</v>
      </c>
      <c r="P77" s="83">
        <f>SUMIFS(Dataset!$AJ:$AJ,Dataset!$F:$F,'credito latam'!$D$11,Dataset!$AN:$AN,"B-",Dataset!$J:$J,"&lt;"&amp;$D77,Dataset!$J:$J,"&gt;="&amp;$C77)+SUMIFS(Dataset!$AJ:$AJ,Dataset!$F:$F,'credito latam'!$D$11,Dataset!$AN:$AN,"B",Dataset!$J:$J,"&lt;"&amp;$D77,Dataset!$J:$J,"&gt;="&amp;$C77)+SUMIFS(Dataset!$AJ:$AJ,Dataset!$F:$F,'credito latam'!$D$11,Dataset!$AN:$AN,"B+",Dataset!$J:$J,"&lt;"&amp;$D77,Dataset!$J:$J,"&gt;="&amp;$C77)</f>
        <v>0</v>
      </c>
      <c r="Q77" s="114">
        <f>SUMIFS(Dataset!$AJ:$AJ,Dataset!$F:$F,'credito latam'!$D$11,Dataset!$AN:$AN,Q$65,Dataset!$J:$J,"&lt;"&amp;$D77,Dataset!$J:$J,"&gt;="&amp;$C77)</f>
        <v>0</v>
      </c>
      <c r="R77" s="84">
        <f t="shared" si="7"/>
        <v>0</v>
      </c>
      <c r="S77" s="113">
        <f>SUMIFS(Dataset!$AA:$AA,Dataset!$F:$F,'credito latam'!$D$11,Dataset!$AN:$AN,"*AAA*",Dataset!$J:$J,"&lt;"&amp;$D77,Dataset!$J:$J,"&gt;="&amp;$C77)</f>
        <v>0</v>
      </c>
      <c r="T77" s="83">
        <f>SUMIFS(Dataset!$AA:$AA,Dataset!$F:$F,'credito latam'!$D$11,Dataset!$AN:$AN,"AA+",Dataset!$J:$J,"&lt;"&amp;$D77,Dataset!$J:$J,"&gt;="&amp;$C77)+SUMIFS(Dataset!$AA:$AA,Dataset!$F:$F,'credito latam'!$D$11,Dataset!$AN:$AN,"AA",Dataset!$J:$J,"&lt;"&amp;$D77,Dataset!$J:$J,"&gt;="&amp;$C77)+SUMIFS(Dataset!$AA:$AA,Dataset!$F:$F,'credito latam'!$D$11,Dataset!$AN:$AN,"AA-",Dataset!$J:$J,"&lt;"&amp;$D77,Dataset!$J:$J,"&gt;="&amp;$C77)</f>
        <v>0</v>
      </c>
      <c r="U77" s="83">
        <f>SUMIFS(Dataset!$AA:$AA,Dataset!$F:$F,'credito latam'!$D$11,Dataset!$AN:$AN,U$65,Dataset!$J:$J,"&lt;"&amp;$D77,Dataset!$J:$J,"&gt;="&amp;$C77)</f>
        <v>0</v>
      </c>
      <c r="V77" s="83">
        <f>SUMIFS(Dataset!$AA:$AA,Dataset!$F:$F,'credito latam'!$D$11,Dataset!$AN:$AN,V$65,Dataset!$J:$J,"&lt;"&amp;$D77,Dataset!$J:$J,"&gt;="&amp;$C77)</f>
        <v>0</v>
      </c>
      <c r="W77" s="83">
        <f>SUMIFS(Dataset!$AA:$AA,Dataset!$F:$F,'credito latam'!$D$11,Dataset!$AN:$AN,W$65,Dataset!$J:$J,"&lt;"&amp;$D77,Dataset!$J:$J,"&gt;="&amp;$C77)</f>
        <v>0</v>
      </c>
      <c r="X77" s="83">
        <f>SUMIFS(Dataset!$AA:$AA,Dataset!$F:$F,'credito latam'!$D$11,Dataset!$AN:$AN,X$65,Dataset!$J:$J,"&lt;"&amp;$D77,Dataset!$J:$J,"&gt;="&amp;$C77)</f>
        <v>0</v>
      </c>
      <c r="Y77" s="83">
        <f>SUMIFS(Dataset!$AA:$AA,Dataset!$F:$F,'credito latam'!$D$11,Dataset!$AN:$AN,Y$65,Dataset!$J:$J,"&lt;"&amp;$D77,Dataset!$J:$J,"&gt;="&amp;$C77)</f>
        <v>0</v>
      </c>
      <c r="Z77" s="83">
        <f>SUMIFS(Dataset!$AA:$AA,Dataset!$F:$F,'credito latam'!$D$11,Dataset!$AN:$AN,Z$65,Dataset!$J:$J,"&lt;"&amp;$D77,Dataset!$J:$J,"&gt;="&amp;$C77)</f>
        <v>0</v>
      </c>
      <c r="AA77" s="83">
        <f>SUMIFS(Dataset!$AA:$AA,Dataset!$F:$F,'credito latam'!$D$11,Dataset!$AN:$AN,AA$65,Dataset!$J:$J,"&lt;"&amp;$D77,Dataset!$J:$J,"&gt;="&amp;$C77)</f>
        <v>0</v>
      </c>
      <c r="AB77" s="83">
        <f>SUMIFS(Dataset!$AA:$AA,Dataset!$F:$F,'credito latam'!$D$11,Dataset!$AN:$AN,AB$65,Dataset!$J:$J,"&lt;"&amp;$D77,Dataset!$J:$J,"&gt;="&amp;$C77)</f>
        <v>0</v>
      </c>
      <c r="AC77" s="83">
        <f>SUMIFS(Dataset!$AA:$AA,Dataset!$F:$F,'credito latam'!$D$11,Dataset!$AN:$AN,AC$65,Dataset!$J:$J,"&lt;"&amp;$D77,Dataset!$J:$J,"&gt;="&amp;$C77)</f>
        <v>0</v>
      </c>
      <c r="AD77" s="83">
        <f>SUMIFS(Dataset!$AA:$AA,Dataset!$F:$F,'credito latam'!$D$11,Dataset!$AN:$AN,"B-",Dataset!$J:$J,"&lt;"&amp;$D77,Dataset!$J:$J,"&gt;="&amp;$C77)+SUMIFS(Dataset!$AA:$AA,Dataset!$F:$F,'credito latam'!$D$11,Dataset!$AN:$AN,"B",Dataset!$J:$J,"&lt;"&amp;$D77,Dataset!$J:$J,"&gt;="&amp;$C77)+SUMIFS(Dataset!$AA:$AA,Dataset!$F:$F,'credito latam'!$D$11,Dataset!$AN:$AN,"B+",Dataset!$J:$J,"&lt;"&amp;$D77,Dataset!$J:$J,"&gt;="&amp;$C77)</f>
        <v>0</v>
      </c>
      <c r="AE77" s="114">
        <f>SUMIFS(Dataset!$AA:$AA,Dataset!$F:$F,'credito latam'!$D$11,Dataset!$AN:$AN,AE$65,Dataset!$J:$J,"&lt;"&amp;$D77,Dataset!$J:$J,"&gt;="&amp;$C77)</f>
        <v>0</v>
      </c>
      <c r="AF77" s="84">
        <f t="shared" si="8"/>
        <v>0</v>
      </c>
    </row>
    <row r="78" spans="3:32" ht="33" customHeight="1" x14ac:dyDescent="0.3">
      <c r="C78" s="61">
        <v>11.5</v>
      </c>
      <c r="D78" s="81">
        <v>12.5</v>
      </c>
      <c r="E78" s="113">
        <f>SUMIFS(Dataset!$AJ:$AJ,Dataset!$F:$F,'credito latam'!$D$11,Dataset!$AN:$AN,"*AAA*",Dataset!$J:$J,"&lt;"&amp;$D78,Dataset!$J:$J,"&gt;="&amp;$C78)</f>
        <v>0</v>
      </c>
      <c r="F78" s="101">
        <f>SUMIFS(Dataset!$AJ:$AJ,Dataset!$F:$F,'credito latam'!$D$11,Dataset!$AN:$AN,"AA+",Dataset!$J:$J,"&lt;"&amp;$D78,Dataset!$J:$J,"&gt;="&amp;$C78)+SUMIFS(Dataset!$AJ:$AJ,Dataset!$F:$F,'credito latam'!$D$11,Dataset!$AN:$AN,"AA",Dataset!$J:$J,"&lt;"&amp;$D78,Dataset!$J:$J,"&gt;="&amp;$C78)+SUMIFS(Dataset!$AJ:$AJ,Dataset!$F:$F,'credito latam'!$D$11,Dataset!$AN:$AN,"AA-",Dataset!$J:$J,"&lt;"&amp;$D78,Dataset!$J:$J,"&gt;="&amp;$C78)</f>
        <v>0</v>
      </c>
      <c r="G78" s="101">
        <f>SUMIFS(Dataset!$AJ:$AJ,Dataset!$F:$F,'credito latam'!$D$11,Dataset!$AN:$AN,G$65,Dataset!$J:$J,"&lt;"&amp;$D78,Dataset!$J:$J,"&gt;="&amp;$C78)</f>
        <v>0</v>
      </c>
      <c r="H78" s="101">
        <f>SUMIFS(Dataset!$AJ:$AJ,Dataset!$F:$F,'credito latam'!$D$11,Dataset!$AN:$AN,H$65,Dataset!$J:$J,"&lt;"&amp;$D78,Dataset!$J:$J,"&gt;="&amp;$C78)</f>
        <v>0</v>
      </c>
      <c r="I78" s="101">
        <f>SUMIFS(Dataset!$AJ:$AJ,Dataset!$F:$F,'credito latam'!$D$11,Dataset!$AN:$AN,I$65,Dataset!$J:$J,"&lt;"&amp;$D78,Dataset!$J:$J,"&gt;="&amp;$C78)</f>
        <v>0</v>
      </c>
      <c r="J78" s="101">
        <f>SUMIFS(Dataset!$AJ:$AJ,Dataset!$F:$F,'credito latam'!$D$11,Dataset!$AN:$AN,J$65,Dataset!$J:$J,"&lt;"&amp;$D78,Dataset!$J:$J,"&gt;="&amp;$C78)</f>
        <v>0</v>
      </c>
      <c r="K78" s="101">
        <f>SUMIFS(Dataset!$AJ:$AJ,Dataset!$F:$F,'credito latam'!$D$11,Dataset!$AN:$AN,K$65,Dataset!$J:$J,"&lt;"&amp;$D78,Dataset!$J:$J,"&gt;="&amp;$C78)</f>
        <v>0</v>
      </c>
      <c r="L78" s="101">
        <f>SUMIFS(Dataset!$AJ:$AJ,Dataset!$F:$F,'credito latam'!$D$11,Dataset!$AN:$AN,L$65,Dataset!$J:$J,"&lt;"&amp;$D78,Dataset!$J:$J,"&gt;="&amp;$C78)</f>
        <v>0</v>
      </c>
      <c r="M78" s="101">
        <f>SUMIFS(Dataset!$AJ:$AJ,Dataset!$F:$F,'credito latam'!$D$11,Dataset!$AN:$AN,M$65,Dataset!$J:$J,"&lt;"&amp;$D78,Dataset!$J:$J,"&gt;="&amp;$C78)</f>
        <v>0</v>
      </c>
      <c r="N78" s="101">
        <f>SUMIFS(Dataset!$AJ:$AJ,Dataset!$F:$F,'credito latam'!$D$11,Dataset!$AN:$AN,N$65,Dataset!$J:$J,"&lt;"&amp;$D78,Dataset!$J:$J,"&gt;="&amp;$C78)</f>
        <v>0</v>
      </c>
      <c r="O78" s="101">
        <f>SUMIFS(Dataset!$AJ:$AJ,Dataset!$F:$F,'credito latam'!$D$11,Dataset!$AN:$AN,O$65,Dataset!$J:$J,"&lt;"&amp;$D78,Dataset!$J:$J,"&gt;="&amp;$C78)</f>
        <v>0</v>
      </c>
      <c r="P78" s="101">
        <f>SUMIFS(Dataset!$AJ:$AJ,Dataset!$F:$F,'credito latam'!$D$11,Dataset!$AN:$AN,"B-",Dataset!$J:$J,"&lt;"&amp;$D78,Dataset!$J:$J,"&gt;="&amp;$C78)+SUMIFS(Dataset!$AJ:$AJ,Dataset!$F:$F,'credito latam'!$D$11,Dataset!$AN:$AN,"B",Dataset!$J:$J,"&lt;"&amp;$D78,Dataset!$J:$J,"&gt;="&amp;$C78)+SUMIFS(Dataset!$AJ:$AJ,Dataset!$F:$F,'credito latam'!$D$11,Dataset!$AN:$AN,"B+",Dataset!$J:$J,"&lt;"&amp;$D78,Dataset!$J:$J,"&gt;="&amp;$C78)</f>
        <v>0</v>
      </c>
      <c r="Q78" s="102">
        <f>SUMIFS(Dataset!$AJ:$AJ,Dataset!$F:$F,'credito latam'!$D$11,Dataset!$AN:$AN,Q$65,Dataset!$J:$J,"&lt;"&amp;$D78,Dataset!$J:$J,"&gt;="&amp;$C78)</f>
        <v>0</v>
      </c>
      <c r="R78" s="84">
        <f t="shared" si="7"/>
        <v>0</v>
      </c>
      <c r="S78" s="113">
        <f>SUMIFS(Dataset!$AA:$AA,Dataset!$F:$F,'credito latam'!$D$11,Dataset!$AN:$AN,"*AAA*",Dataset!$J:$J,"&lt;"&amp;$D78,Dataset!$J:$J,"&gt;="&amp;$C78)</f>
        <v>0</v>
      </c>
      <c r="T78" s="101">
        <f>SUMIFS(Dataset!$AA:$AA,Dataset!$F:$F,'credito latam'!$D$11,Dataset!$AN:$AN,"AA+",Dataset!$J:$J,"&lt;"&amp;$D78,Dataset!$J:$J,"&gt;="&amp;$C78)+SUMIFS(Dataset!$AA:$AA,Dataset!$F:$F,'credito latam'!$D$11,Dataset!$AN:$AN,"AA",Dataset!$J:$J,"&lt;"&amp;$D78,Dataset!$J:$J,"&gt;="&amp;$C78)+SUMIFS(Dataset!$AA:$AA,Dataset!$F:$F,'credito latam'!$D$11,Dataset!$AN:$AN,"AA-",Dataset!$J:$J,"&lt;"&amp;$D78,Dataset!$J:$J,"&gt;="&amp;$C78)</f>
        <v>0</v>
      </c>
      <c r="U78" s="101">
        <f>SUMIFS(Dataset!$AA:$AA,Dataset!$F:$F,'credito latam'!$D$11,Dataset!$AN:$AN,U$65,Dataset!$J:$J,"&lt;"&amp;$D78,Dataset!$J:$J,"&gt;="&amp;$C78)</f>
        <v>0</v>
      </c>
      <c r="V78" s="101">
        <f>SUMIFS(Dataset!$AA:$AA,Dataset!$F:$F,'credito latam'!$D$11,Dataset!$AN:$AN,V$65,Dataset!$J:$J,"&lt;"&amp;$D78,Dataset!$J:$J,"&gt;="&amp;$C78)</f>
        <v>0</v>
      </c>
      <c r="W78" s="101">
        <f>SUMIFS(Dataset!$AA:$AA,Dataset!$F:$F,'credito latam'!$D$11,Dataset!$AN:$AN,W$65,Dataset!$J:$J,"&lt;"&amp;$D78,Dataset!$J:$J,"&gt;="&amp;$C78)</f>
        <v>0</v>
      </c>
      <c r="X78" s="101">
        <f>SUMIFS(Dataset!$AA:$AA,Dataset!$F:$F,'credito latam'!$D$11,Dataset!$AN:$AN,X$65,Dataset!$J:$J,"&lt;"&amp;$D78,Dataset!$J:$J,"&gt;="&amp;$C78)</f>
        <v>0</v>
      </c>
      <c r="Y78" s="101">
        <f>SUMIFS(Dataset!$AA:$AA,Dataset!$F:$F,'credito latam'!$D$11,Dataset!$AN:$AN,Y$65,Dataset!$J:$J,"&lt;"&amp;$D78,Dataset!$J:$J,"&gt;="&amp;$C78)</f>
        <v>0</v>
      </c>
      <c r="Z78" s="101">
        <f>SUMIFS(Dataset!$AA:$AA,Dataset!$F:$F,'credito latam'!$D$11,Dataset!$AN:$AN,Z$65,Dataset!$J:$J,"&lt;"&amp;$D78,Dataset!$J:$J,"&gt;="&amp;$C78)</f>
        <v>0</v>
      </c>
      <c r="AA78" s="101">
        <f>SUMIFS(Dataset!$AA:$AA,Dataset!$F:$F,'credito latam'!$D$11,Dataset!$AN:$AN,AA$65,Dataset!$J:$J,"&lt;"&amp;$D78,Dataset!$J:$J,"&gt;="&amp;$C78)</f>
        <v>0</v>
      </c>
      <c r="AB78" s="101">
        <f>SUMIFS(Dataset!$AA:$AA,Dataset!$F:$F,'credito latam'!$D$11,Dataset!$AN:$AN,AB$65,Dataset!$J:$J,"&lt;"&amp;$D78,Dataset!$J:$J,"&gt;="&amp;$C78)</f>
        <v>0</v>
      </c>
      <c r="AC78" s="101">
        <f>SUMIFS(Dataset!$AA:$AA,Dataset!$F:$F,'credito latam'!$D$11,Dataset!$AN:$AN,AC$65,Dataset!$J:$J,"&lt;"&amp;$D78,Dataset!$J:$J,"&gt;="&amp;$C78)</f>
        <v>0</v>
      </c>
      <c r="AD78" s="101">
        <f>SUMIFS(Dataset!$AA:$AA,Dataset!$F:$F,'credito latam'!$D$11,Dataset!$AN:$AN,"B-",Dataset!$J:$J,"&lt;"&amp;$D78,Dataset!$J:$J,"&gt;="&amp;$C78)+SUMIFS(Dataset!$AA:$AA,Dataset!$F:$F,'credito latam'!$D$11,Dataset!$AN:$AN,"B",Dataset!$J:$J,"&lt;"&amp;$D78,Dataset!$J:$J,"&gt;="&amp;$C78)+SUMIFS(Dataset!$AA:$AA,Dataset!$F:$F,'credito latam'!$D$11,Dataset!$AN:$AN,"B+",Dataset!$J:$J,"&lt;"&amp;$D78,Dataset!$J:$J,"&gt;="&amp;$C78)</f>
        <v>0</v>
      </c>
      <c r="AE78" s="102">
        <f>SUMIFS(Dataset!$AA:$AA,Dataset!$F:$F,'credito latam'!$D$11,Dataset!$AN:$AN,AE$65,Dataset!$J:$J,"&lt;"&amp;$D78,Dataset!$J:$J,"&gt;="&amp;$C78)</f>
        <v>0</v>
      </c>
      <c r="AF78" s="84">
        <f t="shared" si="8"/>
        <v>0</v>
      </c>
    </row>
    <row r="79" spans="3:32" ht="33" customHeight="1" x14ac:dyDescent="0.3">
      <c r="C79" s="61">
        <v>12.5</v>
      </c>
      <c r="D79" s="81">
        <v>13.5</v>
      </c>
      <c r="E79" s="113">
        <f>SUMIFS(Dataset!$AJ:$AJ,Dataset!$F:$F,'credito latam'!$D$11,Dataset!$AN:$AN,"*AAA*",Dataset!$J:$J,"&lt;"&amp;$D79,Dataset!$J:$J,"&gt;="&amp;$C79)</f>
        <v>0</v>
      </c>
      <c r="F79" s="83">
        <f>SUMIFS(Dataset!$AJ:$AJ,Dataset!$F:$F,'credito latam'!$D$11,Dataset!$AN:$AN,"AA+",Dataset!$J:$J,"&lt;"&amp;$D79,Dataset!$J:$J,"&gt;="&amp;$C79)+SUMIFS(Dataset!$AJ:$AJ,Dataset!$F:$F,'credito latam'!$D$11,Dataset!$AN:$AN,"AA",Dataset!$J:$J,"&lt;"&amp;$D79,Dataset!$J:$J,"&gt;="&amp;$C79)+SUMIFS(Dataset!$AJ:$AJ,Dataset!$F:$F,'credito latam'!$D$11,Dataset!$AN:$AN,"AA-",Dataset!$J:$J,"&lt;"&amp;$D79,Dataset!$J:$J,"&gt;="&amp;$C79)</f>
        <v>0</v>
      </c>
      <c r="G79" s="83">
        <f>SUMIFS(Dataset!$AJ:$AJ,Dataset!$F:$F,'credito latam'!$D$11,Dataset!$AN:$AN,G$65,Dataset!$J:$J,"&lt;"&amp;$D79,Dataset!$J:$J,"&gt;="&amp;$C79)</f>
        <v>0</v>
      </c>
      <c r="H79" s="83">
        <f>SUMIFS(Dataset!$AJ:$AJ,Dataset!$F:$F,'credito latam'!$D$11,Dataset!$AN:$AN,H$65,Dataset!$J:$J,"&lt;"&amp;$D79,Dataset!$J:$J,"&gt;="&amp;$C79)</f>
        <v>0</v>
      </c>
      <c r="I79" s="83">
        <f>SUMIFS(Dataset!$AJ:$AJ,Dataset!$F:$F,'credito latam'!$D$11,Dataset!$AN:$AN,I$65,Dataset!$J:$J,"&lt;"&amp;$D79,Dataset!$J:$J,"&gt;="&amp;$C79)</f>
        <v>0</v>
      </c>
      <c r="J79" s="83">
        <f>SUMIFS(Dataset!$AJ:$AJ,Dataset!$F:$F,'credito latam'!$D$11,Dataset!$AN:$AN,J$65,Dataset!$J:$J,"&lt;"&amp;$D79,Dataset!$J:$J,"&gt;="&amp;$C79)</f>
        <v>0</v>
      </c>
      <c r="K79" s="83">
        <f>SUMIFS(Dataset!$AJ:$AJ,Dataset!$F:$F,'credito latam'!$D$11,Dataset!$AN:$AN,K$65,Dataset!$J:$J,"&lt;"&amp;$D79,Dataset!$J:$J,"&gt;="&amp;$C79)</f>
        <v>0</v>
      </c>
      <c r="L79" s="83">
        <f>SUMIFS(Dataset!$AJ:$AJ,Dataset!$F:$F,'credito latam'!$D$11,Dataset!$AN:$AN,L$65,Dataset!$J:$J,"&lt;"&amp;$D79,Dataset!$J:$J,"&gt;="&amp;$C79)</f>
        <v>0</v>
      </c>
      <c r="M79" s="83">
        <f>SUMIFS(Dataset!$AJ:$AJ,Dataset!$F:$F,'credito latam'!$D$11,Dataset!$AN:$AN,M$65,Dataset!$J:$J,"&lt;"&amp;$D79,Dataset!$J:$J,"&gt;="&amp;$C79)</f>
        <v>0</v>
      </c>
      <c r="N79" s="83">
        <f>SUMIFS(Dataset!$AJ:$AJ,Dataset!$F:$F,'credito latam'!$D$11,Dataset!$AN:$AN,N$65,Dataset!$J:$J,"&lt;"&amp;$D79,Dataset!$J:$J,"&gt;="&amp;$C79)</f>
        <v>0</v>
      </c>
      <c r="O79" s="83">
        <f>SUMIFS(Dataset!$AJ:$AJ,Dataset!$F:$F,'credito latam'!$D$11,Dataset!$AN:$AN,O$65,Dataset!$J:$J,"&lt;"&amp;$D79,Dataset!$J:$J,"&gt;="&amp;$C79)</f>
        <v>0</v>
      </c>
      <c r="P79" s="83">
        <f>SUMIFS(Dataset!$AJ:$AJ,Dataset!$F:$F,'credito latam'!$D$11,Dataset!$AN:$AN,"B-",Dataset!$J:$J,"&lt;"&amp;$D79,Dataset!$J:$J,"&gt;="&amp;$C79)+SUMIFS(Dataset!$AJ:$AJ,Dataset!$F:$F,'credito latam'!$D$11,Dataset!$AN:$AN,"B",Dataset!$J:$J,"&lt;"&amp;$D79,Dataset!$J:$J,"&gt;="&amp;$C79)+SUMIFS(Dataset!$AJ:$AJ,Dataset!$F:$F,'credito latam'!$D$11,Dataset!$AN:$AN,"B+",Dataset!$J:$J,"&lt;"&amp;$D79,Dataset!$J:$J,"&gt;="&amp;$C79)</f>
        <v>0</v>
      </c>
      <c r="Q79" s="114">
        <f>SUMIFS(Dataset!$AJ:$AJ,Dataset!$F:$F,'credito latam'!$D$11,Dataset!$AN:$AN,Q$65,Dataset!$J:$J,"&lt;"&amp;$D79,Dataset!$J:$J,"&gt;="&amp;$C79)</f>
        <v>0</v>
      </c>
      <c r="R79" s="84">
        <f t="shared" si="7"/>
        <v>0</v>
      </c>
      <c r="S79" s="113">
        <f>SUMIFS(Dataset!$AA:$AA,Dataset!$F:$F,'credito latam'!$D$11,Dataset!$AN:$AN,"*AAA*",Dataset!$J:$J,"&lt;"&amp;$D79,Dataset!$J:$J,"&gt;="&amp;$C79)</f>
        <v>0</v>
      </c>
      <c r="T79" s="83">
        <f>SUMIFS(Dataset!$AA:$AA,Dataset!$F:$F,'credito latam'!$D$11,Dataset!$AN:$AN,"AA+",Dataset!$J:$J,"&lt;"&amp;$D79,Dataset!$J:$J,"&gt;="&amp;$C79)+SUMIFS(Dataset!$AA:$AA,Dataset!$F:$F,'credito latam'!$D$11,Dataset!$AN:$AN,"AA",Dataset!$J:$J,"&lt;"&amp;$D79,Dataset!$J:$J,"&gt;="&amp;$C79)+SUMIFS(Dataset!$AA:$AA,Dataset!$F:$F,'credito latam'!$D$11,Dataset!$AN:$AN,"AA-",Dataset!$J:$J,"&lt;"&amp;$D79,Dataset!$J:$J,"&gt;="&amp;$C79)</f>
        <v>0</v>
      </c>
      <c r="U79" s="83">
        <f>SUMIFS(Dataset!$AA:$AA,Dataset!$F:$F,'credito latam'!$D$11,Dataset!$AN:$AN,U$65,Dataset!$J:$J,"&lt;"&amp;$D79,Dataset!$J:$J,"&gt;="&amp;$C79)</f>
        <v>0</v>
      </c>
      <c r="V79" s="83">
        <f>SUMIFS(Dataset!$AA:$AA,Dataset!$F:$F,'credito latam'!$D$11,Dataset!$AN:$AN,V$65,Dataset!$J:$J,"&lt;"&amp;$D79,Dataset!$J:$J,"&gt;="&amp;$C79)</f>
        <v>0</v>
      </c>
      <c r="W79" s="83">
        <f>SUMIFS(Dataset!$AA:$AA,Dataset!$F:$F,'credito latam'!$D$11,Dataset!$AN:$AN,W$65,Dataset!$J:$J,"&lt;"&amp;$D79,Dataset!$J:$J,"&gt;="&amp;$C79)</f>
        <v>0</v>
      </c>
      <c r="X79" s="83">
        <f>SUMIFS(Dataset!$AA:$AA,Dataset!$F:$F,'credito latam'!$D$11,Dataset!$AN:$AN,X$65,Dataset!$J:$J,"&lt;"&amp;$D79,Dataset!$J:$J,"&gt;="&amp;$C79)</f>
        <v>0</v>
      </c>
      <c r="Y79" s="83">
        <f>SUMIFS(Dataset!$AA:$AA,Dataset!$F:$F,'credito latam'!$D$11,Dataset!$AN:$AN,Y$65,Dataset!$J:$J,"&lt;"&amp;$D79,Dataset!$J:$J,"&gt;="&amp;$C79)</f>
        <v>0</v>
      </c>
      <c r="Z79" s="83">
        <f>SUMIFS(Dataset!$AA:$AA,Dataset!$F:$F,'credito latam'!$D$11,Dataset!$AN:$AN,Z$65,Dataset!$J:$J,"&lt;"&amp;$D79,Dataset!$J:$J,"&gt;="&amp;$C79)</f>
        <v>0</v>
      </c>
      <c r="AA79" s="83">
        <f>SUMIFS(Dataset!$AA:$AA,Dataset!$F:$F,'credito latam'!$D$11,Dataset!$AN:$AN,AA$65,Dataset!$J:$J,"&lt;"&amp;$D79,Dataset!$J:$J,"&gt;="&amp;$C79)</f>
        <v>0</v>
      </c>
      <c r="AB79" s="83">
        <f>SUMIFS(Dataset!$AA:$AA,Dataset!$F:$F,'credito latam'!$D$11,Dataset!$AN:$AN,AB$65,Dataset!$J:$J,"&lt;"&amp;$D79,Dataset!$J:$J,"&gt;="&amp;$C79)</f>
        <v>0</v>
      </c>
      <c r="AC79" s="83">
        <f>SUMIFS(Dataset!$AA:$AA,Dataset!$F:$F,'credito latam'!$D$11,Dataset!$AN:$AN,AC$65,Dataset!$J:$J,"&lt;"&amp;$D79,Dataset!$J:$J,"&gt;="&amp;$C79)</f>
        <v>0</v>
      </c>
      <c r="AD79" s="83">
        <f>SUMIFS(Dataset!$AA:$AA,Dataset!$F:$F,'credito latam'!$D$11,Dataset!$AN:$AN,"B-",Dataset!$J:$J,"&lt;"&amp;$D79,Dataset!$J:$J,"&gt;="&amp;$C79)+SUMIFS(Dataset!$AA:$AA,Dataset!$F:$F,'credito latam'!$D$11,Dataset!$AN:$AN,"B",Dataset!$J:$J,"&lt;"&amp;$D79,Dataset!$J:$J,"&gt;="&amp;$C79)+SUMIFS(Dataset!$AA:$AA,Dataset!$F:$F,'credito latam'!$D$11,Dataset!$AN:$AN,"B+",Dataset!$J:$J,"&lt;"&amp;$D79,Dataset!$J:$J,"&gt;="&amp;$C79)</f>
        <v>0</v>
      </c>
      <c r="AE79" s="114">
        <f>SUMIFS(Dataset!$AA:$AA,Dataset!$F:$F,'credito latam'!$D$11,Dataset!$AN:$AN,AE$65,Dataset!$J:$J,"&lt;"&amp;$D79,Dataset!$J:$J,"&gt;="&amp;$C79)</f>
        <v>0</v>
      </c>
      <c r="AF79" s="84">
        <f t="shared" si="8"/>
        <v>0</v>
      </c>
    </row>
    <row r="80" spans="3:32" ht="33" customHeight="1" x14ac:dyDescent="0.3">
      <c r="C80" s="61">
        <v>13.5</v>
      </c>
      <c r="D80" s="81">
        <v>14.5</v>
      </c>
      <c r="E80" s="113">
        <f>SUMIFS(Dataset!$AJ:$AJ,Dataset!$F:$F,'credito latam'!$D$11,Dataset!$AN:$AN,"*AAA*",Dataset!$J:$J,"&lt;"&amp;$D80,Dataset!$J:$J,"&gt;="&amp;$C80)</f>
        <v>0</v>
      </c>
      <c r="F80" s="101">
        <f>SUMIFS(Dataset!$AJ:$AJ,Dataset!$F:$F,'credito latam'!$D$11,Dataset!$AN:$AN,"AA+",Dataset!$J:$J,"&lt;"&amp;$D80,Dataset!$J:$J,"&gt;="&amp;$C80)+SUMIFS(Dataset!$AJ:$AJ,Dataset!$F:$F,'credito latam'!$D$11,Dataset!$AN:$AN,"AA",Dataset!$J:$J,"&lt;"&amp;$D80,Dataset!$J:$J,"&gt;="&amp;$C80)+SUMIFS(Dataset!$AJ:$AJ,Dataset!$F:$F,'credito latam'!$D$11,Dataset!$AN:$AN,"AA-",Dataset!$J:$J,"&lt;"&amp;$D80,Dataset!$J:$J,"&gt;="&amp;$C80)</f>
        <v>0</v>
      </c>
      <c r="G80" s="101">
        <f>SUMIFS(Dataset!$AJ:$AJ,Dataset!$F:$F,'credito latam'!$D$11,Dataset!$AN:$AN,G$65,Dataset!$J:$J,"&lt;"&amp;$D80,Dataset!$J:$J,"&gt;="&amp;$C80)</f>
        <v>0</v>
      </c>
      <c r="H80" s="101">
        <f>SUMIFS(Dataset!$AJ:$AJ,Dataset!$F:$F,'credito latam'!$D$11,Dataset!$AN:$AN,H$65,Dataset!$J:$J,"&lt;"&amp;$D80,Dataset!$J:$J,"&gt;="&amp;$C80)</f>
        <v>0</v>
      </c>
      <c r="I80" s="101">
        <f>SUMIFS(Dataset!$AJ:$AJ,Dataset!$F:$F,'credito latam'!$D$11,Dataset!$AN:$AN,I$65,Dataset!$J:$J,"&lt;"&amp;$D80,Dataset!$J:$J,"&gt;="&amp;$C80)</f>
        <v>0</v>
      </c>
      <c r="J80" s="101">
        <f>SUMIFS(Dataset!$AJ:$AJ,Dataset!$F:$F,'credito latam'!$D$11,Dataset!$AN:$AN,J$65,Dataset!$J:$J,"&lt;"&amp;$D80,Dataset!$J:$J,"&gt;="&amp;$C80)</f>
        <v>0</v>
      </c>
      <c r="K80" s="101">
        <f>SUMIFS(Dataset!$AJ:$AJ,Dataset!$F:$F,'credito latam'!$D$11,Dataset!$AN:$AN,K$65,Dataset!$J:$J,"&lt;"&amp;$D80,Dataset!$J:$J,"&gt;="&amp;$C80)</f>
        <v>0</v>
      </c>
      <c r="L80" s="101">
        <f>SUMIFS(Dataset!$AJ:$AJ,Dataset!$F:$F,'credito latam'!$D$11,Dataset!$AN:$AN,L$65,Dataset!$J:$J,"&lt;"&amp;$D80,Dataset!$J:$J,"&gt;="&amp;$C80)</f>
        <v>0</v>
      </c>
      <c r="M80" s="101">
        <f>SUMIFS(Dataset!$AJ:$AJ,Dataset!$F:$F,'credito latam'!$D$11,Dataset!$AN:$AN,M$65,Dataset!$J:$J,"&lt;"&amp;$D80,Dataset!$J:$J,"&gt;="&amp;$C80)</f>
        <v>0</v>
      </c>
      <c r="N80" s="101">
        <f>SUMIFS(Dataset!$AJ:$AJ,Dataset!$F:$F,'credito latam'!$D$11,Dataset!$AN:$AN,N$65,Dataset!$J:$J,"&lt;"&amp;$D80,Dataset!$J:$J,"&gt;="&amp;$C80)</f>
        <v>0</v>
      </c>
      <c r="O80" s="101">
        <f>SUMIFS(Dataset!$AJ:$AJ,Dataset!$F:$F,'credito latam'!$D$11,Dataset!$AN:$AN,O$65,Dataset!$J:$J,"&lt;"&amp;$D80,Dataset!$J:$J,"&gt;="&amp;$C80)</f>
        <v>0</v>
      </c>
      <c r="P80" s="101">
        <f>SUMIFS(Dataset!$AJ:$AJ,Dataset!$F:$F,'credito latam'!$D$11,Dataset!$AN:$AN,"B-",Dataset!$J:$J,"&lt;"&amp;$D80,Dataset!$J:$J,"&gt;="&amp;$C80)+SUMIFS(Dataset!$AJ:$AJ,Dataset!$F:$F,'credito latam'!$D$11,Dataset!$AN:$AN,"B",Dataset!$J:$J,"&lt;"&amp;$D80,Dataset!$J:$J,"&gt;="&amp;$C80)+SUMIFS(Dataset!$AJ:$AJ,Dataset!$F:$F,'credito latam'!$D$11,Dataset!$AN:$AN,"B+",Dataset!$J:$J,"&lt;"&amp;$D80,Dataset!$J:$J,"&gt;="&amp;$C80)</f>
        <v>0</v>
      </c>
      <c r="Q80" s="102">
        <f>SUMIFS(Dataset!$AJ:$AJ,Dataset!$F:$F,'credito latam'!$D$11,Dataset!$AN:$AN,Q$65,Dataset!$J:$J,"&lt;"&amp;$D80,Dataset!$J:$J,"&gt;="&amp;$C80)</f>
        <v>0</v>
      </c>
      <c r="R80" s="84">
        <f t="shared" si="7"/>
        <v>0</v>
      </c>
      <c r="S80" s="113">
        <f>SUMIFS(Dataset!$AA:$AA,Dataset!$F:$F,'credito latam'!$D$11,Dataset!$AN:$AN,"*AAA*",Dataset!$J:$J,"&lt;"&amp;$D80,Dataset!$J:$J,"&gt;="&amp;$C80)</f>
        <v>0</v>
      </c>
      <c r="T80" s="101">
        <f>SUMIFS(Dataset!$AA:$AA,Dataset!$F:$F,'credito latam'!$D$11,Dataset!$AN:$AN,"AA+",Dataset!$J:$J,"&lt;"&amp;$D80,Dataset!$J:$J,"&gt;="&amp;$C80)+SUMIFS(Dataset!$AA:$AA,Dataset!$F:$F,'credito latam'!$D$11,Dataset!$AN:$AN,"AA",Dataset!$J:$J,"&lt;"&amp;$D80,Dataset!$J:$J,"&gt;="&amp;$C80)+SUMIFS(Dataset!$AA:$AA,Dataset!$F:$F,'credito latam'!$D$11,Dataset!$AN:$AN,"AA-",Dataset!$J:$J,"&lt;"&amp;$D80,Dataset!$J:$J,"&gt;="&amp;$C80)</f>
        <v>0</v>
      </c>
      <c r="U80" s="101">
        <f>SUMIFS(Dataset!$AA:$AA,Dataset!$F:$F,'credito latam'!$D$11,Dataset!$AN:$AN,U$65,Dataset!$J:$J,"&lt;"&amp;$D80,Dataset!$J:$J,"&gt;="&amp;$C80)</f>
        <v>0</v>
      </c>
      <c r="V80" s="101">
        <f>SUMIFS(Dataset!$AA:$AA,Dataset!$F:$F,'credito latam'!$D$11,Dataset!$AN:$AN,V$65,Dataset!$J:$J,"&lt;"&amp;$D80,Dataset!$J:$J,"&gt;="&amp;$C80)</f>
        <v>0</v>
      </c>
      <c r="W80" s="101">
        <f>SUMIFS(Dataset!$AA:$AA,Dataset!$F:$F,'credito latam'!$D$11,Dataset!$AN:$AN,W$65,Dataset!$J:$J,"&lt;"&amp;$D80,Dataset!$J:$J,"&gt;="&amp;$C80)</f>
        <v>0</v>
      </c>
      <c r="X80" s="101">
        <f>SUMIFS(Dataset!$AA:$AA,Dataset!$F:$F,'credito latam'!$D$11,Dataset!$AN:$AN,X$65,Dataset!$J:$J,"&lt;"&amp;$D80,Dataset!$J:$J,"&gt;="&amp;$C80)</f>
        <v>0</v>
      </c>
      <c r="Y80" s="101">
        <f>SUMIFS(Dataset!$AA:$AA,Dataset!$F:$F,'credito latam'!$D$11,Dataset!$AN:$AN,Y$65,Dataset!$J:$J,"&lt;"&amp;$D80,Dataset!$J:$J,"&gt;="&amp;$C80)</f>
        <v>0</v>
      </c>
      <c r="Z80" s="101">
        <f>SUMIFS(Dataset!$AA:$AA,Dataset!$F:$F,'credito latam'!$D$11,Dataset!$AN:$AN,Z$65,Dataset!$J:$J,"&lt;"&amp;$D80,Dataset!$J:$J,"&gt;="&amp;$C80)</f>
        <v>0</v>
      </c>
      <c r="AA80" s="101">
        <f>SUMIFS(Dataset!$AA:$AA,Dataset!$F:$F,'credito latam'!$D$11,Dataset!$AN:$AN,AA$65,Dataset!$J:$J,"&lt;"&amp;$D80,Dataset!$J:$J,"&gt;="&amp;$C80)</f>
        <v>0</v>
      </c>
      <c r="AB80" s="101">
        <f>SUMIFS(Dataset!$AA:$AA,Dataset!$F:$F,'credito latam'!$D$11,Dataset!$AN:$AN,AB$65,Dataset!$J:$J,"&lt;"&amp;$D80,Dataset!$J:$J,"&gt;="&amp;$C80)</f>
        <v>0</v>
      </c>
      <c r="AC80" s="101">
        <f>SUMIFS(Dataset!$AA:$AA,Dataset!$F:$F,'credito latam'!$D$11,Dataset!$AN:$AN,AC$65,Dataset!$J:$J,"&lt;"&amp;$D80,Dataset!$J:$J,"&gt;="&amp;$C80)</f>
        <v>0</v>
      </c>
      <c r="AD80" s="101">
        <f>SUMIFS(Dataset!$AA:$AA,Dataset!$F:$F,'credito latam'!$D$11,Dataset!$AN:$AN,"B-",Dataset!$J:$J,"&lt;"&amp;$D80,Dataset!$J:$J,"&gt;="&amp;$C80)+SUMIFS(Dataset!$AA:$AA,Dataset!$F:$F,'credito latam'!$D$11,Dataset!$AN:$AN,"B",Dataset!$J:$J,"&lt;"&amp;$D80,Dataset!$J:$J,"&gt;="&amp;$C80)+SUMIFS(Dataset!$AA:$AA,Dataset!$F:$F,'credito latam'!$D$11,Dataset!$AN:$AN,"B+",Dataset!$J:$J,"&lt;"&amp;$D80,Dataset!$J:$J,"&gt;="&amp;$C80)</f>
        <v>0</v>
      </c>
      <c r="AE80" s="102">
        <f>SUMIFS(Dataset!$AA:$AA,Dataset!$F:$F,'credito latam'!$D$11,Dataset!$AN:$AN,AE$65,Dataset!$J:$J,"&lt;"&amp;$D80,Dataset!$J:$J,"&gt;="&amp;$C80)</f>
        <v>0</v>
      </c>
      <c r="AF80" s="84">
        <f t="shared" si="8"/>
        <v>0</v>
      </c>
    </row>
    <row r="81" spans="2:32" ht="33" customHeight="1" x14ac:dyDescent="0.3">
      <c r="C81" s="61">
        <v>14.5</v>
      </c>
      <c r="D81" s="81">
        <v>100</v>
      </c>
      <c r="E81" s="119">
        <f>SUMIFS(Dataset!$AJ:$AJ,Dataset!$F:$F,'credito latam'!$D$11,Dataset!$AN:$AN,"*AAA*",Dataset!$J:$J,"&lt;"&amp;$D81,Dataset!$J:$J,"&gt;="&amp;$C81)</f>
        <v>0</v>
      </c>
      <c r="F81" s="89">
        <f>SUMIFS(Dataset!$AJ:$AJ,Dataset!$F:$F,'credito latam'!$D$11,Dataset!$AN:$AN,"AA+",Dataset!$J:$J,"&lt;"&amp;$D81,Dataset!$J:$J,"&gt;="&amp;$C81)+SUMIFS(Dataset!$AJ:$AJ,Dataset!$F:$F,'credito latam'!$D$11,Dataset!$AN:$AN,"AA",Dataset!$J:$J,"&lt;"&amp;$D81,Dataset!$J:$J,"&gt;="&amp;$C81)+SUMIFS(Dataset!$AJ:$AJ,Dataset!$F:$F,'credito latam'!$D$11,Dataset!$AN:$AN,"AA-",Dataset!$J:$J,"&lt;"&amp;$D81,Dataset!$J:$J,"&gt;="&amp;$C81)</f>
        <v>0</v>
      </c>
      <c r="G81" s="89">
        <f>SUMIFS(Dataset!$AJ:$AJ,Dataset!$F:$F,'credito latam'!$D$11,Dataset!$AN:$AN,G$65,Dataset!$J:$J,"&lt;"&amp;$D81,Dataset!$J:$J,"&gt;="&amp;$C81)</f>
        <v>0</v>
      </c>
      <c r="H81" s="89">
        <f>SUMIFS(Dataset!$AJ:$AJ,Dataset!$F:$F,'credito latam'!$D$11,Dataset!$AN:$AN,H$65,Dataset!$J:$J,"&lt;"&amp;$D81,Dataset!$J:$J,"&gt;="&amp;$C81)</f>
        <v>0</v>
      </c>
      <c r="I81" s="89">
        <f>SUMIFS(Dataset!$AJ:$AJ,Dataset!$F:$F,'credito latam'!$D$11,Dataset!$AN:$AN,I$65,Dataset!$J:$J,"&lt;"&amp;$D81,Dataset!$J:$J,"&gt;="&amp;$C81)</f>
        <v>0</v>
      </c>
      <c r="J81" s="89">
        <f>SUMIFS(Dataset!$AJ:$AJ,Dataset!$F:$F,'credito latam'!$D$11,Dataset!$AN:$AN,J$65,Dataset!$J:$J,"&lt;"&amp;$D81,Dataset!$J:$J,"&gt;="&amp;$C81)</f>
        <v>0</v>
      </c>
      <c r="K81" s="89">
        <f>SUMIFS(Dataset!$AJ:$AJ,Dataset!$F:$F,'credito latam'!$D$11,Dataset!$AN:$AN,K$65,Dataset!$J:$J,"&lt;"&amp;$D81,Dataset!$J:$J,"&gt;="&amp;$C81)</f>
        <v>0</v>
      </c>
      <c r="L81" s="89">
        <f>SUMIFS(Dataset!$AJ:$AJ,Dataset!$F:$F,'credito latam'!$D$11,Dataset!$AN:$AN,L$65,Dataset!$J:$J,"&lt;"&amp;$D81,Dataset!$J:$J,"&gt;="&amp;$C81)</f>
        <v>0</v>
      </c>
      <c r="M81" s="89">
        <f>SUMIFS(Dataset!$AJ:$AJ,Dataset!$F:$F,'credito latam'!$D$11,Dataset!$AN:$AN,M$65,Dataset!$J:$J,"&lt;"&amp;$D81,Dataset!$J:$J,"&gt;="&amp;$C81)</f>
        <v>0</v>
      </c>
      <c r="N81" s="89">
        <f>SUMIFS(Dataset!$AJ:$AJ,Dataset!$F:$F,'credito latam'!$D$11,Dataset!$AN:$AN,N$65,Dataset!$J:$J,"&lt;"&amp;$D81,Dataset!$J:$J,"&gt;="&amp;$C81)</f>
        <v>0</v>
      </c>
      <c r="O81" s="83">
        <f>SUMIFS(Dataset!$AJ:$AJ,Dataset!$F:$F,'credito latam'!$D$11,Dataset!$AN:$AN,O$65,Dataset!$J:$J,"&lt;"&amp;$D81,Dataset!$J:$J,"&gt;="&amp;$C81)</f>
        <v>0</v>
      </c>
      <c r="P81" s="83">
        <f>SUMIFS(Dataset!$AJ:$AJ,Dataset!$F:$F,'credito latam'!$D$11,Dataset!$AN:$AN,"B-",Dataset!$J:$J,"&lt;"&amp;$D81,Dataset!$J:$J,"&gt;="&amp;$C81)+SUMIFS(Dataset!$AJ:$AJ,Dataset!$F:$F,'credito latam'!$D$11,Dataset!$AN:$AN,"B",Dataset!$J:$J,"&lt;"&amp;$D81,Dataset!$J:$J,"&gt;="&amp;$C81)+SUMIFS(Dataset!$AJ:$AJ,Dataset!$F:$F,'credito latam'!$D$11,Dataset!$AN:$AN,"B+",Dataset!$J:$J,"&lt;"&amp;$D81,Dataset!$J:$J,"&gt;="&amp;$C81)</f>
        <v>0</v>
      </c>
      <c r="Q81" s="120">
        <f>SUMIFS(Dataset!$AJ:$AJ,Dataset!$F:$F,'credito latam'!$D$11,Dataset!$AN:$AN,Q$65,Dataset!$J:$J,"&lt;"&amp;$D81,Dataset!$J:$J,"&gt;="&amp;$C81)</f>
        <v>0</v>
      </c>
      <c r="R81" s="90">
        <f t="shared" si="7"/>
        <v>0</v>
      </c>
      <c r="S81" s="119">
        <f>SUMIFS(Dataset!$AA:$AA,Dataset!$F:$F,'credito latam'!$D$11,Dataset!$AN:$AN,"*AAA*",Dataset!$J:$J,"&lt;"&amp;$D81,Dataset!$J:$J,"&gt;="&amp;$C81)</f>
        <v>0</v>
      </c>
      <c r="T81" s="89">
        <f>SUMIFS(Dataset!$AA:$AA,Dataset!$F:$F,'credito latam'!$D$11,Dataset!$AN:$AN,"AA+",Dataset!$J:$J,"&lt;"&amp;$D81,Dataset!$J:$J,"&gt;="&amp;$C81)+SUMIFS(Dataset!$AA:$AA,Dataset!$F:$F,'credito latam'!$D$11,Dataset!$AN:$AN,"AA",Dataset!$J:$J,"&lt;"&amp;$D81,Dataset!$J:$J,"&gt;="&amp;$C81)+SUMIFS(Dataset!$AA:$AA,Dataset!$F:$F,'credito latam'!$D$11,Dataset!$AN:$AN,"AA-",Dataset!$J:$J,"&lt;"&amp;$D81,Dataset!$J:$J,"&gt;="&amp;$C81)</f>
        <v>0</v>
      </c>
      <c r="U81" s="89">
        <f>SUMIFS(Dataset!$AA:$AA,Dataset!$F:$F,'credito latam'!$D$11,Dataset!$AN:$AN,U$65,Dataset!$J:$J,"&lt;"&amp;$D81,Dataset!$J:$J,"&gt;="&amp;$C81)</f>
        <v>0</v>
      </c>
      <c r="V81" s="89">
        <f>SUMIFS(Dataset!$AA:$AA,Dataset!$F:$F,'credito latam'!$D$11,Dataset!$AN:$AN,V$65,Dataset!$J:$J,"&lt;"&amp;$D81,Dataset!$J:$J,"&gt;="&amp;$C81)</f>
        <v>0</v>
      </c>
      <c r="W81" s="89">
        <f>SUMIFS(Dataset!$AA:$AA,Dataset!$F:$F,'credito latam'!$D$11,Dataset!$AN:$AN,W$65,Dataset!$J:$J,"&lt;"&amp;$D81,Dataset!$J:$J,"&gt;="&amp;$C81)</f>
        <v>0</v>
      </c>
      <c r="X81" s="89">
        <f>SUMIFS(Dataset!$AA:$AA,Dataset!$F:$F,'credito latam'!$D$11,Dataset!$AN:$AN,X$65,Dataset!$J:$J,"&lt;"&amp;$D81,Dataset!$J:$J,"&gt;="&amp;$C81)</f>
        <v>0</v>
      </c>
      <c r="Y81" s="89">
        <f>SUMIFS(Dataset!$AA:$AA,Dataset!$F:$F,'credito latam'!$D$11,Dataset!$AN:$AN,Y$65,Dataset!$J:$J,"&lt;"&amp;$D81,Dataset!$J:$J,"&gt;="&amp;$C81)</f>
        <v>0</v>
      </c>
      <c r="Z81" s="89">
        <f>SUMIFS(Dataset!$AA:$AA,Dataset!$F:$F,'credito latam'!$D$11,Dataset!$AN:$AN,Z$65,Dataset!$J:$J,"&lt;"&amp;$D81,Dataset!$J:$J,"&gt;="&amp;$C81)</f>
        <v>0</v>
      </c>
      <c r="AA81" s="89">
        <f>SUMIFS(Dataset!$AA:$AA,Dataset!$F:$F,'credito latam'!$D$11,Dataset!$AN:$AN,AA$65,Dataset!$J:$J,"&lt;"&amp;$D81,Dataset!$J:$J,"&gt;="&amp;$C81)</f>
        <v>0</v>
      </c>
      <c r="AB81" s="89">
        <f>SUMIFS(Dataset!$AA:$AA,Dataset!$F:$F,'credito latam'!$D$11,Dataset!$AN:$AN,AB$65,Dataset!$J:$J,"&lt;"&amp;$D81,Dataset!$J:$J,"&gt;="&amp;$C81)</f>
        <v>0</v>
      </c>
      <c r="AC81" s="83">
        <f>SUMIFS(Dataset!$AA:$AA,Dataset!$F:$F,'credito latam'!$D$11,Dataset!$AN:$AN,AC$65,Dataset!$J:$J,"&lt;"&amp;$D81,Dataset!$J:$J,"&gt;="&amp;$C81)</f>
        <v>0</v>
      </c>
      <c r="AD81" s="83">
        <f>SUMIFS(Dataset!$AA:$AA,Dataset!$F:$F,'credito latam'!$D$11,Dataset!$AN:$AN,"B-",Dataset!$J:$J,"&lt;"&amp;$D81,Dataset!$J:$J,"&gt;="&amp;$C81)+SUMIFS(Dataset!$AA:$AA,Dataset!$F:$F,'credito latam'!$D$11,Dataset!$AN:$AN,"B",Dataset!$J:$J,"&lt;"&amp;$D81,Dataset!$J:$J,"&gt;="&amp;$C81)+SUMIFS(Dataset!$AA:$AA,Dataset!$F:$F,'credito latam'!$D$11,Dataset!$AN:$AN,"B+",Dataset!$J:$J,"&lt;"&amp;$D81,Dataset!$J:$J,"&gt;="&amp;$C81)</f>
        <v>0</v>
      </c>
      <c r="AE81" s="120">
        <f>SUMIFS(Dataset!$AA:$AA,Dataset!$F:$F,'credito latam'!$D$11,Dataset!$AN:$AN,AE$65,Dataset!$J:$J,"&lt;"&amp;$D81,Dataset!$J:$J,"&gt;="&amp;$C81)</f>
        <v>0</v>
      </c>
      <c r="AF81" s="90">
        <f t="shared" si="8"/>
        <v>0</v>
      </c>
    </row>
    <row r="82" spans="2:32" ht="33" customHeight="1" x14ac:dyDescent="0.3">
      <c r="C82" s="183"/>
      <c r="D82" s="184"/>
      <c r="E82" s="75">
        <f>SUM(E66:E81)</f>
        <v>0</v>
      </c>
      <c r="F82" s="75">
        <f t="shared" ref="F82:L82" si="9">SUM(F66:F81)</f>
        <v>0</v>
      </c>
      <c r="G82" s="75">
        <f t="shared" si="9"/>
        <v>0</v>
      </c>
      <c r="H82" s="75">
        <f t="shared" si="9"/>
        <v>0</v>
      </c>
      <c r="I82" s="75">
        <f t="shared" si="9"/>
        <v>0</v>
      </c>
      <c r="J82" s="75">
        <f t="shared" si="9"/>
        <v>0</v>
      </c>
      <c r="K82" s="75">
        <f t="shared" si="9"/>
        <v>0</v>
      </c>
      <c r="L82" s="75">
        <f t="shared" si="9"/>
        <v>0</v>
      </c>
      <c r="M82" s="75">
        <f>SUM(M66:M81)</f>
        <v>0</v>
      </c>
      <c r="N82" s="75">
        <f>SUM(N66:N81)</f>
        <v>0</v>
      </c>
      <c r="O82" s="75">
        <f>SUM(O66:O81)</f>
        <v>0</v>
      </c>
      <c r="P82" s="75">
        <f>SUM(P66:P81)</f>
        <v>0</v>
      </c>
      <c r="Q82" s="123">
        <f>SUM(Q66:Q81)</f>
        <v>0</v>
      </c>
      <c r="R82" s="84">
        <f t="shared" si="7"/>
        <v>0</v>
      </c>
      <c r="S82" s="75">
        <f>SUM(S66:S81)</f>
        <v>0</v>
      </c>
      <c r="T82" s="75">
        <f t="shared" ref="T82:Z82" si="10">SUM(T66:T81)</f>
        <v>0</v>
      </c>
      <c r="U82" s="75">
        <f t="shared" si="10"/>
        <v>0</v>
      </c>
      <c r="V82" s="75">
        <f t="shared" si="10"/>
        <v>0</v>
      </c>
      <c r="W82" s="75">
        <f t="shared" si="10"/>
        <v>0</v>
      </c>
      <c r="X82" s="75">
        <f t="shared" si="10"/>
        <v>0</v>
      </c>
      <c r="Y82" s="75">
        <f t="shared" si="10"/>
        <v>0</v>
      </c>
      <c r="Z82" s="75">
        <f t="shared" si="10"/>
        <v>0</v>
      </c>
      <c r="AA82" s="75">
        <f>SUM(AA66:AA81)</f>
        <v>0</v>
      </c>
      <c r="AB82" s="75">
        <f>SUM(AB66:AB81)</f>
        <v>0</v>
      </c>
      <c r="AC82" s="75">
        <f>SUM(AC66:AC81)</f>
        <v>0</v>
      </c>
      <c r="AD82" s="75">
        <f>SUM(AD66:AD81)</f>
        <v>0</v>
      </c>
      <c r="AE82" s="123">
        <f>SUM(AE66:AE81)</f>
        <v>0</v>
      </c>
      <c r="AF82" s="84">
        <f t="shared" si="8"/>
        <v>0</v>
      </c>
    </row>
    <row r="84" spans="2:32" ht="48" customHeight="1" x14ac:dyDescent="0.3">
      <c r="E84" s="174" t="s">
        <v>280</v>
      </c>
      <c r="F84" s="174"/>
      <c r="G84" s="174"/>
      <c r="H84" s="174"/>
      <c r="I84" s="174"/>
      <c r="J84" s="174"/>
      <c r="K84" s="174"/>
      <c r="M84" s="174" t="s">
        <v>281</v>
      </c>
      <c r="N84" s="174"/>
      <c r="O84" s="174"/>
      <c r="P84" s="174"/>
      <c r="Q84" s="174"/>
      <c r="R84" s="174"/>
      <c r="S84" s="174"/>
      <c r="T84" s="52"/>
      <c r="W84" s="52"/>
    </row>
    <row r="85" spans="2:32" ht="27" customHeight="1" x14ac:dyDescent="0.3">
      <c r="E85" s="69"/>
      <c r="F85" s="69"/>
      <c r="G85" s="69"/>
      <c r="H85" s="69"/>
      <c r="I85" s="69"/>
      <c r="J85" s="69"/>
      <c r="K85" s="69"/>
      <c r="L85" s="69"/>
      <c r="M85" s="69"/>
      <c r="O85" s="69"/>
      <c r="P85" s="69"/>
      <c r="Q85" s="69"/>
      <c r="R85" s="69"/>
      <c r="S85" s="69"/>
      <c r="T85" s="69"/>
      <c r="U85" s="69"/>
      <c r="V85" s="69"/>
    </row>
    <row r="86" spans="2:32" ht="33" customHeight="1" x14ac:dyDescent="0.3">
      <c r="C86" s="180" t="s">
        <v>72</v>
      </c>
      <c r="D86" s="180"/>
      <c r="E86" s="94" t="s">
        <v>31</v>
      </c>
      <c r="F86" s="94" t="s">
        <v>145</v>
      </c>
      <c r="G86" s="94" t="s">
        <v>143</v>
      </c>
      <c r="H86" s="94" t="s">
        <v>147</v>
      </c>
      <c r="I86" s="94" t="s">
        <v>157</v>
      </c>
      <c r="J86" s="94" t="s">
        <v>158</v>
      </c>
      <c r="K86" s="94" t="s">
        <v>83</v>
      </c>
      <c r="L86" s="94"/>
      <c r="M86" s="94" t="s">
        <v>31</v>
      </c>
      <c r="N86" s="94" t="s">
        <v>145</v>
      </c>
      <c r="O86" s="94" t="s">
        <v>143</v>
      </c>
      <c r="P86" s="94" t="s">
        <v>147</v>
      </c>
      <c r="Q86" s="94" t="s">
        <v>157</v>
      </c>
      <c r="R86" s="94" t="s">
        <v>158</v>
      </c>
      <c r="S86" s="94" t="s">
        <v>83</v>
      </c>
      <c r="T86" s="94" t="s">
        <v>282</v>
      </c>
    </row>
    <row r="87" spans="2:32" ht="33" customHeight="1" x14ac:dyDescent="0.3">
      <c r="C87" s="72">
        <v>0</v>
      </c>
      <c r="D87" s="73">
        <v>0.5</v>
      </c>
      <c r="E87" s="109">
        <f>SUMIFS(Dataset!$AJ:$AJ,Dataset!$F:$F,'credito latam'!$D$11,Dataset!$Z:$Z,E$86,Dataset!$J:$J,"&lt;"&amp;$D87,Dataset!$J:$J,"&gt;="&amp;$C87)</f>
        <v>0</v>
      </c>
      <c r="F87" s="98">
        <f>SUMIFS(Dataset!$AJ:$AJ,Dataset!$F:$F,'credito latam'!$D$11,Dataset!$Z:$Z,F$86,Dataset!$J:$J,"&lt;"&amp;$D87,Dataset!$J:$J,"&gt;="&amp;$C87)</f>
        <v>0</v>
      </c>
      <c r="G87" s="98">
        <f>SUMIFS(Dataset!$AJ:$AJ,Dataset!$F:$F,'credito latam'!$D$11,Dataset!$Z:$Z,G$86,Dataset!$J:$J,"&lt;"&amp;$D87,Dataset!$J:$J,"&gt;="&amp;$C87)</f>
        <v>0</v>
      </c>
      <c r="H87" s="98">
        <f>SUMIFS(Dataset!$AJ:$AJ,Dataset!$F:$F,'credito latam'!$D$11,Dataset!$Z:$Z,H$86,Dataset!$J:$J,"&lt;"&amp;$D87,Dataset!$J:$J,"&gt;="&amp;$C87)</f>
        <v>0</v>
      </c>
      <c r="I87" s="98">
        <f>SUMIFS(Dataset!$AJ:$AJ,Dataset!$F:$F,'credito latam'!$D$11,Dataset!$Z:$Z,I$86,Dataset!$J:$J,"&lt;"&amp;$D87,Dataset!$J:$J,"&gt;="&amp;$C87)</f>
        <v>0</v>
      </c>
      <c r="J87" s="98">
        <f>SUMIFS(Dataset!$AJ:$AJ,Dataset!$F:$F,'credito latam'!$D$11,Dataset!$Z:$Z,J$86,Dataset!$J:$J,"&lt;"&amp;$D87,Dataset!$J:$J,"&gt;="&amp;$C87)</f>
        <v>0</v>
      </c>
      <c r="K87" s="99">
        <f>SUMIFS(Dataset!$AK:$AK,Dataset!$F:$F,'credito latam'!$D$11,Dataset!$J:$J,"&lt;"&amp;$D87,Dataset!J:J,"&gt;="&amp;$C87,Dataset!$Z:$Z,"&lt;&gt;CL",Dataset!$Z:$Z,"&lt;&gt;MX",Dataset!$Z:$Z,"&lt;&gt;CO",Dataset!$Z:$Z,"&lt;&gt;PE",Dataset!$Z:$Z,"&lt;&gt;BR",Dataset!$Z:$Z,"&lt;&gt;PA")</f>
        <v>0</v>
      </c>
      <c r="L87" s="84">
        <f t="shared" ref="L87:L103" si="11">SUM(E87:K87)</f>
        <v>0</v>
      </c>
      <c r="M87" s="109">
        <f>SUMIFS(Dataset!$AA:$AA,Dataset!$F:$F,'credito latam'!$D$11,Dataset!$Z:$Z,M$86,Dataset!$J:$J,"&lt;"&amp;$D87,Dataset!$J:$J,"&gt;="&amp;$C87)</f>
        <v>0</v>
      </c>
      <c r="N87" s="98">
        <f>SUMIFS(Dataset!$AA:$AA,Dataset!$F:$F,'credito latam'!$D$11,Dataset!$Z:$Z,N$86,Dataset!$J:$J,"&lt;"&amp;$D87,Dataset!$J:$J,"&gt;="&amp;$C87)</f>
        <v>0</v>
      </c>
      <c r="O87" s="98">
        <f>SUMIFS(Dataset!$AA:$AA,Dataset!$F:$F,'credito latam'!$D$11,Dataset!$Z:$Z,O$86,Dataset!$J:$J,"&lt;"&amp;$D87,Dataset!$J:$J,"&gt;="&amp;$C87)</f>
        <v>0</v>
      </c>
      <c r="P87" s="98">
        <f>SUMIFS(Dataset!$AA:$AA,Dataset!$F:$F,'credito latam'!$D$11,Dataset!$Z:$Z,P$86,Dataset!$J:$J,"&lt;"&amp;$D87,Dataset!$J:$J,"&gt;="&amp;$C87)</f>
        <v>0</v>
      </c>
      <c r="Q87" s="98">
        <f>SUMIFS(Dataset!$AA:$AA,Dataset!$F:$F,'credito latam'!$D$11,Dataset!$Z:$Z,Q$86,Dataset!$J:$J,"&lt;"&amp;$D87,Dataset!$J:$J,"&gt;="&amp;$C87)</f>
        <v>0</v>
      </c>
      <c r="R87" s="98">
        <f>SUMIFS(Dataset!$AA:$AA,Dataset!$F:$F,'credito latam'!$D$11,Dataset!$Z:$Z,R$86,Dataset!$J:$J,"&lt;"&amp;$D87,Dataset!$J:$J,"&gt;="&amp;$C87)</f>
        <v>0</v>
      </c>
      <c r="S87" s="99">
        <f>SUMIFS(Dataset!$AA:$AA,Dataset!$F:$F,'credito latam'!$D$11,Dataset!$J:$J,"&lt;"&amp;$D87,Dataset!J:J,"&gt;="&amp;$C87,Dataset!$Z:$Z,"&lt;&gt;CL",Dataset!$Z:$Z,"&lt;&gt;MX",Dataset!$Z:$Z,"&lt;&gt;CO",Dataset!$Z:$Z,"&lt;&gt;PE",Dataset!$Z:$Z,"&lt;&gt;BR",Dataset!$Z:$Z,"&lt;&gt;PA")</f>
        <v>0</v>
      </c>
      <c r="T87" s="84">
        <f t="shared" ref="T87:T103" si="12">SUM(M87:S87)</f>
        <v>0</v>
      </c>
    </row>
    <row r="88" spans="2:32" ht="33" customHeight="1" x14ac:dyDescent="0.3">
      <c r="C88" s="61">
        <v>0.5</v>
      </c>
      <c r="D88" s="81">
        <v>1.5</v>
      </c>
      <c r="E88" s="113">
        <f>SUMIFS(Dataset!$AJ:$AJ,Dataset!$F:$F,'credito latam'!$D$11,Dataset!$Z:$Z,E$86,Dataset!$J:$J,"&lt;"&amp;$D88,Dataset!$J:$J,"&gt;="&amp;$C88)</f>
        <v>0</v>
      </c>
      <c r="F88" s="83">
        <f>SUMIFS(Dataset!$AJ:$AJ,Dataset!$F:$F,'credito latam'!$D$11,Dataset!$Z:$Z,F$86,Dataset!$J:$J,"&lt;"&amp;$D88,Dataset!$J:$J,"&gt;="&amp;$C88)</f>
        <v>0</v>
      </c>
      <c r="G88" s="83">
        <f>SUMIFS(Dataset!$AJ:$AJ,Dataset!$F:$F,'credito latam'!$D$11,Dataset!$Z:$Z,G$86,Dataset!$J:$J,"&lt;"&amp;$D88,Dataset!$J:$J,"&gt;="&amp;$C88)</f>
        <v>0</v>
      </c>
      <c r="H88" s="83">
        <f>SUMIFS(Dataset!$AJ:$AJ,Dataset!$F:$F,'credito latam'!$D$11,Dataset!$Z:$Z,H$86,Dataset!$J:$J,"&lt;"&amp;$D88,Dataset!$J:$J,"&gt;="&amp;$C88)</f>
        <v>0</v>
      </c>
      <c r="I88" s="83">
        <f>SUMIFS(Dataset!$AJ:$AJ,Dataset!$F:$F,'credito latam'!$D$11,Dataset!$Z:$Z,I$86,Dataset!$J:$J,"&lt;"&amp;$D88,Dataset!$J:$J,"&gt;="&amp;$C88)</f>
        <v>0</v>
      </c>
      <c r="J88" s="83">
        <f>SUMIFS(Dataset!$AJ:$AJ,Dataset!$F:$F,'credito latam'!$D$11,Dataset!$Z:$Z,J$86,Dataset!$J:$J,"&lt;"&amp;$D88,Dataset!$J:$J,"&gt;="&amp;$C88)</f>
        <v>0</v>
      </c>
      <c r="K88" s="114">
        <f>SUMIFS(Dataset!$AK:$AK,Dataset!$F:$F,'credito latam'!$D$11,Dataset!$J:$J,"&lt;"&amp;$D88,Dataset!J:J,"&gt;="&amp;$C88,Dataset!$Z:$Z,"&lt;&gt;CL",Dataset!$Z:$Z,"&lt;&gt;MX",Dataset!$Z:$Z,"&lt;&gt;CO",Dataset!$Z:$Z,"&lt;&gt;PE",Dataset!$Z:$Z,"&lt;&gt;BR",Dataset!$Z:$Z,"&lt;&gt;PA")</f>
        <v>0</v>
      </c>
      <c r="L88" s="84">
        <f t="shared" si="11"/>
        <v>0</v>
      </c>
      <c r="M88" s="113">
        <f>SUMIFS(Dataset!$AA:$AA,Dataset!$F:$F,'credito latam'!$D$11,Dataset!$Z:$Z,M$86,Dataset!$J:$J,"&lt;"&amp;$D88,Dataset!$J:$J,"&gt;="&amp;$C88)</f>
        <v>0</v>
      </c>
      <c r="N88" s="83">
        <f>SUMIFS(Dataset!$AA:$AA,Dataset!$F:$F,'credito latam'!$D$11,Dataset!$Z:$Z,N$86,Dataset!$J:$J,"&lt;"&amp;$D88,Dataset!$J:$J,"&gt;="&amp;$C88)</f>
        <v>0</v>
      </c>
      <c r="O88" s="83">
        <f>SUMIFS(Dataset!$AA:$AA,Dataset!$F:$F,'credito latam'!$D$11,Dataset!$Z:$Z,O$86,Dataset!$J:$J,"&lt;"&amp;$D88,Dataset!$J:$J,"&gt;="&amp;$C88)</f>
        <v>0</v>
      </c>
      <c r="P88" s="83">
        <f>SUMIFS(Dataset!$AA:$AA,Dataset!$F:$F,'credito latam'!$D$11,Dataset!$Z:$Z,P$86,Dataset!$J:$J,"&lt;"&amp;$D88,Dataset!$J:$J,"&gt;="&amp;$C88)</f>
        <v>0</v>
      </c>
      <c r="Q88" s="83">
        <f>SUMIFS(Dataset!$AA:$AA,Dataset!$F:$F,'credito latam'!$D$11,Dataset!$Z:$Z,Q$86,Dataset!$J:$J,"&lt;"&amp;$D88,Dataset!$J:$J,"&gt;="&amp;$C88)</f>
        <v>0</v>
      </c>
      <c r="R88" s="83">
        <f>SUMIFS(Dataset!$AA:$AA,Dataset!$F:$F,'credito latam'!$D$11,Dataset!$Z:$Z,R$86,Dataset!$J:$J,"&lt;"&amp;$D88,Dataset!$J:$J,"&gt;="&amp;$C88)</f>
        <v>0</v>
      </c>
      <c r="S88" s="114">
        <f>SUMIFS(Dataset!$AA:$AA,Dataset!$F:$F,'credito latam'!$D$11,Dataset!$J:$J,"&lt;"&amp;$D88,Dataset!J:J,"&gt;="&amp;$C88,Dataset!$Z:$Z,"&lt;&gt;CL",Dataset!$Z:$Z,"&lt;&gt;MX",Dataset!$Z:$Z,"&lt;&gt;CO",Dataset!$Z:$Z,"&lt;&gt;PE",Dataset!$Z:$Z,"&lt;&gt;BR",Dataset!$Z:$Z,"&lt;&gt;PA")</f>
        <v>0</v>
      </c>
      <c r="T88" s="84">
        <f t="shared" si="12"/>
        <v>0</v>
      </c>
    </row>
    <row r="89" spans="2:32" ht="33" customHeight="1" x14ac:dyDescent="0.3">
      <c r="C89" s="61">
        <v>1.5</v>
      </c>
      <c r="D89" s="81">
        <v>2.5</v>
      </c>
      <c r="E89" s="113">
        <f>SUMIFS(Dataset!$AJ:$AJ,Dataset!$F:$F,'credito latam'!$D$11,Dataset!$Z:$Z,E$86,Dataset!$J:$J,"&lt;"&amp;$D89,Dataset!$J:$J,"&gt;="&amp;$C89)</f>
        <v>0</v>
      </c>
      <c r="F89" s="101">
        <f>SUMIFS(Dataset!$AJ:$AJ,Dataset!$F:$F,'credito latam'!$D$11,Dataset!$Z:$Z,F$86,Dataset!$J:$J,"&lt;"&amp;$D89,Dataset!$J:$J,"&gt;="&amp;$C89)</f>
        <v>0</v>
      </c>
      <c r="G89" s="101">
        <f>SUMIFS(Dataset!$AJ:$AJ,Dataset!$F:$F,'credito latam'!$D$11,Dataset!$Z:$Z,G$86,Dataset!$J:$J,"&lt;"&amp;$D89,Dataset!$J:$J,"&gt;="&amp;$C89)</f>
        <v>0</v>
      </c>
      <c r="H89" s="101">
        <f>SUMIFS(Dataset!$AJ:$AJ,Dataset!$F:$F,'credito latam'!$D$11,Dataset!$Z:$Z,H$86,Dataset!$J:$J,"&lt;"&amp;$D89,Dataset!$J:$J,"&gt;="&amp;$C89)</f>
        <v>0</v>
      </c>
      <c r="I89" s="101">
        <f>SUMIFS(Dataset!$AJ:$AJ,Dataset!$F:$F,'credito latam'!$D$11,Dataset!$Z:$Z,I$86,Dataset!$J:$J,"&lt;"&amp;$D89,Dataset!$J:$J,"&gt;="&amp;$C89)</f>
        <v>0</v>
      </c>
      <c r="J89" s="101">
        <f>SUMIFS(Dataset!$AJ:$AJ,Dataset!$F:$F,'credito latam'!$D$11,Dataset!$Z:$Z,J$86,Dataset!$J:$J,"&lt;"&amp;$D89,Dataset!$J:$J,"&gt;="&amp;$C89)</f>
        <v>0</v>
      </c>
      <c r="K89" s="102">
        <f>SUMIFS(Dataset!$AK:$AK,Dataset!$F:$F,'credito latam'!$D$11,Dataset!$J:$J,"&lt;"&amp;$D89,Dataset!J:J,"&gt;="&amp;$C89,Dataset!$Z:$Z,"&lt;&gt;CL",Dataset!$Z:$Z,"&lt;&gt;MX",Dataset!$Z:$Z,"&lt;&gt;CO",Dataset!$Z:$Z,"&lt;&gt;PE",Dataset!$Z:$Z,"&lt;&gt;BR",Dataset!$Z:$Z,"&lt;&gt;PA")</f>
        <v>0</v>
      </c>
      <c r="L89" s="84">
        <f t="shared" si="11"/>
        <v>0</v>
      </c>
      <c r="M89" s="113">
        <f>SUMIFS(Dataset!$AA:$AA,Dataset!$F:$F,'credito latam'!$D$11,Dataset!$Z:$Z,M$86,Dataset!$J:$J,"&lt;"&amp;$D89,Dataset!$J:$J,"&gt;="&amp;$C89)</f>
        <v>0</v>
      </c>
      <c r="N89" s="101">
        <f>SUMIFS(Dataset!$AA:$AA,Dataset!$F:$F,'credito latam'!$D$11,Dataset!$Z:$Z,N$86,Dataset!$J:$J,"&lt;"&amp;$D89,Dataset!$J:$J,"&gt;="&amp;$C89)</f>
        <v>0</v>
      </c>
      <c r="O89" s="101">
        <f>SUMIFS(Dataset!$AA:$AA,Dataset!$F:$F,'credito latam'!$D$11,Dataset!$Z:$Z,O$86,Dataset!$J:$J,"&lt;"&amp;$D89,Dataset!$J:$J,"&gt;="&amp;$C89)</f>
        <v>0</v>
      </c>
      <c r="P89" s="101">
        <f>SUMIFS(Dataset!$AA:$AA,Dataset!$F:$F,'credito latam'!$D$11,Dataset!$Z:$Z,P$86,Dataset!$J:$J,"&lt;"&amp;$D89,Dataset!$J:$J,"&gt;="&amp;$C89)</f>
        <v>0</v>
      </c>
      <c r="Q89" s="101">
        <f>SUMIFS(Dataset!$AA:$AA,Dataset!$F:$F,'credito latam'!$D$11,Dataset!$Z:$Z,Q$86,Dataset!$J:$J,"&lt;"&amp;$D89,Dataset!$J:$J,"&gt;="&amp;$C89)</f>
        <v>0</v>
      </c>
      <c r="R89" s="101">
        <f>SUMIFS(Dataset!$AA:$AA,Dataset!$F:$F,'credito latam'!$D$11,Dataset!$Z:$Z,R$86,Dataset!$J:$J,"&lt;"&amp;$D89,Dataset!$J:$J,"&gt;="&amp;$C89)</f>
        <v>0</v>
      </c>
      <c r="S89" s="102">
        <f>SUMIFS(Dataset!$AA:$AA,Dataset!$F:$F,'credito latam'!$D$11,Dataset!$J:$J,"&lt;"&amp;$D89,Dataset!J:J,"&gt;="&amp;$C89,Dataset!$Z:$Z,"&lt;&gt;CL",Dataset!$Z:$Z,"&lt;&gt;MX",Dataset!$Z:$Z,"&lt;&gt;CO",Dataset!$Z:$Z,"&lt;&gt;PE",Dataset!$Z:$Z,"&lt;&gt;BR",Dataset!$Z:$Z,"&lt;&gt;PA")</f>
        <v>0</v>
      </c>
      <c r="T89" s="84">
        <f t="shared" si="12"/>
        <v>0</v>
      </c>
    </row>
    <row r="90" spans="2:32" ht="27" customHeight="1" x14ac:dyDescent="0.3">
      <c r="C90" s="61">
        <v>2.5</v>
      </c>
      <c r="D90" s="81">
        <v>3.5</v>
      </c>
      <c r="E90" s="113">
        <f>SUMIFS(Dataset!$AJ:$AJ,Dataset!$F:$F,'credito latam'!$D$11,Dataset!$Z:$Z,E$86,Dataset!$J:$J,"&lt;"&amp;$D90,Dataset!$J:$J,"&gt;="&amp;$C90)</f>
        <v>0</v>
      </c>
      <c r="F90" s="83">
        <f>SUMIFS(Dataset!$AJ:$AJ,Dataset!$F:$F,'credito latam'!$D$11,Dataset!$Z:$Z,F$86,Dataset!$J:$J,"&lt;"&amp;$D90,Dataset!$J:$J,"&gt;="&amp;$C90)</f>
        <v>0</v>
      </c>
      <c r="G90" s="83">
        <f>SUMIFS(Dataset!$AJ:$AJ,Dataset!$F:$F,'credito latam'!$D$11,Dataset!$Z:$Z,G$86,Dataset!$J:$J,"&lt;"&amp;$D90,Dataset!$J:$J,"&gt;="&amp;$C90)</f>
        <v>0</v>
      </c>
      <c r="H90" s="83">
        <f>SUMIFS(Dataset!$AJ:$AJ,Dataset!$F:$F,'credito latam'!$D$11,Dataset!$Z:$Z,H$86,Dataset!$J:$J,"&lt;"&amp;$D90,Dataset!$J:$J,"&gt;="&amp;$C90)</f>
        <v>0</v>
      </c>
      <c r="I90" s="83">
        <f>SUMIFS(Dataset!$AJ:$AJ,Dataset!$F:$F,'credito latam'!$D$11,Dataset!$Z:$Z,I$86,Dataset!$J:$J,"&lt;"&amp;$D90,Dataset!$J:$J,"&gt;="&amp;$C90)</f>
        <v>0</v>
      </c>
      <c r="J90" s="83">
        <f>SUMIFS(Dataset!$AJ:$AJ,Dataset!$F:$F,'credito latam'!$D$11,Dataset!$Z:$Z,J$86,Dataset!$J:$J,"&lt;"&amp;$D90,Dataset!$J:$J,"&gt;="&amp;$C90)</f>
        <v>0</v>
      </c>
      <c r="K90" s="114">
        <f>SUMIFS(Dataset!$AK:$AK,Dataset!$F:$F,'credito latam'!$D$11,Dataset!$J:$J,"&lt;"&amp;$D90,Dataset!J:J,"&gt;="&amp;$C90,Dataset!$Z:$Z,"&lt;&gt;CL",Dataset!$Z:$Z,"&lt;&gt;MX",Dataset!$Z:$Z,"&lt;&gt;CO",Dataset!$Z:$Z,"&lt;&gt;PE",Dataset!$Z:$Z,"&lt;&gt;BR",Dataset!$Z:$Z,"&lt;&gt;PA")</f>
        <v>0</v>
      </c>
      <c r="L90" s="84">
        <f t="shared" si="11"/>
        <v>0</v>
      </c>
      <c r="M90" s="113">
        <f>SUMIFS(Dataset!$AA:$AA,Dataset!$F:$F,'credito latam'!$D$11,Dataset!$Z:$Z,M$86,Dataset!$J:$J,"&lt;"&amp;$D90,Dataset!$J:$J,"&gt;="&amp;$C90)</f>
        <v>0</v>
      </c>
      <c r="N90" s="83">
        <f>SUMIFS(Dataset!$AA:$AA,Dataset!$F:$F,'credito latam'!$D$11,Dataset!$Z:$Z,N$86,Dataset!$J:$J,"&lt;"&amp;$D90,Dataset!$J:$J,"&gt;="&amp;$C90)</f>
        <v>0</v>
      </c>
      <c r="O90" s="83">
        <f>SUMIFS(Dataset!$AA:$AA,Dataset!$F:$F,'credito latam'!$D$11,Dataset!$Z:$Z,O$86,Dataset!$J:$J,"&lt;"&amp;$D90,Dataset!$J:$J,"&gt;="&amp;$C90)</f>
        <v>0</v>
      </c>
      <c r="P90" s="83">
        <f>SUMIFS(Dataset!$AA:$AA,Dataset!$F:$F,'credito latam'!$D$11,Dataset!$Z:$Z,P$86,Dataset!$J:$J,"&lt;"&amp;$D90,Dataset!$J:$J,"&gt;="&amp;$C90)</f>
        <v>0</v>
      </c>
      <c r="Q90" s="83">
        <f>SUMIFS(Dataset!$AA:$AA,Dataset!$F:$F,'credito latam'!$D$11,Dataset!$Z:$Z,Q$86,Dataset!$J:$J,"&lt;"&amp;$D90,Dataset!$J:$J,"&gt;="&amp;$C90)</f>
        <v>0</v>
      </c>
      <c r="R90" s="83">
        <f>SUMIFS(Dataset!$AA:$AA,Dataset!$F:$F,'credito latam'!$D$11,Dataset!$Z:$Z,R$86,Dataset!$J:$J,"&lt;"&amp;$D90,Dataset!$J:$J,"&gt;="&amp;$C90)</f>
        <v>0</v>
      </c>
      <c r="S90" s="114">
        <f>SUMIFS(Dataset!$AA:$AA,Dataset!$F:$F,'credito latam'!$D$11,Dataset!$J:$J,"&lt;"&amp;$D90,Dataset!J:J,"&gt;="&amp;$C90,Dataset!$Z:$Z,"&lt;&gt;CL",Dataset!$Z:$Z,"&lt;&gt;MX",Dataset!$Z:$Z,"&lt;&gt;CO",Dataset!$Z:$Z,"&lt;&gt;PE",Dataset!$Z:$Z,"&lt;&gt;BR",Dataset!$Z:$Z,"&lt;&gt;PA")</f>
        <v>0</v>
      </c>
      <c r="T90" s="84">
        <f t="shared" si="12"/>
        <v>0</v>
      </c>
    </row>
    <row r="91" spans="2:32" ht="27" customHeight="1" x14ac:dyDescent="0.3">
      <c r="C91" s="61">
        <v>3.5</v>
      </c>
      <c r="D91" s="81">
        <v>4.5</v>
      </c>
      <c r="E91" s="113">
        <f>SUMIFS(Dataset!$AJ:$AJ,Dataset!$F:$F,'credito latam'!$D$11,Dataset!$Z:$Z,E$86,Dataset!$J:$J,"&lt;"&amp;$D91,Dataset!$J:$J,"&gt;="&amp;$C91)</f>
        <v>0</v>
      </c>
      <c r="F91" s="101">
        <f>SUMIFS(Dataset!$AJ:$AJ,Dataset!$F:$F,'credito latam'!$D$11,Dataset!$Z:$Z,F$86,Dataset!$J:$J,"&lt;"&amp;$D91,Dataset!$J:$J,"&gt;="&amp;$C91)</f>
        <v>0</v>
      </c>
      <c r="G91" s="101">
        <f>SUMIFS(Dataset!$AJ:$AJ,Dataset!$F:$F,'credito latam'!$D$11,Dataset!$Z:$Z,G$86,Dataset!$J:$J,"&lt;"&amp;$D91,Dataset!$J:$J,"&gt;="&amp;$C91)</f>
        <v>0</v>
      </c>
      <c r="H91" s="101">
        <f>SUMIFS(Dataset!$AJ:$AJ,Dataset!$F:$F,'credito latam'!$D$11,Dataset!$Z:$Z,H$86,Dataset!$J:$J,"&lt;"&amp;$D91,Dataset!$J:$J,"&gt;="&amp;$C91)</f>
        <v>0</v>
      </c>
      <c r="I91" s="101">
        <f>SUMIFS(Dataset!$AJ:$AJ,Dataset!$F:$F,'credito latam'!$D$11,Dataset!$Z:$Z,I$86,Dataset!$J:$J,"&lt;"&amp;$D91,Dataset!$J:$J,"&gt;="&amp;$C91)</f>
        <v>0</v>
      </c>
      <c r="J91" s="101">
        <f>SUMIFS(Dataset!$AJ:$AJ,Dataset!$F:$F,'credito latam'!$D$11,Dataset!$Z:$Z,J$86,Dataset!$J:$J,"&lt;"&amp;$D91,Dataset!$J:$J,"&gt;="&amp;$C91)</f>
        <v>0</v>
      </c>
      <c r="K91" s="102">
        <f>SUMIFS(Dataset!$AK:$AK,Dataset!$F:$F,'credito latam'!$D$11,Dataset!$J:$J,"&lt;"&amp;$D91,Dataset!J:J,"&gt;="&amp;$C91,Dataset!$Z:$Z,"&lt;&gt;CL",Dataset!$Z:$Z,"&lt;&gt;MX",Dataset!$Z:$Z,"&lt;&gt;CO",Dataset!$Z:$Z,"&lt;&gt;PE",Dataset!$Z:$Z,"&lt;&gt;BR",Dataset!$Z:$Z,"&lt;&gt;PA")</f>
        <v>0</v>
      </c>
      <c r="L91" s="84">
        <f t="shared" si="11"/>
        <v>0</v>
      </c>
      <c r="M91" s="113">
        <f>SUMIFS(Dataset!$AA:$AA,Dataset!$F:$F,'credito latam'!$D$11,Dataset!$Z:$Z,M$86,Dataset!$J:$J,"&lt;"&amp;$D91,Dataset!$J:$J,"&gt;="&amp;$C91)</f>
        <v>0</v>
      </c>
      <c r="N91" s="101">
        <f>SUMIFS(Dataset!$AA:$AA,Dataset!$F:$F,'credito latam'!$D$11,Dataset!$Z:$Z,N$86,Dataset!$J:$J,"&lt;"&amp;$D91,Dataset!$J:$J,"&gt;="&amp;$C91)</f>
        <v>0</v>
      </c>
      <c r="O91" s="101">
        <f>SUMIFS(Dataset!$AA:$AA,Dataset!$F:$F,'credito latam'!$D$11,Dataset!$Z:$Z,O$86,Dataset!$J:$J,"&lt;"&amp;$D91,Dataset!$J:$J,"&gt;="&amp;$C91)</f>
        <v>0</v>
      </c>
      <c r="P91" s="101">
        <f>SUMIFS(Dataset!$AA:$AA,Dataset!$F:$F,'credito latam'!$D$11,Dataset!$Z:$Z,P$86,Dataset!$J:$J,"&lt;"&amp;$D91,Dataset!$J:$J,"&gt;="&amp;$C91)</f>
        <v>0</v>
      </c>
      <c r="Q91" s="101">
        <f>SUMIFS(Dataset!$AA:$AA,Dataset!$F:$F,'credito latam'!$D$11,Dataset!$Z:$Z,Q$86,Dataset!$J:$J,"&lt;"&amp;$D91,Dataset!$J:$J,"&gt;="&amp;$C91)</f>
        <v>0</v>
      </c>
      <c r="R91" s="101">
        <f>SUMIFS(Dataset!$AA:$AA,Dataset!$F:$F,'credito latam'!$D$11,Dataset!$Z:$Z,R$86,Dataset!$J:$J,"&lt;"&amp;$D91,Dataset!$J:$J,"&gt;="&amp;$C91)</f>
        <v>0</v>
      </c>
      <c r="S91" s="102">
        <f>SUMIFS(Dataset!$AA:$AA,Dataset!$F:$F,'credito latam'!$D$11,Dataset!$J:$J,"&lt;"&amp;$D91,Dataset!J:J,"&gt;="&amp;$C91,Dataset!$Z:$Z,"&lt;&gt;CL",Dataset!$Z:$Z,"&lt;&gt;MX",Dataset!$Z:$Z,"&lt;&gt;CO",Dataset!$Z:$Z,"&lt;&gt;PE",Dataset!$Z:$Z,"&lt;&gt;BR",Dataset!$Z:$Z,"&lt;&gt;PA")</f>
        <v>0</v>
      </c>
      <c r="T91" s="84">
        <f t="shared" si="12"/>
        <v>0</v>
      </c>
    </row>
    <row r="92" spans="2:32" ht="36" customHeight="1" x14ac:dyDescent="0.4">
      <c r="B92" s="95"/>
      <c r="C92" s="61">
        <v>4.5</v>
      </c>
      <c r="D92" s="81">
        <v>5.5</v>
      </c>
      <c r="E92" s="113">
        <f>SUMIFS(Dataset!$AJ:$AJ,Dataset!$F:$F,'credito latam'!$D$11,Dataset!$Z:$Z,E$86,Dataset!$J:$J,"&lt;"&amp;$D92,Dataset!$J:$J,"&gt;="&amp;$C92)</f>
        <v>0</v>
      </c>
      <c r="F92" s="83">
        <f>SUMIFS(Dataset!$AJ:$AJ,Dataset!$F:$F,'credito latam'!$D$11,Dataset!$Z:$Z,F$86,Dataset!$J:$J,"&lt;"&amp;$D92,Dataset!$J:$J,"&gt;="&amp;$C92)</f>
        <v>0</v>
      </c>
      <c r="G92" s="83">
        <f>SUMIFS(Dataset!$AJ:$AJ,Dataset!$F:$F,'credito latam'!$D$11,Dataset!$Z:$Z,G$86,Dataset!$J:$J,"&lt;"&amp;$D92,Dataset!$J:$J,"&gt;="&amp;$C92)</f>
        <v>0</v>
      </c>
      <c r="H92" s="83">
        <f>SUMIFS(Dataset!$AJ:$AJ,Dataset!$F:$F,'credito latam'!$D$11,Dataset!$Z:$Z,H$86,Dataset!$J:$J,"&lt;"&amp;$D92,Dataset!$J:$J,"&gt;="&amp;$C92)</f>
        <v>0</v>
      </c>
      <c r="I92" s="83">
        <f>SUMIFS(Dataset!$AJ:$AJ,Dataset!$F:$F,'credito latam'!$D$11,Dataset!$Z:$Z,I$86,Dataset!$J:$J,"&lt;"&amp;$D92,Dataset!$J:$J,"&gt;="&amp;$C92)</f>
        <v>0</v>
      </c>
      <c r="J92" s="83">
        <f>SUMIFS(Dataset!$AJ:$AJ,Dataset!$F:$F,'credito latam'!$D$11,Dataset!$Z:$Z,J$86,Dataset!$J:$J,"&lt;"&amp;$D92,Dataset!$J:$J,"&gt;="&amp;$C92)</f>
        <v>0</v>
      </c>
      <c r="K92" s="114">
        <f>SUMIFS(Dataset!$AK:$AK,Dataset!$F:$F,'credito latam'!$D$11,Dataset!$J:$J,"&lt;"&amp;$D92,Dataset!J:J,"&gt;="&amp;$C92,Dataset!$Z:$Z,"&lt;&gt;CL",Dataset!$Z:$Z,"&lt;&gt;MX",Dataset!$Z:$Z,"&lt;&gt;CO",Dataset!$Z:$Z,"&lt;&gt;PE",Dataset!$Z:$Z,"&lt;&gt;BR",Dataset!$Z:$Z,"&lt;&gt;PA")</f>
        <v>0</v>
      </c>
      <c r="L92" s="84">
        <f t="shared" si="11"/>
        <v>0</v>
      </c>
      <c r="M92" s="113">
        <f>SUMIFS(Dataset!$AA:$AA,Dataset!$F:$F,'credito latam'!$D$11,Dataset!$Z:$Z,M$86,Dataset!$J:$J,"&lt;"&amp;$D92,Dataset!$J:$J,"&gt;="&amp;$C92)</f>
        <v>0</v>
      </c>
      <c r="N92" s="83">
        <f>SUMIFS(Dataset!$AA:$AA,Dataset!$F:$F,'credito latam'!$D$11,Dataset!$Z:$Z,N$86,Dataset!$J:$J,"&lt;"&amp;$D92,Dataset!$J:$J,"&gt;="&amp;$C92)</f>
        <v>0</v>
      </c>
      <c r="O92" s="83">
        <f>SUMIFS(Dataset!$AA:$AA,Dataset!$F:$F,'credito latam'!$D$11,Dataset!$Z:$Z,O$86,Dataset!$J:$J,"&lt;"&amp;$D92,Dataset!$J:$J,"&gt;="&amp;$C92)</f>
        <v>0</v>
      </c>
      <c r="P92" s="83">
        <f>SUMIFS(Dataset!$AA:$AA,Dataset!$F:$F,'credito latam'!$D$11,Dataset!$Z:$Z,P$86,Dataset!$J:$J,"&lt;"&amp;$D92,Dataset!$J:$J,"&gt;="&amp;$C92)</f>
        <v>0</v>
      </c>
      <c r="Q92" s="83">
        <f>SUMIFS(Dataset!$AA:$AA,Dataset!$F:$F,'credito latam'!$D$11,Dataset!$Z:$Z,Q$86,Dataset!$J:$J,"&lt;"&amp;$D92,Dataset!$J:$J,"&gt;="&amp;$C92)</f>
        <v>0</v>
      </c>
      <c r="R92" s="83">
        <f>SUMIFS(Dataset!$AA:$AA,Dataset!$F:$F,'credito latam'!$D$11,Dataset!$Z:$Z,R$86,Dataset!$J:$J,"&lt;"&amp;$D92,Dataset!$J:$J,"&gt;="&amp;$C92)</f>
        <v>0</v>
      </c>
      <c r="S92" s="114">
        <f>SUMIFS(Dataset!$AA:$AA,Dataset!$F:$F,'credito latam'!$D$11,Dataset!$J:$J,"&lt;"&amp;$D92,Dataset!J:J,"&gt;="&amp;$C92,Dataset!$Z:$Z,"&lt;&gt;CL",Dataset!$Z:$Z,"&lt;&gt;MX",Dataset!$Z:$Z,"&lt;&gt;CO",Dataset!$Z:$Z,"&lt;&gt;PE",Dataset!$Z:$Z,"&lt;&gt;BR",Dataset!$Z:$Z,"&lt;&gt;PA")</f>
        <v>0</v>
      </c>
      <c r="T92" s="84">
        <f t="shared" si="12"/>
        <v>0</v>
      </c>
    </row>
    <row r="93" spans="2:32" ht="36" customHeight="1" x14ac:dyDescent="0.3">
      <c r="B93" s="96"/>
      <c r="C93" s="61">
        <v>5.5</v>
      </c>
      <c r="D93" s="81">
        <v>6.5</v>
      </c>
      <c r="E93" s="113">
        <f>SUMIFS(Dataset!$AJ:$AJ,Dataset!$F:$F,'credito latam'!$D$11,Dataset!$Z:$Z,E$86,Dataset!$J:$J,"&lt;"&amp;$D93,Dataset!$J:$J,"&gt;="&amp;$C93)</f>
        <v>0</v>
      </c>
      <c r="F93" s="101">
        <f>SUMIFS(Dataset!$AJ:$AJ,Dataset!$F:$F,'credito latam'!$D$11,Dataset!$Z:$Z,F$86,Dataset!$J:$J,"&lt;"&amp;$D93,Dataset!$J:$J,"&gt;="&amp;$C93)</f>
        <v>0</v>
      </c>
      <c r="G93" s="101">
        <f>SUMIFS(Dataset!$AJ:$AJ,Dataset!$F:$F,'credito latam'!$D$11,Dataset!$Z:$Z,G$86,Dataset!$J:$J,"&lt;"&amp;$D93,Dataset!$J:$J,"&gt;="&amp;$C93)</f>
        <v>0</v>
      </c>
      <c r="H93" s="101">
        <f>SUMIFS(Dataset!$AJ:$AJ,Dataset!$F:$F,'credito latam'!$D$11,Dataset!$Z:$Z,H$86,Dataset!$J:$J,"&lt;"&amp;$D93,Dataset!$J:$J,"&gt;="&amp;$C93)</f>
        <v>0</v>
      </c>
      <c r="I93" s="101">
        <f>SUMIFS(Dataset!$AJ:$AJ,Dataset!$F:$F,'credito latam'!$D$11,Dataset!$Z:$Z,I$86,Dataset!$J:$J,"&lt;"&amp;$D93,Dataset!$J:$J,"&gt;="&amp;$C93)</f>
        <v>0</v>
      </c>
      <c r="J93" s="101">
        <f>SUMIFS(Dataset!$AJ:$AJ,Dataset!$F:$F,'credito latam'!$D$11,Dataset!$Z:$Z,J$86,Dataset!$J:$J,"&lt;"&amp;$D93,Dataset!$J:$J,"&gt;="&amp;$C93)</f>
        <v>0</v>
      </c>
      <c r="K93" s="102">
        <f>SUMIFS(Dataset!$AK:$AK,Dataset!$F:$F,'credito latam'!$D$11,Dataset!$J:$J,"&lt;"&amp;$D93,Dataset!J:J,"&gt;="&amp;$C93,Dataset!$Z:$Z,"&lt;&gt;CL",Dataset!$Z:$Z,"&lt;&gt;MX",Dataset!$Z:$Z,"&lt;&gt;CO",Dataset!$Z:$Z,"&lt;&gt;PE",Dataset!$Z:$Z,"&lt;&gt;BR",Dataset!$Z:$Z,"&lt;&gt;PA")</f>
        <v>0</v>
      </c>
      <c r="L93" s="84">
        <f t="shared" si="11"/>
        <v>0</v>
      </c>
      <c r="M93" s="113">
        <f>SUMIFS(Dataset!$AA:$AA,Dataset!$F:$F,'credito latam'!$D$11,Dataset!$Z:$Z,M$86,Dataset!$J:$J,"&lt;"&amp;$D93,Dataset!$J:$J,"&gt;="&amp;$C93)</f>
        <v>0</v>
      </c>
      <c r="N93" s="101">
        <f>SUMIFS(Dataset!$AA:$AA,Dataset!$F:$F,'credito latam'!$D$11,Dataset!$Z:$Z,N$86,Dataset!$J:$J,"&lt;"&amp;$D93,Dataset!$J:$J,"&gt;="&amp;$C93)</f>
        <v>0</v>
      </c>
      <c r="O93" s="101">
        <f>SUMIFS(Dataset!$AA:$AA,Dataset!$F:$F,'credito latam'!$D$11,Dataset!$Z:$Z,O$86,Dataset!$J:$J,"&lt;"&amp;$D93,Dataset!$J:$J,"&gt;="&amp;$C93)</f>
        <v>0</v>
      </c>
      <c r="P93" s="101">
        <f>SUMIFS(Dataset!$AA:$AA,Dataset!$F:$F,'credito latam'!$D$11,Dataset!$Z:$Z,P$86,Dataset!$J:$J,"&lt;"&amp;$D93,Dataset!$J:$J,"&gt;="&amp;$C93)</f>
        <v>0</v>
      </c>
      <c r="Q93" s="101">
        <f>SUMIFS(Dataset!$AA:$AA,Dataset!$F:$F,'credito latam'!$D$11,Dataset!$Z:$Z,Q$86,Dataset!$J:$J,"&lt;"&amp;$D93,Dataset!$J:$J,"&gt;="&amp;$C93)</f>
        <v>0</v>
      </c>
      <c r="R93" s="101">
        <f>SUMIFS(Dataset!$AA:$AA,Dataset!$F:$F,'credito latam'!$D$11,Dataset!$Z:$Z,R$86,Dataset!$J:$J,"&lt;"&amp;$D93,Dataset!$J:$J,"&gt;="&amp;$C93)</f>
        <v>0</v>
      </c>
      <c r="S93" s="102">
        <f>SUMIFS(Dataset!$AA:$AA,Dataset!$F:$F,'credito latam'!$D$11,Dataset!$J:$J,"&lt;"&amp;$D93,Dataset!J:J,"&gt;="&amp;$C93,Dataset!$Z:$Z,"&lt;&gt;CL",Dataset!$Z:$Z,"&lt;&gt;MX",Dataset!$Z:$Z,"&lt;&gt;CO",Dataset!$Z:$Z,"&lt;&gt;PE",Dataset!$Z:$Z,"&lt;&gt;BR",Dataset!$Z:$Z,"&lt;&gt;PA")</f>
        <v>0</v>
      </c>
      <c r="T93" s="84">
        <f t="shared" si="12"/>
        <v>0</v>
      </c>
    </row>
    <row r="94" spans="2:32" ht="27" customHeight="1" x14ac:dyDescent="0.3">
      <c r="C94" s="61">
        <v>6.5</v>
      </c>
      <c r="D94" s="81">
        <v>7.5</v>
      </c>
      <c r="E94" s="113">
        <f>SUMIFS(Dataset!$AJ:$AJ,Dataset!$F:$F,'credito latam'!$D$11,Dataset!$Z:$Z,E$86,Dataset!$J:$J,"&lt;"&amp;$D94,Dataset!$J:$J,"&gt;="&amp;$C94)</f>
        <v>0</v>
      </c>
      <c r="F94" s="83">
        <f>SUMIFS(Dataset!$AJ:$AJ,Dataset!$F:$F,'credito latam'!$D$11,Dataset!$Z:$Z,F$86,Dataset!$J:$J,"&lt;"&amp;$D94,Dataset!$J:$J,"&gt;="&amp;$C94)</f>
        <v>0</v>
      </c>
      <c r="G94" s="83">
        <f>SUMIFS(Dataset!$AJ:$AJ,Dataset!$F:$F,'credito latam'!$D$11,Dataset!$Z:$Z,G$86,Dataset!$J:$J,"&lt;"&amp;$D94,Dataset!$J:$J,"&gt;="&amp;$C94)</f>
        <v>0</v>
      </c>
      <c r="H94" s="83">
        <f>SUMIFS(Dataset!$AJ:$AJ,Dataset!$F:$F,'credito latam'!$D$11,Dataset!$Z:$Z,H$86,Dataset!$J:$J,"&lt;"&amp;$D94,Dataset!$J:$J,"&gt;="&amp;$C94)</f>
        <v>0</v>
      </c>
      <c r="I94" s="83">
        <f>SUMIFS(Dataset!$AJ:$AJ,Dataset!$F:$F,'credito latam'!$D$11,Dataset!$Z:$Z,I$86,Dataset!$J:$J,"&lt;"&amp;$D94,Dataset!$J:$J,"&gt;="&amp;$C94)</f>
        <v>0</v>
      </c>
      <c r="J94" s="83">
        <f>SUMIFS(Dataset!$AJ:$AJ,Dataset!$F:$F,'credito latam'!$D$11,Dataset!$Z:$Z,J$86,Dataset!$J:$J,"&lt;"&amp;$D94,Dataset!$J:$J,"&gt;="&amp;$C94)</f>
        <v>0</v>
      </c>
      <c r="K94" s="114">
        <f>SUMIFS(Dataset!$AK:$AK,Dataset!$F:$F,'credito latam'!$D$11,Dataset!$J:$J,"&lt;"&amp;$D94,Dataset!J:J,"&gt;="&amp;$C94,Dataset!$Z:$Z,"&lt;&gt;CL",Dataset!$Z:$Z,"&lt;&gt;MX",Dataset!$Z:$Z,"&lt;&gt;CO",Dataset!$Z:$Z,"&lt;&gt;PE",Dataset!$Z:$Z,"&lt;&gt;BR",Dataset!$Z:$Z,"&lt;&gt;PA")</f>
        <v>0</v>
      </c>
      <c r="L94" s="84">
        <f t="shared" si="11"/>
        <v>0</v>
      </c>
      <c r="M94" s="113">
        <f>SUMIFS(Dataset!$AA:$AA,Dataset!$F:$F,'credito latam'!$D$11,Dataset!$Z:$Z,M$86,Dataset!$J:$J,"&lt;"&amp;$D94,Dataset!$J:$J,"&gt;="&amp;$C94)</f>
        <v>0</v>
      </c>
      <c r="N94" s="83">
        <f>SUMIFS(Dataset!$AA:$AA,Dataset!$F:$F,'credito latam'!$D$11,Dataset!$Z:$Z,N$86,Dataset!$J:$J,"&lt;"&amp;$D94,Dataset!$J:$J,"&gt;="&amp;$C94)</f>
        <v>0</v>
      </c>
      <c r="O94" s="83">
        <f>SUMIFS(Dataset!$AA:$AA,Dataset!$F:$F,'credito latam'!$D$11,Dataset!$Z:$Z,O$86,Dataset!$J:$J,"&lt;"&amp;$D94,Dataset!$J:$J,"&gt;="&amp;$C94)</f>
        <v>0</v>
      </c>
      <c r="P94" s="83">
        <f>SUMIFS(Dataset!$AA:$AA,Dataset!$F:$F,'credito latam'!$D$11,Dataset!$Z:$Z,P$86,Dataset!$J:$J,"&lt;"&amp;$D94,Dataset!$J:$J,"&gt;="&amp;$C94)</f>
        <v>0</v>
      </c>
      <c r="Q94" s="83">
        <f>SUMIFS(Dataset!$AA:$AA,Dataset!$F:$F,'credito latam'!$D$11,Dataset!$Z:$Z,Q$86,Dataset!$J:$J,"&lt;"&amp;$D94,Dataset!$J:$J,"&gt;="&amp;$C94)</f>
        <v>0</v>
      </c>
      <c r="R94" s="83">
        <f>SUMIFS(Dataset!$AA:$AA,Dataset!$F:$F,'credito latam'!$D$11,Dataset!$Z:$Z,R$86,Dataset!$J:$J,"&lt;"&amp;$D94,Dataset!$J:$J,"&gt;="&amp;$C94)</f>
        <v>0</v>
      </c>
      <c r="S94" s="114">
        <f>SUMIFS(Dataset!$AA:$AA,Dataset!$F:$F,'credito latam'!$D$11,Dataset!$J:$J,"&lt;"&amp;$D94,Dataset!J:J,"&gt;="&amp;$C94,Dataset!$Z:$Z,"&lt;&gt;CL",Dataset!$Z:$Z,"&lt;&gt;MX",Dataset!$Z:$Z,"&lt;&gt;CO",Dataset!$Z:$Z,"&lt;&gt;PE",Dataset!$Z:$Z,"&lt;&gt;BR",Dataset!$Z:$Z,"&lt;&gt;PA")</f>
        <v>0</v>
      </c>
      <c r="T94" s="84">
        <f t="shared" si="12"/>
        <v>0</v>
      </c>
    </row>
    <row r="95" spans="2:32" ht="27" customHeight="1" x14ac:dyDescent="0.3">
      <c r="C95" s="61">
        <v>7.5</v>
      </c>
      <c r="D95" s="81">
        <v>8.5</v>
      </c>
      <c r="E95" s="113">
        <f>SUMIFS(Dataset!$AJ:$AJ,Dataset!$F:$F,'credito latam'!$D$11,Dataset!$Z:$Z,E$86,Dataset!$J:$J,"&lt;"&amp;$D95,Dataset!$J:$J,"&gt;="&amp;$C95)</f>
        <v>0</v>
      </c>
      <c r="F95" s="101">
        <f>SUMIFS(Dataset!$AJ:$AJ,Dataset!$F:$F,'credito latam'!$D$11,Dataset!$Z:$Z,F$86,Dataset!$J:$J,"&lt;"&amp;$D95,Dataset!$J:$J,"&gt;="&amp;$C95)</f>
        <v>0</v>
      </c>
      <c r="G95" s="101">
        <f>SUMIFS(Dataset!$AJ:$AJ,Dataset!$F:$F,'credito latam'!$D$11,Dataset!$Z:$Z,G$86,Dataset!$J:$J,"&lt;"&amp;$D95,Dataset!$J:$J,"&gt;="&amp;$C95)</f>
        <v>0</v>
      </c>
      <c r="H95" s="101">
        <f>SUMIFS(Dataset!$AJ:$AJ,Dataset!$F:$F,'credito latam'!$D$11,Dataset!$Z:$Z,H$86,Dataset!$J:$J,"&lt;"&amp;$D95,Dataset!$J:$J,"&gt;="&amp;$C95)</f>
        <v>0</v>
      </c>
      <c r="I95" s="101">
        <f>SUMIFS(Dataset!$AJ:$AJ,Dataset!$F:$F,'credito latam'!$D$11,Dataset!$Z:$Z,I$86,Dataset!$J:$J,"&lt;"&amp;$D95,Dataset!$J:$J,"&gt;="&amp;$C95)</f>
        <v>0</v>
      </c>
      <c r="J95" s="101">
        <f>SUMIFS(Dataset!$AJ:$AJ,Dataset!$F:$F,'credito latam'!$D$11,Dataset!$Z:$Z,J$86,Dataset!$J:$J,"&lt;"&amp;$D95,Dataset!$J:$J,"&gt;="&amp;$C95)</f>
        <v>0</v>
      </c>
      <c r="K95" s="102">
        <f>SUMIFS(Dataset!$AK:$AK,Dataset!$F:$F,'credito latam'!$D$11,Dataset!$J:$J,"&lt;"&amp;$D95,Dataset!J:J,"&gt;="&amp;$C95,Dataset!$Z:$Z,"&lt;&gt;CL",Dataset!$Z:$Z,"&lt;&gt;MX",Dataset!$Z:$Z,"&lt;&gt;CO",Dataset!$Z:$Z,"&lt;&gt;PE",Dataset!$Z:$Z,"&lt;&gt;BR",Dataset!$Z:$Z,"&lt;&gt;PA")</f>
        <v>0</v>
      </c>
      <c r="L95" s="84">
        <f t="shared" si="11"/>
        <v>0</v>
      </c>
      <c r="M95" s="113">
        <f>SUMIFS(Dataset!$AA:$AA,Dataset!$F:$F,'credito latam'!$D$11,Dataset!$Z:$Z,M$86,Dataset!$J:$J,"&lt;"&amp;$D95,Dataset!$J:$J,"&gt;="&amp;$C95)</f>
        <v>0</v>
      </c>
      <c r="N95" s="101">
        <f>SUMIFS(Dataset!$AA:$AA,Dataset!$F:$F,'credito latam'!$D$11,Dataset!$Z:$Z,N$86,Dataset!$J:$J,"&lt;"&amp;$D95,Dataset!$J:$J,"&gt;="&amp;$C95)</f>
        <v>0</v>
      </c>
      <c r="O95" s="101">
        <f>SUMIFS(Dataset!$AA:$AA,Dataset!$F:$F,'credito latam'!$D$11,Dataset!$Z:$Z,O$86,Dataset!$J:$J,"&lt;"&amp;$D95,Dataset!$J:$J,"&gt;="&amp;$C95)</f>
        <v>0</v>
      </c>
      <c r="P95" s="101">
        <f>SUMIFS(Dataset!$AA:$AA,Dataset!$F:$F,'credito latam'!$D$11,Dataset!$Z:$Z,P$86,Dataset!$J:$J,"&lt;"&amp;$D95,Dataset!$J:$J,"&gt;="&amp;$C95)</f>
        <v>0</v>
      </c>
      <c r="Q95" s="101">
        <f>SUMIFS(Dataset!$AA:$AA,Dataset!$F:$F,'credito latam'!$D$11,Dataset!$Z:$Z,Q$86,Dataset!$J:$J,"&lt;"&amp;$D95,Dataset!$J:$J,"&gt;="&amp;$C95)</f>
        <v>0</v>
      </c>
      <c r="R95" s="101">
        <f>SUMIFS(Dataset!$AA:$AA,Dataset!$F:$F,'credito latam'!$D$11,Dataset!$Z:$Z,R$86,Dataset!$J:$J,"&lt;"&amp;$D95,Dataset!$J:$J,"&gt;="&amp;$C95)</f>
        <v>0</v>
      </c>
      <c r="S95" s="102">
        <f>SUMIFS(Dataset!$AA:$AA,Dataset!$F:$F,'credito latam'!$D$11,Dataset!$J:$J,"&lt;"&amp;$D95,Dataset!J:J,"&gt;="&amp;$C95,Dataset!$Z:$Z,"&lt;&gt;CL",Dataset!$Z:$Z,"&lt;&gt;MX",Dataset!$Z:$Z,"&lt;&gt;CO",Dataset!$Z:$Z,"&lt;&gt;PE",Dataset!$Z:$Z,"&lt;&gt;BR",Dataset!$Z:$Z,"&lt;&gt;PA")</f>
        <v>0</v>
      </c>
      <c r="T95" s="84">
        <f t="shared" si="12"/>
        <v>0</v>
      </c>
    </row>
    <row r="96" spans="2:32" ht="27" customHeight="1" x14ac:dyDescent="0.3">
      <c r="C96" s="61">
        <v>8.5</v>
      </c>
      <c r="D96" s="81">
        <v>9.5</v>
      </c>
      <c r="E96" s="113">
        <f>SUMIFS(Dataset!$AJ:$AJ,Dataset!$F:$F,'credito latam'!$D$11,Dataset!$Z:$Z,E$86,Dataset!$J:$J,"&lt;"&amp;$D96,Dataset!$J:$J,"&gt;="&amp;$C96)</f>
        <v>0</v>
      </c>
      <c r="F96" s="83">
        <f>SUMIFS(Dataset!$AJ:$AJ,Dataset!$F:$F,'credito latam'!$D$11,Dataset!$Z:$Z,F$86,Dataset!$J:$J,"&lt;"&amp;$D96,Dataset!$J:$J,"&gt;="&amp;$C96)</f>
        <v>0</v>
      </c>
      <c r="G96" s="83">
        <f>SUMIFS(Dataset!$AJ:$AJ,Dataset!$F:$F,'credito latam'!$D$11,Dataset!$Z:$Z,G$86,Dataset!$J:$J,"&lt;"&amp;$D96,Dataset!$J:$J,"&gt;="&amp;$C96)</f>
        <v>0</v>
      </c>
      <c r="H96" s="83">
        <f>SUMIFS(Dataset!$AJ:$AJ,Dataset!$F:$F,'credito latam'!$D$11,Dataset!$Z:$Z,H$86,Dataset!$J:$J,"&lt;"&amp;$D96,Dataset!$J:$J,"&gt;="&amp;$C96)</f>
        <v>0</v>
      </c>
      <c r="I96" s="83">
        <f>SUMIFS(Dataset!$AJ:$AJ,Dataset!$F:$F,'credito latam'!$D$11,Dataset!$Z:$Z,I$86,Dataset!$J:$J,"&lt;"&amp;$D96,Dataset!$J:$J,"&gt;="&amp;$C96)</f>
        <v>0</v>
      </c>
      <c r="J96" s="83">
        <f>SUMIFS(Dataset!$AJ:$AJ,Dataset!$F:$F,'credito latam'!$D$11,Dataset!$Z:$Z,J$86,Dataset!$J:$J,"&lt;"&amp;$D96,Dataset!$J:$J,"&gt;="&amp;$C96)</f>
        <v>0</v>
      </c>
      <c r="K96" s="114">
        <f>SUMIFS(Dataset!$AK:$AK,Dataset!$F:$F,'credito latam'!$D$11,Dataset!$J:$J,"&lt;"&amp;$D96,Dataset!J:J,"&gt;="&amp;$C96,Dataset!$Z:$Z,"&lt;&gt;CL",Dataset!$Z:$Z,"&lt;&gt;MX",Dataset!$Z:$Z,"&lt;&gt;CO",Dataset!$Z:$Z,"&lt;&gt;PE",Dataset!$Z:$Z,"&lt;&gt;BR",Dataset!$Z:$Z,"&lt;&gt;PA")</f>
        <v>0</v>
      </c>
      <c r="L96" s="84">
        <f t="shared" si="11"/>
        <v>0</v>
      </c>
      <c r="M96" s="113">
        <f>SUMIFS(Dataset!$AA:$AA,Dataset!$F:$F,'credito latam'!$D$11,Dataset!$Z:$Z,M$86,Dataset!$J:$J,"&lt;"&amp;$D96,Dataset!$J:$J,"&gt;="&amp;$C96)</f>
        <v>0</v>
      </c>
      <c r="N96" s="83">
        <f>SUMIFS(Dataset!$AA:$AA,Dataset!$F:$F,'credito latam'!$D$11,Dataset!$Z:$Z,N$86,Dataset!$J:$J,"&lt;"&amp;$D96,Dataset!$J:$J,"&gt;="&amp;$C96)</f>
        <v>0</v>
      </c>
      <c r="O96" s="83">
        <f>SUMIFS(Dataset!$AA:$AA,Dataset!$F:$F,'credito latam'!$D$11,Dataset!$Z:$Z,O$86,Dataset!$J:$J,"&lt;"&amp;$D96,Dataset!$J:$J,"&gt;="&amp;$C96)</f>
        <v>0</v>
      </c>
      <c r="P96" s="83">
        <f>SUMIFS(Dataset!$AA:$AA,Dataset!$F:$F,'credito latam'!$D$11,Dataset!$Z:$Z,P$86,Dataset!$J:$J,"&lt;"&amp;$D96,Dataset!$J:$J,"&gt;="&amp;$C96)</f>
        <v>0</v>
      </c>
      <c r="Q96" s="83">
        <f>SUMIFS(Dataset!$AA:$AA,Dataset!$F:$F,'credito latam'!$D$11,Dataset!$Z:$Z,Q$86,Dataset!$J:$J,"&lt;"&amp;$D96,Dataset!$J:$J,"&gt;="&amp;$C96)</f>
        <v>0</v>
      </c>
      <c r="R96" s="83">
        <f>SUMIFS(Dataset!$AA:$AA,Dataset!$F:$F,'credito latam'!$D$11,Dataset!$Z:$Z,R$86,Dataset!$J:$J,"&lt;"&amp;$D96,Dataset!$J:$J,"&gt;="&amp;$C96)</f>
        <v>0</v>
      </c>
      <c r="S96" s="114">
        <f>SUMIFS(Dataset!$AA:$AA,Dataset!$F:$F,'credito latam'!$D$11,Dataset!$J:$J,"&lt;"&amp;$D96,Dataset!J:J,"&gt;="&amp;$C96,Dataset!$Z:$Z,"&lt;&gt;CL",Dataset!$Z:$Z,"&lt;&gt;MX",Dataset!$Z:$Z,"&lt;&gt;CO",Dataset!$Z:$Z,"&lt;&gt;PE",Dataset!$Z:$Z,"&lt;&gt;BR",Dataset!$Z:$Z,"&lt;&gt;PA")</f>
        <v>0</v>
      </c>
      <c r="T96" s="84">
        <f t="shared" si="12"/>
        <v>0</v>
      </c>
    </row>
    <row r="97" spans="3:20" ht="27" customHeight="1" x14ac:dyDescent="0.3">
      <c r="C97" s="61">
        <v>9.5</v>
      </c>
      <c r="D97" s="81">
        <v>10.5</v>
      </c>
      <c r="E97" s="113">
        <f>SUMIFS(Dataset!$AJ:$AJ,Dataset!$F:$F,'credito latam'!$D$11,Dataset!$Z:$Z,E$86,Dataset!$J:$J,"&lt;"&amp;$D97,Dataset!$J:$J,"&gt;="&amp;$C97)</f>
        <v>0</v>
      </c>
      <c r="F97" s="101">
        <f>SUMIFS(Dataset!$AJ:$AJ,Dataset!$F:$F,'credito latam'!$D$11,Dataset!$Z:$Z,F$86,Dataset!$J:$J,"&lt;"&amp;$D97,Dataset!$J:$J,"&gt;="&amp;$C97)</f>
        <v>0</v>
      </c>
      <c r="G97" s="101">
        <f>SUMIFS(Dataset!$AJ:$AJ,Dataset!$F:$F,'credito latam'!$D$11,Dataset!$Z:$Z,G$86,Dataset!$J:$J,"&lt;"&amp;$D97,Dataset!$J:$J,"&gt;="&amp;$C97)</f>
        <v>0</v>
      </c>
      <c r="H97" s="101">
        <f>SUMIFS(Dataset!$AJ:$AJ,Dataset!$F:$F,'credito latam'!$D$11,Dataset!$Z:$Z,H$86,Dataset!$J:$J,"&lt;"&amp;$D97,Dataset!$J:$J,"&gt;="&amp;$C97)</f>
        <v>0</v>
      </c>
      <c r="I97" s="101">
        <f>SUMIFS(Dataset!$AJ:$AJ,Dataset!$F:$F,'credito latam'!$D$11,Dataset!$Z:$Z,I$86,Dataset!$J:$J,"&lt;"&amp;$D97,Dataset!$J:$J,"&gt;="&amp;$C97)</f>
        <v>0</v>
      </c>
      <c r="J97" s="101">
        <f>SUMIFS(Dataset!$AJ:$AJ,Dataset!$F:$F,'credito latam'!$D$11,Dataset!$Z:$Z,J$86,Dataset!$J:$J,"&lt;"&amp;$D97,Dataset!$J:$J,"&gt;="&amp;$C97)</f>
        <v>0</v>
      </c>
      <c r="K97" s="102">
        <f>SUMIFS(Dataset!$AK:$AK,Dataset!$F:$F,'credito latam'!$D$11,Dataset!$J:$J,"&lt;"&amp;$D97,Dataset!J:J,"&gt;="&amp;$C97,Dataset!$Z:$Z,"&lt;&gt;CL",Dataset!$Z:$Z,"&lt;&gt;MX",Dataset!$Z:$Z,"&lt;&gt;CO",Dataset!$Z:$Z,"&lt;&gt;PE",Dataset!$Z:$Z,"&lt;&gt;BR",Dataset!$Z:$Z,"&lt;&gt;PA")</f>
        <v>0</v>
      </c>
      <c r="L97" s="84">
        <f t="shared" si="11"/>
        <v>0</v>
      </c>
      <c r="M97" s="113">
        <f>SUMIFS(Dataset!$AA:$AA,Dataset!$F:$F,'credito latam'!$D$11,Dataset!$Z:$Z,M$86,Dataset!$J:$J,"&lt;"&amp;$D97,Dataset!$J:$J,"&gt;="&amp;$C97)</f>
        <v>0</v>
      </c>
      <c r="N97" s="101">
        <f>SUMIFS(Dataset!$AA:$AA,Dataset!$F:$F,'credito latam'!$D$11,Dataset!$Z:$Z,N$86,Dataset!$J:$J,"&lt;"&amp;$D97,Dataset!$J:$J,"&gt;="&amp;$C97)</f>
        <v>0</v>
      </c>
      <c r="O97" s="101">
        <f>SUMIFS(Dataset!$AA:$AA,Dataset!$F:$F,'credito latam'!$D$11,Dataset!$Z:$Z,O$86,Dataset!$J:$J,"&lt;"&amp;$D97,Dataset!$J:$J,"&gt;="&amp;$C97)</f>
        <v>0</v>
      </c>
      <c r="P97" s="101">
        <f>SUMIFS(Dataset!$AA:$AA,Dataset!$F:$F,'credito latam'!$D$11,Dataset!$Z:$Z,P$86,Dataset!$J:$J,"&lt;"&amp;$D97,Dataset!$J:$J,"&gt;="&amp;$C97)</f>
        <v>0</v>
      </c>
      <c r="Q97" s="101">
        <f>SUMIFS(Dataset!$AA:$AA,Dataset!$F:$F,'credito latam'!$D$11,Dataset!$Z:$Z,Q$86,Dataset!$J:$J,"&lt;"&amp;$D97,Dataset!$J:$J,"&gt;="&amp;$C97)</f>
        <v>0</v>
      </c>
      <c r="R97" s="101">
        <f>SUMIFS(Dataset!$AA:$AA,Dataset!$F:$F,'credito latam'!$D$11,Dataset!$Z:$Z,R$86,Dataset!$J:$J,"&lt;"&amp;$D97,Dataset!$J:$J,"&gt;="&amp;$C97)</f>
        <v>0</v>
      </c>
      <c r="S97" s="102">
        <f>SUMIFS(Dataset!$AA:$AA,Dataset!$F:$F,'credito latam'!$D$11,Dataset!$J:$J,"&lt;"&amp;$D97,Dataset!J:J,"&gt;="&amp;$C97,Dataset!$Z:$Z,"&lt;&gt;CL",Dataset!$Z:$Z,"&lt;&gt;MX",Dataset!$Z:$Z,"&lt;&gt;CO",Dataset!$Z:$Z,"&lt;&gt;PE",Dataset!$Z:$Z,"&lt;&gt;BR",Dataset!$Z:$Z,"&lt;&gt;PA")</f>
        <v>0</v>
      </c>
      <c r="T97" s="84">
        <f t="shared" si="12"/>
        <v>0</v>
      </c>
    </row>
    <row r="98" spans="3:20" ht="27" customHeight="1" x14ac:dyDescent="0.3">
      <c r="C98" s="61">
        <v>10.5</v>
      </c>
      <c r="D98" s="81">
        <v>11.5</v>
      </c>
      <c r="E98" s="113">
        <f>SUMIFS(Dataset!$AJ:$AJ,Dataset!$F:$F,'credito latam'!$D$11,Dataset!$Z:$Z,E$86,Dataset!$J:$J,"&lt;"&amp;$D98,Dataset!$J:$J,"&gt;="&amp;$C98)</f>
        <v>0</v>
      </c>
      <c r="F98" s="83">
        <f>SUMIFS(Dataset!$AJ:$AJ,Dataset!$F:$F,'credito latam'!$D$11,Dataset!$Z:$Z,F$86,Dataset!$J:$J,"&lt;"&amp;$D98,Dataset!$J:$J,"&gt;="&amp;$C98)</f>
        <v>0</v>
      </c>
      <c r="G98" s="83">
        <f>SUMIFS(Dataset!$AJ:$AJ,Dataset!$F:$F,'credito latam'!$D$11,Dataset!$Z:$Z,G$86,Dataset!$J:$J,"&lt;"&amp;$D98,Dataset!$J:$J,"&gt;="&amp;$C98)</f>
        <v>0</v>
      </c>
      <c r="H98" s="83">
        <f>SUMIFS(Dataset!$AJ:$AJ,Dataset!$F:$F,'credito latam'!$D$11,Dataset!$Z:$Z,H$86,Dataset!$J:$J,"&lt;"&amp;$D98,Dataset!$J:$J,"&gt;="&amp;$C98)</f>
        <v>0</v>
      </c>
      <c r="I98" s="83">
        <f>SUMIFS(Dataset!$AJ:$AJ,Dataset!$F:$F,'credito latam'!$D$11,Dataset!$Z:$Z,I$86,Dataset!$J:$J,"&lt;"&amp;$D98,Dataset!$J:$J,"&gt;="&amp;$C98)</f>
        <v>0</v>
      </c>
      <c r="J98" s="83">
        <f>SUMIFS(Dataset!$AJ:$AJ,Dataset!$F:$F,'credito latam'!$D$11,Dataset!$Z:$Z,J$86,Dataset!$J:$J,"&lt;"&amp;$D98,Dataset!$J:$J,"&gt;="&amp;$C98)</f>
        <v>0</v>
      </c>
      <c r="K98" s="114">
        <f>SUMIFS(Dataset!$AK:$AK,Dataset!$F:$F,'credito latam'!$D$11,Dataset!$J:$J,"&lt;"&amp;$D98,Dataset!J:J,"&gt;="&amp;$C98,Dataset!$Z:$Z,"&lt;&gt;CL",Dataset!$Z:$Z,"&lt;&gt;MX",Dataset!$Z:$Z,"&lt;&gt;CO",Dataset!$Z:$Z,"&lt;&gt;PE",Dataset!$Z:$Z,"&lt;&gt;BR",Dataset!$Z:$Z,"&lt;&gt;PA")</f>
        <v>0</v>
      </c>
      <c r="L98" s="84">
        <f t="shared" si="11"/>
        <v>0</v>
      </c>
      <c r="M98" s="113">
        <f>SUMIFS(Dataset!$AA:$AA,Dataset!$F:$F,'credito latam'!$D$11,Dataset!$Z:$Z,M$86,Dataset!$J:$J,"&lt;"&amp;$D98,Dataset!$J:$J,"&gt;="&amp;$C98)</f>
        <v>0</v>
      </c>
      <c r="N98" s="83">
        <f>SUMIFS(Dataset!$AA:$AA,Dataset!$F:$F,'credito latam'!$D$11,Dataset!$Z:$Z,N$86,Dataset!$J:$J,"&lt;"&amp;$D98,Dataset!$J:$J,"&gt;="&amp;$C98)</f>
        <v>0</v>
      </c>
      <c r="O98" s="83">
        <f>SUMIFS(Dataset!$AA:$AA,Dataset!$F:$F,'credito latam'!$D$11,Dataset!$Z:$Z,O$86,Dataset!$J:$J,"&lt;"&amp;$D98,Dataset!$J:$J,"&gt;="&amp;$C98)</f>
        <v>0</v>
      </c>
      <c r="P98" s="83">
        <f>SUMIFS(Dataset!$AA:$AA,Dataset!$F:$F,'credito latam'!$D$11,Dataset!$Z:$Z,P$86,Dataset!$J:$J,"&lt;"&amp;$D98,Dataset!$J:$J,"&gt;="&amp;$C98)</f>
        <v>0</v>
      </c>
      <c r="Q98" s="83">
        <f>SUMIFS(Dataset!$AA:$AA,Dataset!$F:$F,'credito latam'!$D$11,Dataset!$Z:$Z,Q$86,Dataset!$J:$J,"&lt;"&amp;$D98,Dataset!$J:$J,"&gt;="&amp;$C98)</f>
        <v>0</v>
      </c>
      <c r="R98" s="83">
        <f>SUMIFS(Dataset!$AA:$AA,Dataset!$F:$F,'credito latam'!$D$11,Dataset!$Z:$Z,R$86,Dataset!$J:$J,"&lt;"&amp;$D98,Dataset!$J:$J,"&gt;="&amp;$C98)</f>
        <v>0</v>
      </c>
      <c r="S98" s="114">
        <f>SUMIFS(Dataset!$AA:$AA,Dataset!$F:$F,'credito latam'!$D$11,Dataset!$J:$J,"&lt;"&amp;$D98,Dataset!J:J,"&gt;="&amp;$C98,Dataset!$Z:$Z,"&lt;&gt;CL",Dataset!$Z:$Z,"&lt;&gt;MX",Dataset!$Z:$Z,"&lt;&gt;CO",Dataset!$Z:$Z,"&lt;&gt;PE",Dataset!$Z:$Z,"&lt;&gt;BR",Dataset!$Z:$Z,"&lt;&gt;PA")</f>
        <v>0</v>
      </c>
      <c r="T98" s="84">
        <f t="shared" si="12"/>
        <v>0</v>
      </c>
    </row>
    <row r="99" spans="3:20" ht="27" customHeight="1" x14ac:dyDescent="0.3">
      <c r="C99" s="61">
        <v>11.5</v>
      </c>
      <c r="D99" s="81">
        <v>12.5</v>
      </c>
      <c r="E99" s="113">
        <f>SUMIFS(Dataset!$AJ:$AJ,Dataset!$F:$F,'credito latam'!$D$11,Dataset!$Z:$Z,E$86,Dataset!$J:$J,"&lt;"&amp;$D99,Dataset!$J:$J,"&gt;="&amp;$C99)</f>
        <v>0</v>
      </c>
      <c r="F99" s="101">
        <f>SUMIFS(Dataset!$AJ:$AJ,Dataset!$F:$F,'credito latam'!$D$11,Dataset!$Z:$Z,F$86,Dataset!$J:$J,"&lt;"&amp;$D99,Dataset!$J:$J,"&gt;="&amp;$C99)</f>
        <v>0</v>
      </c>
      <c r="G99" s="101">
        <f>SUMIFS(Dataset!$AJ:$AJ,Dataset!$F:$F,'credito latam'!$D$11,Dataset!$Z:$Z,G$86,Dataset!$J:$J,"&lt;"&amp;$D99,Dataset!$J:$J,"&gt;="&amp;$C99)</f>
        <v>0</v>
      </c>
      <c r="H99" s="101">
        <f>SUMIFS(Dataset!$AJ:$AJ,Dataset!$F:$F,'credito latam'!$D$11,Dataset!$Z:$Z,H$86,Dataset!$J:$J,"&lt;"&amp;$D99,Dataset!$J:$J,"&gt;="&amp;$C99)</f>
        <v>0</v>
      </c>
      <c r="I99" s="101">
        <f>SUMIFS(Dataset!$AJ:$AJ,Dataset!$F:$F,'credito latam'!$D$11,Dataset!$Z:$Z,I$86,Dataset!$J:$J,"&lt;"&amp;$D99,Dataset!$J:$J,"&gt;="&amp;$C99)</f>
        <v>0</v>
      </c>
      <c r="J99" s="101">
        <f>SUMIFS(Dataset!$AJ:$AJ,Dataset!$F:$F,'credito latam'!$D$11,Dataset!$Z:$Z,J$86,Dataset!$J:$J,"&lt;"&amp;$D99,Dataset!$J:$J,"&gt;="&amp;$C99)</f>
        <v>0</v>
      </c>
      <c r="K99" s="102">
        <f>SUMIFS(Dataset!$AK:$AK,Dataset!$F:$F,'credito latam'!$D$11,Dataset!$J:$J,"&lt;"&amp;$D99,Dataset!J:J,"&gt;="&amp;$C99,Dataset!$Z:$Z,"&lt;&gt;CL",Dataset!$Z:$Z,"&lt;&gt;MX",Dataset!$Z:$Z,"&lt;&gt;CO",Dataset!$Z:$Z,"&lt;&gt;PE",Dataset!$Z:$Z,"&lt;&gt;BR",Dataset!$Z:$Z,"&lt;&gt;PA")</f>
        <v>0</v>
      </c>
      <c r="L99" s="84">
        <f t="shared" si="11"/>
        <v>0</v>
      </c>
      <c r="M99" s="113">
        <f>SUMIFS(Dataset!$AA:$AA,Dataset!$F:$F,'credito latam'!$D$11,Dataset!$Z:$Z,M$86,Dataset!$J:$J,"&lt;"&amp;$D99,Dataset!$J:$J,"&gt;="&amp;$C99)</f>
        <v>0</v>
      </c>
      <c r="N99" s="101">
        <f>SUMIFS(Dataset!$AA:$AA,Dataset!$F:$F,'credito latam'!$D$11,Dataset!$Z:$Z,N$86,Dataset!$J:$J,"&lt;"&amp;$D99,Dataset!$J:$J,"&gt;="&amp;$C99)</f>
        <v>0</v>
      </c>
      <c r="O99" s="101">
        <f>SUMIFS(Dataset!$AA:$AA,Dataset!$F:$F,'credito latam'!$D$11,Dataset!$Z:$Z,O$86,Dataset!$J:$J,"&lt;"&amp;$D99,Dataset!$J:$J,"&gt;="&amp;$C99)</f>
        <v>0</v>
      </c>
      <c r="P99" s="101">
        <f>SUMIFS(Dataset!$AA:$AA,Dataset!$F:$F,'credito latam'!$D$11,Dataset!$Z:$Z,P$86,Dataset!$J:$J,"&lt;"&amp;$D99,Dataset!$J:$J,"&gt;="&amp;$C99)</f>
        <v>0</v>
      </c>
      <c r="Q99" s="101">
        <f>SUMIFS(Dataset!$AA:$AA,Dataset!$F:$F,'credito latam'!$D$11,Dataset!$Z:$Z,Q$86,Dataset!$J:$J,"&lt;"&amp;$D99,Dataset!$J:$J,"&gt;="&amp;$C99)</f>
        <v>0</v>
      </c>
      <c r="R99" s="101">
        <f>SUMIFS(Dataset!$AA:$AA,Dataset!$F:$F,'credito latam'!$D$11,Dataset!$Z:$Z,R$86,Dataset!$J:$J,"&lt;"&amp;$D99,Dataset!$J:$J,"&gt;="&amp;$C99)</f>
        <v>0</v>
      </c>
      <c r="S99" s="102">
        <f>SUMIFS(Dataset!$AA:$AA,Dataset!$F:$F,'credito latam'!$D$11,Dataset!$J:$J,"&lt;"&amp;$D99,Dataset!J:J,"&gt;="&amp;$C99,Dataset!$Z:$Z,"&lt;&gt;CL",Dataset!$Z:$Z,"&lt;&gt;MX",Dataset!$Z:$Z,"&lt;&gt;CO",Dataset!$Z:$Z,"&lt;&gt;PE",Dataset!$Z:$Z,"&lt;&gt;BR",Dataset!$Z:$Z,"&lt;&gt;PA")</f>
        <v>0</v>
      </c>
      <c r="T99" s="84">
        <f t="shared" si="12"/>
        <v>0</v>
      </c>
    </row>
    <row r="100" spans="3:20" ht="27" customHeight="1" x14ac:dyDescent="0.3">
      <c r="C100" s="61">
        <v>12.5</v>
      </c>
      <c r="D100" s="81">
        <v>13.5</v>
      </c>
      <c r="E100" s="113">
        <f>SUMIFS(Dataset!$AJ:$AJ,Dataset!$F:$F,'credito latam'!$D$11,Dataset!$Z:$Z,E$86,Dataset!$J:$J,"&lt;"&amp;$D100,Dataset!$J:$J,"&gt;="&amp;$C100)</f>
        <v>0</v>
      </c>
      <c r="F100" s="83">
        <f>SUMIFS(Dataset!$AJ:$AJ,Dataset!$F:$F,'credito latam'!$D$11,Dataset!$Z:$Z,F$86,Dataset!$J:$J,"&lt;"&amp;$D100,Dataset!$J:$J,"&gt;="&amp;$C100)</f>
        <v>0</v>
      </c>
      <c r="G100" s="83">
        <f>SUMIFS(Dataset!$AJ:$AJ,Dataset!$F:$F,'credito latam'!$D$11,Dataset!$Z:$Z,G$86,Dataset!$J:$J,"&lt;"&amp;$D100,Dataset!$J:$J,"&gt;="&amp;$C100)</f>
        <v>0</v>
      </c>
      <c r="H100" s="83">
        <f>SUMIFS(Dataset!$AJ:$AJ,Dataset!$F:$F,'credito latam'!$D$11,Dataset!$Z:$Z,H$86,Dataset!$J:$J,"&lt;"&amp;$D100,Dataset!$J:$J,"&gt;="&amp;$C100)</f>
        <v>0</v>
      </c>
      <c r="I100" s="83">
        <f>SUMIFS(Dataset!$AJ:$AJ,Dataset!$F:$F,'credito latam'!$D$11,Dataset!$Z:$Z,I$86,Dataset!$J:$J,"&lt;"&amp;$D100,Dataset!$J:$J,"&gt;="&amp;$C100)</f>
        <v>0</v>
      </c>
      <c r="J100" s="83">
        <f>SUMIFS(Dataset!$AJ:$AJ,Dataset!$F:$F,'credito latam'!$D$11,Dataset!$Z:$Z,J$86,Dataset!$J:$J,"&lt;"&amp;$D100,Dataset!$J:$J,"&gt;="&amp;$C100)</f>
        <v>0</v>
      </c>
      <c r="K100" s="114">
        <f>SUMIFS(Dataset!$AK:$AK,Dataset!$F:$F,'credito latam'!$D$11,Dataset!$J:$J,"&lt;"&amp;$D100,Dataset!J:J,"&gt;="&amp;$C100,Dataset!$Z:$Z,"&lt;&gt;CL",Dataset!$Z:$Z,"&lt;&gt;MX",Dataset!$Z:$Z,"&lt;&gt;CO",Dataset!$Z:$Z,"&lt;&gt;PE",Dataset!$Z:$Z,"&lt;&gt;BR",Dataset!$Z:$Z,"&lt;&gt;PA")</f>
        <v>0</v>
      </c>
      <c r="L100" s="84">
        <f t="shared" si="11"/>
        <v>0</v>
      </c>
      <c r="M100" s="113">
        <f>SUMIFS(Dataset!$AA:$AA,Dataset!$F:$F,'credito latam'!$D$11,Dataset!$Z:$Z,M$86,Dataset!$J:$J,"&lt;"&amp;$D100,Dataset!$J:$J,"&gt;="&amp;$C100)</f>
        <v>0</v>
      </c>
      <c r="N100" s="83">
        <f>SUMIFS(Dataset!$AA:$AA,Dataset!$F:$F,'credito latam'!$D$11,Dataset!$Z:$Z,N$86,Dataset!$J:$J,"&lt;"&amp;$D100,Dataset!$J:$J,"&gt;="&amp;$C100)</f>
        <v>0</v>
      </c>
      <c r="O100" s="83">
        <f>SUMIFS(Dataset!$AA:$AA,Dataset!$F:$F,'credito latam'!$D$11,Dataset!$Z:$Z,O$86,Dataset!$J:$J,"&lt;"&amp;$D100,Dataset!$J:$J,"&gt;="&amp;$C100)</f>
        <v>0</v>
      </c>
      <c r="P100" s="83">
        <f>SUMIFS(Dataset!$AA:$AA,Dataset!$F:$F,'credito latam'!$D$11,Dataset!$Z:$Z,P$86,Dataset!$J:$J,"&lt;"&amp;$D100,Dataset!$J:$J,"&gt;="&amp;$C100)</f>
        <v>0</v>
      </c>
      <c r="Q100" s="83">
        <f>SUMIFS(Dataset!$AA:$AA,Dataset!$F:$F,'credito latam'!$D$11,Dataset!$Z:$Z,Q$86,Dataset!$J:$J,"&lt;"&amp;$D100,Dataset!$J:$J,"&gt;="&amp;$C100)</f>
        <v>0</v>
      </c>
      <c r="R100" s="83">
        <f>SUMIFS(Dataset!$AA:$AA,Dataset!$F:$F,'credito latam'!$D$11,Dataset!$Z:$Z,R$86,Dataset!$J:$J,"&lt;"&amp;$D100,Dataset!$J:$J,"&gt;="&amp;$C100)</f>
        <v>0</v>
      </c>
      <c r="S100" s="114">
        <f>SUMIFS(Dataset!$AA:$AA,Dataset!$F:$F,'credito latam'!$D$11,Dataset!$J:$J,"&lt;"&amp;$D100,Dataset!J:J,"&gt;="&amp;$C100,Dataset!$Z:$Z,"&lt;&gt;CL",Dataset!$Z:$Z,"&lt;&gt;MX",Dataset!$Z:$Z,"&lt;&gt;CO",Dataset!$Z:$Z,"&lt;&gt;PE",Dataset!$Z:$Z,"&lt;&gt;BR",Dataset!$Z:$Z,"&lt;&gt;PA")</f>
        <v>0</v>
      </c>
      <c r="T100" s="84">
        <f t="shared" si="12"/>
        <v>0</v>
      </c>
    </row>
    <row r="101" spans="3:20" ht="27" customHeight="1" x14ac:dyDescent="0.3">
      <c r="C101" s="61">
        <v>13.5</v>
      </c>
      <c r="D101" s="81">
        <v>14.5</v>
      </c>
      <c r="E101" s="113">
        <f>SUMIFS(Dataset!$AJ:$AJ,Dataset!$F:$F,'credito latam'!$D$11,Dataset!$Z:$Z,E$86,Dataset!$J:$J,"&lt;"&amp;$D101,Dataset!$J:$J,"&gt;="&amp;$C101)</f>
        <v>0</v>
      </c>
      <c r="F101" s="101">
        <f>SUMIFS(Dataset!$AJ:$AJ,Dataset!$F:$F,'credito latam'!$D$11,Dataset!$Z:$Z,F$86,Dataset!$J:$J,"&lt;"&amp;$D101,Dataset!$J:$J,"&gt;="&amp;$C101)</f>
        <v>0</v>
      </c>
      <c r="G101" s="101">
        <f>SUMIFS(Dataset!$AJ:$AJ,Dataset!$F:$F,'credito latam'!$D$11,Dataset!$Z:$Z,G$86,Dataset!$J:$J,"&lt;"&amp;$D101,Dataset!$J:$J,"&gt;="&amp;$C101)</f>
        <v>0</v>
      </c>
      <c r="H101" s="101">
        <f>SUMIFS(Dataset!$AJ:$AJ,Dataset!$F:$F,'credito latam'!$D$11,Dataset!$Z:$Z,H$86,Dataset!$J:$J,"&lt;"&amp;$D101,Dataset!$J:$J,"&gt;="&amp;$C101)</f>
        <v>0</v>
      </c>
      <c r="I101" s="101">
        <f>SUMIFS(Dataset!$AJ:$AJ,Dataset!$F:$F,'credito latam'!$D$11,Dataset!$Z:$Z,I$86,Dataset!$J:$J,"&lt;"&amp;$D101,Dataset!$J:$J,"&gt;="&amp;$C101)</f>
        <v>0</v>
      </c>
      <c r="J101" s="101">
        <f>SUMIFS(Dataset!$AJ:$AJ,Dataset!$F:$F,'credito latam'!$D$11,Dataset!$Z:$Z,J$86,Dataset!$J:$J,"&lt;"&amp;$D101,Dataset!$J:$J,"&gt;="&amp;$C101)</f>
        <v>0</v>
      </c>
      <c r="K101" s="102">
        <f>SUMIFS(Dataset!$AK:$AK,Dataset!$F:$F,'credito latam'!$D$11,Dataset!$J:$J,"&lt;"&amp;$D101,Dataset!J:J,"&gt;="&amp;$C101,Dataset!$Z:$Z,"&lt;&gt;CL",Dataset!$Z:$Z,"&lt;&gt;MX",Dataset!$Z:$Z,"&lt;&gt;CO",Dataset!$Z:$Z,"&lt;&gt;PE",Dataset!$Z:$Z,"&lt;&gt;BR",Dataset!$Z:$Z,"&lt;&gt;PA")</f>
        <v>0</v>
      </c>
      <c r="L101" s="84">
        <f t="shared" si="11"/>
        <v>0</v>
      </c>
      <c r="M101" s="113">
        <f>SUMIFS(Dataset!$AA:$AA,Dataset!$F:$F,'credito latam'!$D$11,Dataset!$Z:$Z,M$86,Dataset!$J:$J,"&lt;"&amp;$D101,Dataset!$J:$J,"&gt;="&amp;$C101)</f>
        <v>0</v>
      </c>
      <c r="N101" s="101">
        <f>SUMIFS(Dataset!$AA:$AA,Dataset!$F:$F,'credito latam'!$D$11,Dataset!$Z:$Z,N$86,Dataset!$J:$J,"&lt;"&amp;$D101,Dataset!$J:$J,"&gt;="&amp;$C101)</f>
        <v>0</v>
      </c>
      <c r="O101" s="101">
        <f>SUMIFS(Dataset!$AA:$AA,Dataset!$F:$F,'credito latam'!$D$11,Dataset!$Z:$Z,O$86,Dataset!$J:$J,"&lt;"&amp;$D101,Dataset!$J:$J,"&gt;="&amp;$C101)</f>
        <v>0</v>
      </c>
      <c r="P101" s="101">
        <f>SUMIFS(Dataset!$AA:$AA,Dataset!$F:$F,'credito latam'!$D$11,Dataset!$Z:$Z,P$86,Dataset!$J:$J,"&lt;"&amp;$D101,Dataset!$J:$J,"&gt;="&amp;$C101)</f>
        <v>0</v>
      </c>
      <c r="Q101" s="101">
        <f>SUMIFS(Dataset!$AA:$AA,Dataset!$F:$F,'credito latam'!$D$11,Dataset!$Z:$Z,Q$86,Dataset!$J:$J,"&lt;"&amp;$D101,Dataset!$J:$J,"&gt;="&amp;$C101)</f>
        <v>0</v>
      </c>
      <c r="R101" s="101">
        <f>SUMIFS(Dataset!$AA:$AA,Dataset!$F:$F,'credito latam'!$D$11,Dataset!$Z:$Z,R$86,Dataset!$J:$J,"&lt;"&amp;$D101,Dataset!$J:$J,"&gt;="&amp;$C101)</f>
        <v>0</v>
      </c>
      <c r="S101" s="102">
        <f>SUMIFS(Dataset!$AA:$AA,Dataset!$F:$F,'credito latam'!$D$11,Dataset!$J:$J,"&lt;"&amp;$D101,Dataset!J:J,"&gt;="&amp;$C101,Dataset!$Z:$Z,"&lt;&gt;CL",Dataset!$Z:$Z,"&lt;&gt;MX",Dataset!$Z:$Z,"&lt;&gt;CO",Dataset!$Z:$Z,"&lt;&gt;PE",Dataset!$Z:$Z,"&lt;&gt;BR",Dataset!$Z:$Z,"&lt;&gt;PA")</f>
        <v>0</v>
      </c>
      <c r="T101" s="84">
        <f t="shared" si="12"/>
        <v>0</v>
      </c>
    </row>
    <row r="102" spans="3:20" ht="27" customHeight="1" x14ac:dyDescent="0.3">
      <c r="C102" s="61">
        <v>14.5</v>
      </c>
      <c r="D102" s="81">
        <v>100</v>
      </c>
      <c r="E102" s="119">
        <f>SUMIFS(Dataset!$AJ:$AJ,Dataset!$F:$F,'credito latam'!$D$11,Dataset!$Z:$Z,E$86,Dataset!$J:$J,"&lt;"&amp;$D102,Dataset!$J:$J,"&gt;="&amp;$C102)</f>
        <v>0</v>
      </c>
      <c r="F102" s="89">
        <f>SUMIFS(Dataset!$AJ:$AJ,Dataset!$F:$F,'credito latam'!$D$11,Dataset!$Z:$Z,F$86,Dataset!$J:$J,"&lt;"&amp;$D102,Dataset!$J:$J,"&gt;="&amp;$C102)</f>
        <v>0</v>
      </c>
      <c r="G102" s="89">
        <f>SUMIFS(Dataset!$AJ:$AJ,Dataset!$F:$F,'credito latam'!$D$11,Dataset!$Z:$Z,G$86,Dataset!$J:$J,"&lt;"&amp;$D102,Dataset!$J:$J,"&gt;="&amp;$C102)</f>
        <v>0</v>
      </c>
      <c r="H102" s="89">
        <f>SUMIFS(Dataset!$AJ:$AJ,Dataset!$F:$F,'credito latam'!$D$11,Dataset!$Z:$Z,H$86,Dataset!$J:$J,"&lt;"&amp;$D102,Dataset!$J:$J,"&gt;="&amp;$C102)</f>
        <v>0</v>
      </c>
      <c r="I102" s="89">
        <f>SUMIFS(Dataset!$AJ:$AJ,Dataset!$F:$F,'credito latam'!$D$11,Dataset!$Z:$Z,I$86,Dataset!$J:$J,"&lt;"&amp;$D102,Dataset!$J:$J,"&gt;="&amp;$C102)</f>
        <v>0</v>
      </c>
      <c r="J102" s="89">
        <f>SUMIFS(Dataset!$AJ:$AJ,Dataset!$F:$F,'credito latam'!$D$11,Dataset!$Z:$Z,J$86,Dataset!$J:$J,"&lt;"&amp;$D102,Dataset!$J:$J,"&gt;="&amp;$C102)</f>
        <v>0</v>
      </c>
      <c r="K102" s="120">
        <f>SUMIFS(Dataset!$AK:$AK,Dataset!$F:$F,'credito latam'!$D$11,Dataset!$J:$J,"&lt;"&amp;$D102,Dataset!J:J,"&gt;="&amp;$C102,Dataset!$Z:$Z,"&lt;&gt;CL",Dataset!$Z:$Z,"&lt;&gt;MX",Dataset!$Z:$Z,"&lt;&gt;CO",Dataset!$Z:$Z,"&lt;&gt;PE",Dataset!$Z:$Z,"&lt;&gt;BR",Dataset!$Z:$Z,"&lt;&gt;PA")</f>
        <v>0</v>
      </c>
      <c r="L102" s="90">
        <f t="shared" si="11"/>
        <v>0</v>
      </c>
      <c r="M102" s="119">
        <f>SUMIFS(Dataset!$AA:$AA,Dataset!$F:$F,'credito latam'!$D$11,Dataset!$Z:$Z,M$86,Dataset!$J:$J,"&lt;"&amp;$D102,Dataset!$J:$J,"&gt;="&amp;$C102)</f>
        <v>0</v>
      </c>
      <c r="N102" s="89">
        <f>SUMIFS(Dataset!$AA:$AA,Dataset!$F:$F,'credito latam'!$D$11,Dataset!$Z:$Z,N$86,Dataset!$J:$J,"&lt;"&amp;$D102,Dataset!$J:$J,"&gt;="&amp;$C102)</f>
        <v>0</v>
      </c>
      <c r="O102" s="89">
        <f>SUMIFS(Dataset!$AA:$AA,Dataset!$F:$F,'credito latam'!$D$11,Dataset!$Z:$Z,O$86,Dataset!$J:$J,"&lt;"&amp;$D102,Dataset!$J:$J,"&gt;="&amp;$C102)</f>
        <v>0</v>
      </c>
      <c r="P102" s="89">
        <f>SUMIFS(Dataset!$AA:$AA,Dataset!$F:$F,'credito latam'!$D$11,Dataset!$Z:$Z,P$86,Dataset!$J:$J,"&lt;"&amp;$D102,Dataset!$J:$J,"&gt;="&amp;$C102)</f>
        <v>0</v>
      </c>
      <c r="Q102" s="89">
        <f>SUMIFS(Dataset!$AA:$AA,Dataset!$F:$F,'credito latam'!$D$11,Dataset!$Z:$Z,Q$86,Dataset!$J:$J,"&lt;"&amp;$D102,Dataset!$J:$J,"&gt;="&amp;$C102)</f>
        <v>0</v>
      </c>
      <c r="R102" s="89">
        <f>SUMIFS(Dataset!$AA:$AA,Dataset!$F:$F,'credito latam'!$D$11,Dataset!$Z:$Z,R$86,Dataset!$J:$J,"&lt;"&amp;$D102,Dataset!$J:$J,"&gt;="&amp;$C102)</f>
        <v>0</v>
      </c>
      <c r="S102" s="120">
        <f>SUMIFS(Dataset!$AA:$AA,Dataset!$F:$F,'credito latam'!$D$11,Dataset!$J:$J,"&lt;"&amp;$D102,Dataset!J:J,"&gt;="&amp;$C102,Dataset!$Z:$Z,"&lt;&gt;CL",Dataset!$Z:$Z,"&lt;&gt;MX",Dataset!$Z:$Z,"&lt;&gt;CO",Dataset!$Z:$Z,"&lt;&gt;PE",Dataset!$Z:$Z,"&lt;&gt;BR",Dataset!$Z:$Z,"&lt;&gt;PA")</f>
        <v>0</v>
      </c>
      <c r="T102" s="90">
        <f t="shared" si="12"/>
        <v>0</v>
      </c>
    </row>
    <row r="103" spans="3:20" ht="27" customHeight="1" x14ac:dyDescent="0.3">
      <c r="C103" s="183"/>
      <c r="D103" s="184"/>
      <c r="E103" s="75">
        <f t="shared" ref="E103:K103" si="13">SUM(E87:E102)</f>
        <v>0</v>
      </c>
      <c r="F103" s="75">
        <f t="shared" si="13"/>
        <v>0</v>
      </c>
      <c r="G103" s="75">
        <f t="shared" si="13"/>
        <v>0</v>
      </c>
      <c r="H103" s="75">
        <f t="shared" si="13"/>
        <v>0</v>
      </c>
      <c r="I103" s="75">
        <f t="shared" si="13"/>
        <v>0</v>
      </c>
      <c r="J103" s="75">
        <f t="shared" si="13"/>
        <v>0</v>
      </c>
      <c r="K103" s="123">
        <f t="shared" si="13"/>
        <v>0</v>
      </c>
      <c r="L103" s="84">
        <f t="shared" si="11"/>
        <v>0</v>
      </c>
      <c r="M103" s="75">
        <f t="shared" ref="M103:S103" si="14">SUM(M87:M102)</f>
        <v>0</v>
      </c>
      <c r="N103" s="75">
        <f t="shared" si="14"/>
        <v>0</v>
      </c>
      <c r="O103" s="75">
        <f t="shared" si="14"/>
        <v>0</v>
      </c>
      <c r="P103" s="75">
        <f t="shared" si="14"/>
        <v>0</v>
      </c>
      <c r="Q103" s="75">
        <f t="shared" si="14"/>
        <v>0</v>
      </c>
      <c r="R103" s="75">
        <f t="shared" si="14"/>
        <v>0</v>
      </c>
      <c r="S103" s="123">
        <f t="shared" si="14"/>
        <v>0</v>
      </c>
      <c r="T103" s="84">
        <f t="shared" si="12"/>
        <v>0</v>
      </c>
    </row>
    <row r="106" spans="3:20" ht="44.25" customHeight="1" x14ac:dyDescent="0.3"/>
    <row r="114" ht="48" customHeight="1" x14ac:dyDescent="0.3"/>
    <row r="130" spans="3:34" ht="27" customHeight="1" x14ac:dyDescent="0.3"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</row>
    <row r="131" spans="3:34" ht="45" customHeight="1" x14ac:dyDescent="0.4">
      <c r="C131" s="107" t="s">
        <v>74</v>
      </c>
      <c r="D131" s="42"/>
      <c r="E131" s="42"/>
    </row>
  </sheetData>
  <mergeCells count="19">
    <mergeCell ref="AA42:AG42"/>
    <mergeCell ref="E63:Q63"/>
    <mergeCell ref="S63:AE63"/>
    <mergeCell ref="C3:AH3"/>
    <mergeCell ref="C4:AH4"/>
    <mergeCell ref="C14:I14"/>
    <mergeCell ref="K14:R14"/>
    <mergeCell ref="C103:D103"/>
    <mergeCell ref="C61:D61"/>
    <mergeCell ref="C86:D86"/>
    <mergeCell ref="C44:D44"/>
    <mergeCell ref="C65:D65"/>
    <mergeCell ref="C82:D82"/>
    <mergeCell ref="M84:S84"/>
    <mergeCell ref="E42:K42"/>
    <mergeCell ref="E84:K84"/>
    <mergeCell ref="C29:H29"/>
    <mergeCell ref="K29:R29"/>
    <mergeCell ref="M42:Y42"/>
  </mergeCells>
  <conditionalFormatting sqref="E45:K60">
    <cfRule type="colorScale" priority="947">
      <colorScale>
        <cfvo type="min"/>
        <cfvo type="max"/>
        <color theme="0"/>
        <color theme="4" tint="0.39997558519241921"/>
      </colorScale>
    </cfRule>
  </conditionalFormatting>
  <conditionalFormatting sqref="AA45:AG6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M45:R6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S45:T6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U45:V6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W45:Y6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E66:Q81">
    <cfRule type="colorScale" priority="5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S66:AE81">
    <cfRule type="colorScale" priority="4">
      <colorScale>
        <cfvo type="min"/>
        <cfvo type="percentile" val="50"/>
        <cfvo type="max"/>
        <color theme="6" tint="0.59999389629810485"/>
        <color theme="0"/>
        <color theme="5" tint="0.59999389629810485"/>
      </colorScale>
    </cfRule>
  </conditionalFormatting>
  <conditionalFormatting sqref="E87:K102">
    <cfRule type="colorScale" priority="3">
      <colorScale>
        <cfvo type="min"/>
        <cfvo type="percentile" val="50"/>
        <cfvo type="max"/>
        <color theme="6" tint="0.59999389629810485"/>
        <color theme="0"/>
        <color theme="4" tint="0.39997558519241921"/>
      </colorScale>
    </cfRule>
  </conditionalFormatting>
  <conditionalFormatting sqref="M87:S102">
    <cfRule type="colorScale" priority="1">
      <colorScale>
        <cfvo type="min"/>
        <cfvo type="percentile" val="50"/>
        <cfvo type="max"/>
        <color theme="6" tint="0.59999389629810485"/>
        <color theme="0"/>
        <color theme="4" tint="0.39997558519241921"/>
      </colorScale>
    </cfRule>
  </conditionalFormatting>
  <printOptions horizontalCentered="1"/>
  <pageMargins left="0" right="0" top="0" bottom="0" header="0" footer="0"/>
  <pageSetup scale="13" orientation="landscape" r:id="rId1"/>
  <ignoredErrors>
    <ignoredError sqref="X45:X60 P66:P81 AD66:AD81 R82 Z6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0.249977111117893"/>
    <pageSetUpPr fitToPage="1"/>
  </sheetPr>
  <dimension ref="C3:AF107"/>
  <sheetViews>
    <sheetView showGridLines="0" showZeros="0" tabSelected="1" view="pageBreakPreview" topLeftCell="A8" zoomScale="25" zoomScaleNormal="25" zoomScaleSheetLayoutView="25" zoomScalePageLayoutView="10" workbookViewId="0">
      <selection activeCell="K15" sqref="K15"/>
    </sheetView>
  </sheetViews>
  <sheetFormatPr baseColWidth="10" defaultRowHeight="27" customHeight="1" x14ac:dyDescent="0.3"/>
  <cols>
    <col min="1" max="1" width="11" style="22" customWidth="1"/>
    <col min="2" max="2" width="9.75" style="22" customWidth="1"/>
    <col min="3" max="3" width="73.5" style="22" customWidth="1"/>
    <col min="4" max="4" width="81.125" style="22" customWidth="1"/>
    <col min="5" max="5" width="59" style="22" customWidth="1"/>
    <col min="6" max="6" width="39.625" style="22" customWidth="1"/>
    <col min="7" max="7" width="40.875" style="22" customWidth="1"/>
    <col min="8" max="8" width="35" style="22" customWidth="1"/>
    <col min="9" max="9" width="34.25" style="22" customWidth="1"/>
    <col min="10" max="10" width="13.875" style="22" customWidth="1"/>
    <col min="11" max="11" width="42.375" style="22" customWidth="1"/>
    <col min="12" max="12" width="116.625" style="22" customWidth="1"/>
    <col min="13" max="13" width="39.625" style="22" customWidth="1"/>
    <col min="14" max="14" width="28.75" style="22" customWidth="1"/>
    <col min="15" max="15" width="27.875" style="22" customWidth="1"/>
    <col min="16" max="16" width="44.75" style="22" customWidth="1"/>
    <col min="17" max="17" width="19.625" style="22" customWidth="1"/>
    <col min="18" max="18" width="25.25" style="22" customWidth="1"/>
    <col min="19" max="19" width="29" style="22" customWidth="1"/>
    <col min="20" max="20" width="30.375" style="22" customWidth="1"/>
    <col min="21" max="21" width="30.25" style="22" customWidth="1"/>
    <col min="22" max="22" width="32.875" style="22" customWidth="1"/>
    <col min="23" max="23" width="25.125" style="22" customWidth="1"/>
    <col min="24" max="24" width="30.625" style="22" customWidth="1"/>
    <col min="25" max="25" width="32.625" style="22" customWidth="1"/>
    <col min="26" max="26" width="31.75" style="22" customWidth="1"/>
    <col min="27" max="27" width="41.5" style="22" customWidth="1"/>
    <col min="28" max="28" width="38.625" style="22" customWidth="1"/>
    <col min="29" max="29" width="42" style="22" customWidth="1"/>
    <col min="30" max="30" width="38.5" style="22" customWidth="1"/>
    <col min="31" max="31" width="37.625" style="22" customWidth="1"/>
    <col min="32" max="32" width="40.25" style="22" customWidth="1"/>
    <col min="33" max="16384" width="11" style="22"/>
  </cols>
  <sheetData>
    <row r="3" spans="3:32" ht="127.5" customHeight="1" x14ac:dyDescent="0.3">
      <c r="C3" s="190" t="s">
        <v>264</v>
      </c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3:32" ht="99" customHeight="1" x14ac:dyDescent="0.3">
      <c r="C4" s="191" t="str">
        <f>TEXT(Historical!H2," mmmm dd, aaaa")</f>
        <v xml:space="preserve"> November 13, Monday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</row>
    <row r="6" spans="3:32" ht="27" customHeight="1" x14ac:dyDescent="0.3">
      <c r="L6" s="126"/>
    </row>
    <row r="10" spans="3:32" ht="27" customHeight="1" x14ac:dyDescent="0.3">
      <c r="F10" s="45"/>
    </row>
    <row r="11" spans="3:32" ht="90" customHeight="1" x14ac:dyDescent="1.1000000000000001">
      <c r="D11" s="127" t="s">
        <v>116</v>
      </c>
      <c r="AC11" s="128"/>
      <c r="AF11" s="128"/>
    </row>
    <row r="12" spans="3:32" ht="27" customHeight="1" x14ac:dyDescent="0.3">
      <c r="O12" s="50"/>
      <c r="P12" s="50"/>
      <c r="Q12" s="50"/>
      <c r="R12" s="50"/>
      <c r="S12" s="50"/>
    </row>
    <row r="13" spans="3:32" ht="51" customHeight="1" x14ac:dyDescent="0.3">
      <c r="J13" s="50"/>
    </row>
    <row r="14" spans="3:32" ht="95.25" customHeight="1" x14ac:dyDescent="0.3">
      <c r="C14" s="186" t="s">
        <v>112</v>
      </c>
      <c r="D14" s="186"/>
      <c r="E14" s="186"/>
      <c r="F14" s="186"/>
      <c r="G14" s="186"/>
      <c r="H14" s="186"/>
      <c r="I14" s="186"/>
      <c r="K14" s="186" t="s">
        <v>268</v>
      </c>
      <c r="L14" s="186"/>
      <c r="M14" s="186"/>
      <c r="N14" s="186"/>
      <c r="O14" s="186"/>
      <c r="P14" s="186"/>
      <c r="R14" s="186" t="s">
        <v>272</v>
      </c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3:32" ht="35.25" customHeight="1" x14ac:dyDescent="0.3">
      <c r="R15" s="69"/>
    </row>
    <row r="16" spans="3:32" ht="62.25" customHeight="1" x14ac:dyDescent="0.8">
      <c r="C16" s="129"/>
      <c r="D16" s="130" t="s">
        <v>70</v>
      </c>
      <c r="E16" s="130" t="s">
        <v>75</v>
      </c>
      <c r="F16" s="130" t="s">
        <v>5</v>
      </c>
      <c r="G16" s="130" t="s">
        <v>168</v>
      </c>
      <c r="H16" s="130" t="s">
        <v>6</v>
      </c>
      <c r="I16" s="130" t="s">
        <v>21</v>
      </c>
      <c r="K16" s="130" t="s">
        <v>85</v>
      </c>
      <c r="L16" s="130" t="s">
        <v>86</v>
      </c>
      <c r="M16" s="130" t="s">
        <v>70</v>
      </c>
      <c r="N16" s="130" t="s">
        <v>6</v>
      </c>
      <c r="O16" s="130" t="s">
        <v>21</v>
      </c>
      <c r="P16" s="130" t="s">
        <v>72</v>
      </c>
      <c r="R16" s="189" t="s">
        <v>72</v>
      </c>
      <c r="S16" s="189"/>
      <c r="T16" s="130" t="s">
        <v>76</v>
      </c>
      <c r="U16" s="130" t="s">
        <v>77</v>
      </c>
      <c r="V16" s="130" t="s">
        <v>90</v>
      </c>
      <c r="W16" s="130" t="s">
        <v>78</v>
      </c>
      <c r="X16" s="130" t="s">
        <v>79</v>
      </c>
      <c r="Y16" s="130" t="s">
        <v>120</v>
      </c>
      <c r="Z16" s="130" t="s">
        <v>80</v>
      </c>
      <c r="AA16" s="130" t="s">
        <v>81</v>
      </c>
      <c r="AB16" s="130" t="s">
        <v>82</v>
      </c>
      <c r="AC16" s="130" t="s">
        <v>83</v>
      </c>
      <c r="AD16" s="130" t="s">
        <v>84</v>
      </c>
      <c r="AE16" s="130" t="s">
        <v>168</v>
      </c>
      <c r="AF16" s="130" t="s">
        <v>169</v>
      </c>
    </row>
    <row r="17" spans="3:32" ht="62.25" customHeight="1" x14ac:dyDescent="0.8">
      <c r="C17" s="131" t="s">
        <v>95</v>
      </c>
      <c r="D17" s="132">
        <f>SUMIFS(Dataset!AK:AK,Dataset!F:F,'renta fija'!D11,Dataset!AH:AH,"deposito", Dataset!T:T,"$")</f>
        <v>0</v>
      </c>
      <c r="E17" s="133">
        <f>SUMIFS(Dataset!V:V,Dataset!F:F,'renta fija'!D11,Dataset!AH:AH,"deposito", Dataset!T:T,"$")/1000000</f>
        <v>0</v>
      </c>
      <c r="F17" s="134">
        <f>SUMIFS(Dataset!H:H,Dataset!F:F,'renta fija'!D11,Dataset!AH:AH,"deposito", Dataset!T:T,"$")*365</f>
        <v>0</v>
      </c>
      <c r="G17" s="132">
        <f>SUMIFS(Dataset!AQ:AQ,Dataset!F:F,'renta fija'!D11,Dataset!AH:AH,"deposito", Dataset!T:T,"$")</f>
        <v>0</v>
      </c>
      <c r="H17" s="132">
        <f>SUMIFS(Dataset!I:I,Dataset!F:F,'renta fija'!D11,Dataset!AH:AH,"deposito", Dataset!T:T,"$")</f>
        <v>0</v>
      </c>
      <c r="I17" s="132">
        <f>SUMIFS(Dataset!AA:AA,Dataset!F:F,'renta fija'!D11,Dataset!AH:AH,"deposito", Dataset!T:T,"$")</f>
        <v>0</v>
      </c>
      <c r="K17" s="135">
        <v>1</v>
      </c>
      <c r="L17" s="132" t="str">
        <f>IFERROR(INDEX(Dataset!X:X,MATCH(_xlfn.AGGREGATE(14,6,Dataset!I:I/(Dataset!F:F=$D$11),K17),Dataset!I:I,0),1),"-")</f>
        <v>-</v>
      </c>
      <c r="M17" s="132" t="str">
        <f>IFERROR(INDEX(Dataset!AK:AK,MATCH(_xlfn.AGGREGATE(14,6,Dataset!I:I/(Dataset!F:F=$D$11),K17),Dataset!I:I,0),1),"-")</f>
        <v>-</v>
      </c>
      <c r="N17" s="132" t="str">
        <f>IFERROR(INDEX(Dataset!I:I,MATCH(_xlfn.AGGREGATE(14,6,Dataset!I:I/(Dataset!F:F=$D$11),K17),Dataset!I:I,0),1),"-")</f>
        <v>-</v>
      </c>
      <c r="O17" s="132" t="str">
        <f>IFERROR(INDEX(Dataset!AA:AA,MATCH(_xlfn.AGGREGATE(14,6,Dataset!I:I/(Dataset!F:F=$D$11),K17),Dataset!I:I,0),1),"-")</f>
        <v>-</v>
      </c>
      <c r="P17" s="134" t="str">
        <f>IFERROR(INDEX(Dataset!J:J,MATCH(_xlfn.AGGREGATE(14,6,Dataset!I:I/(Dataset!F:F=$D$11),K17),Dataset!I:I,0),1),"-")</f>
        <v>-</v>
      </c>
      <c r="R17" s="136">
        <v>0</v>
      </c>
      <c r="S17" s="137">
        <v>15</v>
      </c>
      <c r="T17" s="138">
        <f>SUMIFS(Dataset!AJ:AJ,Dataset!F:F,'renta fija'!$D$11,Dataset!AH:AH,"deposito",Dataset!T:T,"$",Dataset!J:J,"&lt;"&amp;$S17/365,Dataset!J:J,"&gt;="&amp;$R17/365)</f>
        <v>0</v>
      </c>
      <c r="U17" s="138">
        <f>SUMIFS(Dataset!AJ:AJ,Dataset!F:F,'renta fija'!$D$11,Dataset!AH:AH,"deposito",Dataset!T:T,"uf",Dataset!J:J,"&lt;"&amp;$S17/365,Dataset!J:J,"&gt;="&amp;$R17/365)</f>
        <v>0</v>
      </c>
      <c r="V17" s="138">
        <f>SUMIFS(Dataset!AJ:AJ,Dataset!F:F,'renta fija'!$D$11,Dataset!AH:AH,"deposito",Dataset!T:T,"us$",Dataset!J:J,"&lt;"&amp;$S17/365,Dataset!J:J,"&gt;="&amp;$R17/365)</f>
        <v>0</v>
      </c>
      <c r="W17" s="138">
        <f>SUMIFS(Dataset!AJ:AJ,Dataset!F:F,'renta fija'!$D$11,Dataset!AH:AH,"bono de gobierno",Dataset!T:T,"$",Dataset!J:J,"&lt;"&amp;$S17/365,Dataset!J:J,"&gt;="&amp;$R17/365)</f>
        <v>0</v>
      </c>
      <c r="X17" s="138">
        <f>SUMIFS(Dataset!AJ:AJ,Dataset!F:F,'renta fija'!$D$11,Dataset!AH:AH,"bono de gobierno",Dataset!T:T,"UF",Dataset!J:J,"&lt;"&amp;$S17/365,Dataset!J:J,"&gt;="&amp;$R17/365)</f>
        <v>0</v>
      </c>
      <c r="Y17" s="138">
        <f>SUMIFS(Dataset!AJ:AJ,Dataset!F:F,'renta fija'!$D$11,Dataset!AH:AH,"bono de gobierno",Dataset!T:T,"US$",Dataset!J:J,"&lt;"&amp;$S17/365,Dataset!J:J,"&gt;="&amp;$R17/365)</f>
        <v>0</v>
      </c>
      <c r="Z17" s="138">
        <f>SUMIFS(Dataset!AJ:AJ,Dataset!F:F,'renta fija'!$D$11,Dataset!AH:AH,"bono corporativo",Dataset!T:T,"$",Dataset!J:J,"&lt;"&amp;$S17/365,Dataset!J:J,"&gt;="&amp;$R17/365)</f>
        <v>0</v>
      </c>
      <c r="AA17" s="138">
        <f>SUMIFS(Dataset!AJ:AJ,Dataset!F:F,'renta fija'!$D$11,Dataset!AH:AH,"bono corporativo",Dataset!T:T,"UF",Dataset!J:J,"&lt;"&amp;$S17/365,Dataset!J:J,"&gt;="&amp;$R17/365)</f>
        <v>0</v>
      </c>
      <c r="AB17" s="138">
        <f>SUMIFS(Dataset!AJ:AJ,Dataset!F:F,'renta fija'!$D$11,Dataset!AH:AH,"bono corporativo",Dataset!T:T,"US$",Dataset!J:J,"&lt;"&amp;$S17/365,Dataset!J:J,"&gt;="&amp;$R17/365)</f>
        <v>0</v>
      </c>
      <c r="AC17" s="138">
        <f>SUMIFS(Dataset!AJ:AJ,Dataset!F:F,'renta fija'!$D$11,Dataset!AH:AH,"&lt;&gt;letra hipotecaria",Dataset!AH:AH,"&lt;&gt;bono corporativo",Dataset!AH:AH,"&lt;&gt;deposito",Dataset!AH:AH,"&lt;&gt;bono de gobierno",Dataset!J:J,"&lt;"&amp;$S17/365,Dataset!J:J,"&gt;="&amp;$R17/365)</f>
        <v>0</v>
      </c>
      <c r="AD17" s="139">
        <f t="shared" ref="AD17:AD44" si="0">SUM(T17:AC17)</f>
        <v>0</v>
      </c>
      <c r="AE17" s="139">
        <f>SUMIFS(Dataset!AQ:AQ,Dataset!F:F,'renta fija'!$D$11,Dataset!J:J,"&lt;"&amp;$S17/365,Dataset!J:J,"&gt;="&amp;$R17/365)</f>
        <v>0</v>
      </c>
      <c r="AF17" s="140">
        <f>IFERROR(SUMIFS(Dataset!AQ:AQ,Dataset!F:F,'renta fija'!$D$11,Dataset!J:J,"&lt;"&amp;$S17/365,Dataset!J:J,"&gt;="&amp;$R17/365)/AD17,0)</f>
        <v>0</v>
      </c>
    </row>
    <row r="18" spans="3:32" ht="62.25" customHeight="1" x14ac:dyDescent="0.8">
      <c r="C18" s="131" t="s">
        <v>64</v>
      </c>
      <c r="D18" s="132">
        <f>SUMIFS(Dataset!AK:AK,Dataset!F:F,'renta fija'!D11,Dataset!AH:AH,"deposito", Dataset!T:T,"uf")</f>
        <v>0</v>
      </c>
      <c r="E18" s="133">
        <f>SUMIFS(Dataset!V:V,Dataset!F:F,'renta fija'!D11,Dataset!AH:AH,"deposito", Dataset!T:T,"uf")/1000000</f>
        <v>0</v>
      </c>
      <c r="F18" s="134">
        <f>SUMIFS(Dataset!H:H,Dataset!F:F,'renta fija'!D11,Dataset!AH:AH,"deposito", Dataset!T:T,"uf")*265</f>
        <v>0</v>
      </c>
      <c r="G18" s="132">
        <f>SUMIFS(Dataset!AQ:AQ,Dataset!F:F,'renta fija'!D11,Dataset!AH:AH,"deposito", Dataset!T:T,"uf")</f>
        <v>0</v>
      </c>
      <c r="H18" s="132">
        <f>SUMIFS(Dataset!I:I,Dataset!F:F,'renta fija'!D11,Dataset!AH:AH,"deposito", Dataset!T:T,"uf")</f>
        <v>0</v>
      </c>
      <c r="I18" s="132">
        <f>SUMIFS(Dataset!AA:AA,Dataset!F:F,'renta fija'!D11,Dataset!AH:AH,"deposito", Dataset!T:T,"uf")</f>
        <v>0</v>
      </c>
      <c r="K18" s="135">
        <v>2</v>
      </c>
      <c r="L18" s="132" t="str">
        <f>IFERROR(INDEX(Dataset!X:X,MATCH(_xlfn.AGGREGATE(14,6,Dataset!I:I/(Dataset!F:F=$D$11),K18),Dataset!I:I,0),1),"-")</f>
        <v>-</v>
      </c>
      <c r="M18" s="132" t="str">
        <f>IFERROR(INDEX(Dataset!AK:AK,MATCH(_xlfn.AGGREGATE(14,6,Dataset!I:I/(Dataset!F:F=$D$11),K18),Dataset!I:I,0),1),"-")</f>
        <v>-</v>
      </c>
      <c r="N18" s="132" t="str">
        <f>IFERROR(INDEX(Dataset!I:I,MATCH(_xlfn.AGGREGATE(14,6,Dataset!I:I/(Dataset!F:F=$D$11),K18),Dataset!I:I,0),1),"-")</f>
        <v>-</v>
      </c>
      <c r="O18" s="132" t="str">
        <f>IFERROR(INDEX(Dataset!AA:AA,MATCH(_xlfn.AGGREGATE(14,6,Dataset!I:I/(Dataset!F:F=$D$11),K18),Dataset!I:I,0),1),"-")</f>
        <v>-</v>
      </c>
      <c r="P18" s="134" t="str">
        <f>IFERROR(INDEX(Dataset!J:J,MATCH(_xlfn.AGGREGATE(14,6,Dataset!I:I/(Dataset!F:F=$D$11),K18),Dataset!I:I,0),1),"-")</f>
        <v>-</v>
      </c>
      <c r="R18" s="135">
        <v>15</v>
      </c>
      <c r="S18" s="141">
        <v>30</v>
      </c>
      <c r="T18" s="138">
        <f>SUMIFS(Dataset!AJ:AJ,Dataset!F:F,'renta fija'!$D$11,Dataset!AH:AH,"deposito",Dataset!T:T,"$",Dataset!J:J,"&lt;"&amp;$S18/365,Dataset!J:J,"&gt;="&amp;$R18/365)</f>
        <v>0</v>
      </c>
      <c r="U18" s="138">
        <f>SUMIFS(Dataset!AJ:AJ,Dataset!F:F,'renta fija'!$D$11,Dataset!AH:AH,"deposito",Dataset!T:T,"uf",Dataset!J:J,"&lt;"&amp;$S18/365,Dataset!J:J,"&gt;="&amp;$R18/365)</f>
        <v>0</v>
      </c>
      <c r="V18" s="138">
        <f>SUMIFS(Dataset!AJ:AJ,Dataset!F:F,'renta fija'!$D$11,Dataset!AH:AH,"deposito",Dataset!T:T,"us$",Dataset!J:J,"&lt;"&amp;$S18/365,Dataset!J:J,"&gt;="&amp;$R18/365)</f>
        <v>0</v>
      </c>
      <c r="W18" s="138">
        <f>SUMIFS(Dataset!AJ:AJ,Dataset!F:F,'renta fija'!$D$11,Dataset!AH:AH,"bono de gobierno",Dataset!T:T,"$",Dataset!J:J,"&lt;"&amp;$S18/365,Dataset!J:J,"&gt;="&amp;$R18/365)</f>
        <v>0</v>
      </c>
      <c r="X18" s="138">
        <f>SUMIFS(Dataset!AJ:AJ,Dataset!F:F,'renta fija'!$D$11,Dataset!AH:AH,"bono de gobierno",Dataset!T:T,"UF",Dataset!J:J,"&lt;"&amp;$S18/365,Dataset!J:J,"&gt;="&amp;$R18/365)</f>
        <v>0</v>
      </c>
      <c r="Y18" s="138">
        <f>SUMIFS(Dataset!AJ:AJ,Dataset!F:F,'renta fija'!$D$11,Dataset!AH:AH,"bono de gobierno",Dataset!T:T,"US$",Dataset!J:J,"&lt;"&amp;$S18/365,Dataset!J:J,"&gt;="&amp;$R18/365)</f>
        <v>0</v>
      </c>
      <c r="Z18" s="138">
        <f>SUMIFS(Dataset!AJ:AJ,Dataset!F:F,'renta fija'!$D$11,Dataset!AH:AH,"bono corporativo",Dataset!T:T,"$",Dataset!J:J,"&lt;"&amp;$S18/365,Dataset!J:J,"&gt;="&amp;$R18/365)</f>
        <v>0</v>
      </c>
      <c r="AA18" s="138">
        <f>SUMIFS(Dataset!AJ:AJ,Dataset!F:F,'renta fija'!$D$11,Dataset!AH:AH,"bono corporativo",Dataset!T:T,"UF",Dataset!J:J,"&lt;"&amp;$S18/365,Dataset!J:J,"&gt;="&amp;$R18/365)</f>
        <v>0</v>
      </c>
      <c r="AB18" s="138">
        <f>SUMIFS(Dataset!AJ:AJ,Dataset!F:F,'renta fija'!$D$11,Dataset!AH:AH,"bono corporativo",Dataset!T:T,"US$",Dataset!J:J,"&lt;"&amp;$S18/365,Dataset!J:J,"&gt;="&amp;$R18/365)</f>
        <v>0</v>
      </c>
      <c r="AC18" s="138">
        <f>SUMIFS(Dataset!AJ:AJ,Dataset!F:F,'renta fija'!$D$11,Dataset!AH:AH,"&lt;&gt;letra hipotecaria",Dataset!AH:AH,"&lt;&gt;bono corporativo",Dataset!AH:AH,"&lt;&gt;deposito",Dataset!AH:AH,"&lt;&gt;bono de gobierno",Dataset!J:J,"&lt;"&amp;$S18/365,Dataset!J:J,"&gt;="&amp;$R18/365)</f>
        <v>0</v>
      </c>
      <c r="AD18" s="142">
        <f t="shared" si="0"/>
        <v>0</v>
      </c>
      <c r="AE18" s="142">
        <f>SUMIFS(Dataset!AQ:AQ,Dataset!F:F,'renta fija'!$D$11,Dataset!J:J,"&lt;"&amp;$S18/365,Dataset!J:J,"&gt;="&amp;$R18/365)</f>
        <v>0</v>
      </c>
      <c r="AF18" s="143">
        <f>IFERROR(SUMIFS(Dataset!AQ:AQ,Dataset!F:F,'renta fija'!$D$11,Dataset!J:J,"&lt;"&amp;$S18/365,Dataset!J:J,"&gt;="&amp;$R18/365)/AD18,0)</f>
        <v>0</v>
      </c>
    </row>
    <row r="19" spans="3:32" ht="62.25" customHeight="1" x14ac:dyDescent="0.8">
      <c r="C19" s="131" t="s">
        <v>117</v>
      </c>
      <c r="D19" s="132">
        <f>SUMIFS(Dataset!AK:AK,Dataset!F:F,'renta fija'!D11,Dataset!AH:AH,"deposito", Dataset!T:T,"us$")</f>
        <v>0</v>
      </c>
      <c r="E19" s="133">
        <f>SUMIFS(Dataset!V:V,Dataset!F:F,'renta fija'!D11,Dataset!AH:AH,"deposito", Dataset!T:T,"us$")/1000000</f>
        <v>0</v>
      </c>
      <c r="F19" s="134">
        <f>SUMIFS(Dataset!H:H,Dataset!F:F,'renta fija'!D11,Dataset!AH:AH,"deposito", Dataset!T:T,"us$")*365</f>
        <v>0</v>
      </c>
      <c r="G19" s="132">
        <f>SUMIFS(Dataset!AQ:AQ,Dataset!F:F,'renta fija'!D11,Dataset!AH:AH,"deposito", Dataset!T:T,"us$")</f>
        <v>0</v>
      </c>
      <c r="H19" s="132">
        <f>SUMIFS(Dataset!I:I,Dataset!F:F,'renta fija'!D11,Dataset!AH:AH,"deposito", Dataset!T:T,"us$")</f>
        <v>0</v>
      </c>
      <c r="I19" s="132">
        <f>SUMIFS(Dataset!AA:AA,Dataset!F:F,'renta fija'!D11,Dataset!AH:AH,"deposito", Dataset!T:T,"us$")</f>
        <v>0</v>
      </c>
      <c r="K19" s="135">
        <v>3</v>
      </c>
      <c r="L19" s="132" t="str">
        <f>IFERROR(INDEX(Dataset!X:X,MATCH(_xlfn.AGGREGATE(14,6,Dataset!I:I/(Dataset!F:F=$D$11),K19),Dataset!I:I,0),1),"-")</f>
        <v>-</v>
      </c>
      <c r="M19" s="132" t="str">
        <f>IFERROR(INDEX(Dataset!AK:AK,MATCH(_xlfn.AGGREGATE(14,6,Dataset!I:I/(Dataset!F:F=$D$11),K19),Dataset!I:I,0),1),"-")</f>
        <v>-</v>
      </c>
      <c r="N19" s="132" t="str">
        <f>IFERROR(INDEX(Dataset!I:I,MATCH(_xlfn.AGGREGATE(14,6,Dataset!I:I/(Dataset!F:F=$D$11),K19),Dataset!I:I,0),1),"-")</f>
        <v>-</v>
      </c>
      <c r="O19" s="132" t="str">
        <f>IFERROR(INDEX(Dataset!AA:AA,MATCH(_xlfn.AGGREGATE(14,6,Dataset!I:I/(Dataset!F:F=$D$11),K19),Dataset!I:I,0),1),"-")</f>
        <v>-</v>
      </c>
      <c r="P19" s="134" t="str">
        <f>IFERROR(INDEX(Dataset!J:J,MATCH(_xlfn.AGGREGATE(14,6,Dataset!I:I/(Dataset!F:F=$D$11),K19),Dataset!I:I,0),1),"-")</f>
        <v>-</v>
      </c>
      <c r="R19" s="135">
        <v>30</v>
      </c>
      <c r="S19" s="141">
        <v>45</v>
      </c>
      <c r="T19" s="138">
        <f>SUMIFS(Dataset!AJ:AJ,Dataset!F:F,'renta fija'!$D$11,Dataset!AH:AH,"deposito",Dataset!T:T,"$",Dataset!J:J,"&lt;"&amp;$S19/365,Dataset!J:J,"&gt;="&amp;$R19/365)</f>
        <v>0</v>
      </c>
      <c r="U19" s="138">
        <f>SUMIFS(Dataset!AJ:AJ,Dataset!F:F,'renta fija'!$D$11,Dataset!AH:AH,"deposito",Dataset!T:T,"uf",Dataset!J:J,"&lt;"&amp;$S19/365,Dataset!J:J,"&gt;="&amp;$R19/365)</f>
        <v>0</v>
      </c>
      <c r="V19" s="138">
        <f>SUMIFS(Dataset!AJ:AJ,Dataset!F:F,'renta fija'!$D$11,Dataset!AH:AH,"deposito",Dataset!T:T,"us$",Dataset!J:J,"&lt;"&amp;$S19/365,Dataset!J:J,"&gt;="&amp;$R19/365)</f>
        <v>0</v>
      </c>
      <c r="W19" s="138">
        <f>SUMIFS(Dataset!AJ:AJ,Dataset!F:F,'renta fija'!$D$11,Dataset!AH:AH,"bono de gobierno",Dataset!T:T,"$",Dataset!J:J,"&lt;"&amp;$S19/365,Dataset!J:J,"&gt;="&amp;$R19/365)</f>
        <v>0</v>
      </c>
      <c r="X19" s="138">
        <f>SUMIFS(Dataset!AJ:AJ,Dataset!F:F,'renta fija'!$D$11,Dataset!AH:AH,"bono de gobierno",Dataset!T:T,"UF",Dataset!J:J,"&lt;"&amp;$S19/365,Dataset!J:J,"&gt;="&amp;$R19/365)</f>
        <v>0</v>
      </c>
      <c r="Y19" s="138">
        <f>SUMIFS(Dataset!AJ:AJ,Dataset!F:F,'renta fija'!$D$11,Dataset!AH:AH,"bono de gobierno",Dataset!T:T,"US$",Dataset!J:J,"&lt;"&amp;$S19/365,Dataset!J:J,"&gt;="&amp;$R19/365)</f>
        <v>0</v>
      </c>
      <c r="Z19" s="138">
        <f>SUMIFS(Dataset!AJ:AJ,Dataset!F:F,'renta fija'!$D$11,Dataset!AH:AH,"bono corporativo",Dataset!T:T,"$",Dataset!J:J,"&lt;"&amp;$S19/365,Dataset!J:J,"&gt;="&amp;$R19/365)</f>
        <v>0</v>
      </c>
      <c r="AA19" s="138">
        <f>SUMIFS(Dataset!AJ:AJ,Dataset!F:F,'renta fija'!$D$11,Dataset!AH:AH,"bono corporativo",Dataset!T:T,"UF",Dataset!J:J,"&lt;"&amp;$S19/365,Dataset!J:J,"&gt;="&amp;$R19/365)</f>
        <v>0</v>
      </c>
      <c r="AB19" s="138">
        <f>SUMIFS(Dataset!AJ:AJ,Dataset!F:F,'renta fija'!$D$11,Dataset!AH:AH,"bono corporativo",Dataset!T:T,"US$",Dataset!J:J,"&lt;"&amp;$S19/365,Dataset!J:J,"&gt;="&amp;$R19/365)</f>
        <v>0</v>
      </c>
      <c r="AC19" s="138">
        <f>SUMIFS(Dataset!AJ:AJ,Dataset!F:F,'renta fija'!$D$11,Dataset!AH:AH,"&lt;&gt;letra hipotecaria",Dataset!AH:AH,"&lt;&gt;bono corporativo",Dataset!AH:AH,"&lt;&gt;deposito",Dataset!AH:AH,"&lt;&gt;bono de gobierno",Dataset!J:J,"&lt;"&amp;$S19/365,Dataset!J:J,"&gt;="&amp;$R19/365)</f>
        <v>0</v>
      </c>
      <c r="AD19" s="142">
        <f t="shared" si="0"/>
        <v>0</v>
      </c>
      <c r="AE19" s="142">
        <f>SUMIFS(Dataset!AQ:AQ,Dataset!F:F,'renta fija'!$D$11,Dataset!J:J,"&lt;"&amp;$S19/365,Dataset!J:J,"&gt;="&amp;$R19/365)</f>
        <v>0</v>
      </c>
      <c r="AF19" s="143">
        <f>IFERROR(SUMIFS(Dataset!AQ:AQ,Dataset!F:F,'renta fija'!$D$11,Dataset!J:J,"&lt;"&amp;$S19/365,Dataset!J:J,"&gt;="&amp;$R19/365)/AD19,0)</f>
        <v>0</v>
      </c>
    </row>
    <row r="20" spans="3:32" ht="62.25" customHeight="1" x14ac:dyDescent="0.8">
      <c r="C20" s="131" t="s">
        <v>96</v>
      </c>
      <c r="D20" s="132">
        <f>SUMIFS(Dataset!AK:AK,Dataset!F:F,'renta fija'!D11,Dataset!AH:AH,"bono de gobierno", Dataset!T:T,"$")</f>
        <v>0</v>
      </c>
      <c r="E20" s="133">
        <f>SUMIFS(Dataset!V:V,Dataset!F:F,'renta fija'!D11,Dataset!AH:AH,"bono de gobierno", Dataset!T:T,"$")/1000000</f>
        <v>0</v>
      </c>
      <c r="F20" s="134">
        <f>SUMIFS(Dataset!H:H,Dataset!F:F,'renta fija'!D11,Dataset!AH:AH,"bono de gobierno", Dataset!T:T,"$")*365</f>
        <v>0</v>
      </c>
      <c r="G20" s="132">
        <f>SUMIFS(Dataset!AQ:AQ,Dataset!F:F,'renta fija'!D11,Dataset!AH:AH,"bono de gobierno", Dataset!T:T,"$")</f>
        <v>0</v>
      </c>
      <c r="H20" s="132">
        <f>SUMIFS(Dataset!I:I,Dataset!F:F,'renta fija'!D11,Dataset!AH:AH,"bono de gobierno", Dataset!T:T,"$")</f>
        <v>0</v>
      </c>
      <c r="I20" s="132">
        <f>SUMIFS(Dataset!AA:AA,Dataset!F:F,'renta fija'!D11,Dataset!AH:AH,"bono de gobierno", Dataset!T:T,"$")</f>
        <v>0</v>
      </c>
      <c r="K20" s="135">
        <v>4</v>
      </c>
      <c r="L20" s="132" t="str">
        <f>IFERROR(INDEX(Dataset!X:X,MATCH(_xlfn.AGGREGATE(14,6,Dataset!I:I/(Dataset!F:F=$D$11),K20),Dataset!I:I,0),1),"-")</f>
        <v>-</v>
      </c>
      <c r="M20" s="132" t="str">
        <f>IFERROR(INDEX(Dataset!AK:AK,MATCH(_xlfn.AGGREGATE(14,6,Dataset!I:I/(Dataset!F:F=$D$11),K20),Dataset!I:I,0),1),"-")</f>
        <v>-</v>
      </c>
      <c r="N20" s="132" t="str">
        <f>IFERROR(INDEX(Dataset!I:I,MATCH(_xlfn.AGGREGATE(14,6,Dataset!I:I/(Dataset!F:F=$D$11),K20),Dataset!I:I,0),1),"-")</f>
        <v>-</v>
      </c>
      <c r="O20" s="132" t="str">
        <f>IFERROR(INDEX(Dataset!AA:AA,MATCH(_xlfn.AGGREGATE(14,6,Dataset!I:I/(Dataset!F:F=$D$11),K20),Dataset!I:I,0),1),"-")</f>
        <v>-</v>
      </c>
      <c r="P20" s="134" t="str">
        <f>IFERROR(INDEX(Dataset!J:J,MATCH(_xlfn.AGGREGATE(14,6,Dataset!I:I/(Dataset!F:F=$D$11),K20),Dataset!I:I,0),1),"-")</f>
        <v>-</v>
      </c>
      <c r="R20" s="135">
        <v>45</v>
      </c>
      <c r="S20" s="141">
        <v>60</v>
      </c>
      <c r="T20" s="138">
        <f>SUMIFS(Dataset!AJ:AJ,Dataset!F:F,'renta fija'!$D$11,Dataset!AH:AH,"deposito",Dataset!T:T,"$",Dataset!J:J,"&lt;"&amp;$S20/365,Dataset!J:J,"&gt;="&amp;$R20/365)</f>
        <v>0</v>
      </c>
      <c r="U20" s="138">
        <f>SUMIFS(Dataset!AJ:AJ,Dataset!F:F,'renta fija'!$D$11,Dataset!AH:AH,"deposito",Dataset!T:T,"uf",Dataset!J:J,"&lt;"&amp;$S20/365,Dataset!J:J,"&gt;="&amp;$R20/365)</f>
        <v>0</v>
      </c>
      <c r="V20" s="138">
        <f>SUMIFS(Dataset!AJ:AJ,Dataset!F:F,'renta fija'!$D$11,Dataset!AH:AH,"deposito",Dataset!T:T,"us$",Dataset!J:J,"&lt;"&amp;$S20/365,Dataset!J:J,"&gt;="&amp;$R20/365)</f>
        <v>0</v>
      </c>
      <c r="W20" s="138">
        <f>SUMIFS(Dataset!AJ:AJ,Dataset!F:F,'renta fija'!$D$11,Dataset!AH:AH,"bono de gobierno",Dataset!T:T,"$",Dataset!J:J,"&lt;"&amp;$S20/365,Dataset!J:J,"&gt;="&amp;$R20/365)</f>
        <v>0</v>
      </c>
      <c r="X20" s="138">
        <f>SUMIFS(Dataset!AJ:AJ,Dataset!F:F,'renta fija'!$D$11,Dataset!AH:AH,"bono de gobierno",Dataset!T:T,"UF",Dataset!J:J,"&lt;"&amp;$S20/365,Dataset!J:J,"&gt;="&amp;$R20/365)</f>
        <v>0</v>
      </c>
      <c r="Y20" s="138">
        <f>SUMIFS(Dataset!AJ:AJ,Dataset!F:F,'renta fija'!$D$11,Dataset!AH:AH,"bono de gobierno",Dataset!T:T,"US$",Dataset!J:J,"&lt;"&amp;$S20/365,Dataset!J:J,"&gt;="&amp;$R20/365)</f>
        <v>0</v>
      </c>
      <c r="Z20" s="138">
        <f>SUMIFS(Dataset!AJ:AJ,Dataset!F:F,'renta fija'!$D$11,Dataset!AH:AH,"bono corporativo",Dataset!T:T,"$",Dataset!J:J,"&lt;"&amp;$S20/365,Dataset!J:J,"&gt;="&amp;$R20/365)</f>
        <v>0</v>
      </c>
      <c r="AA20" s="138">
        <f>SUMIFS(Dataset!AJ:AJ,Dataset!F:F,'renta fija'!$D$11,Dataset!AH:AH,"bono corporativo",Dataset!T:T,"UF",Dataset!J:J,"&lt;"&amp;$S20/365,Dataset!J:J,"&gt;="&amp;$R20/365)</f>
        <v>0</v>
      </c>
      <c r="AB20" s="138">
        <f>SUMIFS(Dataset!AJ:AJ,Dataset!F:F,'renta fija'!$D$11,Dataset!AH:AH,"bono corporativo",Dataset!T:T,"US$",Dataset!J:J,"&lt;"&amp;$S20/365,Dataset!J:J,"&gt;="&amp;$R20/365)</f>
        <v>0</v>
      </c>
      <c r="AC20" s="138">
        <f>SUMIFS(Dataset!AJ:AJ,Dataset!F:F,'renta fija'!$D$11,Dataset!AH:AH,"&lt;&gt;letra hipotecaria",Dataset!AH:AH,"&lt;&gt;bono corporativo",Dataset!AH:AH,"&lt;&gt;deposito",Dataset!AH:AH,"&lt;&gt;bono de gobierno",Dataset!J:J,"&lt;"&amp;$S20/365,Dataset!J:J,"&gt;="&amp;$R20/365)</f>
        <v>0</v>
      </c>
      <c r="AD20" s="142">
        <f t="shared" si="0"/>
        <v>0</v>
      </c>
      <c r="AE20" s="142">
        <f>SUMIFS(Dataset!AQ:AQ,Dataset!F:F,'renta fija'!$D$11,Dataset!J:J,"&lt;"&amp;$S20/365,Dataset!J:J,"&gt;="&amp;$R20/365)</f>
        <v>0</v>
      </c>
      <c r="AF20" s="143">
        <f>IFERROR(SUMIFS(Dataset!AQ:AQ,Dataset!F:F,'renta fija'!$D$11,Dataset!J:J,"&lt;"&amp;$S20/365,Dataset!J:J,"&gt;="&amp;$R20/365)/AD20,0)</f>
        <v>0</v>
      </c>
    </row>
    <row r="21" spans="3:32" ht="62.25" customHeight="1" x14ac:dyDescent="0.8">
      <c r="C21" s="131" t="s">
        <v>67</v>
      </c>
      <c r="D21" s="132">
        <f>SUMIFS(Dataset!AK:AK,Dataset!F:F,'renta fija'!D11,Dataset!AH:AH,"bono de gobierno", Dataset!T:T,"uf")</f>
        <v>0</v>
      </c>
      <c r="E21" s="133">
        <f>SUMIFS(Dataset!V:V,Dataset!F:F,'renta fija'!D11,Dataset!AH:AH,"bono de gobierno", Dataset!T:T,"uf")/1000000</f>
        <v>0</v>
      </c>
      <c r="F21" s="134">
        <f>SUMIFS(Dataset!H:H,Dataset!F:F,'renta fija'!D11,Dataset!AH:AH,"bono de gobierno", Dataset!T:T,"uf")*365</f>
        <v>0</v>
      </c>
      <c r="G21" s="132">
        <f>SUMIFS(Dataset!AQ:AQ,Dataset!F:F,'renta fija'!D11,Dataset!AH:AH,"bono de gobierno", Dataset!T:T,"uf")</f>
        <v>0</v>
      </c>
      <c r="H21" s="132">
        <f>SUMIFS(Dataset!I:I,Dataset!F:F,'renta fija'!D11,Dataset!AH:AH,"bono de gobierno", Dataset!T:T,"uf")</f>
        <v>0</v>
      </c>
      <c r="I21" s="132">
        <f>SUMIFS(Dataset!AA:AA,Dataset!F:F,'renta fija'!D11,Dataset!AH:AH,"bono de gobierno", Dataset!T:T,"uf")</f>
        <v>0</v>
      </c>
      <c r="K21" s="135">
        <v>5</v>
      </c>
      <c r="L21" s="132" t="str">
        <f>IFERROR(INDEX(Dataset!X:X,MATCH(_xlfn.AGGREGATE(14,6,Dataset!I:I/(Dataset!F:F=$D$11),K21),Dataset!I:I,0),1),"-")</f>
        <v>-</v>
      </c>
      <c r="M21" s="132" t="str">
        <f>IFERROR(INDEX(Dataset!AK:AK,MATCH(_xlfn.AGGREGATE(14,6,Dataset!I:I/(Dataset!F:F=$D$11),K21),Dataset!I:I,0),1),"-")</f>
        <v>-</v>
      </c>
      <c r="N21" s="132" t="str">
        <f>IFERROR(INDEX(Dataset!I:I,MATCH(_xlfn.AGGREGATE(14,6,Dataset!I:I/(Dataset!F:F=$D$11),K21),Dataset!I:I,0),1),"-")</f>
        <v>-</v>
      </c>
      <c r="O21" s="132" t="str">
        <f>IFERROR(INDEX(Dataset!AA:AA,MATCH(_xlfn.AGGREGATE(14,6,Dataset!I:I/(Dataset!F:F=$D$11),K21),Dataset!I:I,0),1),"-")</f>
        <v>-</v>
      </c>
      <c r="P21" s="134" t="str">
        <f>IFERROR(INDEX(Dataset!J:J,MATCH(_xlfn.AGGREGATE(14,6,Dataset!I:I/(Dataset!F:F=$D$11),K21),Dataset!I:I,0),1),"-")</f>
        <v>-</v>
      </c>
      <c r="R21" s="135">
        <v>60</v>
      </c>
      <c r="S21" s="141">
        <v>75</v>
      </c>
      <c r="T21" s="138">
        <f>SUMIFS(Dataset!AJ:AJ,Dataset!F:F,'renta fija'!$D$11,Dataset!AH:AH,"deposito",Dataset!T:T,"$",Dataset!J:J,"&lt;"&amp;$S21/365,Dataset!J:J,"&gt;="&amp;$R21/365)</f>
        <v>0</v>
      </c>
      <c r="U21" s="138">
        <f>SUMIFS(Dataset!AJ:AJ,Dataset!F:F,'renta fija'!$D$11,Dataset!AH:AH,"deposito",Dataset!T:T,"uf",Dataset!J:J,"&lt;"&amp;$S21/365,Dataset!J:J,"&gt;="&amp;$R21/365)</f>
        <v>0</v>
      </c>
      <c r="V21" s="138">
        <f>SUMIFS(Dataset!AJ:AJ,Dataset!F:F,'renta fija'!$D$11,Dataset!AH:AH,"deposito",Dataset!T:T,"us$",Dataset!J:J,"&lt;"&amp;$S21/365,Dataset!J:J,"&gt;="&amp;$R21/365)</f>
        <v>0</v>
      </c>
      <c r="W21" s="138">
        <f>SUMIFS(Dataset!AJ:AJ,Dataset!F:F,'renta fija'!$D$11,Dataset!AH:AH,"bono de gobierno",Dataset!T:T,"$",Dataset!J:J,"&lt;"&amp;$S21/365,Dataset!J:J,"&gt;="&amp;$R21/365)</f>
        <v>0</v>
      </c>
      <c r="X21" s="138">
        <f>SUMIFS(Dataset!AJ:AJ,Dataset!F:F,'renta fija'!$D$11,Dataset!AH:AH,"bono de gobierno",Dataset!T:T,"UF",Dataset!J:J,"&lt;"&amp;$S21/365,Dataset!J:J,"&gt;="&amp;$R21/365)</f>
        <v>0</v>
      </c>
      <c r="Y21" s="138">
        <f>SUMIFS(Dataset!AJ:AJ,Dataset!F:F,'renta fija'!$D$11,Dataset!AH:AH,"bono de gobierno",Dataset!T:T,"US$",Dataset!J:J,"&lt;"&amp;$S21/365,Dataset!J:J,"&gt;="&amp;$R21/365)</f>
        <v>0</v>
      </c>
      <c r="Z21" s="138">
        <f>SUMIFS(Dataset!AJ:AJ,Dataset!F:F,'renta fija'!$D$11,Dataset!AH:AH,"bono corporativo",Dataset!T:T,"$",Dataset!J:J,"&lt;"&amp;$S21/365,Dataset!J:J,"&gt;="&amp;$R21/365)</f>
        <v>0</v>
      </c>
      <c r="AA21" s="138">
        <f>SUMIFS(Dataset!AJ:AJ,Dataset!F:F,'renta fija'!$D$11,Dataset!AH:AH,"bono corporativo",Dataset!T:T,"UF",Dataset!J:J,"&lt;"&amp;$S21/365,Dataset!J:J,"&gt;="&amp;$R21/365)</f>
        <v>0</v>
      </c>
      <c r="AB21" s="138">
        <f>SUMIFS(Dataset!AJ:AJ,Dataset!F:F,'renta fija'!$D$11,Dataset!AH:AH,"bono corporativo",Dataset!T:T,"US$",Dataset!J:J,"&lt;"&amp;$S21/365,Dataset!J:J,"&gt;="&amp;$R21/365)</f>
        <v>0</v>
      </c>
      <c r="AC21" s="138">
        <f>SUMIFS(Dataset!AJ:AJ,Dataset!F:F,'renta fija'!$D$11,Dataset!AH:AH,"&lt;&gt;letra hipotecaria",Dataset!AH:AH,"&lt;&gt;bono corporativo",Dataset!AH:AH,"&lt;&gt;deposito",Dataset!AH:AH,"&lt;&gt;bono de gobierno",Dataset!J:J,"&lt;"&amp;$S21/365,Dataset!J:J,"&gt;="&amp;$R21/365)</f>
        <v>0</v>
      </c>
      <c r="AD21" s="142">
        <f t="shared" si="0"/>
        <v>0</v>
      </c>
      <c r="AE21" s="142">
        <f>SUMIFS(Dataset!AQ:AQ,Dataset!F:F,'renta fija'!$D$11,Dataset!J:J,"&lt;"&amp;$S21/365,Dataset!J:J,"&gt;="&amp;$R21/365)</f>
        <v>0</v>
      </c>
      <c r="AF21" s="143">
        <f>IFERROR(SUMIFS(Dataset!AQ:AQ,Dataset!F:F,'renta fija'!$D$11,Dataset!J:J,"&lt;"&amp;$S21/365,Dataset!J:J,"&gt;="&amp;$R21/365)/AD21,0)</f>
        <v>0</v>
      </c>
    </row>
    <row r="22" spans="3:32" ht="62.25" customHeight="1" x14ac:dyDescent="0.8">
      <c r="C22" s="131" t="s">
        <v>118</v>
      </c>
      <c r="D22" s="132">
        <f>SUMIFS(Dataset!AK:AK,Dataset!F:F,'renta fija'!D11,Dataset!AH:AH,"bono de gobierno", Dataset!T:T,"us$")</f>
        <v>0</v>
      </c>
      <c r="E22" s="133">
        <f>SUMIFS(Dataset!V:V,Dataset!F:F,'renta fija'!D11,Dataset!AH:AH,"bono de gobierno", Dataset!T:T,"us$")/1000000</f>
        <v>0</v>
      </c>
      <c r="F22" s="134">
        <f>SUMIFS(Dataset!H:H,Dataset!F:F,'renta fija'!D11,Dataset!AH:AH,"bono de gobierno", Dataset!T:T,"us$")*365</f>
        <v>0</v>
      </c>
      <c r="G22" s="132">
        <f>SUMIFS(Dataset!AQ:AQ,Dataset!F:F,'renta fija'!D11,Dataset!AH:AH,"bono de gobierno", Dataset!T:T,"us$")</f>
        <v>0</v>
      </c>
      <c r="H22" s="132">
        <f>SUMIFS(Dataset!I:I,Dataset!F:F,'renta fija'!D11,Dataset!AH:AH,"bono de gobierno", Dataset!T:T,"us$")</f>
        <v>0</v>
      </c>
      <c r="I22" s="132">
        <f>SUMIFS(Dataset!AA:AA,Dataset!F:F,'renta fija'!D11,Dataset!AH:AH,"bono de gobierno", Dataset!T:T,"us$")</f>
        <v>0</v>
      </c>
      <c r="K22" s="135">
        <v>6</v>
      </c>
      <c r="L22" s="132" t="str">
        <f>IFERROR(INDEX(Dataset!X:X,MATCH(_xlfn.AGGREGATE(14,6,Dataset!I:I/(Dataset!F:F=$D$11),K22),Dataset!I:I,0),1),"-")</f>
        <v>-</v>
      </c>
      <c r="M22" s="132" t="str">
        <f>IFERROR(INDEX(Dataset!AK:AK,MATCH(_xlfn.AGGREGATE(14,6,Dataset!I:I/(Dataset!F:F=$D$11),K22),Dataset!I:I,0),1),"-")</f>
        <v>-</v>
      </c>
      <c r="N22" s="132" t="str">
        <f>IFERROR(INDEX(Dataset!I:I,MATCH(_xlfn.AGGREGATE(14,6,Dataset!I:I/(Dataset!F:F=$D$11),K22),Dataset!I:I,0),1),"-")</f>
        <v>-</v>
      </c>
      <c r="O22" s="132" t="str">
        <f>IFERROR(INDEX(Dataset!AA:AA,MATCH(_xlfn.AGGREGATE(14,6,Dataset!I:I/(Dataset!F:F=$D$11),K22),Dataset!I:I,0),1),"-")</f>
        <v>-</v>
      </c>
      <c r="P22" s="134" t="str">
        <f>IFERROR(INDEX(Dataset!J:J,MATCH(_xlfn.AGGREGATE(14,6,Dataset!I:I/(Dataset!F:F=$D$11),K22),Dataset!I:I,0),1),"-")</f>
        <v>-</v>
      </c>
      <c r="R22" s="135">
        <v>75</v>
      </c>
      <c r="S22" s="141">
        <v>90</v>
      </c>
      <c r="T22" s="138">
        <f>SUMIFS(Dataset!AJ:AJ,Dataset!F:F,'renta fija'!$D$11,Dataset!AH:AH,"deposito",Dataset!T:T,"$",Dataset!J:J,"&lt;"&amp;$S22/365,Dataset!J:J,"&gt;="&amp;$R22/365)</f>
        <v>0</v>
      </c>
      <c r="U22" s="138">
        <f>SUMIFS(Dataset!AJ:AJ,Dataset!F:F,'renta fija'!$D$11,Dataset!AH:AH,"deposito",Dataset!T:T,"uf",Dataset!J:J,"&lt;"&amp;$S22/365,Dataset!J:J,"&gt;="&amp;$R22/365)</f>
        <v>0</v>
      </c>
      <c r="V22" s="138">
        <f>SUMIFS(Dataset!AJ:AJ,Dataset!F:F,'renta fija'!$D$11,Dataset!AH:AH,"deposito",Dataset!T:T,"us$",Dataset!J:J,"&lt;"&amp;$S22/365,Dataset!J:J,"&gt;="&amp;$R22/365)</f>
        <v>0</v>
      </c>
      <c r="W22" s="138">
        <f>SUMIFS(Dataset!AJ:AJ,Dataset!F:F,'renta fija'!$D$11,Dataset!AH:AH,"bono de gobierno",Dataset!T:T,"$",Dataset!J:J,"&lt;"&amp;$S22/365,Dataset!J:J,"&gt;="&amp;$R22/365)</f>
        <v>0</v>
      </c>
      <c r="X22" s="138">
        <f>SUMIFS(Dataset!AJ:AJ,Dataset!F:F,'renta fija'!$D$11,Dataset!AH:AH,"bono de gobierno",Dataset!T:T,"UF",Dataset!J:J,"&lt;"&amp;$S22/365,Dataset!J:J,"&gt;="&amp;$R22/365)</f>
        <v>0</v>
      </c>
      <c r="Y22" s="138">
        <f>SUMIFS(Dataset!AJ:AJ,Dataset!F:F,'renta fija'!$D$11,Dataset!AH:AH,"bono de gobierno",Dataset!T:T,"US$",Dataset!J:J,"&lt;"&amp;$S22/365,Dataset!J:J,"&gt;="&amp;$R22/365)</f>
        <v>0</v>
      </c>
      <c r="Z22" s="138">
        <f>SUMIFS(Dataset!AJ:AJ,Dataset!F:F,'renta fija'!$D$11,Dataset!AH:AH,"bono corporativo",Dataset!T:T,"$",Dataset!J:J,"&lt;"&amp;$S22/365,Dataset!J:J,"&gt;="&amp;$R22/365)</f>
        <v>0</v>
      </c>
      <c r="AA22" s="138">
        <f>SUMIFS(Dataset!AJ:AJ,Dataset!F:F,'renta fija'!$D$11,Dataset!AH:AH,"bono corporativo",Dataset!T:T,"UF",Dataset!J:J,"&lt;"&amp;$S22/365,Dataset!J:J,"&gt;="&amp;$R22/365)</f>
        <v>0</v>
      </c>
      <c r="AB22" s="138">
        <f>SUMIFS(Dataset!AJ:AJ,Dataset!F:F,'renta fija'!$D$11,Dataset!AH:AH,"bono corporativo",Dataset!T:T,"US$",Dataset!J:J,"&lt;"&amp;$S22/365,Dataset!J:J,"&gt;="&amp;$R22/365)</f>
        <v>0</v>
      </c>
      <c r="AC22" s="138">
        <f>SUMIFS(Dataset!AJ:AJ,Dataset!F:F,'renta fija'!$D$11,Dataset!AH:AH,"&lt;&gt;letra hipotecaria",Dataset!AH:AH,"&lt;&gt;bono corporativo",Dataset!AH:AH,"&lt;&gt;deposito",Dataset!AH:AH,"&lt;&gt;bono de gobierno",Dataset!J:J,"&lt;"&amp;$S22/365,Dataset!J:J,"&gt;="&amp;$R22/365)</f>
        <v>0</v>
      </c>
      <c r="AD22" s="142">
        <f t="shared" si="0"/>
        <v>0</v>
      </c>
      <c r="AE22" s="142">
        <f>SUMIFS(Dataset!AQ:AQ,Dataset!F:F,'renta fija'!$D$11,Dataset!J:J,"&lt;"&amp;$S22/365,Dataset!J:J,"&gt;="&amp;$R22/365)</f>
        <v>0</v>
      </c>
      <c r="AF22" s="143">
        <f>IFERROR(SUMIFS(Dataset!AQ:AQ,Dataset!F:F,'renta fija'!$D$11,Dataset!J:J,"&lt;"&amp;$S22/365,Dataset!J:J,"&gt;="&amp;$R22/365)/AD22,0)</f>
        <v>0</v>
      </c>
    </row>
    <row r="23" spans="3:32" ht="62.25" customHeight="1" x14ac:dyDescent="0.8">
      <c r="C23" s="131" t="s">
        <v>98</v>
      </c>
      <c r="D23" s="132">
        <f>SUMIFS(Dataset!AK:AK,Dataset!F:F,'renta fija'!D11,Dataset!AH:AH,"bono corporativo", Dataset!T:T,"$")</f>
        <v>0</v>
      </c>
      <c r="E23" s="133">
        <f>SUMIFS(Dataset!V:V,Dataset!F:F,'renta fija'!D11,Dataset!AH:AH,"bono corporativo", Dataset!T:T,"$")/1000000</f>
        <v>0</v>
      </c>
      <c r="F23" s="134">
        <f>SUMIFS(Dataset!H:H,Dataset!F:F,'renta fija'!D11,Dataset!AH:AH,"bono corporativo", Dataset!T:T,"$")*365</f>
        <v>0</v>
      </c>
      <c r="G23" s="132">
        <f>SUMIFS(Dataset!AQ:AQ,Dataset!F:F,'renta fija'!D11,Dataset!AH:AH,"bono corporativo", Dataset!T:T,"$")</f>
        <v>0</v>
      </c>
      <c r="H23" s="132">
        <f>SUMIFS(Dataset!I:I,Dataset!F:F,'renta fija'!D11,Dataset!AH:AH,"bono corporativo", Dataset!T:T,"$")</f>
        <v>0</v>
      </c>
      <c r="I23" s="132">
        <f>SUMIFS(Dataset!AA:AA,Dataset!F:F,'renta fija'!D11,Dataset!AH:AH,"bono corporativo", Dataset!T:T,"$")</f>
        <v>0</v>
      </c>
      <c r="K23" s="135">
        <v>7</v>
      </c>
      <c r="L23" s="132" t="str">
        <f>IFERROR(INDEX(Dataset!X:X,MATCH(_xlfn.AGGREGATE(14,6,Dataset!I:I/(Dataset!F:F=$D$11),K23),Dataset!I:I,0),1),"-")</f>
        <v>-</v>
      </c>
      <c r="M23" s="132" t="str">
        <f>IFERROR(INDEX(Dataset!AK:AK,MATCH(_xlfn.AGGREGATE(14,6,Dataset!I:I/(Dataset!F:F=$D$11),K23),Dataset!I:I,0),1),"-")</f>
        <v>-</v>
      </c>
      <c r="N23" s="132" t="str">
        <f>IFERROR(INDEX(Dataset!I:I,MATCH(_xlfn.AGGREGATE(14,6,Dataset!I:I/(Dataset!F:F=$D$11),K23),Dataset!I:I,0),1),"-")</f>
        <v>-</v>
      </c>
      <c r="O23" s="132" t="str">
        <f>IFERROR(INDEX(Dataset!AA:AA,MATCH(_xlfn.AGGREGATE(14,6,Dataset!I:I/(Dataset!F:F=$D$11),K23),Dataset!I:I,0),1),"-")</f>
        <v>-</v>
      </c>
      <c r="P23" s="134" t="str">
        <f>IFERROR(INDEX(Dataset!J:J,MATCH(_xlfn.AGGREGATE(14,6,Dataset!I:I/(Dataset!F:F=$D$11),K23),Dataset!I:I,0),1),"-")</f>
        <v>-</v>
      </c>
      <c r="R23" s="135">
        <v>90</v>
      </c>
      <c r="S23" s="141">
        <v>105</v>
      </c>
      <c r="T23" s="138">
        <f>SUMIFS(Dataset!AJ:AJ,Dataset!F:F,'renta fija'!$D$11,Dataset!AH:AH,"deposito",Dataset!T:T,"$",Dataset!J:J,"&lt;"&amp;$S23/365,Dataset!J:J,"&gt;="&amp;$R23/365)</f>
        <v>0</v>
      </c>
      <c r="U23" s="138">
        <f>SUMIFS(Dataset!AJ:AJ,Dataset!F:F,'renta fija'!$D$11,Dataset!AH:AH,"deposito",Dataset!T:T,"uf",Dataset!J:J,"&lt;"&amp;$S23/365,Dataset!J:J,"&gt;="&amp;$R23/365)</f>
        <v>0</v>
      </c>
      <c r="V23" s="138">
        <f>SUMIFS(Dataset!AJ:AJ,Dataset!F:F,'renta fija'!$D$11,Dataset!AH:AH,"deposito",Dataset!T:T,"us$",Dataset!J:J,"&lt;"&amp;$S23/365,Dataset!J:J,"&gt;="&amp;$R23/365)</f>
        <v>0</v>
      </c>
      <c r="W23" s="138">
        <f>SUMIFS(Dataset!AJ:AJ,Dataset!F:F,'renta fija'!$D$11,Dataset!AH:AH,"bono de gobierno",Dataset!T:T,"$",Dataset!J:J,"&lt;"&amp;$S23/365,Dataset!J:J,"&gt;="&amp;$R23/365)</f>
        <v>0</v>
      </c>
      <c r="X23" s="138">
        <f>SUMIFS(Dataset!AJ:AJ,Dataset!F:F,'renta fija'!$D$11,Dataset!AH:AH,"bono de gobierno",Dataset!T:T,"UF",Dataset!J:J,"&lt;"&amp;$S23/365,Dataset!J:J,"&gt;="&amp;$R23/365)</f>
        <v>0</v>
      </c>
      <c r="Y23" s="138">
        <f>SUMIFS(Dataset!AJ:AJ,Dataset!F:F,'renta fija'!$D$11,Dataset!AH:AH,"bono de gobierno",Dataset!T:T,"US$",Dataset!J:J,"&lt;"&amp;$S23/365,Dataset!J:J,"&gt;="&amp;$R23/365)</f>
        <v>0</v>
      </c>
      <c r="Z23" s="138">
        <f>SUMIFS(Dataset!AJ:AJ,Dataset!F:F,'renta fija'!$D$11,Dataset!AH:AH,"bono corporativo",Dataset!T:T,"$",Dataset!J:J,"&lt;"&amp;$S23/365,Dataset!J:J,"&gt;="&amp;$R23/365)</f>
        <v>0</v>
      </c>
      <c r="AA23" s="138">
        <f>SUMIFS(Dataset!AJ:AJ,Dataset!F:F,'renta fija'!$D$11,Dataset!AH:AH,"bono corporativo",Dataset!T:T,"UF",Dataset!J:J,"&lt;"&amp;$S23/365,Dataset!J:J,"&gt;="&amp;$R23/365)</f>
        <v>0</v>
      </c>
      <c r="AB23" s="138">
        <f>SUMIFS(Dataset!AJ:AJ,Dataset!F:F,'renta fija'!$D$11,Dataset!AH:AH,"bono corporativo",Dataset!T:T,"US$",Dataset!J:J,"&lt;"&amp;$S23/365,Dataset!J:J,"&gt;="&amp;$R23/365)</f>
        <v>0</v>
      </c>
      <c r="AC23" s="138">
        <f>SUMIFS(Dataset!AJ:AJ,Dataset!F:F,'renta fija'!$D$11,Dataset!AH:AH,"&lt;&gt;letra hipotecaria",Dataset!AH:AH,"&lt;&gt;bono corporativo",Dataset!AH:AH,"&lt;&gt;deposito",Dataset!AH:AH,"&lt;&gt;bono de gobierno",Dataset!J:J,"&lt;"&amp;$S23/365,Dataset!J:J,"&gt;="&amp;$R23/365)</f>
        <v>0</v>
      </c>
      <c r="AD23" s="142">
        <f t="shared" si="0"/>
        <v>0</v>
      </c>
      <c r="AE23" s="142">
        <f>SUMIFS(Dataset!AQ:AQ,Dataset!F:F,'renta fija'!$D$11,Dataset!J:J,"&lt;"&amp;$S23/365,Dataset!J:J,"&gt;="&amp;$R23/365)</f>
        <v>0</v>
      </c>
      <c r="AF23" s="143">
        <f>IFERROR(SUMIFS(Dataset!AQ:AQ,Dataset!F:F,'renta fija'!$D$11,Dataset!J:J,"&lt;"&amp;$S23/365,Dataset!J:J,"&gt;="&amp;$R23/365)/AD23,0)</f>
        <v>0</v>
      </c>
    </row>
    <row r="24" spans="3:32" ht="62.25" customHeight="1" x14ac:dyDescent="0.8">
      <c r="C24" s="131" t="s">
        <v>73</v>
      </c>
      <c r="D24" s="132">
        <f>SUMIFS(Dataset!AK:AK,Dataset!F:F,'renta fija'!D11,Dataset!AH:AH,"bono corporativo", Dataset!T:T,"uf")</f>
        <v>0</v>
      </c>
      <c r="E24" s="133">
        <f>SUMIFS(Dataset!V:V,Dataset!F:F,'renta fija'!D11,Dataset!AH:AH,"bono corporativo", Dataset!T:T,"uf")/1000000</f>
        <v>0</v>
      </c>
      <c r="F24" s="134">
        <f>SUMIFS(Dataset!H:H,Dataset!F:F,'renta fija'!D11,Dataset!AH:AH,"bono corporativo", Dataset!T:T,"uf")*365</f>
        <v>0</v>
      </c>
      <c r="G24" s="132">
        <f>SUMIFS(Dataset!AQ:AQ,Dataset!F:F,'renta fija'!D11,Dataset!AH:AH,"bono corporativo", Dataset!T:T,"uf")</f>
        <v>0</v>
      </c>
      <c r="H24" s="132">
        <f>SUMIFS(Dataset!I:I,Dataset!F:F,'renta fija'!D11,Dataset!AH:AH,"bono corporativo", Dataset!T:T,"uf")</f>
        <v>0</v>
      </c>
      <c r="I24" s="132">
        <f>SUMIFS(Dataset!AA:AA,Dataset!F:F,'renta fija'!D11,Dataset!AH:AH,"bono corporativo", Dataset!T:T,"uf")</f>
        <v>0</v>
      </c>
      <c r="K24" s="135">
        <v>8</v>
      </c>
      <c r="L24" s="132" t="str">
        <f>IFERROR(INDEX(Dataset!X:X,MATCH(_xlfn.AGGREGATE(14,6,Dataset!I:I/(Dataset!F:F=$D$11),K24),Dataset!I:I,0),1),"-")</f>
        <v>-</v>
      </c>
      <c r="M24" s="132" t="str">
        <f>IFERROR(INDEX(Dataset!AK:AK,MATCH(_xlfn.AGGREGATE(14,6,Dataset!I:I/(Dataset!F:F=$D$11),K24),Dataset!I:I,0),1),"-")</f>
        <v>-</v>
      </c>
      <c r="N24" s="132" t="str">
        <f>IFERROR(INDEX(Dataset!I:I,MATCH(_xlfn.AGGREGATE(14,6,Dataset!I:I/(Dataset!F:F=$D$11),K24),Dataset!I:I,0),1),"-")</f>
        <v>-</v>
      </c>
      <c r="O24" s="132" t="str">
        <f>IFERROR(INDEX(Dataset!AA:AA,MATCH(_xlfn.AGGREGATE(14,6,Dataset!I:I/(Dataset!F:F=$D$11),K24),Dataset!I:I,0),1),"-")</f>
        <v>-</v>
      </c>
      <c r="P24" s="134" t="str">
        <f>IFERROR(INDEX(Dataset!J:J,MATCH(_xlfn.AGGREGATE(14,6,Dataset!I:I/(Dataset!F:F=$D$11),K24),Dataset!I:I,0),1),"-")</f>
        <v>-</v>
      </c>
      <c r="R24" s="135">
        <v>105</v>
      </c>
      <c r="S24" s="141">
        <v>120</v>
      </c>
      <c r="T24" s="138">
        <f>SUMIFS(Dataset!AJ:AJ,Dataset!F:F,'renta fija'!$D$11,Dataset!AH:AH,"deposito",Dataset!T:T,"$",Dataset!J:J,"&lt;"&amp;$S24/365,Dataset!J:J,"&gt;="&amp;$R24/365)</f>
        <v>0</v>
      </c>
      <c r="U24" s="138">
        <f>SUMIFS(Dataset!AJ:AJ,Dataset!F:F,'renta fija'!$D$11,Dataset!AH:AH,"deposito",Dataset!T:T,"uf",Dataset!J:J,"&lt;"&amp;$S24/365,Dataset!J:J,"&gt;="&amp;$R24/365)</f>
        <v>0</v>
      </c>
      <c r="V24" s="138">
        <f>SUMIFS(Dataset!AJ:AJ,Dataset!F:F,'renta fija'!$D$11,Dataset!AH:AH,"deposito",Dataset!T:T,"us$",Dataset!J:J,"&lt;"&amp;$S24/365,Dataset!J:J,"&gt;="&amp;$R24/365)</f>
        <v>0</v>
      </c>
      <c r="W24" s="138">
        <f>SUMIFS(Dataset!AJ:AJ,Dataset!F:F,'renta fija'!$D$11,Dataset!AH:AH,"bono de gobierno",Dataset!T:T,"$",Dataset!J:J,"&lt;"&amp;$S24/365,Dataset!J:J,"&gt;="&amp;$R24/365)</f>
        <v>0</v>
      </c>
      <c r="X24" s="138">
        <f>SUMIFS(Dataset!AJ:AJ,Dataset!F:F,'renta fija'!$D$11,Dataset!AH:AH,"bono de gobierno",Dataset!T:T,"UF",Dataset!J:J,"&lt;"&amp;$S24/365,Dataset!J:J,"&gt;="&amp;$R24/365)</f>
        <v>0</v>
      </c>
      <c r="Y24" s="138">
        <f>SUMIFS(Dataset!AJ:AJ,Dataset!F:F,'renta fija'!$D$11,Dataset!AH:AH,"bono de gobierno",Dataset!T:T,"US$",Dataset!J:J,"&lt;"&amp;$S24/365,Dataset!J:J,"&gt;="&amp;$R24/365)</f>
        <v>0</v>
      </c>
      <c r="Z24" s="138">
        <f>SUMIFS(Dataset!AJ:AJ,Dataset!F:F,'renta fija'!$D$11,Dataset!AH:AH,"bono corporativo",Dataset!T:T,"$",Dataset!J:J,"&lt;"&amp;$S24/365,Dataset!J:J,"&gt;="&amp;$R24/365)</f>
        <v>0</v>
      </c>
      <c r="AA24" s="138">
        <f>SUMIFS(Dataset!AJ:AJ,Dataset!F:F,'renta fija'!$D$11,Dataset!AH:AH,"bono corporativo",Dataset!T:T,"UF",Dataset!J:J,"&lt;"&amp;$S24/365,Dataset!J:J,"&gt;="&amp;$R24/365)</f>
        <v>0</v>
      </c>
      <c r="AB24" s="138">
        <f>SUMIFS(Dataset!AJ:AJ,Dataset!F:F,'renta fija'!$D$11,Dataset!AH:AH,"bono corporativo",Dataset!T:T,"US$",Dataset!J:J,"&lt;"&amp;$S24/365,Dataset!J:J,"&gt;="&amp;$R24/365)</f>
        <v>0</v>
      </c>
      <c r="AC24" s="138">
        <f>SUMIFS(Dataset!AJ:AJ,Dataset!F:F,'renta fija'!$D$11,Dataset!AH:AH,"&lt;&gt;letra hipotecaria",Dataset!AH:AH,"&lt;&gt;bono corporativo",Dataset!AH:AH,"&lt;&gt;deposito",Dataset!AH:AH,"&lt;&gt;bono de gobierno",Dataset!J:J,"&lt;"&amp;$S24/365,Dataset!J:J,"&gt;="&amp;$R24/365)</f>
        <v>0</v>
      </c>
      <c r="AD24" s="142">
        <f t="shared" si="0"/>
        <v>0</v>
      </c>
      <c r="AE24" s="142">
        <f>SUMIFS(Dataset!AQ:AQ,Dataset!F:F,'renta fija'!$D$11,Dataset!J:J,"&lt;"&amp;$S24/365,Dataset!J:J,"&gt;="&amp;$R24/365)</f>
        <v>0</v>
      </c>
      <c r="AF24" s="143">
        <f>IFERROR(SUMIFS(Dataset!AQ:AQ,Dataset!F:F,'renta fija'!$D$11,Dataset!J:J,"&lt;"&amp;$S24/365,Dataset!J:J,"&gt;="&amp;$R24/365)/AD24,0)</f>
        <v>0</v>
      </c>
    </row>
    <row r="25" spans="3:32" ht="62.25" customHeight="1" x14ac:dyDescent="0.8">
      <c r="C25" s="131" t="s">
        <v>97</v>
      </c>
      <c r="D25" s="132">
        <f>SUMIFS(Dataset!AK:AK,Dataset!F:F,'renta fija'!D11,Dataset!AH:AH,"bono corporativo", Dataset!T:T,"us$")</f>
        <v>0</v>
      </c>
      <c r="E25" s="133">
        <f>SUMIFS(Dataset!V:V,Dataset!F:F,'renta fija'!D11,Dataset!AH:AH,"bono corporativo", Dataset!T:T,"us$")/1000000</f>
        <v>0</v>
      </c>
      <c r="F25" s="134">
        <f>SUMIFS(Dataset!H:H,Dataset!F:F,'renta fija'!D11,Dataset!AH:AH,"bono corporativo", Dataset!T:T,"us$")*365</f>
        <v>0</v>
      </c>
      <c r="G25" s="132">
        <f>SUMIFS(Dataset!AQ:AQ,Dataset!F:F,'renta fija'!D11,Dataset!AH:AH,"bono corporativo", Dataset!T:T,"us$")</f>
        <v>0</v>
      </c>
      <c r="H25" s="132">
        <f>SUMIFS(Dataset!I:I,Dataset!F:F,'renta fija'!D11,Dataset!AH:AH,"bono corporativo", Dataset!T:T,"us$")</f>
        <v>0</v>
      </c>
      <c r="I25" s="132">
        <f>SUMIFS(Dataset!AA:AA,Dataset!F:F,'renta fija'!D11,Dataset!AH:AH,"bono corporativo", Dataset!T:T,"us$")</f>
        <v>0</v>
      </c>
      <c r="K25" s="135">
        <v>9</v>
      </c>
      <c r="L25" s="132" t="str">
        <f>IFERROR(INDEX(Dataset!X:X,MATCH(_xlfn.AGGREGATE(14,6,Dataset!I:I/(Dataset!F:F=$D$11),K25),Dataset!I:I,0),1),"-")</f>
        <v>-</v>
      </c>
      <c r="M25" s="132" t="str">
        <f>IFERROR(INDEX(Dataset!AK:AK,MATCH(_xlfn.AGGREGATE(14,6,Dataset!I:I/(Dataset!F:F=$D$11),K25),Dataset!I:I,0),1),"-")</f>
        <v>-</v>
      </c>
      <c r="N25" s="132" t="str">
        <f>IFERROR(INDEX(Dataset!I:I,MATCH(_xlfn.AGGREGATE(14,6,Dataset!I:I/(Dataset!F:F=$D$11),K25),Dataset!I:I,0),1),"-")</f>
        <v>-</v>
      </c>
      <c r="O25" s="132" t="str">
        <f>IFERROR(INDEX(Dataset!AA:AA,MATCH(_xlfn.AGGREGATE(14,6,Dataset!I:I/(Dataset!F:F=$D$11),K25),Dataset!I:I,0),1),"-")</f>
        <v>-</v>
      </c>
      <c r="P25" s="134" t="str">
        <f>IFERROR(INDEX(Dataset!J:J,MATCH(_xlfn.AGGREGATE(14,6,Dataset!I:I/(Dataset!F:F=$D$11),K25),Dataset!I:I,0),1),"-")</f>
        <v>-</v>
      </c>
      <c r="R25" s="135">
        <v>120</v>
      </c>
      <c r="S25" s="141">
        <v>135</v>
      </c>
      <c r="T25" s="138">
        <f>SUMIFS(Dataset!AJ:AJ,Dataset!F:F,'renta fija'!$D$11,Dataset!AH:AH,"deposito",Dataset!T:T,"$",Dataset!J:J,"&lt;"&amp;$S25/365,Dataset!J:J,"&gt;="&amp;$R25/365)</f>
        <v>0</v>
      </c>
      <c r="U25" s="138">
        <f>SUMIFS(Dataset!AJ:AJ,Dataset!F:F,'renta fija'!$D$11,Dataset!AH:AH,"deposito",Dataset!T:T,"uf",Dataset!J:J,"&lt;"&amp;$S25/365,Dataset!J:J,"&gt;="&amp;$R25/365)</f>
        <v>0</v>
      </c>
      <c r="V25" s="138">
        <f>SUMIFS(Dataset!AJ:AJ,Dataset!F:F,'renta fija'!$D$11,Dataset!AH:AH,"deposito",Dataset!T:T,"us$",Dataset!J:J,"&lt;"&amp;$S25/365,Dataset!J:J,"&gt;="&amp;$R25/365)</f>
        <v>0</v>
      </c>
      <c r="W25" s="138">
        <f>SUMIFS(Dataset!AJ:AJ,Dataset!F:F,'renta fija'!$D$11,Dataset!AH:AH,"bono de gobierno",Dataset!T:T,"$",Dataset!J:J,"&lt;"&amp;$S25/365,Dataset!J:J,"&gt;="&amp;$R25/365)</f>
        <v>0</v>
      </c>
      <c r="X25" s="138">
        <f>SUMIFS(Dataset!AJ:AJ,Dataset!F:F,'renta fija'!$D$11,Dataset!AH:AH,"bono de gobierno",Dataset!T:T,"UF",Dataset!J:J,"&lt;"&amp;$S25/365,Dataset!J:J,"&gt;="&amp;$R25/365)</f>
        <v>0</v>
      </c>
      <c r="Y25" s="138">
        <f>SUMIFS(Dataset!AJ:AJ,Dataset!F:F,'renta fija'!$D$11,Dataset!AH:AH,"bono de gobierno",Dataset!T:T,"US$",Dataset!J:J,"&lt;"&amp;$S25/365,Dataset!J:J,"&gt;="&amp;$R25/365)</f>
        <v>0</v>
      </c>
      <c r="Z25" s="138">
        <f>SUMIFS(Dataset!AJ:AJ,Dataset!F:F,'renta fija'!$D$11,Dataset!AH:AH,"bono corporativo",Dataset!T:T,"$",Dataset!J:J,"&lt;"&amp;$S25/365,Dataset!J:J,"&gt;="&amp;$R25/365)</f>
        <v>0</v>
      </c>
      <c r="AA25" s="138">
        <f>SUMIFS(Dataset!AJ:AJ,Dataset!F:F,'renta fija'!$D$11,Dataset!AH:AH,"bono corporativo",Dataset!T:T,"UF",Dataset!J:J,"&lt;"&amp;$S25/365,Dataset!J:J,"&gt;="&amp;$R25/365)</f>
        <v>0</v>
      </c>
      <c r="AB25" s="138">
        <f>SUMIFS(Dataset!AJ:AJ,Dataset!F:F,'renta fija'!$D$11,Dataset!AH:AH,"bono corporativo",Dataset!T:T,"US$",Dataset!J:J,"&lt;"&amp;$S25/365,Dataset!J:J,"&gt;="&amp;$R25/365)</f>
        <v>0</v>
      </c>
      <c r="AC25" s="138">
        <f>SUMIFS(Dataset!AJ:AJ,Dataset!F:F,'renta fija'!$D$11,Dataset!AH:AH,"&lt;&gt;letra hipotecaria",Dataset!AH:AH,"&lt;&gt;bono corporativo",Dataset!AH:AH,"&lt;&gt;deposito",Dataset!AH:AH,"&lt;&gt;bono de gobierno",Dataset!J:J,"&lt;"&amp;$S25/365,Dataset!J:J,"&gt;="&amp;$R25/365)</f>
        <v>0</v>
      </c>
      <c r="AD25" s="142">
        <f t="shared" si="0"/>
        <v>0</v>
      </c>
      <c r="AE25" s="142">
        <f>SUMIFS(Dataset!AQ:AQ,Dataset!F:F,'renta fija'!$D$11,Dataset!J:J,"&lt;"&amp;$S25/365,Dataset!J:J,"&gt;="&amp;$R25/365)</f>
        <v>0</v>
      </c>
      <c r="AF25" s="143">
        <f>IFERROR(SUMIFS(Dataset!AQ:AQ,Dataset!F:F,'renta fija'!$D$11,Dataset!J:J,"&lt;"&amp;$S25/365,Dataset!J:J,"&gt;="&amp;$R25/365)/AD25,0)</f>
        <v>0</v>
      </c>
    </row>
    <row r="26" spans="3:32" ht="62.25" customHeight="1" x14ac:dyDescent="0.8">
      <c r="C26" s="131" t="s">
        <v>65</v>
      </c>
      <c r="D26" s="132">
        <f>SUMIFS(Dataset!AK:AK,Dataset!F:F,'renta fija'!D11,Dataset!AH:AH,"factura")</f>
        <v>0</v>
      </c>
      <c r="E26" s="133">
        <f>SUMIFS(Dataset!V:V,Dataset!F:F,'renta fija'!D11,Dataset!AH:AH,"factura")/1000000</f>
        <v>0</v>
      </c>
      <c r="F26" s="134">
        <f>SUMIFS(Dataset!H:H,Dataset!F:F,'renta fija'!D11,Dataset!AH:AH,"factura")*365</f>
        <v>0</v>
      </c>
      <c r="G26" s="132">
        <f>SUMIFS(Dataset!AQ:AQ,Dataset!F:F,'renta fija'!D11,Dataset!AH:AH,"factura")</f>
        <v>0</v>
      </c>
      <c r="H26" s="132">
        <f>SUMIFS(Dataset!I:I,Dataset!F:F,'renta fija'!D11,Dataset!AH:AH,"factura")</f>
        <v>0</v>
      </c>
      <c r="I26" s="132">
        <f>SUMIFS(Dataset!AA:AA,Dataset!F:F,'renta fija'!D11,Dataset!AH:AH,"factura")</f>
        <v>0</v>
      </c>
      <c r="K26" s="135">
        <v>10</v>
      </c>
      <c r="L26" s="132" t="str">
        <f>IFERROR(INDEX(Dataset!X:X,MATCH(_xlfn.AGGREGATE(14,6,Dataset!I:I/(Dataset!F:F=$D$11),K26),Dataset!I:I,0),1),"-")</f>
        <v>-</v>
      </c>
      <c r="M26" s="132" t="str">
        <f>IFERROR(INDEX(Dataset!AK:AK,MATCH(_xlfn.AGGREGATE(14,6,Dataset!I:I/(Dataset!F:F=$D$11),K26),Dataset!I:I,0),1),"-")</f>
        <v>-</v>
      </c>
      <c r="N26" s="132" t="str">
        <f>IFERROR(INDEX(Dataset!I:I,MATCH(_xlfn.AGGREGATE(14,6,Dataset!I:I/(Dataset!F:F=$D$11),K26),Dataset!I:I,0),1),"-")</f>
        <v>-</v>
      </c>
      <c r="O26" s="132" t="str">
        <f>IFERROR(INDEX(Dataset!AA:AA,MATCH(_xlfn.AGGREGATE(14,6,Dataset!I:I/(Dataset!F:F=$D$11),K26),Dataset!I:I,0),1),"-")</f>
        <v>-</v>
      </c>
      <c r="P26" s="134" t="str">
        <f>IFERROR(INDEX(Dataset!J:J,MATCH(_xlfn.AGGREGATE(14,6,Dataset!I:I/(Dataset!F:F=$D$11),K26),Dataset!I:I,0),1),"-")</f>
        <v>-</v>
      </c>
      <c r="R26" s="135">
        <v>135</v>
      </c>
      <c r="S26" s="141">
        <v>150</v>
      </c>
      <c r="T26" s="138">
        <f>SUMIFS(Dataset!AJ:AJ,Dataset!F:F,'renta fija'!$D$11,Dataset!AH:AH,"deposito",Dataset!T:T,"$",Dataset!J:J,"&lt;"&amp;$S26/365,Dataset!J:J,"&gt;="&amp;$R26/365)</f>
        <v>0</v>
      </c>
      <c r="U26" s="138">
        <f>SUMIFS(Dataset!AJ:AJ,Dataset!F:F,'renta fija'!$D$11,Dataset!AH:AH,"deposito",Dataset!T:T,"uf",Dataset!J:J,"&lt;"&amp;$S26/365,Dataset!J:J,"&gt;="&amp;$R26/365)</f>
        <v>0</v>
      </c>
      <c r="V26" s="138">
        <f>SUMIFS(Dataset!AJ:AJ,Dataset!F:F,'renta fija'!$D$11,Dataset!AH:AH,"deposito",Dataset!T:T,"us$",Dataset!J:J,"&lt;"&amp;$S26/365,Dataset!J:J,"&gt;="&amp;$R26/365)</f>
        <v>0</v>
      </c>
      <c r="W26" s="138">
        <f>SUMIFS(Dataset!AJ:AJ,Dataset!F:F,'renta fija'!$D$11,Dataset!AH:AH,"bono de gobierno",Dataset!T:T,"$",Dataset!J:J,"&lt;"&amp;$S26/365,Dataset!J:J,"&gt;="&amp;$R26/365)</f>
        <v>0</v>
      </c>
      <c r="X26" s="138">
        <f>SUMIFS(Dataset!AJ:AJ,Dataset!F:F,'renta fija'!$D$11,Dataset!AH:AH,"bono de gobierno",Dataset!T:T,"UF",Dataset!J:J,"&lt;"&amp;$S26/365,Dataset!J:J,"&gt;="&amp;$R26/365)</f>
        <v>0</v>
      </c>
      <c r="Y26" s="138">
        <f>SUMIFS(Dataset!AJ:AJ,Dataset!F:F,'renta fija'!$D$11,Dataset!AH:AH,"bono de gobierno",Dataset!T:T,"US$",Dataset!J:J,"&lt;"&amp;$S26/365,Dataset!J:J,"&gt;="&amp;$R26/365)</f>
        <v>0</v>
      </c>
      <c r="Z26" s="138">
        <f>SUMIFS(Dataset!AJ:AJ,Dataset!F:F,'renta fija'!$D$11,Dataset!AH:AH,"bono corporativo",Dataset!T:T,"$",Dataset!J:J,"&lt;"&amp;$S26/365,Dataset!J:J,"&gt;="&amp;$R26/365)</f>
        <v>0</v>
      </c>
      <c r="AA26" s="138">
        <f>SUMIFS(Dataset!AJ:AJ,Dataset!F:F,'renta fija'!$D$11,Dataset!AH:AH,"bono corporativo",Dataset!T:T,"UF",Dataset!J:J,"&lt;"&amp;$S26/365,Dataset!J:J,"&gt;="&amp;$R26/365)</f>
        <v>0</v>
      </c>
      <c r="AB26" s="138">
        <f>SUMIFS(Dataset!AJ:AJ,Dataset!F:F,'renta fija'!$D$11,Dataset!AH:AH,"bono corporativo",Dataset!T:T,"US$",Dataset!J:J,"&lt;"&amp;$S26/365,Dataset!J:J,"&gt;="&amp;$R26/365)</f>
        <v>0</v>
      </c>
      <c r="AC26" s="138">
        <f>SUMIFS(Dataset!AJ:AJ,Dataset!F:F,'renta fija'!$D$11,Dataset!AH:AH,"&lt;&gt;letra hipotecaria",Dataset!AH:AH,"&lt;&gt;bono corporativo",Dataset!AH:AH,"&lt;&gt;deposito",Dataset!AH:AH,"&lt;&gt;bono de gobierno",Dataset!J:J,"&lt;"&amp;$S26/365,Dataset!J:J,"&gt;="&amp;$R26/365)</f>
        <v>0</v>
      </c>
      <c r="AD26" s="142">
        <f t="shared" si="0"/>
        <v>0</v>
      </c>
      <c r="AE26" s="142">
        <f>SUMIFS(Dataset!AQ:AQ,Dataset!F:F,'renta fija'!$D$11,Dataset!J:J,"&lt;"&amp;$S26/365,Dataset!J:J,"&gt;="&amp;$R26/365)</f>
        <v>0</v>
      </c>
      <c r="AF26" s="143">
        <f>IFERROR(SUMIFS(Dataset!AQ:AQ,Dataset!F:F,'renta fija'!$D$11,Dataset!J:J,"&lt;"&amp;$S26/365,Dataset!J:J,"&gt;="&amp;$R26/365)/AD26,0)</f>
        <v>0</v>
      </c>
    </row>
    <row r="27" spans="3:32" ht="62.25" customHeight="1" x14ac:dyDescent="0.8">
      <c r="C27" s="131" t="s">
        <v>99</v>
      </c>
      <c r="D27" s="132">
        <f>SUMIFS(Dataset!AK:AK,Dataset!F:F,'renta fija'!D11,Dataset!AH:AH,"fx forward", Dataset!T:T,"$")</f>
        <v>0</v>
      </c>
      <c r="E27" s="133">
        <f>SUMIFS(Dataset!V:V,Dataset!F:F,'renta fija'!D11,Dataset!AH:AH,"fx forward", Dataset!T:T,"$")/1000000</f>
        <v>0</v>
      </c>
      <c r="F27" s="134">
        <f>SUMIFS(Dataset!H:H,Dataset!F:F,'renta fija'!D11,Dataset!AH:AH,"fx forward", Dataset!T:T,"$")*365</f>
        <v>0</v>
      </c>
      <c r="G27" s="132">
        <f>SUMIFS(Dataset!AQ:AQ,Dataset!F:F,'renta fija'!D11,Dataset!AH:AH,"fx forward", Dataset!T:T,"$")</f>
        <v>0</v>
      </c>
      <c r="H27" s="132">
        <f>SUMIFS(Dataset!I:I,Dataset!F:F,'renta fija'!D11,Dataset!AH:AH,"fx forward", Dataset!T:T,"$")</f>
        <v>0</v>
      </c>
      <c r="I27" s="132">
        <f>SUMIFS(Dataset!AA:AA,Dataset!F:F,'renta fija'!D11,Dataset!AH:AH,"fx forward", Dataset!T:T,"$")</f>
        <v>0</v>
      </c>
      <c r="R27" s="135">
        <v>150</v>
      </c>
      <c r="S27" s="141">
        <v>165</v>
      </c>
      <c r="T27" s="138">
        <f>SUMIFS(Dataset!AJ:AJ,Dataset!F:F,'renta fija'!$D$11,Dataset!AH:AH,"deposito",Dataset!T:T,"$",Dataset!J:J,"&lt;"&amp;$S27/365,Dataset!J:J,"&gt;="&amp;$R27/365)</f>
        <v>0</v>
      </c>
      <c r="U27" s="138">
        <f>SUMIFS(Dataset!AJ:AJ,Dataset!F:F,'renta fija'!$D$11,Dataset!AH:AH,"deposito",Dataset!T:T,"uf",Dataset!J:J,"&lt;"&amp;$S27/365,Dataset!J:J,"&gt;="&amp;$R27/365)</f>
        <v>0</v>
      </c>
      <c r="V27" s="138">
        <f>SUMIFS(Dataset!AJ:AJ,Dataset!F:F,'renta fija'!$D$11,Dataset!AH:AH,"deposito",Dataset!T:T,"us$",Dataset!J:J,"&lt;"&amp;$S27/365,Dataset!J:J,"&gt;="&amp;$R27/365)</f>
        <v>0</v>
      </c>
      <c r="W27" s="138">
        <f>SUMIFS(Dataset!AJ:AJ,Dataset!F:F,'renta fija'!$D$11,Dataset!AH:AH,"bono de gobierno",Dataset!T:T,"$",Dataset!J:J,"&lt;"&amp;$S27/365,Dataset!J:J,"&gt;="&amp;$R27/365)</f>
        <v>0</v>
      </c>
      <c r="X27" s="138">
        <f>SUMIFS(Dataset!AJ:AJ,Dataset!F:F,'renta fija'!$D$11,Dataset!AH:AH,"bono de gobierno",Dataset!T:T,"UF",Dataset!J:J,"&lt;"&amp;$S27/365,Dataset!J:J,"&gt;="&amp;$R27/365)</f>
        <v>0</v>
      </c>
      <c r="Y27" s="138">
        <f>SUMIFS(Dataset!AJ:AJ,Dataset!F:F,'renta fija'!$D$11,Dataset!AH:AH,"bono de gobierno",Dataset!T:T,"US$",Dataset!J:J,"&lt;"&amp;$S27/365,Dataset!J:J,"&gt;="&amp;$R27/365)</f>
        <v>0</v>
      </c>
      <c r="Z27" s="138">
        <f>SUMIFS(Dataset!AJ:AJ,Dataset!F:F,'renta fija'!$D$11,Dataset!AH:AH,"bono corporativo",Dataset!T:T,"$",Dataset!J:J,"&lt;"&amp;$S27/365,Dataset!J:J,"&gt;="&amp;$R27/365)</f>
        <v>0</v>
      </c>
      <c r="AA27" s="138">
        <f>SUMIFS(Dataset!AJ:AJ,Dataset!F:F,'renta fija'!$D$11,Dataset!AH:AH,"bono corporativo",Dataset!T:T,"UF",Dataset!J:J,"&lt;"&amp;$S27/365,Dataset!J:J,"&gt;="&amp;$R27/365)</f>
        <v>0</v>
      </c>
      <c r="AB27" s="138">
        <f>SUMIFS(Dataset!AJ:AJ,Dataset!F:F,'renta fija'!$D$11,Dataset!AH:AH,"bono corporativo",Dataset!T:T,"US$",Dataset!J:J,"&lt;"&amp;$S27/365,Dataset!J:J,"&gt;="&amp;$R27/365)</f>
        <v>0</v>
      </c>
      <c r="AC27" s="138">
        <f>SUMIFS(Dataset!AJ:AJ,Dataset!F:F,'renta fija'!$D$11,Dataset!AH:AH,"&lt;&gt;letra hipotecaria",Dataset!AH:AH,"&lt;&gt;bono corporativo",Dataset!AH:AH,"&lt;&gt;deposito",Dataset!AH:AH,"&lt;&gt;bono de gobierno",Dataset!J:J,"&lt;"&amp;$S27/365,Dataset!J:J,"&gt;="&amp;$R27/365)</f>
        <v>0</v>
      </c>
      <c r="AD27" s="142">
        <f t="shared" si="0"/>
        <v>0</v>
      </c>
      <c r="AE27" s="142">
        <f>SUMIFS(Dataset!AQ:AQ,Dataset!F:F,'renta fija'!$D$11,Dataset!J:J,"&lt;"&amp;$S27/365,Dataset!J:J,"&gt;="&amp;$R27/365)</f>
        <v>0</v>
      </c>
      <c r="AF27" s="143">
        <f>IFERROR(SUMIFS(Dataset!AQ:AQ,Dataset!F:F,'renta fija'!$D$11,Dataset!J:J,"&lt;"&amp;$S27/365,Dataset!J:J,"&gt;="&amp;$R27/365)/AD27,0)</f>
        <v>0</v>
      </c>
    </row>
    <row r="28" spans="3:32" ht="62.25" customHeight="1" x14ac:dyDescent="0.8">
      <c r="C28" s="131" t="s">
        <v>119</v>
      </c>
      <c r="D28" s="132">
        <f>SUMIFS(Dataset!AK:AK,Dataset!F:F,'renta fija'!D11,Dataset!AH:AH,"fx forward", Dataset!T:T,"uf")</f>
        <v>0</v>
      </c>
      <c r="E28" s="133">
        <f>SUMIFS(Dataset!V:V,Dataset!F:F,'renta fija'!D11,Dataset!AH:AH,"fx forward", Dataset!T:T,"uf")/1000000</f>
        <v>0</v>
      </c>
      <c r="F28" s="134">
        <f>SUMIFS(Dataset!H:H,Dataset!F:F,'renta fija'!D11,Dataset!AH:AH,"fx forward", Dataset!T:T,"uf")*365</f>
        <v>0</v>
      </c>
      <c r="G28" s="132">
        <f>SUMIFS(Dataset!AQ:AQ,Dataset!F:F,'renta fija'!D11,Dataset!AH:AH,"fx forward", Dataset!T:T,"uf")</f>
        <v>0</v>
      </c>
      <c r="H28" s="132">
        <f>SUMIFS(Dataset!I:I,Dataset!F:F,'renta fija'!D11,Dataset!AH:AH,"fx forward", Dataset!T:T,"uf")</f>
        <v>0</v>
      </c>
      <c r="I28" s="132">
        <f>SUMIFS(Dataset!AA:AA,Dataset!F:F,'renta fija'!D11,Dataset!AH:AH,"fx forward", Dataset!T:T,"uf")</f>
        <v>0</v>
      </c>
      <c r="R28" s="135">
        <v>165</v>
      </c>
      <c r="S28" s="141">
        <v>180</v>
      </c>
      <c r="T28" s="138">
        <f>SUMIFS(Dataset!AJ:AJ,Dataset!F:F,'renta fija'!$D$11,Dataset!AH:AH,"deposito",Dataset!T:T,"$",Dataset!J:J,"&lt;"&amp;$S28/365,Dataset!J:J,"&gt;="&amp;$R28/365)</f>
        <v>0</v>
      </c>
      <c r="U28" s="138">
        <f>SUMIFS(Dataset!AJ:AJ,Dataset!F:F,'renta fija'!$D$11,Dataset!AH:AH,"deposito",Dataset!T:T,"uf",Dataset!J:J,"&lt;"&amp;$S28/365,Dataset!J:J,"&gt;="&amp;$R28/365)</f>
        <v>0</v>
      </c>
      <c r="V28" s="138">
        <f>SUMIFS(Dataset!AJ:AJ,Dataset!F:F,'renta fija'!$D$11,Dataset!AH:AH,"deposito",Dataset!T:T,"us$",Dataset!J:J,"&lt;"&amp;$S28/365,Dataset!J:J,"&gt;="&amp;$R28/365)</f>
        <v>0</v>
      </c>
      <c r="W28" s="138">
        <f>SUMIFS(Dataset!AJ:AJ,Dataset!F:F,'renta fija'!$D$11,Dataset!AH:AH,"bono de gobierno",Dataset!T:T,"$",Dataset!J:J,"&lt;"&amp;$S28/365,Dataset!J:J,"&gt;="&amp;$R28/365)</f>
        <v>0</v>
      </c>
      <c r="X28" s="138">
        <f>SUMIFS(Dataset!AJ:AJ,Dataset!F:F,'renta fija'!$D$11,Dataset!AH:AH,"bono de gobierno",Dataset!T:T,"UF",Dataset!J:J,"&lt;"&amp;$S28/365,Dataset!J:J,"&gt;="&amp;$R28/365)</f>
        <v>0</v>
      </c>
      <c r="Y28" s="138">
        <f>SUMIFS(Dataset!AJ:AJ,Dataset!F:F,'renta fija'!$D$11,Dataset!AH:AH,"bono de gobierno",Dataset!T:T,"US$",Dataset!J:J,"&lt;"&amp;$S28/365,Dataset!J:J,"&gt;="&amp;$R28/365)</f>
        <v>0</v>
      </c>
      <c r="Z28" s="138">
        <f>SUMIFS(Dataset!AJ:AJ,Dataset!F:F,'renta fija'!$D$11,Dataset!AH:AH,"bono corporativo",Dataset!T:T,"$",Dataset!J:J,"&lt;"&amp;$S28/365,Dataset!J:J,"&gt;="&amp;$R28/365)</f>
        <v>0</v>
      </c>
      <c r="AA28" s="138">
        <f>SUMIFS(Dataset!AJ:AJ,Dataset!F:F,'renta fija'!$D$11,Dataset!AH:AH,"bono corporativo",Dataset!T:T,"UF",Dataset!J:J,"&lt;"&amp;$S28/365,Dataset!J:J,"&gt;="&amp;$R28/365)</f>
        <v>0</v>
      </c>
      <c r="AB28" s="138">
        <f>SUMIFS(Dataset!AJ:AJ,Dataset!F:F,'renta fija'!$D$11,Dataset!AH:AH,"bono corporativo",Dataset!T:T,"US$",Dataset!J:J,"&lt;"&amp;$S28/365,Dataset!J:J,"&gt;="&amp;$R28/365)</f>
        <v>0</v>
      </c>
      <c r="AC28" s="138">
        <f>SUMIFS(Dataset!AJ:AJ,Dataset!F:F,'renta fija'!$D$11,Dataset!AH:AH,"&lt;&gt;letra hipotecaria",Dataset!AH:AH,"&lt;&gt;bono corporativo",Dataset!AH:AH,"&lt;&gt;deposito",Dataset!AH:AH,"&lt;&gt;bono de gobierno",Dataset!J:J,"&lt;"&amp;$S28/365,Dataset!J:J,"&gt;="&amp;$R28/365)</f>
        <v>0</v>
      </c>
      <c r="AD28" s="142">
        <f t="shared" si="0"/>
        <v>0</v>
      </c>
      <c r="AE28" s="142">
        <f>SUMIFS(Dataset!AQ:AQ,Dataset!F:F,'renta fija'!$D$11,Dataset!J:J,"&lt;"&amp;$S28/365,Dataset!J:J,"&gt;="&amp;$R28/365)</f>
        <v>0</v>
      </c>
      <c r="AF28" s="143">
        <f>IFERROR(SUMIFS(Dataset!AQ:AQ,Dataset!F:F,'renta fija'!$D$11,Dataset!J:J,"&lt;"&amp;$S28/365,Dataset!J:J,"&gt;="&amp;$R28/365)/AD28,0)</f>
        <v>0</v>
      </c>
    </row>
    <row r="29" spans="3:32" ht="89.25" customHeight="1" x14ac:dyDescent="0.8">
      <c r="C29" s="131" t="s">
        <v>100</v>
      </c>
      <c r="D29" s="132">
        <f>SUMIFS(Dataset!AK:AK,Dataset!F:F,'renta fija'!D11,Dataset!AH:AH,"fx forward", Dataset!T:T,"us$")</f>
        <v>0</v>
      </c>
      <c r="E29" s="133">
        <f>SUMIFS(Dataset!V:V,Dataset!F:F,'renta fija'!D11,Dataset!AH:AH,"fx forward", Dataset!T:T,"us$")/1000000</f>
        <v>0</v>
      </c>
      <c r="F29" s="134">
        <f>SUMIFS(Dataset!H:H,Dataset!F:F,'renta fija'!D11,Dataset!AH:AH,"fx forward", Dataset!T:T,"us$")*365</f>
        <v>0</v>
      </c>
      <c r="G29" s="132">
        <f>SUMIFS(Dataset!AQ:AQ,Dataset!F:F,'renta fija'!D11,Dataset!AH:AH,"fx forward", Dataset!T:T,"us$")</f>
        <v>0</v>
      </c>
      <c r="H29" s="132">
        <f>SUMIFS(Dataset!I:I,Dataset!F:F,'renta fija'!D11,Dataset!AH:AH,"fx forward", Dataset!T:T,"us$")</f>
        <v>0</v>
      </c>
      <c r="I29" s="132">
        <f>SUMIFS(Dataset!AA:AA,Dataset!F:F,'renta fija'!D11,Dataset!AH:AH,"fx forward", Dataset!T:T,"us$")</f>
        <v>0</v>
      </c>
      <c r="K29" s="186" t="s">
        <v>267</v>
      </c>
      <c r="L29" s="186"/>
      <c r="M29" s="186"/>
      <c r="N29" s="186"/>
      <c r="O29" s="186"/>
      <c r="P29" s="186"/>
      <c r="R29" s="135">
        <v>180</v>
      </c>
      <c r="S29" s="141">
        <v>195</v>
      </c>
      <c r="T29" s="138">
        <f>SUMIFS(Dataset!AJ:AJ,Dataset!F:F,'renta fija'!$D$11,Dataset!AH:AH,"deposito",Dataset!T:T,"$",Dataset!J:J,"&lt;"&amp;$S29/365,Dataset!J:J,"&gt;="&amp;$R29/365)</f>
        <v>0</v>
      </c>
      <c r="U29" s="138">
        <f>SUMIFS(Dataset!AJ:AJ,Dataset!F:F,'renta fija'!$D$11,Dataset!AH:AH,"deposito",Dataset!T:T,"uf",Dataset!J:J,"&lt;"&amp;$S29/365,Dataset!J:J,"&gt;="&amp;$R29/365)</f>
        <v>0</v>
      </c>
      <c r="V29" s="138">
        <f>SUMIFS(Dataset!AJ:AJ,Dataset!F:F,'renta fija'!$D$11,Dataset!AH:AH,"deposito",Dataset!T:T,"us$",Dataset!J:J,"&lt;"&amp;$S29/365,Dataset!J:J,"&gt;="&amp;$R29/365)</f>
        <v>0</v>
      </c>
      <c r="W29" s="138">
        <f>SUMIFS(Dataset!AJ:AJ,Dataset!F:F,'renta fija'!$D$11,Dataset!AH:AH,"bono de gobierno",Dataset!T:T,"$",Dataset!J:J,"&lt;"&amp;$S29/365,Dataset!J:J,"&gt;="&amp;$R29/365)</f>
        <v>0</v>
      </c>
      <c r="X29" s="138">
        <f>SUMIFS(Dataset!AJ:AJ,Dataset!F:F,'renta fija'!$D$11,Dataset!AH:AH,"bono de gobierno",Dataset!T:T,"UF",Dataset!J:J,"&lt;"&amp;$S29/365,Dataset!J:J,"&gt;="&amp;$R29/365)</f>
        <v>0</v>
      </c>
      <c r="Y29" s="138">
        <f>SUMIFS(Dataset!AJ:AJ,Dataset!F:F,'renta fija'!$D$11,Dataset!AH:AH,"bono de gobierno",Dataset!T:T,"US$",Dataset!J:J,"&lt;"&amp;$S29/365,Dataset!J:J,"&gt;="&amp;$R29/365)</f>
        <v>0</v>
      </c>
      <c r="Z29" s="138">
        <f>SUMIFS(Dataset!AJ:AJ,Dataset!F:F,'renta fija'!$D$11,Dataset!AH:AH,"bono corporativo",Dataset!T:T,"$",Dataset!J:J,"&lt;"&amp;$S29/365,Dataset!J:J,"&gt;="&amp;$R29/365)</f>
        <v>0</v>
      </c>
      <c r="AA29" s="138">
        <f>SUMIFS(Dataset!AJ:AJ,Dataset!F:F,'renta fija'!$D$11,Dataset!AH:AH,"bono corporativo",Dataset!T:T,"UF",Dataset!J:J,"&lt;"&amp;$S29/365,Dataset!J:J,"&gt;="&amp;$R29/365)</f>
        <v>0</v>
      </c>
      <c r="AB29" s="138">
        <f>SUMIFS(Dataset!AJ:AJ,Dataset!F:F,'renta fija'!$D$11,Dataset!AH:AH,"bono corporativo",Dataset!T:T,"US$",Dataset!J:J,"&lt;"&amp;$S29/365,Dataset!J:J,"&gt;="&amp;$R29/365)</f>
        <v>0</v>
      </c>
      <c r="AC29" s="138">
        <f>SUMIFS(Dataset!AJ:AJ,Dataset!F:F,'renta fija'!$D$11,Dataset!AH:AH,"&lt;&gt;letra hipotecaria",Dataset!AH:AH,"&lt;&gt;bono corporativo",Dataset!AH:AH,"&lt;&gt;deposito",Dataset!AH:AH,"&lt;&gt;bono de gobierno",Dataset!J:J,"&lt;"&amp;$S29/365,Dataset!J:J,"&gt;="&amp;$R29/365)</f>
        <v>0</v>
      </c>
      <c r="AD29" s="142">
        <f t="shared" si="0"/>
        <v>0</v>
      </c>
      <c r="AE29" s="142">
        <f>SUMIFS(Dataset!AQ:AQ,Dataset!F:F,'renta fija'!$D$11,Dataset!J:J,"&lt;"&amp;$S29/365,Dataset!J:J,"&gt;="&amp;$R29/365)</f>
        <v>0</v>
      </c>
      <c r="AF29" s="143">
        <f>IFERROR(SUMIFS(Dataset!AQ:AQ,Dataset!F:F,'renta fija'!$D$11,Dataset!J:J,"&lt;"&amp;$S29/365,Dataset!J:J,"&gt;="&amp;$R29/365)/AD29,0)</f>
        <v>0</v>
      </c>
    </row>
    <row r="30" spans="3:32" ht="62.25" customHeight="1" x14ac:dyDescent="0.8">
      <c r="C30" s="131" t="s">
        <v>101</v>
      </c>
      <c r="D30" s="132">
        <f>SUMIFS(Dataset!AK:AK,Dataset!F:F,'renta fija'!D11,Dataset!AH:AH,"fx", Dataset!T:T,"$")</f>
        <v>0</v>
      </c>
      <c r="E30" s="133">
        <f>SUMIFS(Dataset!V:V,Dataset!F:F,'renta fija'!D11,Dataset!AH:AH,"fx", Dataset!T:T,"$")/1000000</f>
        <v>0</v>
      </c>
      <c r="F30" s="134">
        <f>SUMIFS(Dataset!H:H,Dataset!F:F,'renta fija'!D11,Dataset!AH:AH,"fx", Dataset!T:T,"$")*365</f>
        <v>0</v>
      </c>
      <c r="G30" s="132">
        <f>SUMIFS(Dataset!AQ:AQ,Dataset!F:F,'renta fija'!D11,Dataset!AH:AH,"fx", Dataset!T:T,"$")</f>
        <v>0</v>
      </c>
      <c r="H30" s="132">
        <f>SUMIFS(Dataset!I:I,Dataset!F:F,'renta fija'!D11,Dataset!AH:AH,"fx", Dataset!T:T,"$")</f>
        <v>0</v>
      </c>
      <c r="I30" s="132">
        <f>SUMIFS(Dataset!AA:AA,Dataset!F:F,'renta fija'!D11,Dataset!AH:AH,"fx", Dataset!T:T,"$")</f>
        <v>0</v>
      </c>
      <c r="R30" s="135">
        <v>195</v>
      </c>
      <c r="S30" s="141">
        <v>210</v>
      </c>
      <c r="T30" s="138">
        <f>SUMIFS(Dataset!AJ:AJ,Dataset!F:F,'renta fija'!$D$11,Dataset!AH:AH,"deposito",Dataset!T:T,"$",Dataset!J:J,"&lt;"&amp;$S30/365,Dataset!J:J,"&gt;="&amp;$R30/365)</f>
        <v>0</v>
      </c>
      <c r="U30" s="138">
        <f>SUMIFS(Dataset!AJ:AJ,Dataset!F:F,'renta fija'!$D$11,Dataset!AH:AH,"deposito",Dataset!T:T,"uf",Dataset!J:J,"&lt;"&amp;$S30/365,Dataset!J:J,"&gt;="&amp;$R30/365)</f>
        <v>0</v>
      </c>
      <c r="V30" s="138">
        <f>SUMIFS(Dataset!AJ:AJ,Dataset!F:F,'renta fija'!$D$11,Dataset!AH:AH,"deposito",Dataset!T:T,"us$",Dataset!J:J,"&lt;"&amp;$S30/365,Dataset!J:J,"&gt;="&amp;$R30/365)</f>
        <v>0</v>
      </c>
      <c r="W30" s="138">
        <f>SUMIFS(Dataset!AJ:AJ,Dataset!F:F,'renta fija'!$D$11,Dataset!AH:AH,"bono de gobierno",Dataset!T:T,"$",Dataset!J:J,"&lt;"&amp;$S30/365,Dataset!J:J,"&gt;="&amp;$R30/365)</f>
        <v>0</v>
      </c>
      <c r="X30" s="138">
        <f>SUMIFS(Dataset!AJ:AJ,Dataset!F:F,'renta fija'!$D$11,Dataset!AH:AH,"bono de gobierno",Dataset!T:T,"UF",Dataset!J:J,"&lt;"&amp;$S30/365,Dataset!J:J,"&gt;="&amp;$R30/365)</f>
        <v>0</v>
      </c>
      <c r="Y30" s="138">
        <f>SUMIFS(Dataset!AJ:AJ,Dataset!F:F,'renta fija'!$D$11,Dataset!AH:AH,"bono de gobierno",Dataset!T:T,"US$",Dataset!J:J,"&lt;"&amp;$S30/365,Dataset!J:J,"&gt;="&amp;$R30/365)</f>
        <v>0</v>
      </c>
      <c r="Z30" s="138">
        <f>SUMIFS(Dataset!AJ:AJ,Dataset!F:F,'renta fija'!$D$11,Dataset!AH:AH,"bono corporativo",Dataset!T:T,"$",Dataset!J:J,"&lt;"&amp;$S30/365,Dataset!J:J,"&gt;="&amp;$R30/365)</f>
        <v>0</v>
      </c>
      <c r="AA30" s="138">
        <f>SUMIFS(Dataset!AJ:AJ,Dataset!F:F,'renta fija'!$D$11,Dataset!AH:AH,"bono corporativo",Dataset!T:T,"UF",Dataset!J:J,"&lt;"&amp;$S30/365,Dataset!J:J,"&gt;="&amp;$R30/365)</f>
        <v>0</v>
      </c>
      <c r="AB30" s="138">
        <f>SUMIFS(Dataset!AJ:AJ,Dataset!F:F,'renta fija'!$D$11,Dataset!AH:AH,"bono corporativo",Dataset!T:T,"US$",Dataset!J:J,"&lt;"&amp;$S30/365,Dataset!J:J,"&gt;="&amp;$R30/365)</f>
        <v>0</v>
      </c>
      <c r="AC30" s="138">
        <f>SUMIFS(Dataset!AJ:AJ,Dataset!F:F,'renta fija'!$D$11,Dataset!AH:AH,"&lt;&gt;letra hipotecaria",Dataset!AH:AH,"&lt;&gt;bono corporativo",Dataset!AH:AH,"&lt;&gt;deposito",Dataset!AH:AH,"&lt;&gt;bono de gobierno",Dataset!J:J,"&lt;"&amp;$S30/365,Dataset!J:J,"&gt;="&amp;$R30/365)</f>
        <v>0</v>
      </c>
      <c r="AD30" s="142">
        <f t="shared" si="0"/>
        <v>0</v>
      </c>
      <c r="AE30" s="142">
        <f>SUMIFS(Dataset!AQ:AQ,Dataset!F:F,'renta fija'!$D$11,Dataset!J:J,"&lt;"&amp;$S30/365,Dataset!J:J,"&gt;="&amp;$R30/365)</f>
        <v>0</v>
      </c>
      <c r="AF30" s="143">
        <f>IFERROR(SUMIFS(Dataset!AQ:AQ,Dataset!F:F,'renta fija'!$D$11,Dataset!J:J,"&lt;"&amp;$S30/365,Dataset!J:J,"&gt;="&amp;$R30/365)/AD30,0)</f>
        <v>0</v>
      </c>
    </row>
    <row r="31" spans="3:32" ht="62.25" customHeight="1" x14ac:dyDescent="0.8">
      <c r="C31" s="131" t="s">
        <v>102</v>
      </c>
      <c r="D31" s="132">
        <f>SUMIFS(Dataset!AK:AK,Dataset!F:F,'renta fija'!D11,Dataset!AH:AH,"fx", Dataset!T:T,"us$")</f>
        <v>0</v>
      </c>
      <c r="E31" s="133">
        <f>SUMIFS(Dataset!V:V,Dataset!F:F,'renta fija'!D11,Dataset!AH:AH,"fx", Dataset!T:T,"us$")/1000000</f>
        <v>0</v>
      </c>
      <c r="F31" s="134">
        <f>SUMIFS(Dataset!H:H,Dataset!F:F,'renta fija'!D11,Dataset!AH:AH,"fx", Dataset!T:T,"us$")*365</f>
        <v>0</v>
      </c>
      <c r="G31" s="132">
        <f>SUMIFS(Dataset!AQ:AQ,Dataset!F:F,'renta fija'!D11,Dataset!AH:AH,"fx", Dataset!T:T,"us$")</f>
        <v>0</v>
      </c>
      <c r="H31" s="132">
        <f>SUMIFS(Dataset!I:I,Dataset!F:F,'renta fija'!D11,Dataset!AH:AH,"fx", Dataset!T:T,"us$")</f>
        <v>0</v>
      </c>
      <c r="I31" s="132">
        <f>SUMIFS(Dataset!AA:AA,Dataset!F:F,'renta fija'!D11,Dataset!AH:AH,"fx", Dataset!T:T,"us$")</f>
        <v>0</v>
      </c>
      <c r="K31" s="130" t="s">
        <v>85</v>
      </c>
      <c r="L31" s="130" t="s">
        <v>86</v>
      </c>
      <c r="M31" s="130" t="s">
        <v>70</v>
      </c>
      <c r="N31" s="130" t="s">
        <v>6</v>
      </c>
      <c r="O31" s="130" t="s">
        <v>21</v>
      </c>
      <c r="P31" s="130" t="s">
        <v>72</v>
      </c>
      <c r="R31" s="135">
        <v>210</v>
      </c>
      <c r="S31" s="141">
        <v>225</v>
      </c>
      <c r="T31" s="138">
        <f>SUMIFS(Dataset!AJ:AJ,Dataset!F:F,'renta fija'!$D$11,Dataset!AH:AH,"deposito",Dataset!T:T,"$",Dataset!J:J,"&lt;"&amp;$S31/365,Dataset!J:J,"&gt;="&amp;$R31/365)</f>
        <v>0</v>
      </c>
      <c r="U31" s="138">
        <f>SUMIFS(Dataset!AJ:AJ,Dataset!F:F,'renta fija'!$D$11,Dataset!AH:AH,"deposito",Dataset!T:T,"uf",Dataset!J:J,"&lt;"&amp;$S31/365,Dataset!J:J,"&gt;="&amp;$R31/365)</f>
        <v>0</v>
      </c>
      <c r="V31" s="138">
        <f>SUMIFS(Dataset!AJ:AJ,Dataset!F:F,'renta fija'!$D$11,Dataset!AH:AH,"deposito",Dataset!T:T,"us$",Dataset!J:J,"&lt;"&amp;$S31/365,Dataset!J:J,"&gt;="&amp;$R31/365)</f>
        <v>0</v>
      </c>
      <c r="W31" s="138">
        <f>SUMIFS(Dataset!AJ:AJ,Dataset!F:F,'renta fija'!$D$11,Dataset!AH:AH,"bono de gobierno",Dataset!T:T,"$",Dataset!J:J,"&lt;"&amp;$S31/365,Dataset!J:J,"&gt;="&amp;$R31/365)</f>
        <v>0</v>
      </c>
      <c r="X31" s="138">
        <f>SUMIFS(Dataset!AJ:AJ,Dataset!F:F,'renta fija'!$D$11,Dataset!AH:AH,"bono de gobierno",Dataset!T:T,"UF",Dataset!J:J,"&lt;"&amp;$S31/365,Dataset!J:J,"&gt;="&amp;$R31/365)</f>
        <v>0</v>
      </c>
      <c r="Y31" s="138">
        <f>SUMIFS(Dataset!AJ:AJ,Dataset!F:F,'renta fija'!$D$11,Dataset!AH:AH,"bono de gobierno",Dataset!T:T,"US$",Dataset!J:J,"&lt;"&amp;$S31/365,Dataset!J:J,"&gt;="&amp;$R31/365)</f>
        <v>0</v>
      </c>
      <c r="Z31" s="138">
        <f>SUMIFS(Dataset!AJ:AJ,Dataset!F:F,'renta fija'!$D$11,Dataset!AH:AH,"bono corporativo",Dataset!T:T,"$",Dataset!J:J,"&lt;"&amp;$S31/365,Dataset!J:J,"&gt;="&amp;$R31/365)</f>
        <v>0</v>
      </c>
      <c r="AA31" s="138">
        <f>SUMIFS(Dataset!AJ:AJ,Dataset!F:F,'renta fija'!$D$11,Dataset!AH:AH,"bono corporativo",Dataset!T:T,"UF",Dataset!J:J,"&lt;"&amp;$S31/365,Dataset!J:J,"&gt;="&amp;$R31/365)</f>
        <v>0</v>
      </c>
      <c r="AB31" s="138">
        <f>SUMIFS(Dataset!AJ:AJ,Dataset!F:F,'renta fija'!$D$11,Dataset!AH:AH,"bono corporativo",Dataset!T:T,"US$",Dataset!J:J,"&lt;"&amp;$S31/365,Dataset!J:J,"&gt;="&amp;$R31/365)</f>
        <v>0</v>
      </c>
      <c r="AC31" s="138">
        <f>SUMIFS(Dataset!AJ:AJ,Dataset!F:F,'renta fija'!$D$11,Dataset!AH:AH,"&lt;&gt;letra hipotecaria",Dataset!AH:AH,"&lt;&gt;bono corporativo",Dataset!AH:AH,"&lt;&gt;deposito",Dataset!AH:AH,"&lt;&gt;bono de gobierno",Dataset!J:J,"&lt;"&amp;$S31/365,Dataset!J:J,"&gt;="&amp;$R31/365)</f>
        <v>0</v>
      </c>
      <c r="AD31" s="142">
        <f t="shared" si="0"/>
        <v>0</v>
      </c>
      <c r="AE31" s="142">
        <f>SUMIFS(Dataset!AQ:AQ,Dataset!F:F,'renta fija'!$D$11,Dataset!J:J,"&lt;"&amp;$S31/365,Dataset!J:J,"&gt;="&amp;$R31/365)</f>
        <v>0</v>
      </c>
      <c r="AF31" s="143">
        <f>IFERROR(SUMIFS(Dataset!AQ:AQ,Dataset!F:F,'renta fija'!$D$11,Dataset!J:J,"&lt;"&amp;$S31/365,Dataset!J:J,"&gt;="&amp;$R31/365)/AD31,0)</f>
        <v>0</v>
      </c>
    </row>
    <row r="32" spans="3:32" ht="62.25" customHeight="1" x14ac:dyDescent="0.8">
      <c r="C32" s="131" t="s">
        <v>37</v>
      </c>
      <c r="D32" s="132">
        <f>SUMIFS(Dataset!AK:AK,Dataset!F:F,'renta fija'!D11,Dataset!AH:AH,"&lt;&gt;deposito",Dataset!AH:AH,"&lt;&gt;bono de gobierno",Dataset!AH:AH,"&lt;&gt;bono corporativo",Dataset!AH:AH,"&lt;&gt;factura",Dataset!AH:AH,"&lt;&gt;fx",Dataset!AH:AH,"&lt;&gt;fx forward")</f>
        <v>0</v>
      </c>
      <c r="E32" s="133">
        <f>SUMIFS(Dataset!V:V,Dataset!F:F,'renta fija'!D11,Dataset!AH:AH,"&lt;&gt;deposito",Dataset!AH:AH,"&lt;&gt;bono de gobierno",Dataset!AH:AH,"&lt;&gt;bono corporativo",Dataset!AH:AH,"&lt;&gt;factura",Dataset!AH:AH,"&lt;&gt;fx",Dataset!AH:AH,"&lt;&gt;fx forward")/1000000</f>
        <v>0</v>
      </c>
      <c r="F32" s="134">
        <f>SUMIFS(Dataset!H:H,Dataset!F:F,'renta fija'!D11,Dataset!AH:AH,"&lt;&gt;deposito",Dataset!AH:AH,"&lt;&gt;bono de gobierno",Dataset!AH:AH,"&lt;&gt;bono corporativo",Dataset!AH:AH,"&lt;&gt;factura",Dataset!AH:AH,"&lt;&gt;fx",Dataset!AH:AH,"&lt;&gt;fx forward")*365</f>
        <v>0</v>
      </c>
      <c r="G32" s="132">
        <f>SUMIFS(Dataset!AQ:AQ,Dataset!F:F,'renta fija'!D11,Dataset!AH:AH,"&lt;&gt;deposito",Dataset!AH:AH,"&lt;&gt;bono de gobierno",Dataset!AH:AH,"&lt;&gt;bono corporativo",Dataset!AH:AH,"&lt;&gt;factura",Dataset!AH:AH,"&lt;&gt;fx",Dataset!AH:AH,"&lt;&gt;fx forward")</f>
        <v>0</v>
      </c>
      <c r="H32" s="132">
        <f>SUMIFS(Dataset!I:I,Dataset!F:F,'renta fija'!D11,Dataset!AH:AH,"&lt;&gt;deposito",Dataset!AH:AH,"&lt;&gt;bono de gobierno",Dataset!AH:AH,"&lt;&gt;bono corporativo",Dataset!AH:AH,"&lt;&gt;factura",Dataset!AH:AH,"&lt;&gt;fx",Dataset!AH:AH,"&lt;&gt;fx forward")</f>
        <v>0</v>
      </c>
      <c r="I32" s="132">
        <f>SUMIFS(Dataset!AA:AA,Dataset!F:F,'renta fija'!D11,Dataset!AH:AH,"&lt;&gt;deposito",Dataset!AH:AH,"&lt;&gt;bono de gobierno",Dataset!AH:AH,"&lt;&gt;bono corporativo",Dataset!AH:AH,"&lt;&gt;factura",Dataset!AH:AH,"&lt;&gt;fx",Dataset!AH:AH,"&lt;&gt;fx forward")</f>
        <v>0</v>
      </c>
      <c r="K32" s="135">
        <v>1</v>
      </c>
      <c r="L32" s="132" t="str">
        <f>IFERROR(INDEX(Dataset!X:X,MATCH(_xlfn.AGGREGATE(14,6,Dataset!AK:AK/(Dataset!F:F=$D$11),K32),Dataset!AK:AK,0),1),"-")</f>
        <v>-</v>
      </c>
      <c r="M32" s="132" t="str">
        <f>IFERROR(INDEX(Dataset!AK:AK,MATCH(_xlfn.AGGREGATE(14,6,Dataset!AK:AK/(Dataset!F:F=$D$11),K32),Dataset!AK:AK,0),1),"-")</f>
        <v>-</v>
      </c>
      <c r="N32" s="132" t="str">
        <f>IFERROR(INDEX(Dataset!I:I,MATCH(_xlfn.AGGREGATE(14,6,Dataset!AK:AK/(Dataset!F:F=$D$11),K32),Dataset!AK:AK,0),1),"-")</f>
        <v>-</v>
      </c>
      <c r="O32" s="132" t="str">
        <f>IFERROR(INDEX(Dataset!AA:AA,MATCH(_xlfn.AGGREGATE(14,6,Dataset!AK:AK/(Dataset!F:F=$D$11),K32),Dataset!AK:AK,0),1),"-")</f>
        <v>-</v>
      </c>
      <c r="P32" s="134" t="str">
        <f>IFERROR(INDEX(Dataset!J:J,MATCH(_xlfn.AGGREGATE(14,6,Dataset!AK:AK/(Dataset!F:F=$D$11),K32),Dataset!AK:AK,0),1),"-")</f>
        <v>-</v>
      </c>
      <c r="R32" s="135">
        <v>225</v>
      </c>
      <c r="S32" s="141">
        <v>240</v>
      </c>
      <c r="T32" s="138">
        <f>SUMIFS(Dataset!AJ:AJ,Dataset!F:F,'renta fija'!$D$11,Dataset!AH:AH,"deposito",Dataset!T:T,"$",Dataset!J:J,"&lt;"&amp;$S32/365,Dataset!J:J,"&gt;="&amp;$R32/365)</f>
        <v>0</v>
      </c>
      <c r="U32" s="138">
        <f>SUMIFS(Dataset!AJ:AJ,Dataset!F:F,'renta fija'!$D$11,Dataset!AH:AH,"deposito",Dataset!T:T,"uf",Dataset!J:J,"&lt;"&amp;$S32/365,Dataset!J:J,"&gt;="&amp;$R32/365)</f>
        <v>0</v>
      </c>
      <c r="V32" s="138">
        <f>SUMIFS(Dataset!AJ:AJ,Dataset!F:F,'renta fija'!$D$11,Dataset!AH:AH,"deposito",Dataset!T:T,"us$",Dataset!J:J,"&lt;"&amp;$S32/365,Dataset!J:J,"&gt;="&amp;$R32/365)</f>
        <v>0</v>
      </c>
      <c r="W32" s="138">
        <f>SUMIFS(Dataset!AJ:AJ,Dataset!F:F,'renta fija'!$D$11,Dataset!AH:AH,"bono de gobierno",Dataset!T:T,"$",Dataset!J:J,"&lt;"&amp;$S32/365,Dataset!J:J,"&gt;="&amp;$R32/365)</f>
        <v>0</v>
      </c>
      <c r="X32" s="138">
        <f>SUMIFS(Dataset!AJ:AJ,Dataset!F:F,'renta fija'!$D$11,Dataset!AH:AH,"bono de gobierno",Dataset!T:T,"UF",Dataset!J:J,"&lt;"&amp;$S32/365,Dataset!J:J,"&gt;="&amp;$R32/365)</f>
        <v>0</v>
      </c>
      <c r="Y32" s="138">
        <f>SUMIFS(Dataset!AJ:AJ,Dataset!F:F,'renta fija'!$D$11,Dataset!AH:AH,"bono de gobierno",Dataset!T:T,"US$",Dataset!J:J,"&lt;"&amp;$S32/365,Dataset!J:J,"&gt;="&amp;$R32/365)</f>
        <v>0</v>
      </c>
      <c r="Z32" s="138">
        <f>SUMIFS(Dataset!AJ:AJ,Dataset!F:F,'renta fija'!$D$11,Dataset!AH:AH,"bono corporativo",Dataset!T:T,"$",Dataset!J:J,"&lt;"&amp;$S32/365,Dataset!J:J,"&gt;="&amp;$R32/365)</f>
        <v>0</v>
      </c>
      <c r="AA32" s="138">
        <f>SUMIFS(Dataset!AJ:AJ,Dataset!F:F,'renta fija'!$D$11,Dataset!AH:AH,"bono corporativo",Dataset!T:T,"UF",Dataset!J:J,"&lt;"&amp;$S32/365,Dataset!J:J,"&gt;="&amp;$R32/365)</f>
        <v>0</v>
      </c>
      <c r="AB32" s="138">
        <f>SUMIFS(Dataset!AJ:AJ,Dataset!F:F,'renta fija'!$D$11,Dataset!AH:AH,"bono corporativo",Dataset!T:T,"US$",Dataset!J:J,"&lt;"&amp;$S32/365,Dataset!J:J,"&gt;="&amp;$R32/365)</f>
        <v>0</v>
      </c>
      <c r="AC32" s="138">
        <f>SUMIFS(Dataset!AJ:AJ,Dataset!F:F,'renta fija'!$D$11,Dataset!AH:AH,"&lt;&gt;letra hipotecaria",Dataset!AH:AH,"&lt;&gt;bono corporativo",Dataset!AH:AH,"&lt;&gt;deposito",Dataset!AH:AH,"&lt;&gt;bono de gobierno",Dataset!J:J,"&lt;"&amp;$S32/365,Dataset!J:J,"&gt;="&amp;$R32/365)</f>
        <v>0</v>
      </c>
      <c r="AD32" s="142">
        <f t="shared" si="0"/>
        <v>0</v>
      </c>
      <c r="AE32" s="142">
        <f>SUMIFS(Dataset!AQ:AQ,Dataset!F:F,'renta fija'!$D$11,Dataset!J:J,"&lt;"&amp;$S32/365,Dataset!J:J,"&gt;="&amp;$R32/365)</f>
        <v>0</v>
      </c>
      <c r="AF32" s="143">
        <f>IFERROR(SUMIFS(Dataset!AQ:AQ,Dataset!F:F,'renta fija'!$D$11,Dataset!J:J,"&lt;"&amp;$S32/365,Dataset!J:J,"&gt;="&amp;$R32/365)/AD32,0)</f>
        <v>0</v>
      </c>
    </row>
    <row r="33" spans="3:32" ht="62.25" customHeight="1" x14ac:dyDescent="0.8">
      <c r="C33" s="144" t="s">
        <v>66</v>
      </c>
      <c r="D33" s="145">
        <f t="shared" ref="D33:I33" si="1">SUM(D17:D32)</f>
        <v>0</v>
      </c>
      <c r="E33" s="146">
        <f t="shared" si="1"/>
        <v>0</v>
      </c>
      <c r="F33" s="147">
        <f t="shared" si="1"/>
        <v>0</v>
      </c>
      <c r="G33" s="145">
        <f t="shared" si="1"/>
        <v>0</v>
      </c>
      <c r="H33" s="145">
        <f t="shared" si="1"/>
        <v>0</v>
      </c>
      <c r="I33" s="145">
        <f t="shared" si="1"/>
        <v>0</v>
      </c>
      <c r="K33" s="135">
        <v>2</v>
      </c>
      <c r="L33" s="132" t="str">
        <f>IFERROR(INDEX(Dataset!X:X,MATCH(_xlfn.AGGREGATE(14,6,Dataset!AK:AK/(Dataset!F:F=$D$11),K33),Dataset!AK:AK,0),1),"-")</f>
        <v>-</v>
      </c>
      <c r="M33" s="132" t="str">
        <f>IFERROR(INDEX(Dataset!AK:AK,MATCH(_xlfn.AGGREGATE(14,6,Dataset!AK:AK/(Dataset!F:F=$D$11),K33),Dataset!AK:AK,0),1),"-")</f>
        <v>-</v>
      </c>
      <c r="N33" s="132" t="str">
        <f>IFERROR(INDEX(Dataset!I:I,MATCH(_xlfn.AGGREGATE(14,6,Dataset!AK:AK/(Dataset!F:F=$D$11),K33),Dataset!AK:AK,0),1),"-")</f>
        <v>-</v>
      </c>
      <c r="O33" s="132" t="str">
        <f>IFERROR(INDEX(Dataset!AA:AA,MATCH(_xlfn.AGGREGATE(14,6,Dataset!AK:AK/(Dataset!F:F=$D$11),K33),Dataset!AK:AK,0),1),"-")</f>
        <v>-</v>
      </c>
      <c r="P33" s="134" t="str">
        <f>IFERROR(INDEX(Dataset!J:J,MATCH(_xlfn.AGGREGATE(14,6,Dataset!AK:AK/(Dataset!F:F=$D$11),K33),Dataset!AK:AK,0),1),"-")</f>
        <v>-</v>
      </c>
      <c r="R33" s="135">
        <v>240</v>
      </c>
      <c r="S33" s="141">
        <v>255</v>
      </c>
      <c r="T33" s="138">
        <f>SUMIFS(Dataset!AJ:AJ,Dataset!F:F,'renta fija'!$D$11,Dataset!AH:AH,"deposito",Dataset!T:T,"$",Dataset!J:J,"&lt;"&amp;$S33/365,Dataset!J:J,"&gt;="&amp;$R33/365)</f>
        <v>0</v>
      </c>
      <c r="U33" s="138">
        <f>SUMIFS(Dataset!AJ:AJ,Dataset!F:F,'renta fija'!$D$11,Dataset!AH:AH,"deposito",Dataset!T:T,"uf",Dataset!J:J,"&lt;"&amp;$S33/365,Dataset!J:J,"&gt;="&amp;$R33/365)</f>
        <v>0</v>
      </c>
      <c r="V33" s="138">
        <f>SUMIFS(Dataset!AJ:AJ,Dataset!F:F,'renta fija'!$D$11,Dataset!AH:AH,"deposito",Dataset!T:T,"us$",Dataset!J:J,"&lt;"&amp;$S33/365,Dataset!J:J,"&gt;="&amp;$R33/365)</f>
        <v>0</v>
      </c>
      <c r="W33" s="138">
        <f>SUMIFS(Dataset!AJ:AJ,Dataset!F:F,'renta fija'!$D$11,Dataset!AH:AH,"bono de gobierno",Dataset!T:T,"$",Dataset!J:J,"&lt;"&amp;$S33/365,Dataset!J:J,"&gt;="&amp;$R33/365)</f>
        <v>0</v>
      </c>
      <c r="X33" s="138">
        <f>SUMIFS(Dataset!AJ:AJ,Dataset!F:F,'renta fija'!$D$11,Dataset!AH:AH,"bono de gobierno",Dataset!T:T,"UF",Dataset!J:J,"&lt;"&amp;$S33/365,Dataset!J:J,"&gt;="&amp;$R33/365)</f>
        <v>0</v>
      </c>
      <c r="Y33" s="138">
        <f>SUMIFS(Dataset!AJ:AJ,Dataset!F:F,'renta fija'!$D$11,Dataset!AH:AH,"bono de gobierno",Dataset!T:T,"US$",Dataset!J:J,"&lt;"&amp;$S33/365,Dataset!J:J,"&gt;="&amp;$R33/365)</f>
        <v>0</v>
      </c>
      <c r="Z33" s="138">
        <f>SUMIFS(Dataset!AJ:AJ,Dataset!F:F,'renta fija'!$D$11,Dataset!AH:AH,"bono corporativo",Dataset!T:T,"$",Dataset!J:J,"&lt;"&amp;$S33/365,Dataset!J:J,"&gt;="&amp;$R33/365)</f>
        <v>0</v>
      </c>
      <c r="AA33" s="138">
        <f>SUMIFS(Dataset!AJ:AJ,Dataset!F:F,'renta fija'!$D$11,Dataset!AH:AH,"bono corporativo",Dataset!T:T,"UF",Dataset!J:J,"&lt;"&amp;$S33/365,Dataset!J:J,"&gt;="&amp;$R33/365)</f>
        <v>0</v>
      </c>
      <c r="AB33" s="138">
        <f>SUMIFS(Dataset!AJ:AJ,Dataset!F:F,'renta fija'!$D$11,Dataset!AH:AH,"bono corporativo",Dataset!T:T,"US$",Dataset!J:J,"&lt;"&amp;$S33/365,Dataset!J:J,"&gt;="&amp;$R33/365)</f>
        <v>0</v>
      </c>
      <c r="AC33" s="138">
        <f>SUMIFS(Dataset!AJ:AJ,Dataset!F:F,'renta fija'!$D$11,Dataset!AH:AH,"&lt;&gt;letra hipotecaria",Dataset!AH:AH,"&lt;&gt;bono corporativo",Dataset!AH:AH,"&lt;&gt;deposito",Dataset!AH:AH,"&lt;&gt;bono de gobierno",Dataset!J:J,"&lt;"&amp;$S33/365,Dataset!J:J,"&gt;="&amp;$R33/365)</f>
        <v>0</v>
      </c>
      <c r="AD33" s="142">
        <f t="shared" si="0"/>
        <v>0</v>
      </c>
      <c r="AE33" s="142">
        <f>SUMIFS(Dataset!AQ:AQ,Dataset!F:F,'renta fija'!$D$11,Dataset!J:J,"&lt;"&amp;$S33/365,Dataset!J:J,"&gt;="&amp;$R33/365)</f>
        <v>0</v>
      </c>
      <c r="AF33" s="143">
        <f>IFERROR(SUMIFS(Dataset!AQ:AQ,Dataset!F:F,'renta fija'!$D$11,Dataset!J:J,"&lt;"&amp;$S33/365,Dataset!J:J,"&gt;="&amp;$R33/365)/AD33,0)</f>
        <v>0</v>
      </c>
    </row>
    <row r="34" spans="3:32" ht="51" customHeight="1" x14ac:dyDescent="0.8">
      <c r="K34" s="135">
        <v>3</v>
      </c>
      <c r="L34" s="132" t="str">
        <f>IFERROR(INDEX(Dataset!X:X,MATCH(_xlfn.AGGREGATE(14,6,Dataset!AK:AK/(Dataset!F:F=$D$11),K34),Dataset!AK:AK,0),1),"-")</f>
        <v>-</v>
      </c>
      <c r="M34" s="132" t="str">
        <f>IFERROR(INDEX(Dataset!AK:AK,MATCH(_xlfn.AGGREGATE(14,6,Dataset!AK:AK/(Dataset!F:F=$D$11),K34),Dataset!AK:AK,0),1),"-")</f>
        <v>-</v>
      </c>
      <c r="N34" s="132" t="str">
        <f>IFERROR(INDEX(Dataset!I:I,MATCH(_xlfn.AGGREGATE(14,6,Dataset!AK:AK/(Dataset!F:F=$D$11),K34),Dataset!AK:AK,0),1),"-")</f>
        <v>-</v>
      </c>
      <c r="O34" s="132" t="str">
        <f>IFERROR(INDEX(Dataset!AA:AA,MATCH(_xlfn.AGGREGATE(14,6,Dataset!AK:AK/(Dataset!F:F=$D$11),K34),Dataset!AK:AK,0),1),"-")</f>
        <v>-</v>
      </c>
      <c r="P34" s="134" t="str">
        <f>IFERROR(INDEX(Dataset!J:J,MATCH(_xlfn.AGGREGATE(14,6,Dataset!AK:AK/(Dataset!F:F=$D$11),K34),Dataset!AK:AK,0),1),"-")</f>
        <v>-</v>
      </c>
      <c r="R34" s="135">
        <v>255</v>
      </c>
      <c r="S34" s="141">
        <v>270</v>
      </c>
      <c r="T34" s="138">
        <f>SUMIFS(Dataset!AJ:AJ,Dataset!F:F,'renta fija'!$D$11,Dataset!AH:AH,"deposito",Dataset!T:T,"$",Dataset!J:J,"&lt;"&amp;$S34/365,Dataset!J:J,"&gt;="&amp;$R34/365)</f>
        <v>0</v>
      </c>
      <c r="U34" s="138">
        <f>SUMIFS(Dataset!AJ:AJ,Dataset!F:F,'renta fija'!$D$11,Dataset!AH:AH,"deposito",Dataset!T:T,"uf",Dataset!J:J,"&lt;"&amp;$S34/365,Dataset!J:J,"&gt;="&amp;$R34/365)</f>
        <v>0</v>
      </c>
      <c r="V34" s="138">
        <f>SUMIFS(Dataset!AJ:AJ,Dataset!F:F,'renta fija'!$D$11,Dataset!AH:AH,"deposito",Dataset!T:T,"us$",Dataset!J:J,"&lt;"&amp;$S34/365,Dataset!J:J,"&gt;="&amp;$R34/365)</f>
        <v>0</v>
      </c>
      <c r="W34" s="138">
        <f>SUMIFS(Dataset!AJ:AJ,Dataset!F:F,'renta fija'!$D$11,Dataset!AH:AH,"bono de gobierno",Dataset!T:T,"$",Dataset!J:J,"&lt;"&amp;$S34/365,Dataset!J:J,"&gt;="&amp;$R34/365)</f>
        <v>0</v>
      </c>
      <c r="X34" s="138">
        <f>SUMIFS(Dataset!AJ:AJ,Dataset!F:F,'renta fija'!$D$11,Dataset!AH:AH,"bono de gobierno",Dataset!T:T,"UF",Dataset!J:J,"&lt;"&amp;$S34/365,Dataset!J:J,"&gt;="&amp;$R34/365)</f>
        <v>0</v>
      </c>
      <c r="Y34" s="138">
        <f>SUMIFS(Dataset!AJ:AJ,Dataset!F:F,'renta fija'!$D$11,Dataset!AH:AH,"bono de gobierno",Dataset!T:T,"US$",Dataset!J:J,"&lt;"&amp;$S34/365,Dataset!J:J,"&gt;="&amp;$R34/365)</f>
        <v>0</v>
      </c>
      <c r="Z34" s="138">
        <f>SUMIFS(Dataset!AJ:AJ,Dataset!F:F,'renta fija'!$D$11,Dataset!AH:AH,"bono corporativo",Dataset!T:T,"$",Dataset!J:J,"&lt;"&amp;$S34/365,Dataset!J:J,"&gt;="&amp;$R34/365)</f>
        <v>0</v>
      </c>
      <c r="AA34" s="138">
        <f>SUMIFS(Dataset!AJ:AJ,Dataset!F:F,'renta fija'!$D$11,Dataset!AH:AH,"bono corporativo",Dataset!T:T,"UF",Dataset!J:J,"&lt;"&amp;$S34/365,Dataset!J:J,"&gt;="&amp;$R34/365)</f>
        <v>0</v>
      </c>
      <c r="AB34" s="138">
        <f>SUMIFS(Dataset!AJ:AJ,Dataset!F:F,'renta fija'!$D$11,Dataset!AH:AH,"bono corporativo",Dataset!T:T,"US$",Dataset!J:J,"&lt;"&amp;$S34/365,Dataset!J:J,"&gt;="&amp;$R34/365)</f>
        <v>0</v>
      </c>
      <c r="AC34" s="138">
        <f>SUMIFS(Dataset!AJ:AJ,Dataset!F:F,'renta fija'!$D$11,Dataset!AH:AH,"&lt;&gt;letra hipotecaria",Dataset!AH:AH,"&lt;&gt;bono corporativo",Dataset!AH:AH,"&lt;&gt;deposito",Dataset!AH:AH,"&lt;&gt;bono de gobierno",Dataset!J:J,"&lt;"&amp;$S34/365,Dataset!J:J,"&gt;="&amp;$R34/365)</f>
        <v>0</v>
      </c>
      <c r="AD34" s="142">
        <f t="shared" si="0"/>
        <v>0</v>
      </c>
      <c r="AE34" s="142">
        <f>SUMIFS(Dataset!AQ:AQ,Dataset!F:F,'renta fija'!$D$11,Dataset!J:J,"&lt;"&amp;$S34/365,Dataset!J:J,"&gt;="&amp;$R34/365)</f>
        <v>0</v>
      </c>
      <c r="AF34" s="143">
        <f>IFERROR(SUMIFS(Dataset!AQ:AQ,Dataset!F:F,'renta fija'!$D$11,Dataset!J:J,"&lt;"&amp;$S34/365,Dataset!J:J,"&gt;="&amp;$R34/365)/AD34,0)</f>
        <v>0</v>
      </c>
    </row>
    <row r="35" spans="3:32" ht="105" customHeight="1" x14ac:dyDescent="0.8">
      <c r="C35" s="186" t="s">
        <v>266</v>
      </c>
      <c r="D35" s="186"/>
      <c r="E35" s="186"/>
      <c r="F35" s="186"/>
      <c r="G35" s="186"/>
      <c r="H35" s="186"/>
      <c r="K35" s="135">
        <v>4</v>
      </c>
      <c r="L35" s="132" t="str">
        <f>IFERROR(INDEX(Dataset!X:X,MATCH(_xlfn.AGGREGATE(14,6,Dataset!AK:AK/(Dataset!F:F=$D$11),K35),Dataset!AK:AK,0),1),"-")</f>
        <v>-</v>
      </c>
      <c r="M35" s="132" t="str">
        <f>IFERROR(INDEX(Dataset!AK:AK,MATCH(_xlfn.AGGREGATE(14,6,Dataset!AK:AK/(Dataset!F:F=$D$11),K35),Dataset!AK:AK,0),1),"-")</f>
        <v>-</v>
      </c>
      <c r="N35" s="132" t="str">
        <f>IFERROR(INDEX(Dataset!I:I,MATCH(_xlfn.AGGREGATE(14,6,Dataset!AK:AK/(Dataset!F:F=$D$11),K35),Dataset!AK:AK,0),1),"-")</f>
        <v>-</v>
      </c>
      <c r="O35" s="132" t="str">
        <f>IFERROR(INDEX(Dataset!AA:AA,MATCH(_xlfn.AGGREGATE(14,6,Dataset!AK:AK/(Dataset!F:F=$D$11),K35),Dataset!AK:AK,0),1),"-")</f>
        <v>-</v>
      </c>
      <c r="P35" s="134" t="str">
        <f>IFERROR(INDEX(Dataset!J:J,MATCH(_xlfn.AGGREGATE(14,6,Dataset!AK:AK/(Dataset!F:F=$D$11),K35),Dataset!AK:AK,0),1),"-")</f>
        <v>-</v>
      </c>
      <c r="R35" s="135">
        <v>270</v>
      </c>
      <c r="S35" s="141">
        <v>285</v>
      </c>
      <c r="T35" s="138">
        <f>SUMIFS(Dataset!AJ:AJ,Dataset!F:F,'renta fija'!$D$11,Dataset!AH:AH,"deposito",Dataset!T:T,"$",Dataset!J:J,"&lt;"&amp;$S35/365,Dataset!J:J,"&gt;="&amp;$R35/365)</f>
        <v>0</v>
      </c>
      <c r="U35" s="138">
        <f>SUMIFS(Dataset!AJ:AJ,Dataset!F:F,'renta fija'!$D$11,Dataset!AH:AH,"deposito",Dataset!T:T,"uf",Dataset!J:J,"&lt;"&amp;$S35/365,Dataset!J:J,"&gt;="&amp;$R35/365)</f>
        <v>0</v>
      </c>
      <c r="V35" s="138">
        <f>SUMIFS(Dataset!AJ:AJ,Dataset!F:F,'renta fija'!$D$11,Dataset!AH:AH,"deposito",Dataset!T:T,"us$",Dataset!J:J,"&lt;"&amp;$S35/365,Dataset!J:J,"&gt;="&amp;$R35/365)</f>
        <v>0</v>
      </c>
      <c r="W35" s="138">
        <f>SUMIFS(Dataset!AJ:AJ,Dataset!F:F,'renta fija'!$D$11,Dataset!AH:AH,"bono de gobierno",Dataset!T:T,"$",Dataset!J:J,"&lt;"&amp;$S35/365,Dataset!J:J,"&gt;="&amp;$R35/365)</f>
        <v>0</v>
      </c>
      <c r="X35" s="138">
        <f>SUMIFS(Dataset!AJ:AJ,Dataset!F:F,'renta fija'!$D$11,Dataset!AH:AH,"bono de gobierno",Dataset!T:T,"UF",Dataset!J:J,"&lt;"&amp;$S35/365,Dataset!J:J,"&gt;="&amp;$R35/365)</f>
        <v>0</v>
      </c>
      <c r="Y35" s="138">
        <f>SUMIFS(Dataset!AJ:AJ,Dataset!F:F,'renta fija'!$D$11,Dataset!AH:AH,"bono de gobierno",Dataset!T:T,"US$",Dataset!J:J,"&lt;"&amp;$S35/365,Dataset!J:J,"&gt;="&amp;$R35/365)</f>
        <v>0</v>
      </c>
      <c r="Z35" s="138">
        <f>SUMIFS(Dataset!AJ:AJ,Dataset!F:F,'renta fija'!$D$11,Dataset!AH:AH,"bono corporativo",Dataset!T:T,"$",Dataset!J:J,"&lt;"&amp;$S35/365,Dataset!J:J,"&gt;="&amp;$R35/365)</f>
        <v>0</v>
      </c>
      <c r="AA35" s="138">
        <f>SUMIFS(Dataset!AJ:AJ,Dataset!F:F,'renta fija'!$D$11,Dataset!AH:AH,"bono corporativo",Dataset!T:T,"UF",Dataset!J:J,"&lt;"&amp;$S35/365,Dataset!J:J,"&gt;="&amp;$R35/365)</f>
        <v>0</v>
      </c>
      <c r="AB35" s="138">
        <f>SUMIFS(Dataset!AJ:AJ,Dataset!F:F,'renta fija'!$D$11,Dataset!AH:AH,"bono corporativo",Dataset!T:T,"US$",Dataset!J:J,"&lt;"&amp;$S35/365,Dataset!J:J,"&gt;="&amp;$R35/365)</f>
        <v>0</v>
      </c>
      <c r="AC35" s="138">
        <f>SUMIFS(Dataset!AJ:AJ,Dataset!F:F,'renta fija'!$D$11,Dataset!AH:AH,"&lt;&gt;letra hipotecaria",Dataset!AH:AH,"&lt;&gt;bono corporativo",Dataset!AH:AH,"&lt;&gt;deposito",Dataset!AH:AH,"&lt;&gt;bono de gobierno",Dataset!J:J,"&lt;"&amp;$S35/365,Dataset!J:J,"&gt;="&amp;$R35/365)</f>
        <v>0</v>
      </c>
      <c r="AD35" s="142">
        <f t="shared" si="0"/>
        <v>0</v>
      </c>
      <c r="AE35" s="142">
        <f>SUMIFS(Dataset!AQ:AQ,Dataset!F:F,'renta fija'!$D$11,Dataset!J:J,"&lt;"&amp;$S35/365,Dataset!J:J,"&gt;="&amp;$R35/365)</f>
        <v>0</v>
      </c>
      <c r="AF35" s="143">
        <f>IFERROR(SUMIFS(Dataset!AQ:AQ,Dataset!F:F,'renta fija'!$D$11,Dataset!J:J,"&lt;"&amp;$S35/365,Dataset!J:J,"&gt;="&amp;$R35/365)/AD35,0)</f>
        <v>0</v>
      </c>
    </row>
    <row r="36" spans="3:32" ht="66" customHeight="1" x14ac:dyDescent="0.8">
      <c r="K36" s="135">
        <v>5</v>
      </c>
      <c r="L36" s="132" t="str">
        <f>IFERROR(INDEX(Dataset!X:X,MATCH(_xlfn.AGGREGATE(14,6,Dataset!AK:AK/(Dataset!F:F=$D$11),K36),Dataset!AK:AK,0),1),"-")</f>
        <v>-</v>
      </c>
      <c r="M36" s="132" t="str">
        <f>IFERROR(INDEX(Dataset!AK:AK,MATCH(_xlfn.AGGREGATE(14,6,Dataset!AK:AK/(Dataset!F:F=$D$11),K36),Dataset!AK:AK,0),1),"-")</f>
        <v>-</v>
      </c>
      <c r="N36" s="132" t="str">
        <f>IFERROR(INDEX(Dataset!I:I,MATCH(_xlfn.AGGREGATE(14,6,Dataset!AK:AK/(Dataset!F:F=$D$11),K36),Dataset!AK:AK,0),1),"-")</f>
        <v>-</v>
      </c>
      <c r="O36" s="132" t="str">
        <f>IFERROR(INDEX(Dataset!AA:AA,MATCH(_xlfn.AGGREGATE(14,6,Dataset!AK:AK/(Dataset!F:F=$D$11),K36),Dataset!AK:AK,0),1),"-")</f>
        <v>-</v>
      </c>
      <c r="P36" s="134" t="str">
        <f>IFERROR(INDEX(Dataset!J:J,MATCH(_xlfn.AGGREGATE(14,6,Dataset!AK:AK/(Dataset!F:F=$D$11),K36),Dataset!AK:AK,0),1),"-")</f>
        <v>-</v>
      </c>
      <c r="R36" s="135">
        <v>285</v>
      </c>
      <c r="S36" s="141">
        <v>300</v>
      </c>
      <c r="T36" s="138">
        <f>SUMIFS(Dataset!AJ:AJ,Dataset!F:F,'renta fija'!$D$11,Dataset!AH:AH,"deposito",Dataset!T:T,"$",Dataset!J:J,"&lt;"&amp;$S36/365,Dataset!J:J,"&gt;="&amp;$R36/365)</f>
        <v>0</v>
      </c>
      <c r="U36" s="138">
        <f>SUMIFS(Dataset!AJ:AJ,Dataset!F:F,'renta fija'!$D$11,Dataset!AH:AH,"deposito",Dataset!T:T,"uf",Dataset!J:J,"&lt;"&amp;$S36/365,Dataset!J:J,"&gt;="&amp;$R36/365)</f>
        <v>0</v>
      </c>
      <c r="V36" s="138">
        <f>SUMIFS(Dataset!AJ:AJ,Dataset!F:F,'renta fija'!$D$11,Dataset!AH:AH,"deposito",Dataset!T:T,"us$",Dataset!J:J,"&lt;"&amp;$S36/365,Dataset!J:J,"&gt;="&amp;$R36/365)</f>
        <v>0</v>
      </c>
      <c r="W36" s="138">
        <f>SUMIFS(Dataset!AJ:AJ,Dataset!F:F,'renta fija'!$D$11,Dataset!AH:AH,"bono de gobierno",Dataset!T:T,"$",Dataset!J:J,"&lt;"&amp;$S36/365,Dataset!J:J,"&gt;="&amp;$R36/365)</f>
        <v>0</v>
      </c>
      <c r="X36" s="138">
        <f>SUMIFS(Dataset!AJ:AJ,Dataset!F:F,'renta fija'!$D$11,Dataset!AH:AH,"bono de gobierno",Dataset!T:T,"UF",Dataset!J:J,"&lt;"&amp;$S36/365,Dataset!J:J,"&gt;="&amp;$R36/365)</f>
        <v>0</v>
      </c>
      <c r="Y36" s="138">
        <f>SUMIFS(Dataset!AJ:AJ,Dataset!F:F,'renta fija'!$D$11,Dataset!AH:AH,"bono de gobierno",Dataset!T:T,"US$",Dataset!J:J,"&lt;"&amp;$S36/365,Dataset!J:J,"&gt;="&amp;$R36/365)</f>
        <v>0</v>
      </c>
      <c r="Z36" s="138">
        <f>SUMIFS(Dataset!AJ:AJ,Dataset!F:F,'renta fija'!$D$11,Dataset!AH:AH,"bono corporativo",Dataset!T:T,"$",Dataset!J:J,"&lt;"&amp;$S36/365,Dataset!J:J,"&gt;="&amp;$R36/365)</f>
        <v>0</v>
      </c>
      <c r="AA36" s="138">
        <f>SUMIFS(Dataset!AJ:AJ,Dataset!F:F,'renta fija'!$D$11,Dataset!AH:AH,"bono corporativo",Dataset!T:T,"UF",Dataset!J:J,"&lt;"&amp;$S36/365,Dataset!J:J,"&gt;="&amp;$R36/365)</f>
        <v>0</v>
      </c>
      <c r="AB36" s="138">
        <f>SUMIFS(Dataset!AJ:AJ,Dataset!F:F,'renta fija'!$D$11,Dataset!AH:AH,"bono corporativo",Dataset!T:T,"US$",Dataset!J:J,"&lt;"&amp;$S36/365,Dataset!J:J,"&gt;="&amp;$R36/365)</f>
        <v>0</v>
      </c>
      <c r="AC36" s="138">
        <f>SUMIFS(Dataset!AJ:AJ,Dataset!F:F,'renta fija'!$D$11,Dataset!AH:AH,"&lt;&gt;letra hipotecaria",Dataset!AH:AH,"&lt;&gt;bono corporativo",Dataset!AH:AH,"&lt;&gt;deposito",Dataset!AH:AH,"&lt;&gt;bono de gobierno",Dataset!J:J,"&lt;"&amp;$S36/365,Dataset!J:J,"&gt;="&amp;$R36/365)</f>
        <v>0</v>
      </c>
      <c r="AD36" s="142">
        <f t="shared" si="0"/>
        <v>0</v>
      </c>
      <c r="AE36" s="142">
        <f>SUMIFS(Dataset!AQ:AQ,Dataset!F:F,'renta fija'!$D$11,Dataset!J:J,"&lt;"&amp;$S36/365,Dataset!J:J,"&gt;="&amp;$R36/365)</f>
        <v>0</v>
      </c>
      <c r="AF36" s="143">
        <f>IFERROR(SUMIFS(Dataset!AQ:AQ,Dataset!F:F,'renta fija'!$D$11,Dataset!J:J,"&lt;"&amp;$S36/365,Dataset!J:J,"&gt;="&amp;$R36/365)/AD36,0)</f>
        <v>0</v>
      </c>
    </row>
    <row r="37" spans="3:32" ht="72" customHeight="1" x14ac:dyDescent="0.8">
      <c r="C37" s="129" t="s">
        <v>110</v>
      </c>
      <c r="D37" s="130" t="s">
        <v>70</v>
      </c>
      <c r="E37" s="130" t="s">
        <v>75</v>
      </c>
      <c r="F37" s="130" t="s">
        <v>5</v>
      </c>
      <c r="G37" s="130" t="s">
        <v>6</v>
      </c>
      <c r="H37" s="130" t="s">
        <v>21</v>
      </c>
      <c r="K37" s="135">
        <v>6</v>
      </c>
      <c r="L37" s="132" t="str">
        <f>IFERROR(INDEX(Dataset!X:X,MATCH(_xlfn.AGGREGATE(14,6,Dataset!AK:AK/(Dataset!F:F=$D$11),K37),Dataset!AK:AK,0),1),"-")</f>
        <v>-</v>
      </c>
      <c r="M37" s="132" t="str">
        <f>IFERROR(INDEX(Dataset!AK:AK,MATCH(_xlfn.AGGREGATE(14,6,Dataset!AK:AK/(Dataset!F:F=$D$11),K37),Dataset!AK:AK,0),1),"-")</f>
        <v>-</v>
      </c>
      <c r="N37" s="132" t="str">
        <f>IFERROR(INDEX(Dataset!I:I,MATCH(_xlfn.AGGREGATE(14,6,Dataset!AK:AK/(Dataset!F:F=$D$11),K37),Dataset!AK:AK,0),1),"-")</f>
        <v>-</v>
      </c>
      <c r="O37" s="132" t="str">
        <f>IFERROR(INDEX(Dataset!AA:AA,MATCH(_xlfn.AGGREGATE(14,6,Dataset!AK:AK/(Dataset!F:F=$D$11),K37),Dataset!AK:AK,0),1),"-")</f>
        <v>-</v>
      </c>
      <c r="P37" s="134" t="str">
        <f>IFERROR(INDEX(Dataset!J:J,MATCH(_xlfn.AGGREGATE(14,6,Dataset!AK:AK/(Dataset!F:F=$D$11),K37),Dataset!AK:AK,0),1),"-")</f>
        <v>-</v>
      </c>
      <c r="R37" s="135">
        <v>300</v>
      </c>
      <c r="S37" s="141">
        <v>315</v>
      </c>
      <c r="T37" s="138">
        <f>SUMIFS(Dataset!AJ:AJ,Dataset!F:F,'renta fija'!$D$11,Dataset!AH:AH,"deposito",Dataset!T:T,"$",Dataset!J:J,"&lt;"&amp;$S37/365,Dataset!J:J,"&gt;="&amp;$R37/365)</f>
        <v>0</v>
      </c>
      <c r="U37" s="138">
        <f>SUMIFS(Dataset!AJ:AJ,Dataset!F:F,'renta fija'!$D$11,Dataset!AH:AH,"deposito",Dataset!T:T,"uf",Dataset!J:J,"&lt;"&amp;$S37/365,Dataset!J:J,"&gt;="&amp;$R37/365)</f>
        <v>0</v>
      </c>
      <c r="V37" s="138">
        <f>SUMIFS(Dataset!AJ:AJ,Dataset!F:F,'renta fija'!$D$11,Dataset!AH:AH,"deposito",Dataset!T:T,"us$",Dataset!J:J,"&lt;"&amp;$S37/365,Dataset!J:J,"&gt;="&amp;$R37/365)</f>
        <v>0</v>
      </c>
      <c r="W37" s="138">
        <f>SUMIFS(Dataset!AJ:AJ,Dataset!F:F,'renta fija'!$D$11,Dataset!AH:AH,"bono de gobierno",Dataset!T:T,"$",Dataset!J:J,"&lt;"&amp;$S37/365,Dataset!J:J,"&gt;="&amp;$R37/365)</f>
        <v>0</v>
      </c>
      <c r="X37" s="138">
        <f>SUMIFS(Dataset!AJ:AJ,Dataset!F:F,'renta fija'!$D$11,Dataset!AH:AH,"bono de gobierno",Dataset!T:T,"UF",Dataset!J:J,"&lt;"&amp;$S37/365,Dataset!J:J,"&gt;="&amp;$R37/365)</f>
        <v>0</v>
      </c>
      <c r="Y37" s="138">
        <f>SUMIFS(Dataset!AJ:AJ,Dataset!F:F,'renta fija'!$D$11,Dataset!AH:AH,"bono de gobierno",Dataset!T:T,"US$",Dataset!J:J,"&lt;"&amp;$S37/365,Dataset!J:J,"&gt;="&amp;$R37/365)</f>
        <v>0</v>
      </c>
      <c r="Z37" s="138">
        <f>SUMIFS(Dataset!AJ:AJ,Dataset!F:F,'renta fija'!$D$11,Dataset!AH:AH,"bono corporativo",Dataset!T:T,"$",Dataset!J:J,"&lt;"&amp;$S37/365,Dataset!J:J,"&gt;="&amp;$R37/365)</f>
        <v>0</v>
      </c>
      <c r="AA37" s="138">
        <f>SUMIFS(Dataset!AJ:AJ,Dataset!F:F,'renta fija'!$D$11,Dataset!AH:AH,"bono corporativo",Dataset!T:T,"UF",Dataset!J:J,"&lt;"&amp;$S37/365,Dataset!J:J,"&gt;="&amp;$R37/365)</f>
        <v>0</v>
      </c>
      <c r="AB37" s="138">
        <f>SUMIFS(Dataset!AJ:AJ,Dataset!F:F,'renta fija'!$D$11,Dataset!AH:AH,"bono corporativo",Dataset!T:T,"US$",Dataset!J:J,"&lt;"&amp;$S37/365,Dataset!J:J,"&gt;="&amp;$R37/365)</f>
        <v>0</v>
      </c>
      <c r="AC37" s="138">
        <f>SUMIFS(Dataset!AJ:AJ,Dataset!F:F,'renta fija'!$D$11,Dataset!AH:AH,"&lt;&gt;letra hipotecaria",Dataset!AH:AH,"&lt;&gt;bono corporativo",Dataset!AH:AH,"&lt;&gt;deposito",Dataset!AH:AH,"&lt;&gt;bono de gobierno",Dataset!J:J,"&lt;"&amp;$S37/365,Dataset!J:J,"&gt;="&amp;$R37/365)</f>
        <v>0</v>
      </c>
      <c r="AD37" s="142">
        <f t="shared" si="0"/>
        <v>0</v>
      </c>
      <c r="AE37" s="142">
        <f>SUMIFS(Dataset!AQ:AQ,Dataset!F:F,'renta fija'!$D$11,Dataset!J:J,"&lt;"&amp;$S37/365,Dataset!J:J,"&gt;="&amp;$R37/365)</f>
        <v>0</v>
      </c>
      <c r="AF37" s="143">
        <f>IFERROR(SUMIFS(Dataset!AQ:AQ,Dataset!F:F,'renta fija'!$D$11,Dataset!J:J,"&lt;"&amp;$S37/365,Dataset!J:J,"&gt;="&amp;$R37/365)/AD37,0)</f>
        <v>0</v>
      </c>
    </row>
    <row r="38" spans="3:32" ht="72" customHeight="1" x14ac:dyDescent="0.8">
      <c r="C38" s="131" t="s">
        <v>39</v>
      </c>
      <c r="D38" s="132">
        <f>SUMIFS(Dataset!AK:AK,Dataset!F:F,'renta fija'!$D$11,Dataset!T:T,$C38)</f>
        <v>0</v>
      </c>
      <c r="E38" s="133">
        <f>SUMIFS(Dataset!V:V,Dataset!F:F,'renta fija'!$D$11,Dataset!T:T,$C38)/1000000</f>
        <v>0</v>
      </c>
      <c r="F38" s="134">
        <f>SUMIFS(Dataset!H:H,Dataset!F:F,'renta fija'!$D$11,Dataset!T:T,$C38)*365</f>
        <v>0</v>
      </c>
      <c r="G38" s="132">
        <f>SUMIFS(Dataset!I:I,Dataset!F:F,'renta fija'!$D$11,Dataset!T:T,$C38)</f>
        <v>0</v>
      </c>
      <c r="H38" s="132">
        <f>SUMIFS(Dataset!AA:AA,Dataset!F:F,'renta fija'!$D$11,Dataset!T:T,$C38)</f>
        <v>0</v>
      </c>
      <c r="K38" s="135">
        <v>7</v>
      </c>
      <c r="L38" s="132" t="str">
        <f>IFERROR(INDEX(Dataset!X:X,MATCH(_xlfn.AGGREGATE(14,6,Dataset!AK:AK/(Dataset!F:F=$D$11),K38),Dataset!AK:AK,0),1),"-")</f>
        <v>-</v>
      </c>
      <c r="M38" s="132" t="str">
        <f>IFERROR(INDEX(Dataset!AK:AK,MATCH(_xlfn.AGGREGATE(14,6,Dataset!AK:AK/(Dataset!F:F=$D$11),K38),Dataset!AK:AK,0),1),"-")</f>
        <v>-</v>
      </c>
      <c r="N38" s="132" t="str">
        <f>IFERROR(INDEX(Dataset!I:I,MATCH(_xlfn.AGGREGATE(14,6,Dataset!AK:AK/(Dataset!F:F=$D$11),K38),Dataset!AK:AK,0),1),"-")</f>
        <v>-</v>
      </c>
      <c r="O38" s="132" t="str">
        <f>IFERROR(INDEX(Dataset!AA:AA,MATCH(_xlfn.AGGREGATE(14,6,Dataset!AK:AK/(Dataset!F:F=$D$11),K38),Dataset!AK:AK,0),1),"-")</f>
        <v>-</v>
      </c>
      <c r="P38" s="134" t="str">
        <f>IFERROR(INDEX(Dataset!J:J,MATCH(_xlfn.AGGREGATE(14,6,Dataset!AK:AK/(Dataset!F:F=$D$11),K38),Dataset!AK:AK,0),1),"-")</f>
        <v>-</v>
      </c>
      <c r="R38" s="135">
        <v>315</v>
      </c>
      <c r="S38" s="141">
        <v>330</v>
      </c>
      <c r="T38" s="138">
        <f>SUMIFS(Dataset!AJ:AJ,Dataset!F:F,'renta fija'!$D$11,Dataset!AH:AH,"deposito",Dataset!T:T,"$",Dataset!J:J,"&lt;"&amp;$S38/365,Dataset!J:J,"&gt;="&amp;$R38/365)</f>
        <v>0</v>
      </c>
      <c r="U38" s="138">
        <f>SUMIFS(Dataset!AJ:AJ,Dataset!F:F,'renta fija'!$D$11,Dataset!AH:AH,"deposito",Dataset!T:T,"uf",Dataset!J:J,"&lt;"&amp;$S38/365,Dataset!J:J,"&gt;="&amp;$R38/365)</f>
        <v>0</v>
      </c>
      <c r="V38" s="138">
        <f>SUMIFS(Dataset!AJ:AJ,Dataset!F:F,'renta fija'!$D$11,Dataset!AH:AH,"deposito",Dataset!T:T,"us$",Dataset!J:J,"&lt;"&amp;$S38/365,Dataset!J:J,"&gt;="&amp;$R38/365)</f>
        <v>0</v>
      </c>
      <c r="W38" s="138">
        <f>SUMIFS(Dataset!AJ:AJ,Dataset!F:F,'renta fija'!$D$11,Dataset!AH:AH,"bono de gobierno",Dataset!T:T,"$",Dataset!J:J,"&lt;"&amp;$S38/365,Dataset!J:J,"&gt;="&amp;$R38/365)</f>
        <v>0</v>
      </c>
      <c r="X38" s="138">
        <f>SUMIFS(Dataset!AJ:AJ,Dataset!F:F,'renta fija'!$D$11,Dataset!AH:AH,"bono de gobierno",Dataset!T:T,"UF",Dataset!J:J,"&lt;"&amp;$S38/365,Dataset!J:J,"&gt;="&amp;$R38/365)</f>
        <v>0</v>
      </c>
      <c r="Y38" s="138">
        <f>SUMIFS(Dataset!AJ:AJ,Dataset!F:F,'renta fija'!$D$11,Dataset!AH:AH,"bono de gobierno",Dataset!T:T,"US$",Dataset!J:J,"&lt;"&amp;$S38/365,Dataset!J:J,"&gt;="&amp;$R38/365)</f>
        <v>0</v>
      </c>
      <c r="Z38" s="138">
        <f>SUMIFS(Dataset!AJ:AJ,Dataset!F:F,'renta fija'!$D$11,Dataset!AH:AH,"bono corporativo",Dataset!T:T,"$",Dataset!J:J,"&lt;"&amp;$S38/365,Dataset!J:J,"&gt;="&amp;$R38/365)</f>
        <v>0</v>
      </c>
      <c r="AA38" s="138">
        <f>SUMIFS(Dataset!AJ:AJ,Dataset!F:F,'renta fija'!$D$11,Dataset!AH:AH,"bono corporativo",Dataset!T:T,"UF",Dataset!J:J,"&lt;"&amp;$S38/365,Dataset!J:J,"&gt;="&amp;$R38/365)</f>
        <v>0</v>
      </c>
      <c r="AB38" s="138">
        <f>SUMIFS(Dataset!AJ:AJ,Dataset!F:F,'renta fija'!$D$11,Dataset!AH:AH,"bono corporativo",Dataset!T:T,"US$",Dataset!J:J,"&lt;"&amp;$S38/365,Dataset!J:J,"&gt;="&amp;$R38/365)</f>
        <v>0</v>
      </c>
      <c r="AC38" s="138">
        <f>SUMIFS(Dataset!AJ:AJ,Dataset!F:F,'renta fija'!$D$11,Dataset!AH:AH,"&lt;&gt;letra hipotecaria",Dataset!AH:AH,"&lt;&gt;bono corporativo",Dataset!AH:AH,"&lt;&gt;deposito",Dataset!AH:AH,"&lt;&gt;bono de gobierno",Dataset!J:J,"&lt;"&amp;$S38/365,Dataset!J:J,"&gt;="&amp;$R38/365)</f>
        <v>0</v>
      </c>
      <c r="AD38" s="142">
        <f t="shared" si="0"/>
        <v>0</v>
      </c>
      <c r="AE38" s="142">
        <f>SUMIFS(Dataset!AQ:AQ,Dataset!F:F,'renta fija'!$D$11,Dataset!J:J,"&lt;"&amp;$S38/365,Dataset!J:J,"&gt;="&amp;$R38/365)</f>
        <v>0</v>
      </c>
      <c r="AF38" s="143">
        <f>IFERROR(SUMIFS(Dataset!AQ:AQ,Dataset!F:F,'renta fija'!$D$11,Dataset!J:J,"&lt;"&amp;$S38/365,Dataset!J:J,"&gt;="&amp;$R38/365)/AD38,0)</f>
        <v>0</v>
      </c>
    </row>
    <row r="39" spans="3:32" ht="63" customHeight="1" x14ac:dyDescent="0.8">
      <c r="C39" s="131" t="s">
        <v>32</v>
      </c>
      <c r="D39" s="132">
        <f>SUMIFS(Dataset!AK:AK,Dataset!F:F,'renta fija'!$D$11,Dataset!T:T,$C39)</f>
        <v>0</v>
      </c>
      <c r="E39" s="133">
        <f>SUMIFS(Dataset!V:V,Dataset!F:F,'renta fija'!$D$11,Dataset!T:T,$C39)/1000000</f>
        <v>0</v>
      </c>
      <c r="F39" s="134">
        <f>SUMIFS(Dataset!H:H,Dataset!F:F,'renta fija'!$D$11,Dataset!T:T,$C39)*365</f>
        <v>0</v>
      </c>
      <c r="G39" s="132">
        <f>SUMIFS(Dataset!I:I,Dataset!F:F,'renta fija'!$D$11,Dataset!T:T,$C39)</f>
        <v>0</v>
      </c>
      <c r="H39" s="132">
        <f>SUMIFS(Dataset!AA:AA,Dataset!F:F,'renta fija'!$D$11,Dataset!T:T,$C39)</f>
        <v>0</v>
      </c>
      <c r="K39" s="135">
        <v>8</v>
      </c>
      <c r="L39" s="132" t="str">
        <f>IFERROR(INDEX(Dataset!X:X,MATCH(_xlfn.AGGREGATE(14,6,Dataset!AK:AK/(Dataset!F:F=$D$11),K39),Dataset!AK:AK,0),1),"-")</f>
        <v>-</v>
      </c>
      <c r="M39" s="132" t="str">
        <f>IFERROR(INDEX(Dataset!AK:AK,MATCH(_xlfn.AGGREGATE(14,6,Dataset!AK:AK/(Dataset!F:F=$D$11),K39),Dataset!AK:AK,0),1),"-")</f>
        <v>-</v>
      </c>
      <c r="N39" s="132" t="str">
        <f>IFERROR(INDEX(Dataset!I:I,MATCH(_xlfn.AGGREGATE(14,6,Dataset!AK:AK/(Dataset!F:F=$D$11),K39),Dataset!AK:AK,0),1),"-")</f>
        <v>-</v>
      </c>
      <c r="O39" s="132" t="str">
        <f>IFERROR(INDEX(Dataset!AA:AA,MATCH(_xlfn.AGGREGATE(14,6,Dataset!AK:AK/(Dataset!F:F=$D$11),K39),Dataset!AK:AK,0),1),"-")</f>
        <v>-</v>
      </c>
      <c r="P39" s="134" t="str">
        <f>IFERROR(INDEX(Dataset!J:J,MATCH(_xlfn.AGGREGATE(14,6,Dataset!AK:AK/(Dataset!F:F=$D$11),K39),Dataset!AK:AK,0),1),"-")</f>
        <v>-</v>
      </c>
      <c r="R39" s="135">
        <v>330</v>
      </c>
      <c r="S39" s="141">
        <v>345</v>
      </c>
      <c r="T39" s="138">
        <f>SUMIFS(Dataset!AJ:AJ,Dataset!F:F,'renta fija'!$D$11,Dataset!AH:AH,"deposito",Dataset!T:T,"$",Dataset!J:J,"&lt;"&amp;$S39/365,Dataset!J:J,"&gt;="&amp;$R39/365)</f>
        <v>0</v>
      </c>
      <c r="U39" s="138">
        <f>SUMIFS(Dataset!AJ:AJ,Dataset!F:F,'renta fija'!$D$11,Dataset!AH:AH,"deposito",Dataset!T:T,"uf",Dataset!J:J,"&lt;"&amp;$S39/365,Dataset!J:J,"&gt;="&amp;$R39/365)</f>
        <v>0</v>
      </c>
      <c r="V39" s="138">
        <f>SUMIFS(Dataset!AJ:AJ,Dataset!F:F,'renta fija'!$D$11,Dataset!AH:AH,"deposito",Dataset!T:T,"us$",Dataset!J:J,"&lt;"&amp;$S39/365,Dataset!J:J,"&gt;="&amp;$R39/365)</f>
        <v>0</v>
      </c>
      <c r="W39" s="138">
        <f>SUMIFS(Dataset!AJ:AJ,Dataset!F:F,'renta fija'!$D$11,Dataset!AH:AH,"bono de gobierno",Dataset!T:T,"$",Dataset!J:J,"&lt;"&amp;$S39/365,Dataset!J:J,"&gt;="&amp;$R39/365)</f>
        <v>0</v>
      </c>
      <c r="X39" s="138">
        <f>SUMIFS(Dataset!AJ:AJ,Dataset!F:F,'renta fija'!$D$11,Dataset!AH:AH,"bono de gobierno",Dataset!T:T,"UF",Dataset!J:J,"&lt;"&amp;$S39/365,Dataset!J:J,"&gt;="&amp;$R39/365)</f>
        <v>0</v>
      </c>
      <c r="Y39" s="138">
        <f>SUMIFS(Dataset!AJ:AJ,Dataset!F:F,'renta fija'!$D$11,Dataset!AH:AH,"bono de gobierno",Dataset!T:T,"US$",Dataset!J:J,"&lt;"&amp;$S39/365,Dataset!J:J,"&gt;="&amp;$R39/365)</f>
        <v>0</v>
      </c>
      <c r="Z39" s="138">
        <f>SUMIFS(Dataset!AJ:AJ,Dataset!F:F,'renta fija'!$D$11,Dataset!AH:AH,"bono corporativo",Dataset!T:T,"$",Dataset!J:J,"&lt;"&amp;$S39/365,Dataset!J:J,"&gt;="&amp;$R39/365)</f>
        <v>0</v>
      </c>
      <c r="AA39" s="138">
        <f>SUMIFS(Dataset!AJ:AJ,Dataset!F:F,'renta fija'!$D$11,Dataset!AH:AH,"bono corporativo",Dataset!T:T,"UF",Dataset!J:J,"&lt;"&amp;$S39/365,Dataset!J:J,"&gt;="&amp;$R39/365)</f>
        <v>0</v>
      </c>
      <c r="AB39" s="138">
        <f>SUMIFS(Dataset!AJ:AJ,Dataset!F:F,'renta fija'!$D$11,Dataset!AH:AH,"bono corporativo",Dataset!T:T,"US$",Dataset!J:J,"&lt;"&amp;$S39/365,Dataset!J:J,"&gt;="&amp;$R39/365)</f>
        <v>0</v>
      </c>
      <c r="AC39" s="138">
        <f>SUMIFS(Dataset!AJ:AJ,Dataset!F:F,'renta fija'!$D$11,Dataset!AH:AH,"&lt;&gt;letra hipotecaria",Dataset!AH:AH,"&lt;&gt;bono corporativo",Dataset!AH:AH,"&lt;&gt;deposito",Dataset!AH:AH,"&lt;&gt;bono de gobierno",Dataset!J:J,"&lt;"&amp;$S39/365,Dataset!J:J,"&gt;="&amp;$R39/365)</f>
        <v>0</v>
      </c>
      <c r="AD39" s="142">
        <f t="shared" si="0"/>
        <v>0</v>
      </c>
      <c r="AE39" s="142">
        <f>SUMIFS(Dataset!AQ:AQ,Dataset!F:F,'renta fija'!$D$11,Dataset!J:J,"&lt;"&amp;$S39/365,Dataset!J:J,"&gt;="&amp;$R39/365)</f>
        <v>0</v>
      </c>
      <c r="AF39" s="143">
        <f>IFERROR(SUMIFS(Dataset!AQ:AQ,Dataset!F:F,'renta fija'!$D$11,Dataset!J:J,"&lt;"&amp;$S39/365,Dataset!J:J,"&gt;="&amp;$R39/365)/AD39,0)</f>
        <v>0</v>
      </c>
    </row>
    <row r="40" spans="3:32" ht="57" customHeight="1" x14ac:dyDescent="0.8">
      <c r="C40" s="131" t="s">
        <v>30</v>
      </c>
      <c r="D40" s="132">
        <f>SUMIFS(Dataset!AK:AK,Dataset!F:F,'renta fija'!$D$11,Dataset!T:T,$C40)</f>
        <v>0</v>
      </c>
      <c r="E40" s="133">
        <f>SUMIFS(Dataset!V:V,Dataset!F:F,'renta fija'!$D$11,Dataset!T:T,$C40)/1000000</f>
        <v>0</v>
      </c>
      <c r="F40" s="134">
        <f>SUMIFS(Dataset!H:H,Dataset!F:F,'renta fija'!$D$11,Dataset!T:T,$C40)*365</f>
        <v>0</v>
      </c>
      <c r="G40" s="132">
        <f>SUMIFS(Dataset!I:I,Dataset!F:F,'renta fija'!$D$11,Dataset!T:T,$C40)</f>
        <v>0</v>
      </c>
      <c r="H40" s="132">
        <f>SUMIFS(Dataset!AA:AA,Dataset!F:F,'renta fija'!$D$11,Dataset!T:T,$C40)</f>
        <v>0</v>
      </c>
      <c r="K40" s="135">
        <v>9</v>
      </c>
      <c r="L40" s="132" t="str">
        <f>IFERROR(INDEX(Dataset!X:X,MATCH(_xlfn.AGGREGATE(14,6,Dataset!AK:AK/(Dataset!F:F=$D$11),K40),Dataset!AK:AK,0),1),"-")</f>
        <v>-</v>
      </c>
      <c r="M40" s="132" t="str">
        <f>IFERROR(INDEX(Dataset!AK:AK,MATCH(_xlfn.AGGREGATE(14,6,Dataset!AK:AK/(Dataset!F:F=$D$11),K40),Dataset!AK:AK,0),1),"-")</f>
        <v>-</v>
      </c>
      <c r="N40" s="132" t="str">
        <f>IFERROR(INDEX(Dataset!I:I,MATCH(_xlfn.AGGREGATE(14,6,Dataset!AK:AK/(Dataset!F:F=$D$11),K40),Dataset!AK:AK,0),1),"-")</f>
        <v>-</v>
      </c>
      <c r="O40" s="132" t="str">
        <f>IFERROR(INDEX(Dataset!AA:AA,MATCH(_xlfn.AGGREGATE(14,6,Dataset!AK:AK/(Dataset!F:F=$D$11),K40),Dataset!AK:AK,0),1),"-")</f>
        <v>-</v>
      </c>
      <c r="P40" s="134" t="str">
        <f>IFERROR(INDEX(Dataset!J:J,MATCH(_xlfn.AGGREGATE(14,6,Dataset!AK:AK/(Dataset!F:F=$D$11),K40),Dataset!AK:AK,0),1),"-")</f>
        <v>-</v>
      </c>
      <c r="R40" s="135">
        <v>345</v>
      </c>
      <c r="S40" s="141">
        <v>360</v>
      </c>
      <c r="T40" s="138">
        <f>SUMIFS(Dataset!AJ:AJ,Dataset!F:F,'renta fija'!$D$11,Dataset!AH:AH,"deposito",Dataset!T:T,"$",Dataset!J:J,"&lt;"&amp;$S40/365,Dataset!J:J,"&gt;="&amp;$R40/365)</f>
        <v>0</v>
      </c>
      <c r="U40" s="138">
        <f>SUMIFS(Dataset!AJ:AJ,Dataset!F:F,'renta fija'!$D$11,Dataset!AH:AH,"deposito",Dataset!T:T,"uf",Dataset!J:J,"&lt;"&amp;$S40/365,Dataset!J:J,"&gt;="&amp;$R40/365)</f>
        <v>0</v>
      </c>
      <c r="V40" s="138">
        <f>SUMIFS(Dataset!AJ:AJ,Dataset!F:F,'renta fija'!$D$11,Dataset!AH:AH,"deposito",Dataset!T:T,"us$",Dataset!J:J,"&lt;"&amp;$S40/365,Dataset!J:J,"&gt;="&amp;$R40/365)</f>
        <v>0</v>
      </c>
      <c r="W40" s="138">
        <f>SUMIFS(Dataset!AJ:AJ,Dataset!F:F,'renta fija'!$D$11,Dataset!AH:AH,"bono de gobierno",Dataset!T:T,"$",Dataset!J:J,"&lt;"&amp;$S40/365,Dataset!J:J,"&gt;="&amp;$R40/365)</f>
        <v>0</v>
      </c>
      <c r="X40" s="138">
        <f>SUMIFS(Dataset!AJ:AJ,Dataset!F:F,'renta fija'!$D$11,Dataset!AH:AH,"bono de gobierno",Dataset!T:T,"UF",Dataset!J:J,"&lt;"&amp;$S40/365,Dataset!J:J,"&gt;="&amp;$R40/365)</f>
        <v>0</v>
      </c>
      <c r="Y40" s="138">
        <f>SUMIFS(Dataset!AJ:AJ,Dataset!F:F,'renta fija'!$D$11,Dataset!AH:AH,"bono de gobierno",Dataset!T:T,"US$",Dataset!J:J,"&lt;"&amp;$S40/365,Dataset!J:J,"&gt;="&amp;$R40/365)</f>
        <v>0</v>
      </c>
      <c r="Z40" s="138">
        <f>SUMIFS(Dataset!AJ:AJ,Dataset!F:F,'renta fija'!$D$11,Dataset!AH:AH,"bono corporativo",Dataset!T:T,"$",Dataset!J:J,"&lt;"&amp;$S40/365,Dataset!J:J,"&gt;="&amp;$R40/365)</f>
        <v>0</v>
      </c>
      <c r="AA40" s="138">
        <f>SUMIFS(Dataset!AJ:AJ,Dataset!F:F,'renta fija'!$D$11,Dataset!AH:AH,"bono corporativo",Dataset!T:T,"UF",Dataset!J:J,"&lt;"&amp;$S40/365,Dataset!J:J,"&gt;="&amp;$R40/365)</f>
        <v>0</v>
      </c>
      <c r="AB40" s="138">
        <f>SUMIFS(Dataset!AJ:AJ,Dataset!F:F,'renta fija'!$D$11,Dataset!AH:AH,"bono corporativo",Dataset!T:T,"US$",Dataset!J:J,"&lt;"&amp;$S40/365,Dataset!J:J,"&gt;="&amp;$R40/365)</f>
        <v>0</v>
      </c>
      <c r="AC40" s="138">
        <f>SUMIFS(Dataset!AJ:AJ,Dataset!F:F,'renta fija'!$D$11,Dataset!AH:AH,"&lt;&gt;letra hipotecaria",Dataset!AH:AH,"&lt;&gt;bono corporativo",Dataset!AH:AH,"&lt;&gt;deposito",Dataset!AH:AH,"&lt;&gt;bono de gobierno",Dataset!J:J,"&lt;"&amp;$S40/365,Dataset!J:J,"&gt;="&amp;$R40/365)</f>
        <v>0</v>
      </c>
      <c r="AD40" s="142">
        <f t="shared" si="0"/>
        <v>0</v>
      </c>
      <c r="AE40" s="142">
        <f>SUMIFS(Dataset!AQ:AQ,Dataset!F:F,'renta fija'!$D$11,Dataset!J:J,"&lt;"&amp;$S40/365,Dataset!J:J,"&gt;="&amp;$R40/365)</f>
        <v>0</v>
      </c>
      <c r="AF40" s="143">
        <f>IFERROR(SUMIFS(Dataset!AQ:AQ,Dataset!F:F,'renta fija'!$D$11,Dataset!J:J,"&lt;"&amp;$S40/365,Dataset!J:J,"&gt;="&amp;$R40/365)/AD40,0)</f>
        <v>0</v>
      </c>
    </row>
    <row r="41" spans="3:32" ht="63" customHeight="1" x14ac:dyDescent="0.8">
      <c r="C41" s="144" t="s">
        <v>66</v>
      </c>
      <c r="D41" s="145">
        <f>SUM(D38:D40)</f>
        <v>0</v>
      </c>
      <c r="E41" s="146">
        <f>SUM(E38:E40)</f>
        <v>0</v>
      </c>
      <c r="F41" s="147">
        <f>SUM(F38:F40)</f>
        <v>0</v>
      </c>
      <c r="G41" s="145">
        <f>SUM(G38:G40)</f>
        <v>0</v>
      </c>
      <c r="H41" s="145">
        <f>SUM(H38:H40)</f>
        <v>0</v>
      </c>
      <c r="K41" s="135">
        <v>10</v>
      </c>
      <c r="L41" s="132" t="str">
        <f>IFERROR(INDEX(Dataset!X:X,MATCH(_xlfn.AGGREGATE(14,6,Dataset!AK:AK/(Dataset!F:F=$D$11),K41),Dataset!AK:AK,0),1),"-")</f>
        <v>-</v>
      </c>
      <c r="M41" s="132" t="str">
        <f>IFERROR(INDEX(Dataset!AK:AK,MATCH(_xlfn.AGGREGATE(14,6,Dataset!AK:AK/(Dataset!F:F=$D$11),K41),Dataset!AK:AK,0),1),"-")</f>
        <v>-</v>
      </c>
      <c r="N41" s="132" t="str">
        <f>IFERROR(INDEX(Dataset!I:I,MATCH(_xlfn.AGGREGATE(14,6,Dataset!AK:AK/(Dataset!F:F=$D$11),K41),Dataset!AK:AK,0),1),"-")</f>
        <v>-</v>
      </c>
      <c r="O41" s="132" t="str">
        <f>IFERROR(INDEX(Dataset!AA:AA,MATCH(_xlfn.AGGREGATE(14,6,Dataset!AK:AK/(Dataset!F:F=$D$11),K41),Dataset!AK:AK,0),1),"-")</f>
        <v>-</v>
      </c>
      <c r="P41" s="134" t="str">
        <f>IFERROR(INDEX(Dataset!J:J,MATCH(_xlfn.AGGREGATE(14,6,Dataset!AK:AK/(Dataset!F:F=$D$11),K41),Dataset!AK:AK,0),1),"-")</f>
        <v>-</v>
      </c>
      <c r="R41" s="135">
        <v>360</v>
      </c>
      <c r="S41" s="141">
        <v>720</v>
      </c>
      <c r="T41" s="138">
        <f>SUMIFS(Dataset!AJ:AJ,Dataset!F:F,'renta fija'!$D$11,Dataset!AH:AH,"deposito",Dataset!T:T,"$",Dataset!J:J,"&lt;"&amp;$S41/365,Dataset!J:J,"&gt;="&amp;$R41/365)</f>
        <v>0</v>
      </c>
      <c r="U41" s="138">
        <f>SUMIFS(Dataset!AJ:AJ,Dataset!F:F,'renta fija'!$D$11,Dataset!AH:AH,"deposito",Dataset!T:T,"uf",Dataset!J:J,"&lt;"&amp;$S41/365,Dataset!J:J,"&gt;="&amp;$R41/365)</f>
        <v>0</v>
      </c>
      <c r="V41" s="138">
        <f>SUMIFS(Dataset!AJ:AJ,Dataset!F:F,'renta fija'!$D$11,Dataset!AH:AH,"deposito",Dataset!T:T,"us$",Dataset!J:J,"&lt;"&amp;$S41/365,Dataset!J:J,"&gt;="&amp;$R41/365)</f>
        <v>0</v>
      </c>
      <c r="W41" s="138">
        <f>SUMIFS(Dataset!AJ:AJ,Dataset!F:F,'renta fija'!$D$11,Dataset!AH:AH,"bono de gobierno",Dataset!T:T,"$",Dataset!J:J,"&lt;"&amp;$S41/365,Dataset!J:J,"&gt;="&amp;$R41/365)</f>
        <v>0</v>
      </c>
      <c r="X41" s="138">
        <f>SUMIFS(Dataset!AJ:AJ,Dataset!F:F,'renta fija'!$D$11,Dataset!AH:AH,"bono de gobierno",Dataset!T:T,"UF",Dataset!J:J,"&lt;"&amp;$S41/365,Dataset!J:J,"&gt;="&amp;$R41/365)</f>
        <v>0</v>
      </c>
      <c r="Y41" s="138">
        <f>SUMIFS(Dataset!AJ:AJ,Dataset!F:F,'renta fija'!$D$11,Dataset!AH:AH,"bono de gobierno",Dataset!T:T,"US$",Dataset!J:J,"&lt;"&amp;$S41/365,Dataset!J:J,"&gt;="&amp;$R41/365)</f>
        <v>0</v>
      </c>
      <c r="Z41" s="138">
        <f>SUMIFS(Dataset!AJ:AJ,Dataset!F:F,'renta fija'!$D$11,Dataset!AH:AH,"bono corporativo",Dataset!T:T,"$",Dataset!J:J,"&lt;"&amp;$S41/365,Dataset!J:J,"&gt;="&amp;$R41/365)</f>
        <v>0</v>
      </c>
      <c r="AA41" s="138">
        <f>SUMIFS(Dataset!AJ:AJ,Dataset!F:F,'renta fija'!$D$11,Dataset!AH:AH,"bono corporativo",Dataset!T:T,"UF",Dataset!J:J,"&lt;"&amp;$S41/365,Dataset!J:J,"&gt;="&amp;$R41/365)</f>
        <v>0</v>
      </c>
      <c r="AB41" s="138">
        <f>SUMIFS(Dataset!AJ:AJ,Dataset!F:F,'renta fija'!$D$11,Dataset!AH:AH,"bono corporativo",Dataset!T:T,"US$",Dataset!J:J,"&lt;"&amp;$S41/365,Dataset!J:J,"&gt;="&amp;$R41/365)</f>
        <v>0</v>
      </c>
      <c r="AC41" s="138">
        <f>SUMIFS(Dataset!AJ:AJ,Dataset!F:F,'renta fija'!$D$11,Dataset!AH:AH,"&lt;&gt;letra hipotecaria",Dataset!AH:AH,"&lt;&gt;bono corporativo",Dataset!AH:AH,"&lt;&gt;deposito",Dataset!AH:AH,"&lt;&gt;bono de gobierno",Dataset!J:J,"&lt;"&amp;$S41/365,Dataset!J:J,"&gt;="&amp;$R41/365)</f>
        <v>0</v>
      </c>
      <c r="AD41" s="142">
        <f t="shared" si="0"/>
        <v>0</v>
      </c>
      <c r="AE41" s="142">
        <f>SUMIFS(Dataset!AQ:AQ,Dataset!F:F,'renta fija'!$D$11,Dataset!J:J,"&lt;"&amp;$S41/365,Dataset!J:J,"&gt;="&amp;$R41/365)</f>
        <v>0</v>
      </c>
      <c r="AF41" s="143">
        <f>IFERROR(SUMIFS(Dataset!AQ:AQ,Dataset!F:F,'renta fija'!$D$11,Dataset!J:J,"&lt;"&amp;$S41/365,Dataset!J:J,"&gt;="&amp;$R41/365)/AD41,0)</f>
        <v>0</v>
      </c>
    </row>
    <row r="42" spans="3:32" ht="45" customHeight="1" x14ac:dyDescent="0.3">
      <c r="R42" s="135">
        <v>720</v>
      </c>
      <c r="S42" s="141">
        <v>1080</v>
      </c>
      <c r="T42" s="138">
        <f>SUMIFS(Dataset!AJ:AJ,Dataset!F:F,'renta fija'!$D$11,Dataset!AH:AH,"deposito",Dataset!T:T,"$",Dataset!J:J,"&lt;"&amp;$S42/365,Dataset!J:J,"&gt;="&amp;$R42/365)</f>
        <v>0</v>
      </c>
      <c r="U42" s="138">
        <f>SUMIFS(Dataset!AJ:AJ,Dataset!F:F,'renta fija'!$D$11,Dataset!AH:AH,"deposito",Dataset!T:T,"uf",Dataset!J:J,"&lt;"&amp;$S42/365,Dataset!J:J,"&gt;="&amp;$R42/365)</f>
        <v>0</v>
      </c>
      <c r="V42" s="138">
        <f>SUMIFS(Dataset!AJ:AJ,Dataset!F:F,'renta fija'!$D$11,Dataset!AH:AH,"deposito",Dataset!T:T,"us$",Dataset!J:J,"&lt;"&amp;$S42/365,Dataset!J:J,"&gt;="&amp;$R42/365)</f>
        <v>0</v>
      </c>
      <c r="W42" s="138">
        <f>SUMIFS(Dataset!AJ:AJ,Dataset!F:F,'renta fija'!$D$11,Dataset!AH:AH,"bono de gobierno",Dataset!T:T,"$",Dataset!J:J,"&lt;"&amp;$S42/365,Dataset!J:J,"&gt;="&amp;$R42/365)</f>
        <v>0</v>
      </c>
      <c r="X42" s="138">
        <f>SUMIFS(Dataset!AJ:AJ,Dataset!F:F,'renta fija'!$D$11,Dataset!AH:AH,"bono de gobierno",Dataset!T:T,"UF",Dataset!J:J,"&lt;"&amp;$S42/365,Dataset!J:J,"&gt;="&amp;$R42/365)</f>
        <v>0</v>
      </c>
      <c r="Y42" s="138">
        <f>SUMIFS(Dataset!AJ:AJ,Dataset!F:F,'renta fija'!$D$11,Dataset!AH:AH,"bono de gobierno",Dataset!T:T,"US$",Dataset!J:J,"&lt;"&amp;$S42/365,Dataset!J:J,"&gt;="&amp;$R42/365)</f>
        <v>0</v>
      </c>
      <c r="Z42" s="138">
        <f>SUMIFS(Dataset!AJ:AJ,Dataset!F:F,'renta fija'!$D$11,Dataset!AH:AH,"bono corporativo",Dataset!T:T,"$",Dataset!J:J,"&lt;"&amp;$S42/365,Dataset!J:J,"&gt;="&amp;$R42/365)</f>
        <v>0</v>
      </c>
      <c r="AA42" s="138">
        <f>SUMIFS(Dataset!AJ:AJ,Dataset!F:F,'renta fija'!$D$11,Dataset!AH:AH,"bono corporativo",Dataset!T:T,"UF",Dataset!J:J,"&lt;"&amp;$S42/365,Dataset!J:J,"&gt;="&amp;$R42/365)</f>
        <v>0</v>
      </c>
      <c r="AB42" s="138">
        <f>SUMIFS(Dataset!AJ:AJ,Dataset!F:F,'renta fija'!$D$11,Dataset!AH:AH,"bono corporativo",Dataset!T:T,"US$",Dataset!J:J,"&lt;"&amp;$S42/365,Dataset!J:J,"&gt;="&amp;$R42/365)</f>
        <v>0</v>
      </c>
      <c r="AC42" s="138">
        <f>SUMIFS(Dataset!AJ:AJ,Dataset!F:F,'renta fija'!$D$11,Dataset!AH:AH,"&lt;&gt;letra hipotecaria",Dataset!AH:AH,"&lt;&gt;bono corporativo",Dataset!AH:AH,"&lt;&gt;deposito",Dataset!AH:AH,"&lt;&gt;bono de gobierno",Dataset!J:J,"&lt;"&amp;$S42/365,Dataset!J:J,"&gt;="&amp;$R42/365)</f>
        <v>0</v>
      </c>
      <c r="AD42" s="142">
        <f t="shared" si="0"/>
        <v>0</v>
      </c>
      <c r="AE42" s="142">
        <f>SUMIFS(Dataset!AQ:AQ,Dataset!F:F,'renta fija'!$D$11,Dataset!J:J,"&lt;"&amp;$S42/365,Dataset!J:J,"&gt;="&amp;$R42/365)</f>
        <v>0</v>
      </c>
      <c r="AF42" s="143">
        <f>IFERROR(SUMIFS(Dataset!AQ:AQ,Dataset!F:F,'renta fija'!$D$11,Dataset!J:J,"&lt;"&amp;$S42/365,Dataset!J:J,"&gt;="&amp;$R42/365)/AD42,0)</f>
        <v>0</v>
      </c>
    </row>
    <row r="43" spans="3:32" ht="82.5" customHeight="1" x14ac:dyDescent="0.3">
      <c r="R43" s="135">
        <v>1080</v>
      </c>
      <c r="S43" s="141">
        <v>3600</v>
      </c>
      <c r="T43" s="138">
        <f>SUMIFS(Dataset!AJ:AJ,Dataset!F:F,'renta fija'!$D$11,Dataset!AH:AH,"deposito",Dataset!T:T,"$",Dataset!J:J,"&lt;"&amp;$S43/365,Dataset!J:J,"&gt;="&amp;$R43/365)</f>
        <v>0</v>
      </c>
      <c r="U43" s="138">
        <f>SUMIFS(Dataset!AJ:AJ,Dataset!F:F,'renta fija'!$D$11,Dataset!AH:AH,"deposito",Dataset!T:T,"uf",Dataset!J:J,"&lt;"&amp;$S43/365,Dataset!J:J,"&gt;="&amp;$R43/365)</f>
        <v>0</v>
      </c>
      <c r="V43" s="138">
        <f>SUMIFS(Dataset!AJ:AJ,Dataset!F:F,'renta fija'!$D$11,Dataset!AH:AH,"deposito",Dataset!T:T,"us$",Dataset!J:J,"&lt;"&amp;$S43/365,Dataset!J:J,"&gt;="&amp;$R43/365)</f>
        <v>0</v>
      </c>
      <c r="W43" s="138">
        <f>SUMIFS(Dataset!AJ:AJ,Dataset!F:F,'renta fija'!$D$11,Dataset!AH:AH,"bono de gobierno",Dataset!T:T,"$",Dataset!J:J,"&lt;"&amp;$S43/365,Dataset!J:J,"&gt;="&amp;$R43/365)</f>
        <v>0</v>
      </c>
      <c r="X43" s="138">
        <f>SUMIFS(Dataset!AJ:AJ,Dataset!F:F,'renta fija'!$D$11,Dataset!AH:AH,"bono de gobierno",Dataset!T:T,"UF",Dataset!J:J,"&lt;"&amp;$S43/365,Dataset!J:J,"&gt;="&amp;$R43/365)</f>
        <v>0</v>
      </c>
      <c r="Y43" s="138">
        <f>SUMIFS(Dataset!AJ:AJ,Dataset!F:F,'renta fija'!$D$11,Dataset!AH:AH,"bono de gobierno",Dataset!T:T,"US$",Dataset!J:J,"&lt;"&amp;$S43/365,Dataset!J:J,"&gt;="&amp;$R43/365)</f>
        <v>0</v>
      </c>
      <c r="Z43" s="138">
        <f>SUMIFS(Dataset!AJ:AJ,Dataset!F:F,'renta fija'!$D$11,Dataset!AH:AH,"bono corporativo",Dataset!T:T,"$",Dataset!J:J,"&lt;"&amp;$S43/365,Dataset!J:J,"&gt;="&amp;$R43/365)</f>
        <v>0</v>
      </c>
      <c r="AA43" s="138">
        <f>SUMIFS(Dataset!AJ:AJ,Dataset!F:F,'renta fija'!$D$11,Dataset!AH:AH,"bono corporativo",Dataset!T:T,"UF",Dataset!J:J,"&lt;"&amp;$S43/365,Dataset!J:J,"&gt;="&amp;$R43/365)</f>
        <v>0</v>
      </c>
      <c r="AB43" s="138">
        <f>SUMIFS(Dataset!AJ:AJ,Dataset!F:F,'renta fija'!$D$11,Dataset!AH:AH,"bono corporativo",Dataset!T:T,"US$",Dataset!J:J,"&lt;"&amp;$S43/365,Dataset!J:J,"&gt;="&amp;$R43/365)</f>
        <v>0</v>
      </c>
      <c r="AC43" s="138">
        <f>SUMIFS(Dataset!AJ:AJ,Dataset!F:F,'renta fija'!$D$11,Dataset!AH:AH,"&lt;&gt;letra hipotecaria",Dataset!AH:AH,"&lt;&gt;bono corporativo",Dataset!AH:AH,"&lt;&gt;deposito",Dataset!AH:AH,"&lt;&gt;bono de gobierno",Dataset!J:J,"&lt;"&amp;$S43/365,Dataset!J:J,"&gt;="&amp;$R43/365)</f>
        <v>0</v>
      </c>
      <c r="AD43" s="142">
        <f t="shared" si="0"/>
        <v>0</v>
      </c>
      <c r="AE43" s="142">
        <f>SUMIFS(Dataset!AQ:AQ,Dataset!F:F,'renta fija'!$D$11,Dataset!J:J,"&lt;"&amp;$S43/365,Dataset!J:J,"&gt;="&amp;$R43/365)</f>
        <v>0</v>
      </c>
      <c r="AF43" s="143">
        <f>IFERROR(SUMIFS(Dataset!AQ:AQ,Dataset!F:F,'renta fija'!$D$11,Dataset!J:J,"&lt;"&amp;$S43/365,Dataset!J:J,"&gt;="&amp;$R43/365)/AD43,0)</f>
        <v>0</v>
      </c>
    </row>
    <row r="44" spans="3:32" ht="48" customHeight="1" x14ac:dyDescent="0.3">
      <c r="R44" s="135">
        <v>3600</v>
      </c>
      <c r="S44" s="148">
        <v>10000</v>
      </c>
      <c r="T44" s="138">
        <f>SUMIFS(Dataset!AJ:AJ,Dataset!F:F,'renta fija'!$D$11,Dataset!AH:AH,"deposito",Dataset!T:T,"$",Dataset!J:J,"&lt;"&amp;$S44/365,Dataset!J:J,"&gt;="&amp;$R44/365)</f>
        <v>0</v>
      </c>
      <c r="U44" s="138">
        <f>SUMIFS(Dataset!AJ:AJ,Dataset!F:F,'renta fija'!$D$11,Dataset!AH:AH,"deposito",Dataset!T:T,"uf",Dataset!J:J,"&lt;"&amp;$S44/365,Dataset!J:J,"&gt;="&amp;$R44/365)</f>
        <v>0</v>
      </c>
      <c r="V44" s="138">
        <f>SUMIFS(Dataset!AJ:AJ,Dataset!F:F,'renta fija'!$D$11,Dataset!AH:AH,"deposito",Dataset!T:T,"us$",Dataset!J:J,"&lt;"&amp;$S44/365,Dataset!J:J,"&gt;="&amp;$R44/365)</f>
        <v>0</v>
      </c>
      <c r="W44" s="138">
        <f>SUMIFS(Dataset!AJ:AJ,Dataset!F:F,'renta fija'!$D$11,Dataset!AH:AH,"bono de gobierno",Dataset!T:T,"$",Dataset!J:J,"&lt;"&amp;$S44/365,Dataset!J:J,"&gt;="&amp;$R44/365)</f>
        <v>0</v>
      </c>
      <c r="X44" s="138">
        <f>SUMIFS(Dataset!AJ:AJ,Dataset!F:F,'renta fija'!$D$11,Dataset!AH:AH,"bono de gobierno",Dataset!T:T,"UF",Dataset!J:J,"&lt;"&amp;$S44/365,Dataset!J:J,"&gt;="&amp;$R44/365)</f>
        <v>0</v>
      </c>
      <c r="Y44" s="138">
        <f>SUMIFS(Dataset!AJ:AJ,Dataset!F:F,'renta fija'!$D$11,Dataset!AH:AH,"bono de gobierno",Dataset!T:T,"US$",Dataset!J:J,"&lt;"&amp;$S44/365,Dataset!J:J,"&gt;="&amp;$R44/365)</f>
        <v>0</v>
      </c>
      <c r="Z44" s="138">
        <f>SUMIFS(Dataset!AJ:AJ,Dataset!F:F,'renta fija'!$D$11,Dataset!AH:AH,"bono corporativo",Dataset!T:T,"$",Dataset!J:J,"&lt;"&amp;$S44/365,Dataset!J:J,"&gt;="&amp;$R44/365)</f>
        <v>0</v>
      </c>
      <c r="AA44" s="138">
        <f>SUMIFS(Dataset!AJ:AJ,Dataset!F:F,'renta fija'!$D$11,Dataset!AH:AH,"bono corporativo",Dataset!T:T,"UF",Dataset!J:J,"&lt;"&amp;$S44/365,Dataset!J:J,"&gt;="&amp;$R44/365)</f>
        <v>0</v>
      </c>
      <c r="AB44" s="138">
        <f>SUMIFS(Dataset!AJ:AJ,Dataset!F:F,'renta fija'!$D$11,Dataset!AH:AH,"bono corporativo",Dataset!T:T,"US$",Dataset!J:J,"&lt;"&amp;$S44/365,Dataset!J:J,"&gt;="&amp;$R44/365)</f>
        <v>0</v>
      </c>
      <c r="AC44" s="138">
        <f>SUMIFS(Dataset!AJ:AJ,Dataset!F:F,'renta fija'!$D$11,Dataset!AH:AH,"&lt;&gt;letra hipotecaria",Dataset!AH:AH,"&lt;&gt;bono corporativo",Dataset!AH:AH,"&lt;&gt;deposito",Dataset!AH:AH,"&lt;&gt;bono de gobierno",Dataset!J:J,"&lt;"&amp;$S44/365,Dataset!J:J,"&gt;="&amp;$R44/365)</f>
        <v>0</v>
      </c>
      <c r="AD44" s="149">
        <f t="shared" si="0"/>
        <v>0</v>
      </c>
      <c r="AE44" s="149">
        <f>SUMIFS(Dataset!AQ:AQ,Dataset!F:F,'renta fija'!$D$11,Dataset!J:J,"&lt;"&amp;$S44/365,Dataset!J:J,"&gt;="&amp;$R44/365)</f>
        <v>0</v>
      </c>
      <c r="AF44" s="150">
        <f>IFERROR(SUMIFS(Dataset!AQ:AQ,Dataset!F:F,'renta fija'!$D$11,Dataset!J:J,"&lt;"&amp;$S44/365,Dataset!J:J,"&gt;="&amp;$R44/365)/AD44,0)</f>
        <v>0</v>
      </c>
    </row>
    <row r="45" spans="3:32" ht="75" customHeight="1" x14ac:dyDescent="0.3">
      <c r="R45" s="187"/>
      <c r="S45" s="188"/>
      <c r="T45" s="151">
        <f>SUM(T17:T44)</f>
        <v>0</v>
      </c>
      <c r="U45" s="151">
        <f>SUM(U17:U44)</f>
        <v>0</v>
      </c>
      <c r="V45" s="151">
        <f>SUM(V17:V44)</f>
        <v>0</v>
      </c>
      <c r="W45" s="151">
        <f t="shared" ref="W45:AC45" si="2">SUM(W17:W44)</f>
        <v>0</v>
      </c>
      <c r="X45" s="151">
        <f t="shared" si="2"/>
        <v>0</v>
      </c>
      <c r="Y45" s="151">
        <f t="shared" si="2"/>
        <v>0</v>
      </c>
      <c r="Z45" s="151">
        <f t="shared" si="2"/>
        <v>0</v>
      </c>
      <c r="AA45" s="151">
        <f t="shared" si="2"/>
        <v>0</v>
      </c>
      <c r="AB45" s="151">
        <f t="shared" si="2"/>
        <v>0</v>
      </c>
      <c r="AC45" s="152">
        <f t="shared" si="2"/>
        <v>0</v>
      </c>
      <c r="AD45" s="153">
        <f>SUM(AD17:AD44)</f>
        <v>0</v>
      </c>
      <c r="AE45" s="153">
        <f>SUM(AE17:AE44)</f>
        <v>0</v>
      </c>
      <c r="AF45" s="153">
        <f>SUM(AF17:AF44)</f>
        <v>0</v>
      </c>
    </row>
    <row r="46" spans="3:32" ht="75" customHeight="1" x14ac:dyDescent="0.3"/>
    <row r="47" spans="3:32" ht="75" customHeight="1" x14ac:dyDescent="0.3"/>
    <row r="48" spans="3:32" ht="75" customHeight="1" x14ac:dyDescent="0.3"/>
    <row r="49" ht="75" customHeight="1" x14ac:dyDescent="0.3"/>
    <row r="50" ht="75" customHeight="1" x14ac:dyDescent="0.3"/>
    <row r="51" ht="75" customHeight="1" x14ac:dyDescent="0.3"/>
    <row r="52" ht="75" customHeight="1" x14ac:dyDescent="0.3"/>
    <row r="53" ht="75" customHeight="1" x14ac:dyDescent="0.3"/>
    <row r="54" ht="75" customHeight="1" x14ac:dyDescent="0.3"/>
    <row r="55" ht="75" customHeight="1" x14ac:dyDescent="0.3"/>
    <row r="57" ht="33" customHeight="1" x14ac:dyDescent="0.3"/>
    <row r="58" ht="89.25" customHeight="1" x14ac:dyDescent="0.3"/>
    <row r="59" ht="33" customHeight="1" x14ac:dyDescent="0.3"/>
    <row r="60" ht="57" customHeight="1" x14ac:dyDescent="0.3"/>
    <row r="61" ht="57" customHeight="1" x14ac:dyDescent="0.3"/>
    <row r="62" ht="57" customHeight="1" x14ac:dyDescent="0.3"/>
    <row r="63" ht="57" customHeight="1" x14ac:dyDescent="0.3"/>
    <row r="64" ht="57" customHeight="1" x14ac:dyDescent="0.3"/>
    <row r="65" ht="57" customHeight="1" x14ac:dyDescent="0.3"/>
    <row r="66" ht="57" customHeight="1" x14ac:dyDescent="0.3"/>
    <row r="67" ht="57" customHeight="1" x14ac:dyDescent="0.3"/>
    <row r="68" ht="57" customHeight="1" x14ac:dyDescent="0.3"/>
    <row r="69" ht="57" customHeight="1" x14ac:dyDescent="0.3"/>
    <row r="70" ht="57" customHeight="1" x14ac:dyDescent="0.3"/>
    <row r="73" ht="94.5" customHeight="1" x14ac:dyDescent="0.3"/>
    <row r="74" ht="30" customHeight="1" x14ac:dyDescent="0.3"/>
    <row r="75" ht="48" customHeight="1" x14ac:dyDescent="0.3"/>
    <row r="76" ht="48" customHeight="1" x14ac:dyDescent="0.3"/>
    <row r="77" ht="48" customHeight="1" x14ac:dyDescent="0.3"/>
    <row r="78" ht="48" customHeight="1" x14ac:dyDescent="0.3"/>
    <row r="79" ht="48" customHeight="1" x14ac:dyDescent="0.3"/>
    <row r="80" ht="48" customHeight="1" x14ac:dyDescent="0.3"/>
    <row r="81" ht="48" customHeight="1" x14ac:dyDescent="0.3"/>
    <row r="82" ht="48" customHeight="1" x14ac:dyDescent="0.3"/>
    <row r="83" ht="48" customHeight="1" x14ac:dyDescent="0.3"/>
    <row r="84" ht="48" customHeight="1" x14ac:dyDescent="0.3"/>
    <row r="85" ht="48" customHeight="1" x14ac:dyDescent="0.3"/>
    <row r="86" ht="48" customHeight="1" x14ac:dyDescent="0.3"/>
    <row r="87" ht="48" customHeight="1" x14ac:dyDescent="0.3"/>
    <row r="88" ht="48" customHeight="1" x14ac:dyDescent="0.3"/>
    <row r="89" ht="48" customHeight="1" x14ac:dyDescent="0.3"/>
    <row r="90" ht="48" customHeight="1" x14ac:dyDescent="0.3"/>
    <row r="91" ht="48" customHeight="1" x14ac:dyDescent="0.3"/>
    <row r="92" ht="48" customHeight="1" x14ac:dyDescent="0.3"/>
    <row r="93" ht="48" customHeight="1" x14ac:dyDescent="0.3"/>
    <row r="94" ht="48" customHeight="1" x14ac:dyDescent="0.3"/>
    <row r="95" ht="48" customHeight="1" x14ac:dyDescent="0.3"/>
    <row r="96" ht="48" customHeight="1" x14ac:dyDescent="0.3"/>
    <row r="97" spans="3:32" ht="48" customHeight="1" x14ac:dyDescent="0.3"/>
    <row r="98" spans="3:32" ht="48" customHeight="1" x14ac:dyDescent="0.3"/>
    <row r="99" spans="3:32" ht="48" customHeight="1" x14ac:dyDescent="0.3"/>
    <row r="100" spans="3:32" ht="48" customHeight="1" x14ac:dyDescent="0.3"/>
    <row r="101" spans="3:32" ht="48" customHeight="1" x14ac:dyDescent="0.3"/>
    <row r="102" spans="3:32" ht="48" customHeight="1" x14ac:dyDescent="0.3"/>
    <row r="103" spans="3:32" ht="48" customHeight="1" x14ac:dyDescent="0.3"/>
    <row r="104" spans="3:32" ht="48" customHeight="1" x14ac:dyDescent="0.3"/>
    <row r="105" spans="3:32" ht="48" customHeight="1" x14ac:dyDescent="0.3"/>
    <row r="106" spans="3:32" ht="48" customHeight="1" x14ac:dyDescent="0.3"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</row>
    <row r="107" spans="3:32" ht="27" customHeight="1" x14ac:dyDescent="0.4">
      <c r="C107" s="107" t="s">
        <v>74</v>
      </c>
      <c r="D107" s="42"/>
      <c r="E107" s="42"/>
    </row>
  </sheetData>
  <mergeCells count="9">
    <mergeCell ref="K29:P29"/>
    <mergeCell ref="C35:H35"/>
    <mergeCell ref="R45:S45"/>
    <mergeCell ref="R16:S16"/>
    <mergeCell ref="C3:AF3"/>
    <mergeCell ref="C4:AF4"/>
    <mergeCell ref="C14:I14"/>
    <mergeCell ref="K14:P14"/>
    <mergeCell ref="R14:AF14"/>
  </mergeCells>
  <conditionalFormatting sqref="T17:V44">
    <cfRule type="colorScale" priority="977">
      <colorScale>
        <cfvo type="min"/>
        <cfvo type="max"/>
        <color theme="0"/>
        <color theme="4" tint="0.59999389629810485"/>
      </colorScale>
    </cfRule>
  </conditionalFormatting>
  <conditionalFormatting sqref="T17:AC44">
    <cfRule type="colorScale" priority="978">
      <colorScale>
        <cfvo type="min"/>
        <cfvo type="max"/>
        <color theme="0"/>
        <color theme="5" tint="0.59999389629810485"/>
      </colorScale>
    </cfRule>
  </conditionalFormatting>
  <conditionalFormatting sqref="AD17:AD44">
    <cfRule type="colorScale" priority="5">
      <colorScale>
        <cfvo type="min"/>
        <cfvo type="max"/>
        <color theme="0"/>
        <color theme="5" tint="0.59999389629810485"/>
      </colorScale>
    </cfRule>
  </conditionalFormatting>
  <conditionalFormatting sqref="AE17:AE44">
    <cfRule type="colorScale" priority="2">
      <colorScale>
        <cfvo type="min"/>
        <cfvo type="max"/>
        <color theme="0"/>
        <color theme="5" tint="0.59999389629810485"/>
      </colorScale>
    </cfRule>
  </conditionalFormatting>
  <conditionalFormatting sqref="AF17:AF44">
    <cfRule type="colorScale" priority="1">
      <colorScale>
        <cfvo type="min"/>
        <cfvo type="max"/>
        <color theme="0"/>
        <color theme="5" tint="0.59999389629810485"/>
      </colorScale>
    </cfRule>
  </conditionalFormatting>
  <printOptions horizontalCentered="1"/>
  <pageMargins left="0" right="0" top="0" bottom="0" header="0" footer="0"/>
  <pageSetup scale="1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  <pageSetUpPr fitToPage="1"/>
  </sheetPr>
  <dimension ref="A1:P114"/>
  <sheetViews>
    <sheetView showGridLines="0" zoomScale="25" zoomScaleNormal="25" workbookViewId="0">
      <selection activeCell="B5" sqref="B5"/>
    </sheetView>
  </sheetViews>
  <sheetFormatPr baseColWidth="10" defaultRowHeight="14.25" x14ac:dyDescent="0.2"/>
  <cols>
    <col min="1" max="1" width="11" customWidth="1"/>
    <col min="2" max="2" width="18.5" customWidth="1"/>
    <col min="3" max="3" width="44.125" customWidth="1"/>
    <col min="4" max="4" width="37.625" customWidth="1"/>
    <col min="5" max="5" width="28.125" customWidth="1"/>
    <col min="6" max="6" width="26.375" customWidth="1"/>
    <col min="7" max="7" width="27.625" customWidth="1"/>
    <col min="8" max="8" width="33.25" customWidth="1"/>
    <col min="10" max="10" width="17.875" customWidth="1"/>
    <col min="11" max="11" width="42.625" customWidth="1"/>
    <col min="12" max="12" width="23.625" customWidth="1"/>
    <col min="13" max="13" width="32.625" customWidth="1"/>
    <col min="14" max="14" width="28.875" customWidth="1"/>
    <col min="15" max="15" width="27.375" customWidth="1"/>
    <col min="16" max="16" width="28.25" customWidth="1"/>
  </cols>
  <sheetData>
    <row r="1" spans="1:16" ht="1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61.5" x14ac:dyDescent="0.25">
      <c r="A3" s="9"/>
      <c r="B3" s="193" t="s">
        <v>264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</row>
    <row r="4" spans="1:16" ht="36" x14ac:dyDescent="0.25">
      <c r="A4" s="9"/>
      <c r="B4" s="194" t="str">
        <f>TEXT(Historical!H2," mmmm dd, aaaa")</f>
        <v xml:space="preserve"> November 13, Monday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</row>
    <row r="11" spans="1:16" ht="61.5" x14ac:dyDescent="0.9">
      <c r="D11" s="16" t="s">
        <v>104</v>
      </c>
    </row>
    <row r="14" spans="1:16" ht="21" customHeight="1" x14ac:dyDescent="0.2">
      <c r="I14" s="2"/>
      <c r="P14" s="2"/>
    </row>
    <row r="15" spans="1:16" ht="21" customHeight="1" x14ac:dyDescent="0.2"/>
    <row r="16" spans="1:16" ht="29.25" customHeight="1" x14ac:dyDescent="0.2"/>
    <row r="17" spans="2:16" ht="29.25" customHeight="1" x14ac:dyDescent="0.2">
      <c r="B17" s="192" t="s">
        <v>121</v>
      </c>
      <c r="C17" s="192"/>
      <c r="D17" s="192"/>
      <c r="E17" s="192"/>
      <c r="F17" s="192"/>
      <c r="G17" s="192"/>
      <c r="H17" s="192"/>
      <c r="J17" s="192" t="s">
        <v>283</v>
      </c>
      <c r="K17" s="192"/>
      <c r="L17" s="192"/>
      <c r="M17" s="192"/>
      <c r="N17" s="192"/>
      <c r="O17" s="192"/>
      <c r="P17" s="192"/>
    </row>
    <row r="18" spans="2:16" ht="29.25" customHeight="1" x14ac:dyDescent="0.2"/>
    <row r="19" spans="2:16" ht="29.25" customHeight="1" x14ac:dyDescent="0.2">
      <c r="B19" s="11"/>
      <c r="C19" s="11" t="s">
        <v>86</v>
      </c>
      <c r="D19" s="11" t="s">
        <v>70</v>
      </c>
      <c r="E19" s="11" t="s">
        <v>6</v>
      </c>
      <c r="F19" s="11" t="s">
        <v>71</v>
      </c>
      <c r="G19" s="11" t="s">
        <v>21</v>
      </c>
      <c r="H19" s="11" t="s">
        <v>265</v>
      </c>
      <c r="J19" s="11"/>
      <c r="K19" s="11" t="s">
        <v>86</v>
      </c>
      <c r="L19" s="11" t="s">
        <v>70</v>
      </c>
      <c r="M19" s="11" t="s">
        <v>6</v>
      </c>
      <c r="N19" s="11" t="s">
        <v>71</v>
      </c>
      <c r="O19" s="11" t="s">
        <v>21</v>
      </c>
      <c r="P19" s="11" t="s">
        <v>265</v>
      </c>
    </row>
    <row r="20" spans="2:16" ht="29.25" customHeight="1" x14ac:dyDescent="0.5">
      <c r="B20" s="12">
        <v>1</v>
      </c>
      <c r="C20" s="17" t="str">
        <f>IFERROR(INDEX(Dataset!G:G,MATCH(_xlfn.AGGREGATE(14,6,Dataset!AK:AK/(Dataset!F:F=$D$11),B20),Dataset!AK:AK,0),1),"-")</f>
        <v>-</v>
      </c>
      <c r="D20" s="17" t="str">
        <f>IFERROR(INDEX(Dataset!AK:AK,MATCH(_xlfn.AGGREGATE(14,6,Dataset!AK:AK/(Dataset!F:F=$D$11),B20),Dataset!AK:AK,0),1),"-")</f>
        <v>-</v>
      </c>
      <c r="E20" s="17" t="str">
        <f>IFERROR(INDEX(Dataset!I:I,MATCH(_xlfn.AGGREGATE(14,6,Dataset!AK:AK/(Dataset!F:F=$D$11),B20),Dataset!AK:AK,0),1),"-")</f>
        <v>-</v>
      </c>
      <c r="F20" s="17" t="e">
        <f>IFERROR(INDEX(Dataset!R:R,MATCH(_xlfn.AGGREGATE(14,6,Dataset!AK:AK/(Dataset!F:F=$D$11),B20),Dataset!AK:AK,0),1),"-")/100</f>
        <v>#VALUE!</v>
      </c>
      <c r="G20" s="17" t="str">
        <f>IFERROR(INDEX(Dataset!AA:AA,MATCH(_xlfn.AGGREGATE(14,6,Dataset!AK:AK/(Dataset!F:F=$D$11),B20),Dataset!AK:AK,0),1),"-")</f>
        <v>-</v>
      </c>
      <c r="H20" s="18" t="str">
        <f>IFERROR(INDEX(Dataset!AJ:AJ,MATCH(_xlfn.AGGREGATE(14,6,Dataset!AK:AK/(Dataset!F:F=$D$11),B20),Dataset!AK:AK,0),1),"-")</f>
        <v>-</v>
      </c>
      <c r="J20" s="12">
        <v>1</v>
      </c>
      <c r="K20" s="17" t="str">
        <f>IFERROR(INDEX(Dataset!G:G,MATCH(_xlfn.AGGREGATE(14,6,Dataset!I:I/(Dataset!F:F=$D$11),J20),Dataset!I:I,0),1),"-")</f>
        <v>-</v>
      </c>
      <c r="L20" s="17" t="str">
        <f>IFERROR(INDEX(Dataset!AK:AK,MATCH(_xlfn.AGGREGATE(14,6,Dataset!I:I/(Dataset!F:F=$D$11),J20),Dataset!I:I,0),1),"-")</f>
        <v>-</v>
      </c>
      <c r="M20" s="17" t="str">
        <f>IFERROR(INDEX(Dataset!I:I,MATCH(_xlfn.AGGREGATE(14,6,Dataset!I:I/(Dataset!F:F=$D$11),J20),Dataset!I:I,0),1),"-")</f>
        <v>-</v>
      </c>
      <c r="N20" s="17" t="e">
        <f>IFERROR(INDEX(Dataset!R:R,MATCH(_xlfn.AGGREGATE(14,6,Dataset!I:I/(Dataset!F:F=$D$11),J20),Dataset!I:I,0),1),"-")/100</f>
        <v>#VALUE!</v>
      </c>
      <c r="O20" s="17" t="str">
        <f>IFERROR(INDEX(Dataset!AA:AA,MATCH(_xlfn.AGGREGATE(14,6,Dataset!I:I/(Dataset!F:F=$D$11),J20),Dataset!I:I,0),1),"-")</f>
        <v>-</v>
      </c>
      <c r="P20" s="18" t="str">
        <f>IFERROR(INDEX(Dataset!AJ:AJ,MATCH(_xlfn.AGGREGATE(14,6,Dataset!I:I/(Dataset!F:F=$D$11),J20),Dataset!I:I,0),1),"-")</f>
        <v>-</v>
      </c>
    </row>
    <row r="21" spans="2:16" ht="29.25" customHeight="1" x14ac:dyDescent="0.5">
      <c r="B21" s="12">
        <v>2</v>
      </c>
      <c r="C21" s="17" t="str">
        <f>IFERROR(INDEX(Dataset!G:G,MATCH(_xlfn.AGGREGATE(14,6,Dataset!AK:AK/(Dataset!F:F=$D$11),B21),Dataset!AK:AK,0),1),"-")</f>
        <v>-</v>
      </c>
      <c r="D21" s="17" t="str">
        <f>IFERROR(INDEX(Dataset!AK:AK,MATCH(_xlfn.AGGREGATE(14,6,Dataset!AK:AK/(Dataset!F:F=$D$11),B21),Dataset!AK:AK,0),1),"-")</f>
        <v>-</v>
      </c>
      <c r="E21" s="17" t="str">
        <f>IFERROR(INDEX(Dataset!I:I,MATCH(_xlfn.AGGREGATE(14,6,Dataset!AK:AK/(Dataset!F:F=$D$11),B21),Dataset!AK:AK,0),1),"-")</f>
        <v>-</v>
      </c>
      <c r="F21" s="17" t="e">
        <f>IFERROR(INDEX(Dataset!R:R,MATCH(_xlfn.AGGREGATE(14,6,Dataset!AK:AK/(Dataset!F:F=$D$11),B21),Dataset!AK:AK,0),1),"-")/100</f>
        <v>#VALUE!</v>
      </c>
      <c r="G21" s="17" t="str">
        <f>IFERROR(INDEX(Dataset!AA:AA,MATCH(_xlfn.AGGREGATE(14,6,Dataset!AK:AK/(Dataset!F:F=$D$11),B21),Dataset!AK:AK,0),1),"-")</f>
        <v>-</v>
      </c>
      <c r="H21" s="18" t="str">
        <f>IFERROR(INDEX(Dataset!AJ:AJ,MATCH(_xlfn.AGGREGATE(14,6,Dataset!AK:AK/(Dataset!F:F=$D$11),B21),Dataset!AK:AK,0),1),"-")</f>
        <v>-</v>
      </c>
      <c r="J21" s="12">
        <v>2</v>
      </c>
      <c r="K21" s="17" t="str">
        <f>IFERROR(INDEX(Dataset!G:G,MATCH(_xlfn.AGGREGATE(14,6,Dataset!I:I/(Dataset!F:F=$D$11),J21),Dataset!I:I,0),1),"-")</f>
        <v>-</v>
      </c>
      <c r="L21" s="17" t="str">
        <f>IFERROR(INDEX(Dataset!AK:AK,MATCH(_xlfn.AGGREGATE(14,6,Dataset!I:I/(Dataset!F:F=$D$11),J21),Dataset!I:I,0),1),"-")</f>
        <v>-</v>
      </c>
      <c r="M21" s="17" t="str">
        <f>IFERROR(INDEX(Dataset!I:I,MATCH(_xlfn.AGGREGATE(14,6,Dataset!I:I/(Dataset!F:F=$D$11),J21),Dataset!I:I,0),1),"-")</f>
        <v>-</v>
      </c>
      <c r="N21" s="17" t="e">
        <f>IFERROR(INDEX(Dataset!R:R,MATCH(_xlfn.AGGREGATE(14,6,Dataset!I:I/(Dataset!F:F=$D$11),J21),Dataset!I:I,0),1),"-")/100</f>
        <v>#VALUE!</v>
      </c>
      <c r="O21" s="17" t="str">
        <f>IFERROR(INDEX(Dataset!AA:AA,MATCH(_xlfn.AGGREGATE(14,6,Dataset!I:I/(Dataset!F:F=$D$11),J21),Dataset!I:I,0),1),"-")</f>
        <v>-</v>
      </c>
      <c r="P21" s="18" t="str">
        <f>IFERROR(INDEX(Dataset!AJ:AJ,MATCH(_xlfn.AGGREGATE(14,6,Dataset!I:I/(Dataset!F:F=$D$11),J21),Dataset!I:I,0),1),"-")</f>
        <v>-</v>
      </c>
    </row>
    <row r="22" spans="2:16" ht="29.25" customHeight="1" x14ac:dyDescent="0.5">
      <c r="B22" s="12">
        <v>3</v>
      </c>
      <c r="C22" s="17" t="str">
        <f>IFERROR(INDEX(Dataset!G:G,MATCH(_xlfn.AGGREGATE(14,6,Dataset!AK:AK/(Dataset!F:F=$D$11),B22),Dataset!AK:AK,0),1),"-")</f>
        <v>-</v>
      </c>
      <c r="D22" s="17" t="str">
        <f>IFERROR(INDEX(Dataset!AK:AK,MATCH(_xlfn.AGGREGATE(14,6,Dataset!AK:AK/(Dataset!F:F=$D$11),B22),Dataset!AK:AK,0),1),"-")</f>
        <v>-</v>
      </c>
      <c r="E22" s="17" t="str">
        <f>IFERROR(INDEX(Dataset!I:I,MATCH(_xlfn.AGGREGATE(14,6,Dataset!AK:AK/(Dataset!F:F=$D$11),B22),Dataset!AK:AK,0),1),"-")</f>
        <v>-</v>
      </c>
      <c r="F22" s="17" t="e">
        <f>IFERROR(INDEX(Dataset!R:R,MATCH(_xlfn.AGGREGATE(14,6,Dataset!AK:AK/(Dataset!F:F=$D$11),B22),Dataset!AK:AK,0),1),"-")/100</f>
        <v>#VALUE!</v>
      </c>
      <c r="G22" s="17" t="str">
        <f>IFERROR(INDEX(Dataset!AA:AA,MATCH(_xlfn.AGGREGATE(14,6,Dataset!AK:AK/(Dataset!F:F=$D$11),B22),Dataset!AK:AK,0),1),"-")</f>
        <v>-</v>
      </c>
      <c r="H22" s="18" t="str">
        <f>IFERROR(INDEX(Dataset!AJ:AJ,MATCH(_xlfn.AGGREGATE(14,6,Dataset!AK:AK/(Dataset!F:F=$D$11),B22),Dataset!AK:AK,0),1),"-")</f>
        <v>-</v>
      </c>
      <c r="J22" s="12">
        <v>3</v>
      </c>
      <c r="K22" s="17" t="str">
        <f>IFERROR(INDEX(Dataset!G:G,MATCH(_xlfn.AGGREGATE(14,6,Dataset!I:I/(Dataset!F:F=$D$11),J22),Dataset!I:I,0),1),"-")</f>
        <v>-</v>
      </c>
      <c r="L22" s="17" t="str">
        <f>IFERROR(INDEX(Dataset!AK:AK,MATCH(_xlfn.AGGREGATE(14,6,Dataset!I:I/(Dataset!F:F=$D$11),J22),Dataset!I:I,0),1),"-")</f>
        <v>-</v>
      </c>
      <c r="M22" s="17" t="str">
        <f>IFERROR(INDEX(Dataset!I:I,MATCH(_xlfn.AGGREGATE(14,6,Dataset!I:I/(Dataset!F:F=$D$11),J22),Dataset!I:I,0),1),"-")</f>
        <v>-</v>
      </c>
      <c r="N22" s="17" t="e">
        <f>IFERROR(INDEX(Dataset!R:R,MATCH(_xlfn.AGGREGATE(14,6,Dataset!I:I/(Dataset!F:F=$D$11),J22),Dataset!I:I,0),1),"-")/100</f>
        <v>#VALUE!</v>
      </c>
      <c r="O22" s="17" t="str">
        <f>IFERROR(INDEX(Dataset!AA:AA,MATCH(_xlfn.AGGREGATE(14,6,Dataset!I:I/(Dataset!F:F=$D$11),J22),Dataset!I:I,0),1),"-")</f>
        <v>-</v>
      </c>
      <c r="P22" s="18" t="str">
        <f>IFERROR(INDEX(Dataset!AJ:AJ,MATCH(_xlfn.AGGREGATE(14,6,Dataset!I:I/(Dataset!F:F=$D$11),J22),Dataset!I:I,0),1),"-")</f>
        <v>-</v>
      </c>
    </row>
    <row r="23" spans="2:16" ht="29.25" customHeight="1" x14ac:dyDescent="0.5">
      <c r="B23" s="12">
        <v>4</v>
      </c>
      <c r="C23" s="17" t="str">
        <f>IFERROR(INDEX(Dataset!G:G,MATCH(_xlfn.AGGREGATE(14,6,Dataset!AK:AK/(Dataset!F:F=$D$11),B23),Dataset!AK:AK,0),1),"-")</f>
        <v>-</v>
      </c>
      <c r="D23" s="17" t="str">
        <f>IFERROR(INDEX(Dataset!AK:AK,MATCH(_xlfn.AGGREGATE(14,6,Dataset!AK:AK/(Dataset!F:F=$D$11),B23),Dataset!AK:AK,0),1),"-")</f>
        <v>-</v>
      </c>
      <c r="E23" s="17" t="str">
        <f>IFERROR(INDEX(Dataset!I:I,MATCH(_xlfn.AGGREGATE(14,6,Dataset!AK:AK/(Dataset!F:F=$D$11),B23),Dataset!AK:AK,0),1),"-")</f>
        <v>-</v>
      </c>
      <c r="F23" s="17" t="e">
        <f>IFERROR(INDEX(Dataset!R:R,MATCH(_xlfn.AGGREGATE(14,6,Dataset!AK:AK/(Dataset!F:F=$D$11),B23),Dataset!AK:AK,0),1),"-")/100</f>
        <v>#VALUE!</v>
      </c>
      <c r="G23" s="17" t="str">
        <f>IFERROR(INDEX(Dataset!AA:AA,MATCH(_xlfn.AGGREGATE(14,6,Dataset!AK:AK/(Dataset!F:F=$D$11),B23),Dataset!AK:AK,0),1),"-")</f>
        <v>-</v>
      </c>
      <c r="H23" s="18" t="str">
        <f>IFERROR(INDEX(Dataset!AJ:AJ,MATCH(_xlfn.AGGREGATE(14,6,Dataset!AK:AK/(Dataset!F:F=$D$11),B23),Dataset!AK:AK,0),1),"-")</f>
        <v>-</v>
      </c>
      <c r="J23" s="12">
        <v>4</v>
      </c>
      <c r="K23" s="17" t="str">
        <f>IFERROR(INDEX(Dataset!G:G,MATCH(_xlfn.AGGREGATE(14,6,Dataset!I:I/(Dataset!F:F=$D$11),J23),Dataset!I:I,0),1),"-")</f>
        <v>-</v>
      </c>
      <c r="L23" s="17" t="str">
        <f>IFERROR(INDEX(Dataset!AK:AK,MATCH(_xlfn.AGGREGATE(14,6,Dataset!I:I/(Dataset!F:F=$D$11),J23),Dataset!I:I,0),1),"-")</f>
        <v>-</v>
      </c>
      <c r="M23" s="17" t="str">
        <f>IFERROR(INDEX(Dataset!I:I,MATCH(_xlfn.AGGREGATE(14,6,Dataset!I:I/(Dataset!F:F=$D$11),J23),Dataset!I:I,0),1),"-")</f>
        <v>-</v>
      </c>
      <c r="N23" s="17" t="e">
        <f>IFERROR(INDEX(Dataset!R:R,MATCH(_xlfn.AGGREGATE(14,6,Dataset!I:I/(Dataset!F:F=$D$11),J23),Dataset!I:I,0),1),"-")/100</f>
        <v>#VALUE!</v>
      </c>
      <c r="O23" s="17" t="str">
        <f>IFERROR(INDEX(Dataset!AA:AA,MATCH(_xlfn.AGGREGATE(14,6,Dataset!I:I/(Dataset!F:F=$D$11),J23),Dataset!I:I,0),1),"-")</f>
        <v>-</v>
      </c>
      <c r="P23" s="18" t="str">
        <f>IFERROR(INDEX(Dataset!AJ:AJ,MATCH(_xlfn.AGGREGATE(14,6,Dataset!I:I/(Dataset!F:F=$D$11),J23),Dataset!I:I,0),1),"-")</f>
        <v>-</v>
      </c>
    </row>
    <row r="24" spans="2:16" ht="29.25" customHeight="1" x14ac:dyDescent="0.5">
      <c r="B24" s="12">
        <v>5</v>
      </c>
      <c r="C24" s="17" t="str">
        <f>IFERROR(INDEX(Dataset!G:G,MATCH(_xlfn.AGGREGATE(14,6,Dataset!AK:AK/(Dataset!F:F=$D$11),B24),Dataset!AK:AK,0),1),"-")</f>
        <v>-</v>
      </c>
      <c r="D24" s="17" t="str">
        <f>IFERROR(INDEX(Dataset!AK:AK,MATCH(_xlfn.AGGREGATE(14,6,Dataset!AK:AK/(Dataset!F:F=$D$11),B24),Dataset!AK:AK,0),1),"-")</f>
        <v>-</v>
      </c>
      <c r="E24" s="17" t="str">
        <f>IFERROR(INDEX(Dataset!I:I,MATCH(_xlfn.AGGREGATE(14,6,Dataset!AK:AK/(Dataset!F:F=$D$11),B24),Dataset!AK:AK,0),1),"-")</f>
        <v>-</v>
      </c>
      <c r="F24" s="17" t="e">
        <f>IFERROR(INDEX(Dataset!R:R,MATCH(_xlfn.AGGREGATE(14,6,Dataset!AK:AK/(Dataset!F:F=$D$11),B24),Dataset!AK:AK,0),1),"-")/100</f>
        <v>#VALUE!</v>
      </c>
      <c r="G24" s="17" t="str">
        <f>IFERROR(INDEX(Dataset!AA:AA,MATCH(_xlfn.AGGREGATE(14,6,Dataset!AK:AK/(Dataset!F:F=$D$11),B24),Dataset!AK:AK,0),1),"-")</f>
        <v>-</v>
      </c>
      <c r="H24" s="18" t="str">
        <f>IFERROR(INDEX(Dataset!AJ:AJ,MATCH(_xlfn.AGGREGATE(14,6,Dataset!AK:AK/(Dataset!F:F=$D$11),B24),Dataset!AK:AK,0),1),"-")</f>
        <v>-</v>
      </c>
      <c r="J24" s="12">
        <v>5</v>
      </c>
      <c r="K24" s="17" t="str">
        <f>IFERROR(INDEX(Dataset!G:G,MATCH(_xlfn.AGGREGATE(14,6,Dataset!I:I/(Dataset!F:F=$D$11),J24),Dataset!I:I,0),1),"-")</f>
        <v>-</v>
      </c>
      <c r="L24" s="17" t="str">
        <f>IFERROR(INDEX(Dataset!AK:AK,MATCH(_xlfn.AGGREGATE(14,6,Dataset!I:I/(Dataset!F:F=$D$11),J24),Dataset!I:I,0),1),"-")</f>
        <v>-</v>
      </c>
      <c r="M24" s="17" t="str">
        <f>IFERROR(INDEX(Dataset!I:I,MATCH(_xlfn.AGGREGATE(14,6,Dataset!I:I/(Dataset!F:F=$D$11),J24),Dataset!I:I,0),1),"-")</f>
        <v>-</v>
      </c>
      <c r="N24" s="17" t="e">
        <f>IFERROR(INDEX(Dataset!R:R,MATCH(_xlfn.AGGREGATE(14,6,Dataset!I:I/(Dataset!F:F=$D$11),J24),Dataset!I:I,0),1),"-")/100</f>
        <v>#VALUE!</v>
      </c>
      <c r="O24" s="17" t="str">
        <f>IFERROR(INDEX(Dataset!AA:AA,MATCH(_xlfn.AGGREGATE(14,6,Dataset!I:I/(Dataset!F:F=$D$11),J24),Dataset!I:I,0),1),"-")</f>
        <v>-</v>
      </c>
      <c r="P24" s="18" t="str">
        <f>IFERROR(INDEX(Dataset!AJ:AJ,MATCH(_xlfn.AGGREGATE(14,6,Dataset!I:I/(Dataset!F:F=$D$11),J24),Dataset!I:I,0),1),"-")</f>
        <v>-</v>
      </c>
    </row>
    <row r="25" spans="2:16" ht="29.25" customHeight="1" x14ac:dyDescent="0.5">
      <c r="B25" s="12">
        <v>6</v>
      </c>
      <c r="C25" s="17" t="str">
        <f>IFERROR(INDEX(Dataset!G:G,MATCH(_xlfn.AGGREGATE(14,6,Dataset!AK:AK/(Dataset!F:F=$D$11),B25),Dataset!AK:AK,0),1),"-")</f>
        <v>-</v>
      </c>
      <c r="D25" s="17" t="str">
        <f>IFERROR(INDEX(Dataset!AK:AK,MATCH(_xlfn.AGGREGATE(14,6,Dataset!AK:AK/(Dataset!F:F=$D$11),B25),Dataset!AK:AK,0),1),"-")</f>
        <v>-</v>
      </c>
      <c r="E25" s="17" t="str">
        <f>IFERROR(INDEX(Dataset!I:I,MATCH(_xlfn.AGGREGATE(14,6,Dataset!AK:AK/(Dataset!F:F=$D$11),B25),Dataset!AK:AK,0),1),"-")</f>
        <v>-</v>
      </c>
      <c r="F25" s="17" t="e">
        <f>IFERROR(INDEX(Dataset!R:R,MATCH(_xlfn.AGGREGATE(14,6,Dataset!AK:AK/(Dataset!F:F=$D$11),B25),Dataset!AK:AK,0),1),"-")/100</f>
        <v>#VALUE!</v>
      </c>
      <c r="G25" s="17" t="str">
        <f>IFERROR(INDEX(Dataset!AA:AA,MATCH(_xlfn.AGGREGATE(14,6,Dataset!AK:AK/(Dataset!F:F=$D$11),B25),Dataset!AK:AK,0),1),"-")</f>
        <v>-</v>
      </c>
      <c r="H25" s="18" t="str">
        <f>IFERROR(INDEX(Dataset!AJ:AJ,MATCH(_xlfn.AGGREGATE(14,6,Dataset!AK:AK/(Dataset!F:F=$D$11),B25),Dataset!AK:AK,0),1),"-")</f>
        <v>-</v>
      </c>
      <c r="J25" s="12">
        <v>6</v>
      </c>
      <c r="K25" s="17" t="str">
        <f>IFERROR(INDEX(Dataset!G:G,MATCH(_xlfn.AGGREGATE(14,6,Dataset!I:I/(Dataset!F:F=$D$11),J25),Dataset!I:I,0),1),"-")</f>
        <v>-</v>
      </c>
      <c r="L25" s="17" t="str">
        <f>IFERROR(INDEX(Dataset!AK:AK,MATCH(_xlfn.AGGREGATE(14,6,Dataset!I:I/(Dataset!F:F=$D$11),J25),Dataset!I:I,0),1),"-")</f>
        <v>-</v>
      </c>
      <c r="M25" s="17" t="str">
        <f>IFERROR(INDEX(Dataset!I:I,MATCH(_xlfn.AGGREGATE(14,6,Dataset!I:I/(Dataset!F:F=$D$11),J25),Dataset!I:I,0),1),"-")</f>
        <v>-</v>
      </c>
      <c r="N25" s="17" t="e">
        <f>IFERROR(INDEX(Dataset!R:R,MATCH(_xlfn.AGGREGATE(14,6,Dataset!I:I/(Dataset!F:F=$D$11),J25),Dataset!I:I,0),1),"-")/100</f>
        <v>#VALUE!</v>
      </c>
      <c r="O25" s="17" t="str">
        <f>IFERROR(INDEX(Dataset!AA:AA,MATCH(_xlfn.AGGREGATE(14,6,Dataset!I:I/(Dataset!F:F=$D$11),J25),Dataset!I:I,0),1),"-")</f>
        <v>-</v>
      </c>
      <c r="P25" s="18" t="str">
        <f>IFERROR(INDEX(Dataset!AJ:AJ,MATCH(_xlfn.AGGREGATE(14,6,Dataset!I:I/(Dataset!F:F=$D$11),J25),Dataset!I:I,0),1),"-")</f>
        <v>-</v>
      </c>
    </row>
    <row r="26" spans="2:16" ht="29.25" customHeight="1" x14ac:dyDescent="0.5">
      <c r="B26" s="12">
        <v>7</v>
      </c>
      <c r="C26" s="17" t="str">
        <f>IFERROR(INDEX(Dataset!G:G,MATCH(_xlfn.AGGREGATE(14,6,Dataset!AK:AK/(Dataset!F:F=$D$11),B26),Dataset!AK:AK,0),1),"-")</f>
        <v>-</v>
      </c>
      <c r="D26" s="17" t="str">
        <f>IFERROR(INDEX(Dataset!AK:AK,MATCH(_xlfn.AGGREGATE(14,6,Dataset!AK:AK/(Dataset!F:F=$D$11),B26),Dataset!AK:AK,0),1),"-")</f>
        <v>-</v>
      </c>
      <c r="E26" s="17" t="str">
        <f>IFERROR(INDEX(Dataset!I:I,MATCH(_xlfn.AGGREGATE(14,6,Dataset!AK:AK/(Dataset!F:F=$D$11),B26),Dataset!AK:AK,0),1),"-")</f>
        <v>-</v>
      </c>
      <c r="F26" s="17" t="e">
        <f>IFERROR(INDEX(Dataset!R:R,MATCH(_xlfn.AGGREGATE(14,6,Dataset!AK:AK/(Dataset!F:F=$D$11),B26),Dataset!AK:AK,0),1),"-")/100</f>
        <v>#VALUE!</v>
      </c>
      <c r="G26" s="17" t="str">
        <f>IFERROR(INDEX(Dataset!AA:AA,MATCH(_xlfn.AGGREGATE(14,6,Dataset!AK:AK/(Dataset!F:F=$D$11),B26),Dataset!AK:AK,0),1),"-")</f>
        <v>-</v>
      </c>
      <c r="H26" s="18" t="str">
        <f>IFERROR(INDEX(Dataset!AJ:AJ,MATCH(_xlfn.AGGREGATE(14,6,Dataset!AK:AK/(Dataset!F:F=$D$11),B26),Dataset!AK:AK,0),1),"-")</f>
        <v>-</v>
      </c>
      <c r="J26" s="12">
        <v>7</v>
      </c>
      <c r="K26" s="17" t="str">
        <f>IFERROR(INDEX(Dataset!G:G,MATCH(_xlfn.AGGREGATE(14,6,Dataset!I:I/(Dataset!F:F=$D$11),J26),Dataset!I:I,0),1),"-")</f>
        <v>-</v>
      </c>
      <c r="L26" s="17" t="str">
        <f>IFERROR(INDEX(Dataset!AK:AK,MATCH(_xlfn.AGGREGATE(14,6,Dataset!I:I/(Dataset!F:F=$D$11),J26),Dataset!I:I,0),1),"-")</f>
        <v>-</v>
      </c>
      <c r="M26" s="17" t="str">
        <f>IFERROR(INDEX(Dataset!I:I,MATCH(_xlfn.AGGREGATE(14,6,Dataset!I:I/(Dataset!F:F=$D$11),J26),Dataset!I:I,0),1),"-")</f>
        <v>-</v>
      </c>
      <c r="N26" s="17" t="e">
        <f>IFERROR(INDEX(Dataset!R:R,MATCH(_xlfn.AGGREGATE(14,6,Dataset!I:I/(Dataset!F:F=$D$11),J26),Dataset!I:I,0),1),"-")/100</f>
        <v>#VALUE!</v>
      </c>
      <c r="O26" s="17" t="str">
        <f>IFERROR(INDEX(Dataset!AA:AA,MATCH(_xlfn.AGGREGATE(14,6,Dataset!I:I/(Dataset!F:F=$D$11),J26),Dataset!I:I,0),1),"-")</f>
        <v>-</v>
      </c>
      <c r="P26" s="18" t="str">
        <f>IFERROR(INDEX(Dataset!AJ:AJ,MATCH(_xlfn.AGGREGATE(14,6,Dataset!I:I/(Dataset!F:F=$D$11),J26),Dataset!I:I,0),1),"-")</f>
        <v>-</v>
      </c>
    </row>
    <row r="27" spans="2:16" ht="29.25" customHeight="1" x14ac:dyDescent="0.5">
      <c r="B27" s="12">
        <v>8</v>
      </c>
      <c r="C27" s="17" t="str">
        <f>IFERROR(INDEX(Dataset!G:G,MATCH(_xlfn.AGGREGATE(14,6,Dataset!AK:AK/(Dataset!F:F=$D$11),B27),Dataset!AK:AK,0),1),"-")</f>
        <v>-</v>
      </c>
      <c r="D27" s="17" t="str">
        <f>IFERROR(INDEX(Dataset!AK:AK,MATCH(_xlfn.AGGREGATE(14,6,Dataset!AK:AK/(Dataset!F:F=$D$11),B27),Dataset!AK:AK,0),1),"-")</f>
        <v>-</v>
      </c>
      <c r="E27" s="17" t="str">
        <f>IFERROR(INDEX(Dataset!I:I,MATCH(_xlfn.AGGREGATE(14,6,Dataset!AK:AK/(Dataset!F:F=$D$11),B27),Dataset!AK:AK,0),1),"-")</f>
        <v>-</v>
      </c>
      <c r="F27" s="17" t="e">
        <f>IFERROR(INDEX(Dataset!R:R,MATCH(_xlfn.AGGREGATE(14,6,Dataset!AK:AK/(Dataset!F:F=$D$11),B27),Dataset!AK:AK,0),1),"-")/100</f>
        <v>#VALUE!</v>
      </c>
      <c r="G27" s="17" t="str">
        <f>IFERROR(INDEX(Dataset!AA:AA,MATCH(_xlfn.AGGREGATE(14,6,Dataset!AK:AK/(Dataset!F:F=$D$11),B27),Dataset!AK:AK,0),1),"-")</f>
        <v>-</v>
      </c>
      <c r="H27" s="18" t="str">
        <f>IFERROR(INDEX(Dataset!AJ:AJ,MATCH(_xlfn.AGGREGATE(14,6,Dataset!AK:AK/(Dataset!F:F=$D$11),B27),Dataset!AK:AK,0),1),"-")</f>
        <v>-</v>
      </c>
      <c r="J27" s="12">
        <v>8</v>
      </c>
      <c r="K27" s="17" t="str">
        <f>IFERROR(INDEX(Dataset!G:G,MATCH(_xlfn.AGGREGATE(14,6,Dataset!I:I/(Dataset!F:F=$D$11),J27),Dataset!I:I,0),1),"-")</f>
        <v>-</v>
      </c>
      <c r="L27" s="17" t="str">
        <f>IFERROR(INDEX(Dataset!AK:AK,MATCH(_xlfn.AGGREGATE(14,6,Dataset!I:I/(Dataset!F:F=$D$11),J27),Dataset!I:I,0),1),"-")</f>
        <v>-</v>
      </c>
      <c r="M27" s="17" t="str">
        <f>IFERROR(INDEX(Dataset!I:I,MATCH(_xlfn.AGGREGATE(14,6,Dataset!I:I/(Dataset!F:F=$D$11),J27),Dataset!I:I,0),1),"-")</f>
        <v>-</v>
      </c>
      <c r="N27" s="17" t="e">
        <f>IFERROR(INDEX(Dataset!R:R,MATCH(_xlfn.AGGREGATE(14,6,Dataset!I:I/(Dataset!F:F=$D$11),J27),Dataset!I:I,0),1),"-")/100</f>
        <v>#VALUE!</v>
      </c>
      <c r="O27" s="17" t="str">
        <f>IFERROR(INDEX(Dataset!AA:AA,MATCH(_xlfn.AGGREGATE(14,6,Dataset!I:I/(Dataset!F:F=$D$11),J27),Dataset!I:I,0),1),"-")</f>
        <v>-</v>
      </c>
      <c r="P27" s="18" t="str">
        <f>IFERROR(INDEX(Dataset!AJ:AJ,MATCH(_xlfn.AGGREGATE(14,6,Dataset!I:I/(Dataset!F:F=$D$11),J27),Dataset!I:I,0),1),"-")</f>
        <v>-</v>
      </c>
    </row>
    <row r="28" spans="2:16" ht="29.25" customHeight="1" x14ac:dyDescent="0.5">
      <c r="B28" s="12">
        <v>9</v>
      </c>
      <c r="C28" s="17" t="str">
        <f>IFERROR(INDEX(Dataset!G:G,MATCH(_xlfn.AGGREGATE(14,6,Dataset!AK:AK/(Dataset!F:F=$D$11),B28),Dataset!AK:AK,0),1),"-")</f>
        <v>-</v>
      </c>
      <c r="D28" s="17" t="str">
        <f>IFERROR(INDEX(Dataset!AK:AK,MATCH(_xlfn.AGGREGATE(14,6,Dataset!AK:AK/(Dataset!F:F=$D$11),B28),Dataset!AK:AK,0),1),"-")</f>
        <v>-</v>
      </c>
      <c r="E28" s="17" t="str">
        <f>IFERROR(INDEX(Dataset!I:I,MATCH(_xlfn.AGGREGATE(14,6,Dataset!AK:AK/(Dataset!F:F=$D$11),B28),Dataset!AK:AK,0),1),"-")</f>
        <v>-</v>
      </c>
      <c r="F28" s="17" t="e">
        <f>IFERROR(INDEX(Dataset!R:R,MATCH(_xlfn.AGGREGATE(14,6,Dataset!AK:AK/(Dataset!F:F=$D$11),B28),Dataset!AK:AK,0),1),"-")/100</f>
        <v>#VALUE!</v>
      </c>
      <c r="G28" s="17" t="str">
        <f>IFERROR(INDEX(Dataset!AA:AA,MATCH(_xlfn.AGGREGATE(14,6,Dataset!AK:AK/(Dataset!F:F=$D$11),B28),Dataset!AK:AK,0),1),"-")</f>
        <v>-</v>
      </c>
      <c r="H28" s="18" t="str">
        <f>IFERROR(INDEX(Dataset!AJ:AJ,MATCH(_xlfn.AGGREGATE(14,6,Dataset!AK:AK/(Dataset!F:F=$D$11),B28),Dataset!AK:AK,0),1),"-")</f>
        <v>-</v>
      </c>
      <c r="J28" s="12">
        <v>9</v>
      </c>
      <c r="K28" s="17" t="str">
        <f>IFERROR(INDEX(Dataset!G:G,MATCH(_xlfn.AGGREGATE(14,6,Dataset!I:I/(Dataset!F:F=$D$11),J28),Dataset!I:I,0),1),"-")</f>
        <v>-</v>
      </c>
      <c r="L28" s="17" t="str">
        <f>IFERROR(INDEX(Dataset!AK:AK,MATCH(_xlfn.AGGREGATE(14,6,Dataset!I:I/(Dataset!F:F=$D$11),J28),Dataset!I:I,0),1),"-")</f>
        <v>-</v>
      </c>
      <c r="M28" s="17" t="str">
        <f>IFERROR(INDEX(Dataset!I:I,MATCH(_xlfn.AGGREGATE(14,6,Dataset!I:I/(Dataset!F:F=$D$11),J28),Dataset!I:I,0),1),"-")</f>
        <v>-</v>
      </c>
      <c r="N28" s="17" t="e">
        <f>IFERROR(INDEX(Dataset!R:R,MATCH(_xlfn.AGGREGATE(14,6,Dataset!I:I/(Dataset!F:F=$D$11),J28),Dataset!I:I,0),1),"-")/100</f>
        <v>#VALUE!</v>
      </c>
      <c r="O28" s="17" t="str">
        <f>IFERROR(INDEX(Dataset!AA:AA,MATCH(_xlfn.AGGREGATE(14,6,Dataset!I:I/(Dataset!F:F=$D$11),J28),Dataset!I:I,0),1),"-")</f>
        <v>-</v>
      </c>
      <c r="P28" s="18" t="str">
        <f>IFERROR(INDEX(Dataset!AJ:AJ,MATCH(_xlfn.AGGREGATE(14,6,Dataset!I:I/(Dataset!F:F=$D$11),J28),Dataset!I:I,0),1),"-")</f>
        <v>-</v>
      </c>
    </row>
    <row r="29" spans="2:16" ht="29.25" customHeight="1" x14ac:dyDescent="0.5">
      <c r="B29" s="12">
        <v>10</v>
      </c>
      <c r="C29" s="17" t="str">
        <f>IFERROR(INDEX(Dataset!G:G,MATCH(_xlfn.AGGREGATE(14,6,Dataset!AK:AK/(Dataset!F:F=$D$11),B29),Dataset!AK:AK,0),1),"-")</f>
        <v>-</v>
      </c>
      <c r="D29" s="17" t="str">
        <f>IFERROR(INDEX(Dataset!AK:AK,MATCH(_xlfn.AGGREGATE(14,6,Dataset!AK:AK/(Dataset!F:F=$D$11),B29),Dataset!AK:AK,0),1),"-")</f>
        <v>-</v>
      </c>
      <c r="E29" s="17" t="str">
        <f>IFERROR(INDEX(Dataset!I:I,MATCH(_xlfn.AGGREGATE(14,6,Dataset!AK:AK/(Dataset!F:F=$D$11),B29),Dataset!AK:AK,0),1),"-")</f>
        <v>-</v>
      </c>
      <c r="F29" s="17" t="e">
        <f>IFERROR(INDEX(Dataset!R:R,MATCH(_xlfn.AGGREGATE(14,6,Dataset!AK:AK/(Dataset!F:F=$D$11),B29),Dataset!AK:AK,0),1),"-")/100</f>
        <v>#VALUE!</v>
      </c>
      <c r="G29" s="17" t="str">
        <f>IFERROR(INDEX(Dataset!AA:AA,MATCH(_xlfn.AGGREGATE(14,6,Dataset!AK:AK/(Dataset!F:F=$D$11),B29),Dataset!AK:AK,0),1),"-")</f>
        <v>-</v>
      </c>
      <c r="H29" s="18" t="str">
        <f>IFERROR(INDEX(Dataset!AJ:AJ,MATCH(_xlfn.AGGREGATE(14,6,Dataset!AK:AK/(Dataset!F:F=$D$11),B29),Dataset!AK:AK,0),1),"-")</f>
        <v>-</v>
      </c>
      <c r="J29" s="12">
        <v>10</v>
      </c>
      <c r="K29" s="17" t="str">
        <f>IFERROR(INDEX(Dataset!G:G,MATCH(_xlfn.AGGREGATE(14,6,Dataset!I:I/(Dataset!F:F=$D$11),J29),Dataset!I:I,0),1),"-")</f>
        <v>-</v>
      </c>
      <c r="L29" s="17" t="str">
        <f>IFERROR(INDEX(Dataset!AK:AK,MATCH(_xlfn.AGGREGATE(14,6,Dataset!I:I/(Dataset!F:F=$D$11),J29),Dataset!I:I,0),1),"-")</f>
        <v>-</v>
      </c>
      <c r="M29" s="17" t="str">
        <f>IFERROR(INDEX(Dataset!I:I,MATCH(_xlfn.AGGREGATE(14,6,Dataset!I:I/(Dataset!F:F=$D$11),J29),Dataset!I:I,0),1),"-")</f>
        <v>-</v>
      </c>
      <c r="N29" s="17" t="e">
        <f>IFERROR(INDEX(Dataset!R:R,MATCH(_xlfn.AGGREGATE(14,6,Dataset!I:I/(Dataset!F:F=$D$11),J29),Dataset!I:I,0),1),"-")/100</f>
        <v>#VALUE!</v>
      </c>
      <c r="O29" s="17" t="str">
        <f>IFERROR(INDEX(Dataset!AA:AA,MATCH(_xlfn.AGGREGATE(14,6,Dataset!I:I/(Dataset!F:F=$D$11),J29),Dataset!I:I,0),1),"-")</f>
        <v>-</v>
      </c>
      <c r="P29" s="18" t="str">
        <f>IFERROR(INDEX(Dataset!AJ:AJ,MATCH(_xlfn.AGGREGATE(14,6,Dataset!I:I/(Dataset!F:F=$D$11),J29),Dataset!I:I,0),1),"-")</f>
        <v>-</v>
      </c>
    </row>
    <row r="30" spans="2:16" ht="29.25" customHeight="1" x14ac:dyDescent="0.5">
      <c r="B30" s="12">
        <v>11</v>
      </c>
      <c r="C30" s="17" t="str">
        <f>IFERROR(INDEX(Dataset!G:G,MATCH(_xlfn.AGGREGATE(14,6,Dataset!AK:AK/(Dataset!F:F=$D$11),B30),Dataset!AK:AK,0),1),"-")</f>
        <v>-</v>
      </c>
      <c r="D30" s="17" t="str">
        <f>IFERROR(INDEX(Dataset!AK:AK,MATCH(_xlfn.AGGREGATE(14,6,Dataset!AK:AK/(Dataset!F:F=$D$11),B30),Dataset!AK:AK,0),1),"-")</f>
        <v>-</v>
      </c>
      <c r="E30" s="17" t="str">
        <f>IFERROR(INDEX(Dataset!I:I,MATCH(_xlfn.AGGREGATE(14,6,Dataset!AK:AK/(Dataset!F:F=$D$11),B30),Dataset!AK:AK,0),1),"-")</f>
        <v>-</v>
      </c>
      <c r="F30" s="17" t="e">
        <f>IFERROR(INDEX(Dataset!R:R,MATCH(_xlfn.AGGREGATE(14,6,Dataset!AK:AK/(Dataset!F:F=$D$11),B30),Dataset!AK:AK,0),1),"-")/100</f>
        <v>#VALUE!</v>
      </c>
      <c r="G30" s="17" t="str">
        <f>IFERROR(INDEX(Dataset!AA:AA,MATCH(_xlfn.AGGREGATE(14,6,Dataset!AK:AK/(Dataset!F:F=$D$11),B30),Dataset!AK:AK,0),1),"-")</f>
        <v>-</v>
      </c>
      <c r="H30" s="18" t="str">
        <f>IFERROR(INDEX(Dataset!AJ:AJ,MATCH(_xlfn.AGGREGATE(14,6,Dataset!AK:AK/(Dataset!F:F=$D$11),B30),Dataset!AK:AK,0),1),"-")</f>
        <v>-</v>
      </c>
      <c r="J30" s="12">
        <v>11</v>
      </c>
      <c r="K30" s="17" t="str">
        <f>IFERROR(INDEX(Dataset!G:G,MATCH(_xlfn.AGGREGATE(14,6,Dataset!I:I/(Dataset!F:F=$D$11),J30),Dataset!I:I,0),1),"-")</f>
        <v>-</v>
      </c>
      <c r="L30" s="17" t="str">
        <f>IFERROR(INDEX(Dataset!AK:AK,MATCH(_xlfn.AGGREGATE(14,6,Dataset!I:I/(Dataset!F:F=$D$11),J30),Dataset!I:I,0),1),"-")</f>
        <v>-</v>
      </c>
      <c r="M30" s="17" t="str">
        <f>IFERROR(INDEX(Dataset!I:I,MATCH(_xlfn.AGGREGATE(14,6,Dataset!I:I/(Dataset!F:F=$D$11),J30),Dataset!I:I,0),1),"-")</f>
        <v>-</v>
      </c>
      <c r="N30" s="17" t="e">
        <f>IFERROR(INDEX(Dataset!R:R,MATCH(_xlfn.AGGREGATE(14,6,Dataset!I:I/(Dataset!F:F=$D$11),J30),Dataset!I:I,0),1),"-")/100</f>
        <v>#VALUE!</v>
      </c>
      <c r="O30" s="17" t="str">
        <f>IFERROR(INDEX(Dataset!AA:AA,MATCH(_xlfn.AGGREGATE(14,6,Dataset!I:I/(Dataset!F:F=$D$11),J30),Dataset!I:I,0),1),"-")</f>
        <v>-</v>
      </c>
      <c r="P30" s="18" t="str">
        <f>IFERROR(INDEX(Dataset!AJ:AJ,MATCH(_xlfn.AGGREGATE(14,6,Dataset!I:I/(Dataset!F:F=$D$11),J30),Dataset!I:I,0),1),"-")</f>
        <v>-</v>
      </c>
    </row>
    <row r="31" spans="2:16" ht="29.25" customHeight="1" x14ac:dyDescent="0.5">
      <c r="B31" s="12">
        <v>12</v>
      </c>
      <c r="C31" s="17" t="str">
        <f>IFERROR(INDEX(Dataset!G:G,MATCH(_xlfn.AGGREGATE(14,6,Dataset!AK:AK/(Dataset!F:F=$D$11),B31),Dataset!AK:AK,0),1),"-")</f>
        <v>-</v>
      </c>
      <c r="D31" s="17" t="str">
        <f>IFERROR(INDEX(Dataset!AK:AK,MATCH(_xlfn.AGGREGATE(14,6,Dataset!AK:AK/(Dataset!F:F=$D$11),B31),Dataset!AK:AK,0),1),"-")</f>
        <v>-</v>
      </c>
      <c r="E31" s="17" t="str">
        <f>IFERROR(INDEX(Dataset!I:I,MATCH(_xlfn.AGGREGATE(14,6,Dataset!AK:AK/(Dataset!F:F=$D$11),B31),Dataset!AK:AK,0),1),"-")</f>
        <v>-</v>
      </c>
      <c r="F31" s="17" t="e">
        <f>IFERROR(INDEX(Dataset!R:R,MATCH(_xlfn.AGGREGATE(14,6,Dataset!AK:AK/(Dataset!F:F=$D$11),B31),Dataset!AK:AK,0),1),"-")/100</f>
        <v>#VALUE!</v>
      </c>
      <c r="G31" s="17" t="str">
        <f>IFERROR(INDEX(Dataset!AA:AA,MATCH(_xlfn.AGGREGATE(14,6,Dataset!AK:AK/(Dataset!F:F=$D$11),B31),Dataset!AK:AK,0),1),"-")</f>
        <v>-</v>
      </c>
      <c r="H31" s="18" t="str">
        <f>IFERROR(INDEX(Dataset!AJ:AJ,MATCH(_xlfn.AGGREGATE(14,6,Dataset!AK:AK/(Dataset!F:F=$D$11),B31),Dataset!AK:AK,0),1),"-")</f>
        <v>-</v>
      </c>
      <c r="J31" s="12">
        <v>12</v>
      </c>
      <c r="K31" s="17" t="str">
        <f>IFERROR(INDEX(Dataset!G:G,MATCH(_xlfn.AGGREGATE(14,6,Dataset!I:I/(Dataset!F:F=$D$11),J31),Dataset!I:I,0),1),"-")</f>
        <v>-</v>
      </c>
      <c r="L31" s="17" t="str">
        <f>IFERROR(INDEX(Dataset!AK:AK,MATCH(_xlfn.AGGREGATE(14,6,Dataset!I:I/(Dataset!F:F=$D$11),J31),Dataset!I:I,0),1),"-")</f>
        <v>-</v>
      </c>
      <c r="M31" s="17" t="str">
        <f>IFERROR(INDEX(Dataset!I:I,MATCH(_xlfn.AGGREGATE(14,6,Dataset!I:I/(Dataset!F:F=$D$11),J31),Dataset!I:I,0),1),"-")</f>
        <v>-</v>
      </c>
      <c r="N31" s="17" t="e">
        <f>IFERROR(INDEX(Dataset!R:R,MATCH(_xlfn.AGGREGATE(14,6,Dataset!I:I/(Dataset!F:F=$D$11),J31),Dataset!I:I,0),1),"-")/100</f>
        <v>#VALUE!</v>
      </c>
      <c r="O31" s="17" t="str">
        <f>IFERROR(INDEX(Dataset!AA:AA,MATCH(_xlfn.AGGREGATE(14,6,Dataset!I:I/(Dataset!F:F=$D$11),J31),Dataset!I:I,0),1),"-")</f>
        <v>-</v>
      </c>
      <c r="P31" s="18" t="str">
        <f>IFERROR(INDEX(Dataset!AJ:AJ,MATCH(_xlfn.AGGREGATE(14,6,Dataset!I:I/(Dataset!F:F=$D$11),J31),Dataset!I:I,0),1),"-")</f>
        <v>-</v>
      </c>
    </row>
    <row r="32" spans="2:16" ht="29.25" customHeight="1" x14ac:dyDescent="0.5">
      <c r="B32" s="12">
        <v>13</v>
      </c>
      <c r="C32" s="17" t="str">
        <f>IFERROR(INDEX(Dataset!G:G,MATCH(_xlfn.AGGREGATE(14,6,Dataset!AK:AK/(Dataset!F:F=$D$11),B32),Dataset!AK:AK,0),1),"-")</f>
        <v>-</v>
      </c>
      <c r="D32" s="17" t="str">
        <f>IFERROR(INDEX(Dataset!AK:AK,MATCH(_xlfn.AGGREGATE(14,6,Dataset!AK:AK/(Dataset!F:F=$D$11),B32),Dataset!AK:AK,0),1),"-")</f>
        <v>-</v>
      </c>
      <c r="E32" s="17" t="str">
        <f>IFERROR(INDEX(Dataset!I:I,MATCH(_xlfn.AGGREGATE(14,6,Dataset!AK:AK/(Dataset!F:F=$D$11),B32),Dataset!AK:AK,0),1),"-")</f>
        <v>-</v>
      </c>
      <c r="F32" s="17" t="e">
        <f>IFERROR(INDEX(Dataset!R:R,MATCH(_xlfn.AGGREGATE(14,6,Dataset!AK:AK/(Dataset!F:F=$D$11),B32),Dataset!AK:AK,0),1),"-")/100</f>
        <v>#VALUE!</v>
      </c>
      <c r="G32" s="17" t="str">
        <f>IFERROR(INDEX(Dataset!AA:AA,MATCH(_xlfn.AGGREGATE(14,6,Dataset!AK:AK/(Dataset!F:F=$D$11),B32),Dataset!AK:AK,0),1),"-")</f>
        <v>-</v>
      </c>
      <c r="H32" s="18" t="str">
        <f>IFERROR(INDEX(Dataset!AJ:AJ,MATCH(_xlfn.AGGREGATE(14,6,Dataset!AK:AK/(Dataset!F:F=$D$11),B32),Dataset!AK:AK,0),1),"-")</f>
        <v>-</v>
      </c>
      <c r="J32" s="12">
        <v>13</v>
      </c>
      <c r="K32" s="17" t="str">
        <f>IFERROR(INDEX(Dataset!G:G,MATCH(_xlfn.AGGREGATE(14,6,Dataset!I:I/(Dataset!F:F=$D$11),J32),Dataset!I:I,0),1),"-")</f>
        <v>-</v>
      </c>
      <c r="L32" s="17" t="str">
        <f>IFERROR(INDEX(Dataset!AK:AK,MATCH(_xlfn.AGGREGATE(14,6,Dataset!I:I/(Dataset!F:F=$D$11),J32),Dataset!I:I,0),1),"-")</f>
        <v>-</v>
      </c>
      <c r="M32" s="17" t="str">
        <f>IFERROR(INDEX(Dataset!I:I,MATCH(_xlfn.AGGREGATE(14,6,Dataset!I:I/(Dataset!F:F=$D$11),J32),Dataset!I:I,0),1),"-")</f>
        <v>-</v>
      </c>
      <c r="N32" s="17" t="e">
        <f>IFERROR(INDEX(Dataset!R:R,MATCH(_xlfn.AGGREGATE(14,6,Dataset!I:I/(Dataset!F:F=$D$11),J32),Dataset!I:I,0),1),"-")/100</f>
        <v>#VALUE!</v>
      </c>
      <c r="O32" s="17" t="str">
        <f>IFERROR(INDEX(Dataset!AA:AA,MATCH(_xlfn.AGGREGATE(14,6,Dataset!I:I/(Dataset!F:F=$D$11),J32),Dataset!I:I,0),1),"-")</f>
        <v>-</v>
      </c>
      <c r="P32" s="18" t="str">
        <f>IFERROR(INDEX(Dataset!AJ:AJ,MATCH(_xlfn.AGGREGATE(14,6,Dataset!I:I/(Dataset!F:F=$D$11),J32),Dataset!I:I,0),1),"-")</f>
        <v>-</v>
      </c>
    </row>
    <row r="33" spans="2:16" ht="29.25" customHeight="1" x14ac:dyDescent="0.5">
      <c r="B33" s="12">
        <v>14</v>
      </c>
      <c r="C33" s="17" t="str">
        <f>IFERROR(INDEX(Dataset!G:G,MATCH(_xlfn.AGGREGATE(14,6,Dataset!AK:AK/(Dataset!F:F=$D$11),B33),Dataset!AK:AK,0),1),"-")</f>
        <v>-</v>
      </c>
      <c r="D33" s="17" t="str">
        <f>IFERROR(INDEX(Dataset!AK:AK,MATCH(_xlfn.AGGREGATE(14,6,Dataset!AK:AK/(Dataset!F:F=$D$11),B33),Dataset!AK:AK,0),1),"-")</f>
        <v>-</v>
      </c>
      <c r="E33" s="17" t="str">
        <f>IFERROR(INDEX(Dataset!I:I,MATCH(_xlfn.AGGREGATE(14,6,Dataset!AK:AK/(Dataset!F:F=$D$11),B33),Dataset!AK:AK,0),1),"-")</f>
        <v>-</v>
      </c>
      <c r="F33" s="17" t="e">
        <f>IFERROR(INDEX(Dataset!R:R,MATCH(_xlfn.AGGREGATE(14,6,Dataset!AK:AK/(Dataset!F:F=$D$11),B33),Dataset!AK:AK,0),1),"-")/100</f>
        <v>#VALUE!</v>
      </c>
      <c r="G33" s="17" t="str">
        <f>IFERROR(INDEX(Dataset!AA:AA,MATCH(_xlfn.AGGREGATE(14,6,Dataset!AK:AK/(Dataset!F:F=$D$11),B33),Dataset!AK:AK,0),1),"-")</f>
        <v>-</v>
      </c>
      <c r="H33" s="18" t="str">
        <f>IFERROR(INDEX(Dataset!AJ:AJ,MATCH(_xlfn.AGGREGATE(14,6,Dataset!AK:AK/(Dataset!F:F=$D$11),B33),Dataset!AK:AK,0),1),"-")</f>
        <v>-</v>
      </c>
      <c r="J33" s="12">
        <v>14</v>
      </c>
      <c r="K33" s="17" t="str">
        <f>IFERROR(INDEX(Dataset!G:G,MATCH(_xlfn.AGGREGATE(14,6,Dataset!I:I/(Dataset!F:F=$D$11),J33),Dataset!I:I,0),1),"-")</f>
        <v>-</v>
      </c>
      <c r="L33" s="17" t="str">
        <f>IFERROR(INDEX(Dataset!AK:AK,MATCH(_xlfn.AGGREGATE(14,6,Dataset!I:I/(Dataset!F:F=$D$11),J33),Dataset!I:I,0),1),"-")</f>
        <v>-</v>
      </c>
      <c r="M33" s="17" t="str">
        <f>IFERROR(INDEX(Dataset!I:I,MATCH(_xlfn.AGGREGATE(14,6,Dataset!I:I/(Dataset!F:F=$D$11),J33),Dataset!I:I,0),1),"-")</f>
        <v>-</v>
      </c>
      <c r="N33" s="17" t="e">
        <f>IFERROR(INDEX(Dataset!R:R,MATCH(_xlfn.AGGREGATE(14,6,Dataset!I:I/(Dataset!F:F=$D$11),J33),Dataset!I:I,0),1),"-")/100</f>
        <v>#VALUE!</v>
      </c>
      <c r="O33" s="17" t="str">
        <f>IFERROR(INDEX(Dataset!AA:AA,MATCH(_xlfn.AGGREGATE(14,6,Dataset!I:I/(Dataset!F:F=$D$11),J33),Dataset!I:I,0),1),"-")</f>
        <v>-</v>
      </c>
      <c r="P33" s="18" t="str">
        <f>IFERROR(INDEX(Dataset!AJ:AJ,MATCH(_xlfn.AGGREGATE(14,6,Dataset!I:I/(Dataset!F:F=$D$11),J33),Dataset!I:I,0),1),"-")</f>
        <v>-</v>
      </c>
    </row>
    <row r="34" spans="2:16" ht="29.25" customHeight="1" x14ac:dyDescent="0.5">
      <c r="B34" s="12">
        <v>15</v>
      </c>
      <c r="C34" s="17" t="str">
        <f>IFERROR(INDEX(Dataset!G:G,MATCH(_xlfn.AGGREGATE(14,6,Dataset!AK:AK/(Dataset!F:F=$D$11),B34),Dataset!AK:AK,0),1),"-")</f>
        <v>-</v>
      </c>
      <c r="D34" s="17" t="str">
        <f>IFERROR(INDEX(Dataset!AK:AK,MATCH(_xlfn.AGGREGATE(14,6,Dataset!AK:AK/(Dataset!F:F=$D$11),B34),Dataset!AK:AK,0),1),"-")</f>
        <v>-</v>
      </c>
      <c r="E34" s="17" t="str">
        <f>IFERROR(INDEX(Dataset!I:I,MATCH(_xlfn.AGGREGATE(14,6,Dataset!AK:AK/(Dataset!F:F=$D$11),B34),Dataset!AK:AK,0),1),"-")</f>
        <v>-</v>
      </c>
      <c r="F34" s="17" t="e">
        <f>IFERROR(INDEX(Dataset!R:R,MATCH(_xlfn.AGGREGATE(14,6,Dataset!AK:AK/(Dataset!F:F=$D$11),B34),Dataset!AK:AK,0),1),"-")/100</f>
        <v>#VALUE!</v>
      </c>
      <c r="G34" s="17" t="str">
        <f>IFERROR(INDEX(Dataset!AA:AA,MATCH(_xlfn.AGGREGATE(14,6,Dataset!AK:AK/(Dataset!F:F=$D$11),B34),Dataset!AK:AK,0),1),"-")</f>
        <v>-</v>
      </c>
      <c r="H34" s="18" t="str">
        <f>IFERROR(INDEX(Dataset!AJ:AJ,MATCH(_xlfn.AGGREGATE(14,6,Dataset!AK:AK/(Dataset!F:F=$D$11),B34),Dataset!AK:AK,0),1),"-")</f>
        <v>-</v>
      </c>
      <c r="J34" s="12">
        <v>15</v>
      </c>
      <c r="K34" s="17" t="str">
        <f>IFERROR(INDEX(Dataset!G:G,MATCH(_xlfn.AGGREGATE(14,6,Dataset!I:I/(Dataset!F:F=$D$11),J34),Dataset!I:I,0),1),"-")</f>
        <v>-</v>
      </c>
      <c r="L34" s="17" t="str">
        <f>IFERROR(INDEX(Dataset!AK:AK,MATCH(_xlfn.AGGREGATE(14,6,Dataset!I:I/(Dataset!F:F=$D$11),J34),Dataset!I:I,0),1),"-")</f>
        <v>-</v>
      </c>
      <c r="M34" s="17" t="str">
        <f>IFERROR(INDEX(Dataset!I:I,MATCH(_xlfn.AGGREGATE(14,6,Dataset!I:I/(Dataset!F:F=$D$11),J34),Dataset!I:I,0),1),"-")</f>
        <v>-</v>
      </c>
      <c r="N34" s="17" t="e">
        <f>IFERROR(INDEX(Dataset!R:R,MATCH(_xlfn.AGGREGATE(14,6,Dataset!I:I/(Dataset!F:F=$D$11),J34),Dataset!I:I,0),1),"-")/100</f>
        <v>#VALUE!</v>
      </c>
      <c r="O34" s="17" t="str">
        <f>IFERROR(INDEX(Dataset!AA:AA,MATCH(_xlfn.AGGREGATE(14,6,Dataset!I:I/(Dataset!F:F=$D$11),J34),Dataset!I:I,0),1),"-")</f>
        <v>-</v>
      </c>
      <c r="P34" s="18" t="str">
        <f>IFERROR(INDEX(Dataset!AJ:AJ,MATCH(_xlfn.AGGREGATE(14,6,Dataset!I:I/(Dataset!F:F=$D$11),J34),Dataset!I:I,0),1),"-")</f>
        <v>-</v>
      </c>
    </row>
    <row r="35" spans="2:16" ht="29.25" customHeight="1" x14ac:dyDescent="0.2"/>
    <row r="36" spans="2:16" ht="36" x14ac:dyDescent="0.2">
      <c r="K36" s="192" t="s">
        <v>115</v>
      </c>
      <c r="L36" s="192"/>
      <c r="M36" s="192"/>
      <c r="N36" s="192"/>
      <c r="O36" s="192"/>
      <c r="P36" s="192"/>
    </row>
    <row r="38" spans="2:16" ht="26.25" x14ac:dyDescent="0.2">
      <c r="K38" s="11"/>
      <c r="L38" s="11" t="s">
        <v>70</v>
      </c>
      <c r="M38" s="11" t="s">
        <v>265</v>
      </c>
      <c r="N38" s="11" t="s">
        <v>75</v>
      </c>
      <c r="O38" s="11" t="s">
        <v>6</v>
      </c>
      <c r="P38" s="11" t="s">
        <v>21</v>
      </c>
    </row>
    <row r="39" spans="2:16" ht="33.75" x14ac:dyDescent="0.2">
      <c r="K39" s="12" t="s">
        <v>88</v>
      </c>
      <c r="L39" s="17">
        <f>SUMIFS(Dataset!AK:AK,Dataset!AE:AE,K39,Dataset!F:F,$D$11)</f>
        <v>0</v>
      </c>
      <c r="M39" s="17">
        <f>SUMIFS(Dataset!AJ:AJ,Dataset!AE:AE,K39,Dataset!F:F,$D$11)</f>
        <v>0</v>
      </c>
      <c r="N39" s="20">
        <f>SUMIFS(Dataset!V:V,Dataset!AE:AE,K39,Dataset!F:F,$D$11)/1000000</f>
        <v>0</v>
      </c>
      <c r="O39" s="17">
        <f>SUMIFS(Dataset!I:I,Dataset!AE:AE,K39,Dataset!F:F,$D$11)</f>
        <v>0</v>
      </c>
      <c r="P39" s="17">
        <f>SUMIFS(Dataset!AA:AA,Dataset!AE:AE,K39,Dataset!F:F,$D$11)</f>
        <v>0</v>
      </c>
    </row>
    <row r="40" spans="2:16" ht="33.75" x14ac:dyDescent="0.2">
      <c r="K40" s="12" t="s">
        <v>43</v>
      </c>
      <c r="L40" s="17">
        <f>SUMIFS(Dataset!AK:AK,Dataset!AE:AE,K40,Dataset!F:F,$D$11)</f>
        <v>0</v>
      </c>
      <c r="M40" s="17">
        <f>SUMIFS(Dataset!AJ:AJ,Dataset!AE:AE,K40,Dataset!F:F,$D$11)</f>
        <v>0</v>
      </c>
      <c r="N40" s="20">
        <f>SUMIFS(Dataset!V:V,Dataset!AE:AE,K40,Dataset!F:F,$D$11)/1000000</f>
        <v>0</v>
      </c>
      <c r="O40" s="17">
        <f>SUMIFS(Dataset!I:I,Dataset!AE:AE,K40,Dataset!F:F,$D$11)</f>
        <v>0</v>
      </c>
      <c r="P40" s="17">
        <f>SUMIFS(Dataset!AA:AA,Dataset!AE:AE,K40,Dataset!F:F,$D$11)</f>
        <v>0</v>
      </c>
    </row>
    <row r="41" spans="2:16" ht="33.75" x14ac:dyDescent="0.2">
      <c r="K41" s="12" t="s">
        <v>176</v>
      </c>
      <c r="L41" s="17">
        <f>SUMIFS(Dataset!AK:AK,Dataset!AE:AE,K41,Dataset!F:F,$D$11)</f>
        <v>0</v>
      </c>
      <c r="M41" s="17">
        <f>SUMIFS(Dataset!AJ:AJ,Dataset!AE:AE,K41,Dataset!F:F,$D$11)</f>
        <v>0</v>
      </c>
      <c r="N41" s="20">
        <f>SUMIFS(Dataset!V:V,Dataset!AE:AE,K41,Dataset!F:F,$D$11)/1000000</f>
        <v>0</v>
      </c>
      <c r="O41" s="17">
        <f>SUMIFS(Dataset!I:I,Dataset!AE:AE,K41,Dataset!F:F,$D$11)</f>
        <v>0</v>
      </c>
      <c r="P41" s="17">
        <f>SUMIFS(Dataset!AA:AA,Dataset!AE:AE,K41,Dataset!F:F,$D$11)</f>
        <v>0</v>
      </c>
    </row>
    <row r="42" spans="2:16" ht="33.75" x14ac:dyDescent="0.2">
      <c r="K42" s="12" t="s">
        <v>35</v>
      </c>
      <c r="L42" s="17">
        <f>SUMIFS(Dataset!AK:AK,Dataset!AE:AE,K42,Dataset!F:F,$D$11)</f>
        <v>0</v>
      </c>
      <c r="M42" s="17">
        <f>SUMIFS(Dataset!AJ:AJ,Dataset!AE:AE,K42,Dataset!F:F,$D$11)</f>
        <v>0</v>
      </c>
      <c r="N42" s="20">
        <f>SUMIFS(Dataset!V:V,Dataset!AE:AE,K42,Dataset!F:F,$D$11)/1000000</f>
        <v>0</v>
      </c>
      <c r="O42" s="17">
        <f>SUMIFS(Dataset!I:I,Dataset!AE:AE,K42,Dataset!F:F,$D$11)</f>
        <v>0</v>
      </c>
      <c r="P42" s="17">
        <f>SUMIFS(Dataset!AA:AA,Dataset!AE:AE,K42,Dataset!F:F,$D$11)</f>
        <v>0</v>
      </c>
    </row>
    <row r="43" spans="2:16" ht="33.75" x14ac:dyDescent="0.2">
      <c r="K43" s="12" t="s">
        <v>38</v>
      </c>
      <c r="L43" s="17">
        <f>SUMIFS(Dataset!AK:AK,Dataset!AE:AE,K43,Dataset!F:F,$D$11)</f>
        <v>0</v>
      </c>
      <c r="M43" s="17">
        <f>SUMIFS(Dataset!AJ:AJ,Dataset!AE:AE,K43,Dataset!F:F,$D$11)</f>
        <v>0</v>
      </c>
      <c r="N43" s="20">
        <f>SUMIFS(Dataset!V:V,Dataset!AE:AE,K43,Dataset!F:F,$D$11)/1000000</f>
        <v>0</v>
      </c>
      <c r="O43" s="17">
        <f>SUMIFS(Dataset!I:I,Dataset!AE:AE,K43,Dataset!F:F,$D$11)</f>
        <v>0</v>
      </c>
      <c r="P43" s="17">
        <f>SUMIFS(Dataset!AA:AA,Dataset!AE:AE,K43,Dataset!F:F,$D$11)</f>
        <v>0</v>
      </c>
    </row>
    <row r="44" spans="2:16" ht="33.75" x14ac:dyDescent="0.2">
      <c r="K44" s="12" t="s">
        <v>175</v>
      </c>
      <c r="L44" s="17">
        <f>SUMIFS(Dataset!AK:AK,Dataset!AE:AE,K44,Dataset!F:F,$D$11)</f>
        <v>0</v>
      </c>
      <c r="M44" s="17">
        <f>SUMIFS(Dataset!AJ:AJ,Dataset!AE:AE,K44,Dataset!F:F,$D$11)</f>
        <v>0</v>
      </c>
      <c r="N44" s="20">
        <f>SUMIFS(Dataset!V:V,Dataset!AE:AE,K44,Dataset!F:F,$D$11)/1000000</f>
        <v>0</v>
      </c>
      <c r="O44" s="17">
        <f>SUMIFS(Dataset!I:I,Dataset!AE:AE,K44,Dataset!F:F,$D$11)</f>
        <v>0</v>
      </c>
      <c r="P44" s="17">
        <f>SUMIFS(Dataset!AA:AA,Dataset!AE:AE,K44,Dataset!F:F,$D$11)</f>
        <v>0</v>
      </c>
    </row>
    <row r="45" spans="2:16" ht="33.75" x14ac:dyDescent="0.2">
      <c r="K45" s="12" t="s">
        <v>165</v>
      </c>
      <c r="L45" s="17">
        <f>SUMIFS(Dataset!AK:AK,Dataset!AE:AE,K45,Dataset!F:F,$D$11)</f>
        <v>0</v>
      </c>
      <c r="M45" s="17">
        <f>SUMIFS(Dataset!AJ:AJ,Dataset!AE:AE,K45,Dataset!F:F,$D$11)</f>
        <v>0</v>
      </c>
      <c r="N45" s="20">
        <f>SUMIFS(Dataset!V:V,Dataset!AE:AE,K45,Dataset!F:F,$D$11)/1000000</f>
        <v>0</v>
      </c>
      <c r="O45" s="17">
        <f>SUMIFS(Dataset!I:I,Dataset!AE:AE,K45,Dataset!F:F,$D$11)</f>
        <v>0</v>
      </c>
      <c r="P45" s="17">
        <f>SUMIFS(Dataset!AA:AA,Dataset!AE:AE,K45,Dataset!F:F,$D$11)</f>
        <v>0</v>
      </c>
    </row>
    <row r="46" spans="2:16" ht="33.75" x14ac:dyDescent="0.2">
      <c r="K46" s="12" t="s">
        <v>41</v>
      </c>
      <c r="L46" s="17">
        <f>SUMIFS(Dataset!AK:AK,Dataset!AE:AE,K46,Dataset!F:F,$D$11)</f>
        <v>0</v>
      </c>
      <c r="M46" s="17">
        <f>SUMIFS(Dataset!AJ:AJ,Dataset!AE:AE,K46,Dataset!F:F,$D$11)</f>
        <v>0</v>
      </c>
      <c r="N46" s="20">
        <f>SUMIFS(Dataset!V:V,Dataset!AE:AE,K46,Dataset!F:F,$D$11)/1000000</f>
        <v>0</v>
      </c>
      <c r="O46" s="17">
        <f>SUMIFS(Dataset!I:I,Dataset!AE:AE,K46,Dataset!F:F,$D$11)</f>
        <v>0</v>
      </c>
      <c r="P46" s="17">
        <f>SUMIFS(Dataset!AA:AA,Dataset!AE:AE,K46,Dataset!F:F,$D$11)</f>
        <v>0</v>
      </c>
    </row>
    <row r="47" spans="2:16" ht="33.75" x14ac:dyDescent="0.2">
      <c r="K47" s="12" t="s">
        <v>44</v>
      </c>
      <c r="L47" s="17">
        <f>SUMIFS(Dataset!AK:AK,Dataset!AE:AE,K47,Dataset!F:F,$D$11)</f>
        <v>0</v>
      </c>
      <c r="M47" s="17">
        <f>SUMIFS(Dataset!AJ:AJ,Dataset!AE:AE,K47,Dataset!F:F,$D$11)</f>
        <v>0</v>
      </c>
      <c r="N47" s="20">
        <f>SUMIFS(Dataset!V:V,Dataset!AE:AE,K47,Dataset!F:F,$D$11)/1000000</f>
        <v>0</v>
      </c>
      <c r="O47" s="17">
        <f>SUMIFS(Dataset!I:I,Dataset!AE:AE,K47,Dataset!F:F,$D$11)</f>
        <v>0</v>
      </c>
      <c r="P47" s="17">
        <f>SUMIFS(Dataset!AA:AA,Dataset!AE:AE,K47,Dataset!F:F,$D$11)</f>
        <v>0</v>
      </c>
    </row>
    <row r="48" spans="2:16" ht="33.75" x14ac:dyDescent="0.2">
      <c r="K48" s="12" t="s">
        <v>177</v>
      </c>
      <c r="L48" s="17">
        <f>SUMIFS(Dataset!AK:AK,Dataset!AE:AE,K48,Dataset!F:F,$D$11)</f>
        <v>0</v>
      </c>
      <c r="M48" s="17">
        <f>SUMIFS(Dataset!AJ:AJ,Dataset!AE:AE,K48,Dataset!F:F,$D$11)</f>
        <v>0</v>
      </c>
      <c r="N48" s="20">
        <f>SUMIFS(Dataset!V:V,Dataset!AE:AE,K48,Dataset!F:F,$D$11)/1000000</f>
        <v>0</v>
      </c>
      <c r="O48" s="17">
        <f>SUMIFS(Dataset!I:I,Dataset!AE:AE,K48,Dataset!F:F,$D$11)</f>
        <v>0</v>
      </c>
      <c r="P48" s="17">
        <f>SUMIFS(Dataset!AA:AA,Dataset!AE:AE,K48,Dataset!F:F,$D$11)</f>
        <v>0</v>
      </c>
    </row>
    <row r="49" spans="11:16" ht="33.75" x14ac:dyDescent="0.2">
      <c r="K49" s="12" t="s">
        <v>180</v>
      </c>
      <c r="L49" s="17">
        <f>SUMIFS(Dataset!AK:AK,Dataset!AE:AE,K49,Dataset!F:F,$D$11)</f>
        <v>0</v>
      </c>
      <c r="M49" s="17">
        <f>SUMIFS(Dataset!AJ:AJ,Dataset!AE:AE,K49,Dataset!F:F,$D$11)</f>
        <v>0</v>
      </c>
      <c r="N49" s="20">
        <f>SUMIFS(Dataset!V:V,Dataset!AE:AE,K49,Dataset!F:F,$D$11)/1000000</f>
        <v>0</v>
      </c>
      <c r="O49" s="17">
        <f>SUMIFS(Dataset!I:I,Dataset!AE:AE,K49,Dataset!F:F,$D$11)</f>
        <v>0</v>
      </c>
      <c r="P49" s="17">
        <f>SUMIFS(Dataset!AA:AA,Dataset!AE:AE,K49,Dataset!F:F,$D$11)</f>
        <v>0</v>
      </c>
    </row>
    <row r="50" spans="11:16" ht="33.75" x14ac:dyDescent="0.2">
      <c r="K50" s="12" t="s">
        <v>56</v>
      </c>
      <c r="L50" s="17">
        <f>SUMIFS(Dataset!AK:AK,Dataset!AE:AE,K50,Dataset!F:F,$D$11)</f>
        <v>0</v>
      </c>
      <c r="M50" s="17">
        <f>SUMIFS(Dataset!AJ:AJ,Dataset!AE:AE,K50,Dataset!F:F,$D$11)</f>
        <v>0</v>
      </c>
      <c r="N50" s="20">
        <f>SUMIFS(Dataset!V:V,Dataset!AE:AE,K50,Dataset!F:F,$D$11)/1000000</f>
        <v>0</v>
      </c>
      <c r="O50" s="17">
        <f>SUMIFS(Dataset!I:I,Dataset!AE:AE,K50,Dataset!F:F,$D$11)</f>
        <v>0</v>
      </c>
      <c r="P50" s="17">
        <f>SUMIFS(Dataset!AA:AA,Dataset!AE:AE,K50,Dataset!F:F,$D$11)</f>
        <v>0</v>
      </c>
    </row>
    <row r="51" spans="11:16" ht="33.75" x14ac:dyDescent="0.2">
      <c r="K51" s="12" t="s">
        <v>40</v>
      </c>
      <c r="L51" s="17">
        <f>SUMIFS(Dataset!AK:AK,Dataset!AE:AE,K51,Dataset!F:F,$D$11)</f>
        <v>0</v>
      </c>
      <c r="M51" s="17">
        <f>SUMIFS(Dataset!AJ:AJ,Dataset!AE:AE,K51,Dataset!F:F,$D$11)</f>
        <v>0</v>
      </c>
      <c r="N51" s="20">
        <f>SUMIFS(Dataset!V:V,Dataset!AE:AE,K51,Dataset!F:F,$D$11)/1000000</f>
        <v>0</v>
      </c>
      <c r="O51" s="17">
        <f>SUMIFS(Dataset!I:I,Dataset!AE:AE,K51,Dataset!F:F,$D$11)</f>
        <v>0</v>
      </c>
      <c r="P51" s="17">
        <f>SUMIFS(Dataset!AA:AA,Dataset!AE:AE,K51,Dataset!F:F,$D$11)</f>
        <v>0</v>
      </c>
    </row>
    <row r="52" spans="11:16" ht="33.75" x14ac:dyDescent="0.2">
      <c r="K52" s="12" t="s">
        <v>178</v>
      </c>
      <c r="L52" s="17">
        <f>SUMIFS(Dataset!AK:AK,Dataset!AE:AE,K52,Dataset!F:F,$D$11)</f>
        <v>0</v>
      </c>
      <c r="M52" s="17">
        <f>SUMIFS(Dataset!AJ:AJ,Dataset!AE:AE,K52,Dataset!F:F,$D$11)</f>
        <v>0</v>
      </c>
      <c r="N52" s="20">
        <f>SUMIFS(Dataset!V:V,Dataset!AE:AE,K52,Dataset!F:F,$D$11)/1000000</f>
        <v>0</v>
      </c>
      <c r="O52" s="17">
        <f>SUMIFS(Dataset!I:I,Dataset!AE:AE,K52,Dataset!F:F,$D$11)</f>
        <v>0</v>
      </c>
      <c r="P52" s="17">
        <f>SUMIFS(Dataset!AA:AA,Dataset!AE:AE,K52,Dataset!F:F,$D$11)</f>
        <v>0</v>
      </c>
    </row>
    <row r="53" spans="11:16" ht="33.75" x14ac:dyDescent="0.2">
      <c r="K53" s="12" t="s">
        <v>179</v>
      </c>
      <c r="L53" s="17">
        <f>SUMIFS(Dataset!AK:AK,Dataset!AE:AE,K53,Dataset!F:F,$D$11)</f>
        <v>0</v>
      </c>
      <c r="M53" s="17">
        <f>SUMIFS(Dataset!AJ:AJ,Dataset!AE:AE,K53,Dataset!F:F,$D$11)</f>
        <v>0</v>
      </c>
      <c r="N53" s="20">
        <f>SUMIFS(Dataset!V:V,Dataset!AE:AE,K53,Dataset!F:F,$D$11)/1000000</f>
        <v>0</v>
      </c>
      <c r="O53" s="17">
        <f>SUMIFS(Dataset!I:I,Dataset!AE:AE,K53,Dataset!F:F,$D$11)</f>
        <v>0</v>
      </c>
      <c r="P53" s="17">
        <f>SUMIFS(Dataset!AA:AA,Dataset!AE:AE,K53,Dataset!F:F,$D$11)</f>
        <v>0</v>
      </c>
    </row>
    <row r="54" spans="11:16" ht="33.75" x14ac:dyDescent="0.2">
      <c r="K54" s="12" t="s">
        <v>58</v>
      </c>
      <c r="L54" s="17">
        <f>SUMIFS(Dataset!AK:AK,Dataset!AE:AE,K54,Dataset!F:F,$D$11)</f>
        <v>0</v>
      </c>
      <c r="M54" s="17">
        <f>SUMIFS(Dataset!AJ:AJ,Dataset!AE:AE,K54,Dataset!F:F,$D$11)</f>
        <v>0</v>
      </c>
      <c r="N54" s="20">
        <f>SUMIFS(Dataset!V:V,Dataset!AE:AE,K54,Dataset!F:F,$D$11)/1000000</f>
        <v>0</v>
      </c>
      <c r="O54" s="17">
        <f>SUMIFS(Dataset!I:I,Dataset!AE:AE,K54,Dataset!F:F,$D$11)</f>
        <v>0</v>
      </c>
      <c r="P54" s="17">
        <f>SUMIFS(Dataset!AA:AA,Dataset!AE:AE,K54,Dataset!F:F,$D$11)</f>
        <v>0</v>
      </c>
    </row>
    <row r="55" spans="11:16" ht="33.75" x14ac:dyDescent="0.2">
      <c r="K55" s="12" t="s">
        <v>57</v>
      </c>
      <c r="L55" s="17">
        <f>SUMIFS(Dataset!AK:AK,Dataset!AE:AE,K55,Dataset!F:F,$D$11)</f>
        <v>0</v>
      </c>
      <c r="M55" s="17">
        <f>SUMIFS(Dataset!AJ:AJ,Dataset!AE:AE,K55,Dataset!F:F,$D$11)</f>
        <v>0</v>
      </c>
      <c r="N55" s="20">
        <f>SUMIFS(Dataset!V:V,Dataset!AE:AE,K55,Dataset!F:F,$D$11)/1000000</f>
        <v>0</v>
      </c>
      <c r="O55" s="17">
        <f>SUMIFS(Dataset!I:I,Dataset!AE:AE,K55,Dataset!F:F,$D$11)</f>
        <v>0</v>
      </c>
      <c r="P55" s="17">
        <f>SUMIFS(Dataset!AA:AA,Dataset!AE:AE,K55,Dataset!F:F,$D$11)</f>
        <v>0</v>
      </c>
    </row>
    <row r="56" spans="11:16" ht="33.75" x14ac:dyDescent="0.2">
      <c r="K56" s="12" t="s">
        <v>89</v>
      </c>
      <c r="L56" s="17">
        <f>SUMIFS(Dataset!AK:AK,Dataset!AE:AE,K56,Dataset!F:F,$D$11)</f>
        <v>0</v>
      </c>
      <c r="M56" s="17">
        <f>SUMIFS(Dataset!AJ:AJ,Dataset!AE:AE,K56,Dataset!F:F,$D$11)</f>
        <v>0</v>
      </c>
      <c r="N56" s="20">
        <f>SUMIFS(Dataset!V:V,Dataset!AE:AE,K56,Dataset!F:F,$D$11)/1000000</f>
        <v>0</v>
      </c>
      <c r="O56" s="17">
        <f>SUMIFS(Dataset!I:I,Dataset!AE:AE,K56,Dataset!F:F,$D$11)</f>
        <v>0</v>
      </c>
      <c r="P56" s="17">
        <f>SUMIFS(Dataset!AA:AA,Dataset!AE:AE,K56,Dataset!F:F,$D$11)</f>
        <v>0</v>
      </c>
    </row>
    <row r="57" spans="11:16" ht="33.75" x14ac:dyDescent="0.2">
      <c r="K57" s="12" t="s">
        <v>108</v>
      </c>
      <c r="L57" s="17">
        <f>SUMIFS(Dataset!AK:AK,Dataset!AE:AE,K57,Dataset!F:F,$D$11)</f>
        <v>0</v>
      </c>
      <c r="M57" s="17">
        <f>SUMIFS(Dataset!AJ:AJ,Dataset!AE:AE,K57,Dataset!F:F,$D$11)</f>
        <v>0</v>
      </c>
      <c r="N57" s="20">
        <f>SUMIFS(Dataset!V:V,Dataset!AE:AE,K57,Dataset!F:F,$D$11)/1000000</f>
        <v>0</v>
      </c>
      <c r="O57" s="17">
        <f>SUMIFS(Dataset!I:I,Dataset!AE:AE,K57,Dataset!F:F,$D$11)</f>
        <v>0</v>
      </c>
      <c r="P57" s="17">
        <f>SUMIFS(Dataset!AA:AA,Dataset!AE:AE,K57,Dataset!F:F,$D$11)</f>
        <v>0</v>
      </c>
    </row>
    <row r="58" spans="11:16" ht="33.75" x14ac:dyDescent="0.2">
      <c r="K58" s="12" t="s">
        <v>45</v>
      </c>
      <c r="L58" s="17">
        <f>SUMIFS(Dataset!AK:AK,Dataset!AE:AE,K58,Dataset!F:F,$D$11)</f>
        <v>0</v>
      </c>
      <c r="M58" s="17">
        <f>SUMIFS(Dataset!AJ:AJ,Dataset!AE:AE,K58,Dataset!F:F,$D$11)</f>
        <v>0</v>
      </c>
      <c r="N58" s="20">
        <f>SUMIFS(Dataset!V:V,Dataset!AE:AE,K58,Dataset!F:F,$D$11)/1000000</f>
        <v>0</v>
      </c>
      <c r="O58" s="17">
        <f>SUMIFS(Dataset!I:I,Dataset!AE:AE,K58,Dataset!F:F,$D$11)</f>
        <v>0</v>
      </c>
      <c r="P58" s="17">
        <f>SUMIFS(Dataset!AA:AA,Dataset!AE:AE,K58,Dataset!F:F,$D$11)</f>
        <v>0</v>
      </c>
    </row>
    <row r="59" spans="11:16" ht="33.75" x14ac:dyDescent="0.2">
      <c r="K59" s="13" t="s">
        <v>66</v>
      </c>
      <c r="L59" s="19">
        <f>SUM(L39:L58)</f>
        <v>0</v>
      </c>
      <c r="M59" s="19">
        <f>SUM(M39:M58)</f>
        <v>0</v>
      </c>
      <c r="N59" s="21">
        <f>SUM(N39:N58)</f>
        <v>0</v>
      </c>
      <c r="O59" s="19">
        <f>SUM(O39:O58)</f>
        <v>0</v>
      </c>
      <c r="P59" s="19">
        <f>SUM(P39:P58)</f>
        <v>0</v>
      </c>
    </row>
    <row r="112" spans="2:16" ht="28.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2:16" ht="31.5" x14ac:dyDescent="0.5">
      <c r="B113" s="15" t="s">
        <v>74</v>
      </c>
      <c r="C113" s="10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2:16" ht="30" x14ac:dyDescent="0.4">
      <c r="C114" s="3"/>
    </row>
  </sheetData>
  <mergeCells count="5">
    <mergeCell ref="J17:P17"/>
    <mergeCell ref="B17:H17"/>
    <mergeCell ref="B3:P3"/>
    <mergeCell ref="B4:P4"/>
    <mergeCell ref="K36:P36"/>
  </mergeCells>
  <printOptions horizontalCentered="1"/>
  <pageMargins left="0" right="0" top="0" bottom="0" header="0" footer="0"/>
  <pageSetup scale="2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AA2521"/>
  <sheetViews>
    <sheetView zoomScale="85" zoomScaleNormal="85" workbookViewId="0">
      <selection activeCell="H2" sqref="H2"/>
    </sheetView>
  </sheetViews>
  <sheetFormatPr baseColWidth="10" defaultRowHeight="14.25" x14ac:dyDescent="0.2"/>
  <cols>
    <col min="1" max="1" width="13.625" style="5" customWidth="1"/>
    <col min="3" max="3" width="14.875" customWidth="1"/>
    <col min="4" max="4" width="14.25" customWidth="1"/>
    <col min="7" max="7" width="13.5" customWidth="1"/>
    <col min="8" max="11" width="12.125" customWidth="1"/>
    <col min="13" max="13" width="12" bestFit="1" customWidth="1"/>
    <col min="16" max="16" width="11.875" bestFit="1" customWidth="1"/>
    <col min="17" max="18" width="11.875" customWidth="1"/>
  </cols>
  <sheetData>
    <row r="1" spans="1:27" x14ac:dyDescent="0.2">
      <c r="B1" t="s">
        <v>138</v>
      </c>
      <c r="C1" t="s">
        <v>183</v>
      </c>
      <c r="D1" t="s">
        <v>185</v>
      </c>
      <c r="E1" t="s">
        <v>184</v>
      </c>
      <c r="G1" t="s">
        <v>139</v>
      </c>
      <c r="H1" t="s">
        <v>138</v>
      </c>
      <c r="L1" t="s">
        <v>39</v>
      </c>
      <c r="M1" t="s">
        <v>32</v>
      </c>
      <c r="N1" t="s">
        <v>30</v>
      </c>
      <c r="O1" t="s">
        <v>49</v>
      </c>
      <c r="P1" t="s">
        <v>145</v>
      </c>
      <c r="Q1" t="s">
        <v>221</v>
      </c>
      <c r="R1" t="s">
        <v>172</v>
      </c>
      <c r="S1" t="s">
        <v>140</v>
      </c>
      <c r="T1" t="s">
        <v>141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</row>
    <row r="2" spans="1:27" x14ac:dyDescent="0.2">
      <c r="A2" s="5">
        <v>0</v>
      </c>
      <c r="B2" s="1">
        <v>43052</v>
      </c>
      <c r="C2" t="s">
        <v>62</v>
      </c>
      <c r="D2" t="s">
        <v>39</v>
      </c>
      <c r="E2">
        <v>5.5821739329855111E-3</v>
      </c>
      <c r="G2" t="s">
        <v>62</v>
      </c>
      <c r="H2" s="1">
        <v>43052</v>
      </c>
      <c r="I2">
        <v>19</v>
      </c>
      <c r="J2" s="1">
        <f>WORKDAY(Historical!$H$2,-I2)</f>
        <v>43025</v>
      </c>
      <c r="K2" s="1"/>
      <c r="L2" s="4">
        <f t="shared" ref="L2:Z21" si="0">SUMIFS($E:$E,$B:$B,$J2,$C:$C,$G$2,$D:$D,L$1)</f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ref="R2:R21" si="1">SUMIFS($E:$E,$B:$B,$J2,$C:$C,$G$2,$D:$D,R$1)</f>
        <v>0</v>
      </c>
      <c r="S2" s="6">
        <f t="shared" si="0"/>
        <v>0</v>
      </c>
      <c r="T2" s="7">
        <f>SUM(L2:P2)</f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7"/>
    </row>
    <row r="3" spans="1:27" x14ac:dyDescent="0.2">
      <c r="A3" s="5">
        <v>1</v>
      </c>
      <c r="B3" s="1">
        <v>43052</v>
      </c>
      <c r="C3" t="s">
        <v>62</v>
      </c>
      <c r="D3" t="s">
        <v>32</v>
      </c>
      <c r="E3">
        <v>4.5270850624597545E-3</v>
      </c>
      <c r="I3">
        <v>18</v>
      </c>
      <c r="J3" s="1">
        <f>WORKDAY(Historical!$H$2,-I3)</f>
        <v>43026</v>
      </c>
      <c r="K3" s="1"/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1"/>
        <v>0</v>
      </c>
      <c r="S3" s="6">
        <f t="shared" si="0"/>
        <v>0</v>
      </c>
      <c r="T3" s="7">
        <f t="shared" ref="T3:T21" si="2">SUM(L3:P3)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7"/>
    </row>
    <row r="4" spans="1:27" x14ac:dyDescent="0.2">
      <c r="A4" s="5">
        <v>2</v>
      </c>
      <c r="B4" s="1">
        <v>43052</v>
      </c>
      <c r="C4" t="s">
        <v>62</v>
      </c>
      <c r="D4" t="s">
        <v>30</v>
      </c>
      <c r="E4">
        <v>-1.0827434532968943E-5</v>
      </c>
      <c r="I4">
        <v>17</v>
      </c>
      <c r="J4" s="1">
        <f>WORKDAY(Historical!$H$2,-I4)</f>
        <v>43027</v>
      </c>
      <c r="K4" s="1"/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1"/>
        <v>0</v>
      </c>
      <c r="S4" s="6">
        <f t="shared" si="0"/>
        <v>0</v>
      </c>
      <c r="T4" s="7">
        <f t="shared" si="2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7"/>
    </row>
    <row r="5" spans="1:27" x14ac:dyDescent="0.2">
      <c r="A5" s="5">
        <v>3</v>
      </c>
      <c r="B5" s="1">
        <v>43052</v>
      </c>
      <c r="C5" t="s">
        <v>62</v>
      </c>
      <c r="D5" t="s">
        <v>49</v>
      </c>
      <c r="E5">
        <v>1.289498389975945E-7</v>
      </c>
      <c r="I5">
        <v>16</v>
      </c>
      <c r="J5" s="1">
        <f>WORKDAY(Historical!$H$2,-I5)</f>
        <v>43028</v>
      </c>
      <c r="K5" s="1"/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1"/>
        <v>0</v>
      </c>
      <c r="S5" s="6">
        <f t="shared" si="0"/>
        <v>0</v>
      </c>
      <c r="T5" s="7">
        <f t="shared" si="2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7"/>
    </row>
    <row r="6" spans="1:27" x14ac:dyDescent="0.2">
      <c r="A6" s="5">
        <v>4</v>
      </c>
      <c r="B6" s="1">
        <v>43052</v>
      </c>
      <c r="C6" t="s">
        <v>62</v>
      </c>
      <c r="D6" t="s">
        <v>145</v>
      </c>
      <c r="E6">
        <v>0</v>
      </c>
      <c r="I6">
        <v>15</v>
      </c>
      <c r="J6" s="1">
        <f>WORKDAY(Historical!$H$2,-I6)</f>
        <v>43031</v>
      </c>
      <c r="K6" s="1"/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1"/>
        <v>0</v>
      </c>
      <c r="S6" s="6">
        <f t="shared" si="0"/>
        <v>0</v>
      </c>
      <c r="T6" s="7">
        <f t="shared" si="2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7"/>
    </row>
    <row r="7" spans="1:27" x14ac:dyDescent="0.2">
      <c r="A7" s="5">
        <v>5</v>
      </c>
      <c r="B7" s="1">
        <v>43052</v>
      </c>
      <c r="C7" t="s">
        <v>62</v>
      </c>
      <c r="D7" t="s">
        <v>221</v>
      </c>
      <c r="E7">
        <v>0</v>
      </c>
      <c r="I7">
        <v>14</v>
      </c>
      <c r="J7" s="1">
        <f>WORKDAY(Historical!$H$2,-I7)</f>
        <v>43032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1"/>
        <v>0</v>
      </c>
      <c r="S7" s="6">
        <f t="shared" si="0"/>
        <v>0</v>
      </c>
      <c r="T7" s="7">
        <f t="shared" si="2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7"/>
    </row>
    <row r="8" spans="1:27" x14ac:dyDescent="0.2">
      <c r="A8" s="5">
        <v>6</v>
      </c>
      <c r="B8" s="1">
        <v>43052</v>
      </c>
      <c r="C8" t="s">
        <v>62</v>
      </c>
      <c r="D8" t="s">
        <v>172</v>
      </c>
      <c r="E8">
        <v>0</v>
      </c>
      <c r="I8">
        <v>13</v>
      </c>
      <c r="J8" s="1">
        <f>WORKDAY(Historical!$H$2,-I8)</f>
        <v>43033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1"/>
        <v>0</v>
      </c>
      <c r="S8" s="6">
        <f t="shared" si="0"/>
        <v>0</v>
      </c>
      <c r="T8" s="7">
        <f t="shared" si="2"/>
        <v>0</v>
      </c>
      <c r="U8" s="4">
        <f t="shared" si="0"/>
        <v>0</v>
      </c>
      <c r="V8" s="4">
        <f t="shared" si="0"/>
        <v>0</v>
      </c>
      <c r="W8" s="4">
        <f t="shared" si="0"/>
        <v>0</v>
      </c>
      <c r="X8" s="4">
        <f t="shared" si="0"/>
        <v>0</v>
      </c>
      <c r="Y8" s="4">
        <f t="shared" si="0"/>
        <v>0</v>
      </c>
      <c r="Z8" s="4">
        <f t="shared" si="0"/>
        <v>0</v>
      </c>
      <c r="AA8" s="7"/>
    </row>
    <row r="9" spans="1:27" x14ac:dyDescent="0.2">
      <c r="A9" s="5">
        <v>7</v>
      </c>
      <c r="B9" s="1">
        <v>43052</v>
      </c>
      <c r="C9" t="s">
        <v>62</v>
      </c>
      <c r="D9" t="s">
        <v>72</v>
      </c>
      <c r="E9">
        <v>3.22514118942108</v>
      </c>
      <c r="I9">
        <v>12</v>
      </c>
      <c r="J9" s="1">
        <f>WORKDAY(Historical!$H$2,-I9)</f>
        <v>43034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1"/>
        <v>0</v>
      </c>
      <c r="S9" s="6">
        <f t="shared" si="0"/>
        <v>0</v>
      </c>
      <c r="T9" s="7">
        <f t="shared" si="2"/>
        <v>0</v>
      </c>
      <c r="U9" s="4">
        <f t="shared" si="0"/>
        <v>0</v>
      </c>
      <c r="V9" s="4">
        <f t="shared" si="0"/>
        <v>0</v>
      </c>
      <c r="W9" s="4">
        <f t="shared" si="0"/>
        <v>0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7"/>
    </row>
    <row r="10" spans="1:27" x14ac:dyDescent="0.2">
      <c r="A10" s="5">
        <v>8</v>
      </c>
      <c r="B10" s="1">
        <v>43052</v>
      </c>
      <c r="C10" t="s">
        <v>62</v>
      </c>
      <c r="D10" t="s">
        <v>186</v>
      </c>
      <c r="E10">
        <v>1.0109258995445271E-2</v>
      </c>
      <c r="I10">
        <v>11</v>
      </c>
      <c r="J10" s="1">
        <f>WORKDAY(Historical!$H$2,-I10)</f>
        <v>43035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1"/>
        <v>0</v>
      </c>
      <c r="S10" s="6">
        <f t="shared" si="0"/>
        <v>0</v>
      </c>
      <c r="T10" s="7">
        <f t="shared" si="2"/>
        <v>0</v>
      </c>
      <c r="U10" s="4">
        <f t="shared" si="0"/>
        <v>0</v>
      </c>
      <c r="V10" s="4">
        <f t="shared" si="0"/>
        <v>0</v>
      </c>
      <c r="W10" s="4">
        <f t="shared" si="0"/>
        <v>0</v>
      </c>
      <c r="X10" s="4">
        <f t="shared" si="0"/>
        <v>0</v>
      </c>
      <c r="Y10" s="4">
        <f t="shared" si="0"/>
        <v>0</v>
      </c>
      <c r="Z10" s="4">
        <f t="shared" si="0"/>
        <v>0</v>
      </c>
      <c r="AA10" s="7"/>
    </row>
    <row r="11" spans="1:27" x14ac:dyDescent="0.2">
      <c r="A11" s="5">
        <v>9</v>
      </c>
      <c r="B11" s="1">
        <v>43052</v>
      </c>
      <c r="C11" t="s">
        <v>62</v>
      </c>
      <c r="D11" t="s">
        <v>187</v>
      </c>
      <c r="E11">
        <v>0</v>
      </c>
      <c r="I11">
        <v>10</v>
      </c>
      <c r="J11" s="1">
        <f>WORKDAY(Historical!$H$2,-I11)</f>
        <v>43038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1"/>
        <v>0</v>
      </c>
      <c r="S11" s="6">
        <f t="shared" si="0"/>
        <v>0</v>
      </c>
      <c r="T11" s="7">
        <f t="shared" si="2"/>
        <v>0</v>
      </c>
      <c r="U11" s="4">
        <f t="shared" si="0"/>
        <v>0</v>
      </c>
      <c r="V11" s="4">
        <f t="shared" si="0"/>
        <v>0</v>
      </c>
      <c r="W11" s="4">
        <f t="shared" si="0"/>
        <v>0</v>
      </c>
      <c r="X11" s="4">
        <f t="shared" si="0"/>
        <v>0</v>
      </c>
      <c r="Y11" s="4">
        <f t="shared" si="0"/>
        <v>0</v>
      </c>
      <c r="Z11" s="4">
        <f t="shared" si="0"/>
        <v>0</v>
      </c>
      <c r="AA11" s="7"/>
    </row>
    <row r="12" spans="1:27" x14ac:dyDescent="0.2">
      <c r="A12" s="5">
        <v>10</v>
      </c>
      <c r="B12" s="1">
        <v>43052</v>
      </c>
      <c r="C12" t="s">
        <v>62</v>
      </c>
      <c r="D12" t="s">
        <v>188</v>
      </c>
      <c r="E12">
        <v>0</v>
      </c>
      <c r="I12">
        <v>9</v>
      </c>
      <c r="J12" s="1">
        <f>WORKDAY(Historical!$H$2,-I12)</f>
        <v>43039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1"/>
        <v>0</v>
      </c>
      <c r="S12" s="6">
        <f t="shared" si="0"/>
        <v>0</v>
      </c>
      <c r="T12" s="7">
        <f t="shared" si="2"/>
        <v>0</v>
      </c>
      <c r="U12" s="4">
        <f t="shared" si="0"/>
        <v>0</v>
      </c>
      <c r="V12" s="4">
        <f t="shared" si="0"/>
        <v>0</v>
      </c>
      <c r="W12" s="4">
        <f t="shared" si="0"/>
        <v>0</v>
      </c>
      <c r="X12" s="4">
        <f t="shared" si="0"/>
        <v>0</v>
      </c>
      <c r="Y12" s="4">
        <f t="shared" si="0"/>
        <v>0</v>
      </c>
      <c r="Z12" s="4">
        <f t="shared" si="0"/>
        <v>0</v>
      </c>
      <c r="AA12" s="7"/>
    </row>
    <row r="13" spans="1:27" x14ac:dyDescent="0.2">
      <c r="A13" s="5">
        <v>11</v>
      </c>
      <c r="B13" s="1">
        <v>43052</v>
      </c>
      <c r="C13" t="s">
        <v>62</v>
      </c>
      <c r="D13" t="s">
        <v>189</v>
      </c>
      <c r="E13">
        <v>0</v>
      </c>
      <c r="I13">
        <v>8</v>
      </c>
      <c r="J13" s="1">
        <f>WORKDAY(Historical!$H$2,-I13)</f>
        <v>43040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1"/>
        <v>0</v>
      </c>
      <c r="S13" s="6">
        <f t="shared" si="0"/>
        <v>0</v>
      </c>
      <c r="T13" s="7">
        <f t="shared" si="2"/>
        <v>0</v>
      </c>
      <c r="U13" s="4">
        <f t="shared" si="0"/>
        <v>0</v>
      </c>
      <c r="V13" s="4">
        <f t="shared" si="0"/>
        <v>0</v>
      </c>
      <c r="W13" s="4">
        <f t="shared" si="0"/>
        <v>0</v>
      </c>
      <c r="X13" s="4">
        <f t="shared" si="0"/>
        <v>0</v>
      </c>
      <c r="Y13" s="4">
        <f t="shared" si="0"/>
        <v>0</v>
      </c>
      <c r="Z13" s="4">
        <f t="shared" si="0"/>
        <v>0</v>
      </c>
      <c r="AA13" s="7"/>
    </row>
    <row r="14" spans="1:27" x14ac:dyDescent="0.2">
      <c r="A14" s="5">
        <v>12</v>
      </c>
      <c r="B14" s="1">
        <v>43052</v>
      </c>
      <c r="C14" t="s">
        <v>62</v>
      </c>
      <c r="D14" t="s">
        <v>190</v>
      </c>
      <c r="E14">
        <v>0</v>
      </c>
      <c r="I14">
        <v>7</v>
      </c>
      <c r="J14" s="1">
        <f>WORKDAY(Historical!$H$2,-I14)</f>
        <v>43041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1"/>
        <v>0</v>
      </c>
      <c r="S14" s="6">
        <f t="shared" si="0"/>
        <v>0</v>
      </c>
      <c r="T14" s="7">
        <f t="shared" si="2"/>
        <v>0</v>
      </c>
      <c r="U14" s="4">
        <f t="shared" si="0"/>
        <v>0</v>
      </c>
      <c r="V14" s="4">
        <f t="shared" si="0"/>
        <v>0</v>
      </c>
      <c r="W14" s="4">
        <f t="shared" si="0"/>
        <v>0</v>
      </c>
      <c r="X14" s="4">
        <f t="shared" si="0"/>
        <v>0</v>
      </c>
      <c r="Y14" s="4">
        <f t="shared" si="0"/>
        <v>0</v>
      </c>
      <c r="Z14" s="4">
        <f t="shared" si="0"/>
        <v>0</v>
      </c>
      <c r="AA14" s="7"/>
    </row>
    <row r="15" spans="1:27" x14ac:dyDescent="0.2">
      <c r="A15" s="5">
        <v>13</v>
      </c>
      <c r="B15" s="1">
        <v>43052</v>
      </c>
      <c r="C15" t="s">
        <v>62</v>
      </c>
      <c r="D15" t="s">
        <v>191</v>
      </c>
      <c r="E15">
        <v>-1.0698484693971348E-5</v>
      </c>
      <c r="I15">
        <v>6</v>
      </c>
      <c r="J15" s="1">
        <f>WORKDAY(Historical!$H$2,-I15)</f>
        <v>43042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1"/>
        <v>0</v>
      </c>
      <c r="S15" s="6">
        <f t="shared" si="0"/>
        <v>0</v>
      </c>
      <c r="T15" s="7">
        <f t="shared" si="2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  <c r="Z15" s="4">
        <f t="shared" si="0"/>
        <v>0</v>
      </c>
      <c r="AA15" s="7"/>
    </row>
    <row r="16" spans="1:27" x14ac:dyDescent="0.2">
      <c r="B16" s="1"/>
      <c r="I16">
        <v>5</v>
      </c>
      <c r="J16" s="1">
        <f>WORKDAY(Historical!$H$2,-I16)</f>
        <v>43045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1"/>
        <v>0</v>
      </c>
      <c r="S16" s="6">
        <f t="shared" si="0"/>
        <v>0</v>
      </c>
      <c r="T16" s="7">
        <f t="shared" si="2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  <c r="Z16" s="4">
        <f t="shared" si="0"/>
        <v>0</v>
      </c>
      <c r="AA16" s="7"/>
    </row>
    <row r="17" spans="2:27" x14ac:dyDescent="0.2">
      <c r="B17" s="1"/>
      <c r="I17">
        <v>4</v>
      </c>
      <c r="J17" s="1">
        <f>WORKDAY(Historical!$H$2,-I17)</f>
        <v>43046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>SUMIFS($E:$E,$B:$B,$J17,$C:$C,$G$2,$D:$D,Q$1)</f>
        <v>0</v>
      </c>
      <c r="R17" s="4">
        <f t="shared" si="1"/>
        <v>0</v>
      </c>
      <c r="S17" s="6">
        <f t="shared" si="0"/>
        <v>0</v>
      </c>
      <c r="T17" s="7">
        <f t="shared" si="2"/>
        <v>0</v>
      </c>
      <c r="U17" s="4">
        <f t="shared" si="0"/>
        <v>0</v>
      </c>
      <c r="V17" s="4">
        <f t="shared" si="0"/>
        <v>0</v>
      </c>
      <c r="W17" s="4">
        <f t="shared" si="0"/>
        <v>0</v>
      </c>
      <c r="X17" s="4">
        <f t="shared" si="0"/>
        <v>0</v>
      </c>
      <c r="Y17" s="4">
        <f t="shared" si="0"/>
        <v>0</v>
      </c>
      <c r="Z17" s="4">
        <f t="shared" si="0"/>
        <v>0</v>
      </c>
      <c r="AA17" s="7"/>
    </row>
    <row r="18" spans="2:27" x14ac:dyDescent="0.2">
      <c r="B18" s="1"/>
      <c r="I18">
        <v>3</v>
      </c>
      <c r="J18" s="1">
        <f>WORKDAY(Historical!$H$2,-I18)</f>
        <v>43047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>SUMIFS($E:$E,$B:$B,$J18,$C:$C,$G$2,$D:$D,Q$1)</f>
        <v>0</v>
      </c>
      <c r="R18" s="4">
        <f t="shared" si="1"/>
        <v>0</v>
      </c>
      <c r="S18" s="6">
        <f t="shared" si="0"/>
        <v>0</v>
      </c>
      <c r="T18" s="7">
        <f t="shared" si="2"/>
        <v>0</v>
      </c>
      <c r="U18" s="4">
        <f t="shared" si="0"/>
        <v>0</v>
      </c>
      <c r="V18" s="4">
        <f t="shared" si="0"/>
        <v>0</v>
      </c>
      <c r="W18" s="4">
        <f t="shared" si="0"/>
        <v>0</v>
      </c>
      <c r="X18" s="4">
        <f t="shared" si="0"/>
        <v>0</v>
      </c>
      <c r="Y18" s="4">
        <f t="shared" si="0"/>
        <v>0</v>
      </c>
      <c r="Z18" s="4">
        <f t="shared" si="0"/>
        <v>0</v>
      </c>
      <c r="AA18" s="7"/>
    </row>
    <row r="19" spans="2:27" x14ac:dyDescent="0.2">
      <c r="B19" s="1"/>
      <c r="I19">
        <v>2</v>
      </c>
      <c r="J19" s="1">
        <f>WORKDAY(Historical!$H$2,-I19)</f>
        <v>43048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>SUMIFS($E:$E,$B:$B,$J19,$C:$C,$G$2,$D:$D,Q$1)</f>
        <v>0</v>
      </c>
      <c r="R19" s="4">
        <f t="shared" si="1"/>
        <v>0</v>
      </c>
      <c r="S19" s="6">
        <f t="shared" si="0"/>
        <v>0</v>
      </c>
      <c r="T19" s="7">
        <f t="shared" si="2"/>
        <v>0</v>
      </c>
      <c r="U19" s="4">
        <f t="shared" si="0"/>
        <v>0</v>
      </c>
      <c r="V19" s="4">
        <f t="shared" si="0"/>
        <v>0</v>
      </c>
      <c r="W19" s="4">
        <f t="shared" si="0"/>
        <v>0</v>
      </c>
      <c r="X19" s="4">
        <f t="shared" si="0"/>
        <v>0</v>
      </c>
      <c r="Y19" s="4">
        <f t="shared" si="0"/>
        <v>0</v>
      </c>
      <c r="Z19" s="4">
        <f t="shared" si="0"/>
        <v>0</v>
      </c>
      <c r="AA19" s="7"/>
    </row>
    <row r="20" spans="2:27" x14ac:dyDescent="0.2">
      <c r="B20" s="1"/>
      <c r="I20">
        <v>1</v>
      </c>
      <c r="J20" s="1">
        <f>WORKDAY(Historical!$H$2,-I20)</f>
        <v>43049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4">
        <f t="shared" si="0"/>
        <v>0</v>
      </c>
      <c r="Q20" s="4">
        <f>SUMIFS($E:$E,$B:$B,$J20,$C:$C,$G$2,$D:$D,Q$1)</f>
        <v>0</v>
      </c>
      <c r="R20" s="4">
        <f t="shared" si="1"/>
        <v>0</v>
      </c>
      <c r="S20" s="6">
        <f t="shared" si="0"/>
        <v>0</v>
      </c>
      <c r="T20" s="7">
        <f t="shared" si="2"/>
        <v>0</v>
      </c>
      <c r="U20" s="4">
        <f t="shared" si="0"/>
        <v>0</v>
      </c>
      <c r="V20" s="4">
        <f t="shared" si="0"/>
        <v>0</v>
      </c>
      <c r="W20" s="4">
        <f t="shared" si="0"/>
        <v>0</v>
      </c>
      <c r="X20" s="4">
        <f t="shared" si="0"/>
        <v>0</v>
      </c>
      <c r="Y20" s="4">
        <f t="shared" si="0"/>
        <v>0</v>
      </c>
      <c r="Z20" s="4">
        <f t="shared" si="0"/>
        <v>0</v>
      </c>
      <c r="AA20" s="7"/>
    </row>
    <row r="21" spans="2:27" x14ac:dyDescent="0.2">
      <c r="B21" s="1"/>
      <c r="I21">
        <v>0</v>
      </c>
      <c r="J21" s="1">
        <f>WORKDAY(Historical!$H$2,-I21)</f>
        <v>43052</v>
      </c>
      <c r="L21" s="4">
        <f t="shared" si="0"/>
        <v>5.5821739329855111E-3</v>
      </c>
      <c r="M21" s="4">
        <f t="shared" si="0"/>
        <v>4.5270850624597545E-3</v>
      </c>
      <c r="N21" s="4">
        <f t="shared" si="0"/>
        <v>-1.0827434532968943E-5</v>
      </c>
      <c r="O21" s="4">
        <f t="shared" si="0"/>
        <v>1.289498389975945E-7</v>
      </c>
      <c r="P21" s="4">
        <f t="shared" si="0"/>
        <v>0</v>
      </c>
      <c r="Q21" s="4">
        <f>SUMIFS($E:$E,$B:$B,$J21,$C:$C,$G$2,$D:$D,Q$1)</f>
        <v>0</v>
      </c>
      <c r="R21" s="4">
        <f t="shared" si="1"/>
        <v>0</v>
      </c>
      <c r="S21" s="6">
        <f t="shared" si="0"/>
        <v>3.22514118942108</v>
      </c>
      <c r="T21" s="7">
        <f t="shared" si="2"/>
        <v>1.0098560510751295E-2</v>
      </c>
      <c r="U21" s="4">
        <f t="shared" si="0"/>
        <v>1.0109258995445271E-2</v>
      </c>
      <c r="V21" s="4">
        <f t="shared" si="0"/>
        <v>0</v>
      </c>
      <c r="W21" s="4">
        <f t="shared" si="0"/>
        <v>0</v>
      </c>
      <c r="X21" s="4">
        <f t="shared" si="0"/>
        <v>0</v>
      </c>
      <c r="Y21" s="4">
        <f t="shared" si="0"/>
        <v>0</v>
      </c>
      <c r="Z21" s="4">
        <f t="shared" si="0"/>
        <v>-1.0698484693971348E-5</v>
      </c>
      <c r="AA21" s="7"/>
    </row>
    <row r="22" spans="2:27" x14ac:dyDescent="0.2">
      <c r="B22" s="1"/>
    </row>
    <row r="23" spans="2:27" x14ac:dyDescent="0.2">
      <c r="B23" s="1"/>
    </row>
    <row r="24" spans="2:27" x14ac:dyDescent="0.2">
      <c r="B24" s="1"/>
    </row>
    <row r="25" spans="2:27" x14ac:dyDescent="0.2">
      <c r="B25" s="1"/>
    </row>
    <row r="26" spans="2:27" x14ac:dyDescent="0.2">
      <c r="B26" s="1"/>
    </row>
    <row r="27" spans="2:27" x14ac:dyDescent="0.2">
      <c r="B27" s="1"/>
    </row>
    <row r="28" spans="2:27" x14ac:dyDescent="0.2">
      <c r="B28" s="1"/>
    </row>
    <row r="29" spans="2:27" x14ac:dyDescent="0.2">
      <c r="B29" s="1"/>
    </row>
    <row r="30" spans="2:27" x14ac:dyDescent="0.2">
      <c r="B30" s="1"/>
    </row>
    <row r="31" spans="2:27" x14ac:dyDescent="0.2">
      <c r="B31" s="1"/>
    </row>
    <row r="32" spans="2:2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Dataset</vt:lpstr>
      <vt:lpstr>Resumen</vt:lpstr>
      <vt:lpstr>retorno absoluto</vt:lpstr>
      <vt:lpstr>credito</vt:lpstr>
      <vt:lpstr>credito latam</vt:lpstr>
      <vt:lpstr>renta fija</vt:lpstr>
      <vt:lpstr>renta variable</vt:lpstr>
      <vt:lpstr>Historical</vt:lpstr>
      <vt:lpstr>'renta fija'!A</vt:lpstr>
      <vt:lpstr>'renta fija'!Print_Area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</dc:creator>
  <cp:lastModifiedBy>Fernando Suarez B.</cp:lastModifiedBy>
  <cp:lastPrinted>2017-11-14T14:14:23Z</cp:lastPrinted>
  <dcterms:created xsi:type="dcterms:W3CDTF">2016-10-26T20:13:43Z</dcterms:created>
  <dcterms:modified xsi:type="dcterms:W3CDTF">2017-12-29T15:32:04Z</dcterms:modified>
</cp:coreProperties>
</file>