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Rates &amp; FX\DPP\Swaps\"/>
    </mc:Choice>
  </mc:AlternateContent>
  <xr:revisionPtr revIDLastSave="0" documentId="13_ncr:1_{C829C404-669C-497C-A261-CF9C90581F7C}" xr6:coauthVersionLast="41" xr6:coauthVersionMax="41" xr10:uidLastSave="{00000000-0000-0000-0000-000000000000}"/>
  <bookViews>
    <workbookView xWindow="28680" yWindow="-120" windowWidth="29040" windowHeight="15840" activeTab="2" xr2:uid="{00000000-000D-0000-FFFF-FFFF00000000}"/>
  </bookViews>
  <sheets>
    <sheet name="E-plus" sheetId="10" r:id="rId1"/>
    <sheet name="Macro 3" sheetId="9" r:id="rId2"/>
    <sheet name="Macro 1.5" sheetId="8" r:id="rId3"/>
    <sheet name="calc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8" l="1"/>
  <c r="C2" i="10" l="1"/>
  <c r="C20" i="8" l="1"/>
  <c r="C2" i="9"/>
  <c r="C20" i="9" s="1"/>
  <c r="C19" i="10"/>
  <c r="C18" i="9"/>
  <c r="C18" i="8"/>
  <c r="C18" i="10"/>
  <c r="C17" i="10"/>
  <c r="C17" i="9"/>
  <c r="C17" i="8"/>
  <c r="E27" i="7"/>
  <c r="E28" i="7"/>
  <c r="D27" i="7"/>
  <c r="D28" i="7"/>
  <c r="D26" i="7"/>
  <c r="F22" i="7"/>
  <c r="F21" i="7"/>
  <c r="D22" i="7"/>
  <c r="E22" i="7" s="1"/>
  <c r="E21" i="7"/>
  <c r="E20" i="7"/>
  <c r="D21" i="7"/>
  <c r="D20" i="7"/>
  <c r="C23" i="9"/>
  <c r="C23" i="8"/>
  <c r="C22" i="10"/>
  <c r="E22" i="10" l="1"/>
  <c r="C20" i="10"/>
  <c r="E23" i="9"/>
  <c r="C25" i="9" s="1"/>
  <c r="C19" i="9"/>
  <c r="E23" i="8"/>
  <c r="C25" i="8" s="1"/>
  <c r="C19" i="8"/>
  <c r="J7" i="7"/>
  <c r="J9" i="7"/>
  <c r="J8" i="7"/>
  <c r="C12" i="7"/>
  <c r="C22" i="8"/>
  <c r="C22" i="9"/>
  <c r="C23" i="10"/>
  <c r="E23" i="10" l="1"/>
  <c r="C25" i="10" s="1"/>
  <c r="C21" i="10"/>
  <c r="H17" i="10"/>
  <c r="E22" i="9"/>
  <c r="C21" i="9"/>
  <c r="C21" i="8"/>
  <c r="E22" i="8"/>
  <c r="H17" i="8" s="1"/>
  <c r="H21" i="8" s="1"/>
  <c r="J10" i="7"/>
  <c r="J11" i="7"/>
  <c r="C24" i="10" l="1"/>
  <c r="H22" i="10" s="1"/>
  <c r="H21" i="10"/>
  <c r="C24" i="9"/>
  <c r="H22" i="9" s="1"/>
  <c r="I25" i="9" s="1"/>
  <c r="H17" i="9"/>
  <c r="H21" i="9" s="1"/>
  <c r="C24" i="8"/>
  <c r="J12" i="7"/>
  <c r="F8" i="7"/>
  <c r="F7" i="7"/>
  <c r="H25" i="10" l="1"/>
  <c r="I26" i="10" s="1"/>
  <c r="H16" i="8"/>
  <c r="H18" i="8" s="1"/>
  <c r="H19" i="8" s="1"/>
  <c r="H22" i="8"/>
  <c r="I25" i="8" s="1"/>
  <c r="H16" i="10"/>
  <c r="H18" i="10" s="1"/>
  <c r="H19" i="10" s="1"/>
  <c r="E24" i="10"/>
  <c r="H16" i="9"/>
  <c r="H18" i="9" s="1"/>
  <c r="H19" i="9" s="1"/>
  <c r="E24" i="9"/>
  <c r="E24" i="8"/>
  <c r="F13" i="7"/>
  <c r="F9" i="7"/>
  <c r="C15" i="7" s="1"/>
  <c r="C16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tc={7CCF68F3-210A-4369-AC0E-24C5AF8CBC84}</author>
  </authors>
  <commentList>
    <comment ref="C21" authorId="0" shapeId="0" xr:uid="{7CCF68F3-210A-4369-AC0E-24C5AF8CBC8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Permance constante hasta que se llegue al effective date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tc={9AC9765C-647C-435A-96DB-4AE4BE199345}</author>
  </authors>
  <commentList>
    <comment ref="C21" authorId="0" shapeId="0" xr:uid="{9AC9765C-647C-435A-96DB-4AE4BE19934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Permance constante hasta que se llegue al effective date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tc={2F0E00B8-A023-4197-B6D7-7686D6B71789}</author>
  </authors>
  <commentList>
    <comment ref="C21" authorId="0" shapeId="0" xr:uid="{2F0E00B8-A023-4197-B6D7-7686D6B7178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Permance constante hasta que se llegue al effective date</t>
      </text>
    </comment>
  </commentList>
</comments>
</file>

<file path=xl/sharedStrings.xml><?xml version="1.0" encoding="utf-8"?>
<sst xmlns="http://schemas.openxmlformats.org/spreadsheetml/2006/main" count="123" uniqueCount="61">
  <si>
    <t>Pata Flotante</t>
  </si>
  <si>
    <t>Pata Fija</t>
  </si>
  <si>
    <t>start accruing</t>
  </si>
  <si>
    <t>end date</t>
  </si>
  <si>
    <t>dias</t>
  </si>
  <si>
    <t>tasa_fija</t>
  </si>
  <si>
    <t>nominal</t>
  </si>
  <si>
    <t>cupón swap</t>
  </si>
  <si>
    <t>Fecha_val</t>
  </si>
  <si>
    <t>tasa_risk</t>
  </si>
  <si>
    <t>plazo_tasa</t>
  </si>
  <si>
    <t>VP_Pata_fija</t>
  </si>
  <si>
    <t>Swap:</t>
  </si>
  <si>
    <t>Largo</t>
  </si>
  <si>
    <t>MTM</t>
  </si>
  <si>
    <t>como el start accruing es T+2 el swap los primeros dos días la pata flotante vale menos que el nominal</t>
  </si>
  <si>
    <t>VP</t>
  </si>
  <si>
    <t>vcto</t>
  </si>
  <si>
    <t>starting</t>
  </si>
  <si>
    <t>tasa</t>
  </si>
  <si>
    <t>DV01</t>
  </si>
  <si>
    <t>Anterior</t>
  </si>
  <si>
    <t>Macro 3</t>
  </si>
  <si>
    <t>IMT E-Plus</t>
  </si>
  <si>
    <t>macro 1.5</t>
  </si>
  <si>
    <t>Fondo</t>
  </si>
  <si>
    <t>Monto CLP</t>
  </si>
  <si>
    <t>FRA</t>
  </si>
  <si>
    <t xml:space="preserve">o </t>
  </si>
  <si>
    <t>Position</t>
  </si>
  <si>
    <t>Short</t>
  </si>
  <si>
    <t>Trade date</t>
  </si>
  <si>
    <t>Effective date</t>
  </si>
  <si>
    <t>Termination date</t>
  </si>
  <si>
    <t>Notional</t>
  </si>
  <si>
    <t>Valuation date</t>
  </si>
  <si>
    <t>Trade info</t>
  </si>
  <si>
    <t>coupon rate</t>
  </si>
  <si>
    <t>fixed coupon amount</t>
  </si>
  <si>
    <t>coupon days</t>
  </si>
  <si>
    <t>discount days</t>
  </si>
  <si>
    <t>RA_rate termination date</t>
  </si>
  <si>
    <t>RA_rate effective date</t>
  </si>
  <si>
    <t>effective days</t>
  </si>
  <si>
    <t>RA implied 1Y1Y</t>
  </si>
  <si>
    <t>Fixed leg</t>
  </si>
  <si>
    <t>DF</t>
  </si>
  <si>
    <t>fwd_days</t>
  </si>
  <si>
    <t>VP_fixed_leg</t>
  </si>
  <si>
    <r>
      <rPr>
        <b/>
        <sz val="11"/>
        <color theme="1"/>
        <rFont val="Calibri"/>
        <family val="2"/>
      </rPr>
      <t>∆</t>
    </r>
    <r>
      <rPr>
        <b/>
        <sz val="11"/>
        <color theme="1"/>
        <rFont val="Calibri"/>
        <family val="2"/>
        <scheme val="minor"/>
      </rPr>
      <t xml:space="preserve"> [pbs]</t>
    </r>
  </si>
  <si>
    <t>VP A method</t>
  </si>
  <si>
    <t>VP B method</t>
  </si>
  <si>
    <t>Estimated coupon</t>
  </si>
  <si>
    <t>validation</t>
  </si>
  <si>
    <t>P&amp;L</t>
  </si>
  <si>
    <t>Sensitivity P&amp;L</t>
  </si>
  <si>
    <t>Patrimonio E-plus</t>
  </si>
  <si>
    <t>Patrimonio Macro 3</t>
  </si>
  <si>
    <t>Patrimonio Macro 1.5</t>
  </si>
  <si>
    <t>RiskAmerica</t>
  </si>
  <si>
    <t>diferencia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</si>
</sst>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2" formatCode="_ &quot;$&quot;* #,##0_ ;_ &quot;$&quot;* \-#,##0_ ;_ &quot;$&quot;* &quot;-&quot;_ ;_ @_ "/>
    <numFmt numFmtId="41" formatCode="_ * #,##0_ ;_ * \-#,##0_ ;_ * &quot;-&quot;_ ;_ @_ "/>
    <numFmt numFmtId="43" formatCode="_ * #,##0.00_ ;_ * \-#,##0.00_ ;_ * &quot;-&quot;??_ ;_ @_ "/>
    <numFmt numFmtId="164" formatCode="_-* #,##0.00_-;\-* #,##0.00_-;_-* &quot;-&quot;??_-;_-@_-"/>
    <numFmt numFmtId="165" formatCode="_-&quot;$&quot;\ * #,##0.00_-;\-&quot;$&quot;\ * #,##0.00_-;_-&quot;$&quot;\ * &quot;-&quot;??_-;_-@_-"/>
    <numFmt numFmtId="166" formatCode="_-* #,##0_-;\-* #,##0_-;_-* &quot;-&quot;??_-;_-@_-"/>
    <numFmt numFmtId="167" formatCode="_-&quot;$&quot;\ * #,##0_-;\-&quot;$&quot;\ * #,##0_-;_-&quot;$&quot;\ * &quot;-&quot;??_-;_-@_-"/>
    <numFmt numFmtId="168" formatCode="0.000%"/>
    <numFmt numFmtId="169" formatCode="_ * #,##0_ ;_ * \-#,##0_ ;_ * &quot;-&quot;??_ ;_ @_ "/>
    <numFmt numFmtId="170" formatCode="_ * #,##0.00_ ;_ * \-#,##0.00_ ;_ * &quot;-&quot;_ ;_ @_ "/>
    <numFmt numFmtId="171" formatCode="0.00000"/>
    <numFmt numFmtId="172" formatCode="0.0000"/>
    <numFmt numFmtId="173" formatCode="_ * #,##0.0000_ ;_ * \-#,##0.0000_ ;_ * &quot;-&quot;_ ;_ @_ "/>
    <numFmt numFmtId="174" formatCode="0.0000%"/>
    <numFmt numFmtId="175" formatCode="_ * #,##0.0_ ;_ * \-#,##0.0_ ;_ 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5" fillId="0" borderId="0"/>
    <xf numFmtId="164" fontId="7" fillId="0" borderId="0" applyFont="0" applyFill="0" applyBorder="0" applyAlignment="0" applyProtection="0">
      <alignment vertical="top"/>
    </xf>
    <xf numFmtId="0" fontId="7" fillId="0" borderId="0">
      <alignment vertical="top"/>
    </xf>
    <xf numFmtId="164" fontId="7" fillId="0" borderId="0" applyFont="0" applyFill="0" applyBorder="0" applyAlignment="0" applyProtection="0">
      <alignment vertical="top"/>
    </xf>
  </cellStyleXfs>
  <cellXfs count="45">
    <xf numFmtId="0" fontId="0" fillId="0" borderId="0" xfId="0"/>
    <xf numFmtId="166" fontId="0" fillId="0" borderId="0" xfId="1" applyNumberFormat="1" applyFont="1"/>
    <xf numFmtId="10" fontId="0" fillId="0" borderId="0" xfId="0" applyNumberFormat="1"/>
    <xf numFmtId="14" fontId="0" fillId="0" borderId="0" xfId="0" applyNumberFormat="1"/>
    <xf numFmtId="167" fontId="0" fillId="0" borderId="0" xfId="2" applyNumberFormat="1" applyFont="1"/>
    <xf numFmtId="164" fontId="0" fillId="0" borderId="0" xfId="0" applyNumberFormat="1"/>
    <xf numFmtId="166" fontId="0" fillId="0" borderId="0" xfId="0" applyNumberFormat="1"/>
    <xf numFmtId="10" fontId="0" fillId="0" borderId="0" xfId="3" applyNumberFormat="1" applyFont="1"/>
    <xf numFmtId="164" fontId="0" fillId="0" borderId="0" xfId="1" applyFont="1"/>
    <xf numFmtId="166" fontId="3" fillId="0" borderId="0" xfId="0" applyNumberFormat="1" applyFont="1"/>
    <xf numFmtId="168" fontId="0" fillId="0" borderId="0" xfId="3" applyNumberFormat="1" applyFont="1"/>
    <xf numFmtId="41" fontId="0" fillId="0" borderId="0" xfId="4" applyFont="1"/>
    <xf numFmtId="41" fontId="0" fillId="0" borderId="0" xfId="0" applyNumberFormat="1"/>
    <xf numFmtId="169" fontId="0" fillId="0" borderId="0" xfId="0" applyNumberFormat="1"/>
    <xf numFmtId="0" fontId="0" fillId="0" borderId="0" xfId="0" applyAlignment="1">
      <alignment horizontal="center"/>
    </xf>
    <xf numFmtId="168" fontId="0" fillId="0" borderId="0" xfId="0" applyNumberFormat="1"/>
    <xf numFmtId="14" fontId="0" fillId="0" borderId="0" xfId="1" applyNumberFormat="1" applyFont="1"/>
    <xf numFmtId="41" fontId="0" fillId="0" borderId="0" xfId="4" applyFont="1" applyAlignment="1">
      <alignment horizontal="center"/>
    </xf>
    <xf numFmtId="170" fontId="0" fillId="0" borderId="0" xfId="4" applyNumberFormat="1" applyFont="1"/>
    <xf numFmtId="42" fontId="0" fillId="0" borderId="0" xfId="5" applyFont="1"/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173" fontId="0" fillId="0" borderId="0" xfId="4" applyNumberFormat="1" applyFont="1" applyAlignment="1">
      <alignment horizontal="center"/>
    </xf>
    <xf numFmtId="0" fontId="4" fillId="0" borderId="0" xfId="0" applyFont="1"/>
    <xf numFmtId="41" fontId="4" fillId="0" borderId="0" xfId="4" applyFont="1"/>
    <xf numFmtId="0" fontId="4" fillId="0" borderId="0" xfId="0" applyFont="1" applyAlignment="1">
      <alignment horizontal="center"/>
    </xf>
    <xf numFmtId="14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0" fontId="0" fillId="0" borderId="0" xfId="4" applyNumberFormat="1" applyFont="1"/>
    <xf numFmtId="43" fontId="0" fillId="0" borderId="0" xfId="4" applyNumberFormat="1" applyFont="1"/>
    <xf numFmtId="172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43" fontId="0" fillId="0" borderId="0" xfId="0" applyNumberFormat="1"/>
    <xf numFmtId="0" fontId="2" fillId="2" borderId="0" xfId="0" applyFont="1" applyFill="1" applyAlignment="1">
      <alignment horizontal="center"/>
    </xf>
    <xf numFmtId="174" fontId="0" fillId="0" borderId="0" xfId="3" applyNumberFormat="1" applyFont="1"/>
    <xf numFmtId="175" fontId="0" fillId="0" borderId="0" xfId="4" applyNumberFormat="1" applyFont="1"/>
    <xf numFmtId="41" fontId="0" fillId="0" borderId="2" xfId="4" applyFont="1" applyBorder="1" applyAlignment="1">
      <alignment horizontal="center"/>
    </xf>
    <xf numFmtId="41" fontId="0" fillId="0" borderId="3" xfId="4" applyFont="1" applyBorder="1" applyAlignment="1">
      <alignment horizontal="center"/>
    </xf>
    <xf numFmtId="169" fontId="0" fillId="0" borderId="4" xfId="4" applyNumberFormat="1" applyFont="1" applyBorder="1" applyAlignment="1">
      <alignment horizontal="center"/>
    </xf>
    <xf numFmtId="0" fontId="0" fillId="0" borderId="0" xfId="0" applyAlignment="1">
      <alignment horizontal="center"/>
    </xf>
    <xf numFmtId="169" fontId="0" fillId="0" borderId="2" xfId="0" applyNumberFormat="1" applyBorder="1" applyAlignment="1">
      <alignment horizontal="center"/>
    </xf>
    <xf numFmtId="169" fontId="0" fillId="0" borderId="3" xfId="0" applyNumberFormat="1" applyBorder="1" applyAlignment="1">
      <alignment horizontal="center"/>
    </xf>
    <xf numFmtId="41" fontId="0" fillId="0" borderId="0" xfId="4" applyFont="1" applyAlignment="1">
      <alignment horizontal="center"/>
    </xf>
    <xf numFmtId="0" fontId="2" fillId="2" borderId="0" xfId="0" applyFont="1" applyFill="1" applyAlignment="1">
      <alignment horizontal="center"/>
    </xf>
    <xf numFmtId="169" fontId="0" fillId="0" borderId="0" xfId="0" applyNumberFormat="1" applyAlignment="1">
      <alignment horizontal="center"/>
    </xf>
  </cellXfs>
  <cellStyles count="15">
    <cellStyle name="Millares" xfId="1" builtinId="3"/>
    <cellStyle name="Millares [0]" xfId="4" builtinId="6"/>
    <cellStyle name="Millares 2" xfId="6" xr:uid="{233D146A-CD41-4E2D-BC49-0AE81C53EC2C}"/>
    <cellStyle name="Millares 2 2" xfId="14" xr:uid="{56FE0583-6B7B-416E-8170-32C7ABB13627}"/>
    <cellStyle name="Millares 2 3" xfId="12" xr:uid="{8CEF2511-3801-4584-A3C9-342C5609D470}"/>
    <cellStyle name="Millares 3" xfId="10" xr:uid="{772A4771-2FC0-4476-84EE-AF4F6B8899C1}"/>
    <cellStyle name="Millares 6" xfId="8" xr:uid="{85DE0E15-DC26-4173-9270-361306B92DF2}"/>
    <cellStyle name="Moneda" xfId="2" builtinId="4"/>
    <cellStyle name="Moneda [0]" xfId="5" builtinId="7"/>
    <cellStyle name="Normal" xfId="0" builtinId="0"/>
    <cellStyle name="Normal 2" xfId="11" xr:uid="{1F0C751A-A366-4DB9-8503-D04D8E1FD02B}"/>
    <cellStyle name="Normal 2 2" xfId="13" xr:uid="{CD4C20BF-AC4F-4800-A033-04906B5B8050}"/>
    <cellStyle name="Normal 5" xfId="7" xr:uid="{250C73D9-9562-4813-90C1-07C4A655E77D}"/>
    <cellStyle name="Normal 5 2" xfId="9" xr:uid="{ED2452EC-146B-48E9-8AA6-052AF8CDC21F}"/>
    <cellStyle name="Porcentaje" xfId="3" builtinId="5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e335541922f64d8d8ac16da864e47f87">
      <tp>
        <v>3.3139066943481401</v>
        <stp/>
        <stp>racv</stp>
        <stp>SWAP_CLP_CAM</stp>
        <stp>2019-03-17</stp>
        <stp>ACT360</stp>
        <stp>732</stp>
        <tr r="F7" s="7"/>
      </tp>
    </main>
    <main first="rtdsrv.e335541922f64d8d8ac16da864e47f87">
      <tp t="s">
        <v># VALOR N/D</v>
        <stp/>
        <stp>racv</stp>
        <stp>SWAP_CLP_CAM</stp>
        <stp>2019-03-18</stp>
        <stp>ACT360</stp>
        <stp>676</stp>
        <tr r="C23" s="9"/>
      </tp>
      <tp>
        <v>3.2883947418194799</v>
        <stp/>
        <stp>racv</stp>
        <stp>SWAP_CLP_CAM</stp>
        <stp>2019-03-17</stp>
        <stp>ACT360</stp>
        <stp>677</stp>
        <tr r="C23" s="10"/>
      </tp>
      <tp>
        <v>3.2893101344868199</v>
        <stp/>
        <stp>racv</stp>
        <stp>SWAP_CLP_CAM</stp>
        <stp>2019-03-15</stp>
        <stp>ACT360</stp>
        <stp>679</stp>
        <tr r="C23" s="8"/>
      </tp>
      <tp>
        <v>3.1341610989623301</v>
        <stp/>
        <stp>racv</stp>
        <stp>SWAP_CLP_CAM</stp>
        <stp>2019-03-17</stp>
        <stp>ACT360</stp>
        <stp>368</stp>
        <tr r="J11" s="7"/>
      </tp>
      <tp t="s">
        <v># VALOR N/D</v>
        <stp/>
        <stp>racv</stp>
        <stp>SWAP_CLP_CAM</stp>
        <stp>2019-03-18</stp>
        <stp>ACT360</stp>
        <stp>310</stp>
        <tr r="C22" s="9"/>
      </tp>
      <tp>
        <v>3.1125010015518901</v>
        <stp/>
        <stp>racv</stp>
        <stp>SWAP_CLP_CAM</stp>
        <stp>2019-03-17</stp>
        <stp>ACT360</stp>
        <stp>311</stp>
        <tr r="C22" s="10"/>
      </tp>
      <tp>
        <v>3.1132415517460599</v>
        <stp/>
        <stp>racv</stp>
        <stp>SWAP_CLP_CAM</stp>
        <stp>2019-03-15</stp>
        <stp>ACT360</stp>
        <stp>313</stp>
        <tr r="C22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iego Posch Ponce" id="{285D5442-310E-494E-B837-394C9DE88B21}" userId="S-1-5-21-1327746323-249040375-1925373262-2512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1" dT="2019-01-17T15:35:15.89" personId="{285D5442-310E-494E-B837-394C9DE88B21}" id="{7CCF68F3-210A-4369-AC0E-24C5AF8CBC84}">
    <text>Permance constante hasta que se llegue al effective date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21" dT="2019-01-17T15:35:15.89" personId="{285D5442-310E-494E-B837-394C9DE88B21}" id="{9AC9765C-647C-435A-96DB-4AE4BE199345}">
    <text>Permance constante hasta que se llegue al effective date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21" dT="2019-01-17T15:35:15.89" personId="{285D5442-310E-494E-B837-394C9DE88B21}" id="{2F0E00B8-A023-4197-B6D7-7686D6B71789}">
    <text>Permance constante hasta que se llegue al effective date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43CB8-5B80-412F-AA05-D42A03E5D725}">
  <dimension ref="B2:Q30"/>
  <sheetViews>
    <sheetView workbookViewId="0">
      <selection activeCell="C18" sqref="C18"/>
    </sheetView>
  </sheetViews>
  <sheetFormatPr baseColWidth="10" defaultRowHeight="15" x14ac:dyDescent="0.25"/>
  <cols>
    <col min="2" max="2" width="23.7109375" bestFit="1" customWidth="1"/>
    <col min="3" max="3" width="17.85546875" bestFit="1" customWidth="1"/>
    <col min="4" max="4" width="6.85546875" customWidth="1"/>
    <col min="5" max="5" width="12.140625" bestFit="1" customWidth="1"/>
    <col min="6" max="6" width="17.85546875" bestFit="1" customWidth="1"/>
    <col min="7" max="7" width="17" bestFit="1" customWidth="1"/>
    <col min="8" max="8" width="16.28515625" bestFit="1" customWidth="1"/>
    <col min="9" max="9" width="12.7109375" bestFit="1" customWidth="1"/>
    <col min="10" max="10" width="12.5703125" bestFit="1" customWidth="1"/>
    <col min="11" max="12" width="18.28515625" bestFit="1" customWidth="1"/>
    <col min="14" max="14" width="13.5703125" bestFit="1" customWidth="1"/>
    <col min="17" max="17" width="19.28515625" bestFit="1" customWidth="1"/>
  </cols>
  <sheetData>
    <row r="2" spans="2:17" x14ac:dyDescent="0.25">
      <c r="B2" s="27" t="s">
        <v>35</v>
      </c>
      <c r="C2" s="26">
        <f ca="1">+TODAY()-1</f>
        <v>43541</v>
      </c>
    </row>
    <row r="3" spans="2:17" x14ac:dyDescent="0.25">
      <c r="C3" s="3"/>
    </row>
    <row r="4" spans="2:17" x14ac:dyDescent="0.25">
      <c r="B4" t="s">
        <v>29</v>
      </c>
      <c r="C4" t="s">
        <v>30</v>
      </c>
    </row>
    <row r="5" spans="2:17" x14ac:dyDescent="0.25">
      <c r="Q5" s="2"/>
    </row>
    <row r="6" spans="2:17" x14ac:dyDescent="0.25">
      <c r="B6" s="43" t="s">
        <v>36</v>
      </c>
      <c r="C6" s="43"/>
      <c r="Q6" s="2"/>
    </row>
    <row r="7" spans="2:17" x14ac:dyDescent="0.25">
      <c r="B7" t="s">
        <v>31</v>
      </c>
      <c r="C7" s="16">
        <v>43482</v>
      </c>
      <c r="F7" s="10"/>
      <c r="G7" s="7"/>
      <c r="H7" s="10"/>
      <c r="Q7" s="7"/>
    </row>
    <row r="8" spans="2:17" x14ac:dyDescent="0.25">
      <c r="B8" t="s">
        <v>32</v>
      </c>
      <c r="C8" s="3">
        <v>43852</v>
      </c>
    </row>
    <row r="9" spans="2:17" x14ac:dyDescent="0.25">
      <c r="B9" t="s">
        <v>33</v>
      </c>
      <c r="C9" s="3">
        <v>44218</v>
      </c>
      <c r="E9" s="11"/>
      <c r="F9" s="6"/>
      <c r="L9" s="1"/>
      <c r="Q9" s="7"/>
    </row>
    <row r="10" spans="2:17" x14ac:dyDescent="0.25">
      <c r="B10" t="s">
        <v>34</v>
      </c>
      <c r="C10" s="19">
        <v>23500000000</v>
      </c>
      <c r="F10" s="1"/>
      <c r="L10" s="8"/>
      <c r="Q10" s="4"/>
    </row>
    <row r="11" spans="2:17" x14ac:dyDescent="0.25">
      <c r="B11" t="s">
        <v>56</v>
      </c>
      <c r="C11" s="19">
        <v>23716955634</v>
      </c>
      <c r="J11" s="7"/>
      <c r="L11" s="5"/>
      <c r="Q11" s="4"/>
    </row>
    <row r="12" spans="2:17" x14ac:dyDescent="0.25">
      <c r="C12" s="11"/>
      <c r="F12" s="6"/>
      <c r="N12" s="11"/>
    </row>
    <row r="13" spans="2:17" x14ac:dyDescent="0.25">
      <c r="B13" s="43" t="s">
        <v>45</v>
      </c>
      <c r="C13" s="43"/>
      <c r="D13" s="43"/>
      <c r="E13" s="43"/>
      <c r="G13" s="43" t="s">
        <v>0</v>
      </c>
      <c r="H13" s="43"/>
      <c r="I13" s="43"/>
    </row>
    <row r="15" spans="2:17" x14ac:dyDescent="0.25">
      <c r="B15" s="23"/>
      <c r="C15" s="24"/>
      <c r="D15" s="23" t="s">
        <v>49</v>
      </c>
      <c r="E15" s="25" t="s">
        <v>46</v>
      </c>
      <c r="I15" s="23"/>
    </row>
    <row r="16" spans="2:17" x14ac:dyDescent="0.25">
      <c r="B16" t="s">
        <v>37</v>
      </c>
      <c r="C16" s="28">
        <v>3.64</v>
      </c>
      <c r="D16" s="9"/>
      <c r="E16" s="14"/>
      <c r="G16" t="s">
        <v>52</v>
      </c>
      <c r="H16" s="44">
        <f ca="1">+$C$10*(C24*C21/36000)</f>
        <v>799854261.09534347</v>
      </c>
      <c r="I16" s="44"/>
    </row>
    <row r="17" spans="2:13" x14ac:dyDescent="0.25">
      <c r="B17" t="s">
        <v>39</v>
      </c>
      <c r="C17" s="11">
        <f>+C9-C8</f>
        <v>366</v>
      </c>
      <c r="E17" s="14"/>
      <c r="G17" t="s">
        <v>50</v>
      </c>
      <c r="H17" s="42">
        <f ca="1">+C10*E22</f>
        <v>22884664545.826962</v>
      </c>
      <c r="I17" s="42"/>
    </row>
    <row r="18" spans="2:13" x14ac:dyDescent="0.25">
      <c r="B18" t="s">
        <v>38</v>
      </c>
      <c r="C18" s="29">
        <f>+C10*C17/36000*C16</f>
        <v>869656666.66666663</v>
      </c>
      <c r="E18" s="14"/>
      <c r="G18" t="s">
        <v>51</v>
      </c>
      <c r="H18" s="42">
        <f ca="1">+($C$10+H16)*E23</f>
        <v>22884664545.826965</v>
      </c>
      <c r="I18" s="42"/>
    </row>
    <row r="19" spans="2:13" x14ac:dyDescent="0.25">
      <c r="B19" t="s">
        <v>43</v>
      </c>
      <c r="C19" s="11">
        <f ca="1">+C8-$C$2</f>
        <v>311</v>
      </c>
      <c r="E19" s="14"/>
      <c r="G19" t="s">
        <v>53</v>
      </c>
      <c r="H19" s="39" t="str">
        <f ca="1">+IF(ABS(H18-H17)&lt;1,"OK","ERROR")</f>
        <v>OK</v>
      </c>
      <c r="I19" s="39"/>
    </row>
    <row r="20" spans="2:13" x14ac:dyDescent="0.25">
      <c r="B20" t="s">
        <v>40</v>
      </c>
      <c r="C20" s="11">
        <f ca="1">+C9-$C$2</f>
        <v>677</v>
      </c>
      <c r="E20" s="14"/>
      <c r="F20" s="11"/>
      <c r="J20" s="15"/>
      <c r="K20" s="2"/>
    </row>
    <row r="21" spans="2:13" x14ac:dyDescent="0.25">
      <c r="B21" t="s">
        <v>47</v>
      </c>
      <c r="C21" s="11">
        <f ca="1">+C20-C19</f>
        <v>366</v>
      </c>
      <c r="E21" s="14"/>
      <c r="F21" s="11"/>
      <c r="G21" s="27" t="s">
        <v>54</v>
      </c>
      <c r="H21" s="40">
        <f ca="1">+IF(C4="Short",$H$17-$C$25,$C$25-$H$17)</f>
        <v>-65737210.553936005</v>
      </c>
      <c r="I21" s="41"/>
      <c r="J21" s="15"/>
      <c r="K21" s="2"/>
    </row>
    <row r="22" spans="2:13" x14ac:dyDescent="0.25">
      <c r="B22" s="20" t="s">
        <v>42</v>
      </c>
      <c r="C22" s="21">
        <f ca="1">_xll.RACV("SWAP_CLP_CAM",$C$2,"ACT360",C19)+D22/100</f>
        <v>3.1125010015518901</v>
      </c>
      <c r="D22" s="11"/>
      <c r="E22" s="22">
        <f ca="1">1/(1+C22*C19/36000)</f>
        <v>0.97381551258838139</v>
      </c>
      <c r="F22" s="11"/>
      <c r="G22" s="27" t="s">
        <v>55</v>
      </c>
      <c r="H22" s="40">
        <f ca="1">+C10*(C24-C16)*(C21/36000)*E23</f>
        <v>-65737210.553932279</v>
      </c>
      <c r="I22" s="41"/>
      <c r="J22" s="15"/>
    </row>
    <row r="23" spans="2:13" x14ac:dyDescent="0.25">
      <c r="B23" s="20" t="s">
        <v>41</v>
      </c>
      <c r="C23" s="21">
        <f ca="1">_xll.RACV("SWAP_CLP_CAM",$C$2,"ACT360",C20)+D23/100</f>
        <v>3.2883947418194799</v>
      </c>
      <c r="D23" s="35"/>
      <c r="E23" s="22">
        <f ca="1">1/(1+C23*C20/36000)</f>
        <v>0.94176139082718147</v>
      </c>
      <c r="F23" s="11"/>
      <c r="I23" s="13"/>
      <c r="J23" s="18"/>
    </row>
    <row r="24" spans="2:13" x14ac:dyDescent="0.25">
      <c r="B24" s="20" t="s">
        <v>44</v>
      </c>
      <c r="C24" s="30">
        <f ca="1">(E22/E23-1)*(36000/(C20-C19))+D24/100</f>
        <v>3.3478378559972524</v>
      </c>
      <c r="D24" s="11"/>
      <c r="E24" s="22">
        <f ca="1">1/(1+C24*C22/36000)</f>
        <v>0.99971063518179459</v>
      </c>
      <c r="G24" s="27" t="s">
        <v>59</v>
      </c>
      <c r="H24" s="36">
        <v>-677489.62531280995</v>
      </c>
      <c r="I24" s="37"/>
    </row>
    <row r="25" spans="2:13" x14ac:dyDescent="0.25">
      <c r="B25" s="20" t="s">
        <v>48</v>
      </c>
      <c r="C25" s="19">
        <f ca="1">+($C$10+$C$18)*E23</f>
        <v>22950401756.380898</v>
      </c>
      <c r="G25" s="33" t="s">
        <v>60</v>
      </c>
      <c r="H25" s="38">
        <f ca="1">+H22-H24</f>
        <v>-65059720.928619467</v>
      </c>
      <c r="I25" s="38"/>
    </row>
    <row r="26" spans="2:13" x14ac:dyDescent="0.25">
      <c r="E26" s="12"/>
      <c r="F26" s="12"/>
      <c r="G26" s="11"/>
      <c r="I26" s="34">
        <f ca="1">+H25/C11</f>
        <v>-2.743173362240117E-3</v>
      </c>
      <c r="J26" s="11"/>
    </row>
    <row r="27" spans="2:13" x14ac:dyDescent="0.25">
      <c r="C27" s="7"/>
      <c r="D27" s="7"/>
      <c r="E27" s="11"/>
      <c r="J27" s="11"/>
    </row>
    <row r="28" spans="2:13" x14ac:dyDescent="0.25">
      <c r="D28" s="7"/>
      <c r="E28" s="11"/>
      <c r="J28" s="12"/>
    </row>
    <row r="29" spans="2:13" x14ac:dyDescent="0.25">
      <c r="D29" s="7"/>
      <c r="E29" s="11"/>
      <c r="F29" s="10"/>
      <c r="G29" s="7"/>
      <c r="J29" s="11"/>
    </row>
    <row r="30" spans="2:13" x14ac:dyDescent="0.25">
      <c r="M30" s="11"/>
    </row>
  </sheetData>
  <mergeCells count="11">
    <mergeCell ref="H18:I18"/>
    <mergeCell ref="B6:C6"/>
    <mergeCell ref="B13:E13"/>
    <mergeCell ref="G13:I13"/>
    <mergeCell ref="H16:I16"/>
    <mergeCell ref="H17:I17"/>
    <mergeCell ref="H24:I24"/>
    <mergeCell ref="H25:I25"/>
    <mergeCell ref="H19:I19"/>
    <mergeCell ref="H21:I21"/>
    <mergeCell ref="H22:I22"/>
  </mergeCells>
  <conditionalFormatting sqref="H21:I21">
    <cfRule type="cellIs" dxfId="17" priority="5" operator="lessThan">
      <formula>0</formula>
    </cfRule>
    <cfRule type="cellIs" dxfId="16" priority="6" operator="greaterThan">
      <formula>0</formula>
    </cfRule>
  </conditionalFormatting>
  <conditionalFormatting sqref="H22:I22">
    <cfRule type="cellIs" dxfId="15" priority="3" operator="lessThan">
      <formula>0</formula>
    </cfRule>
    <cfRule type="cellIs" dxfId="14" priority="4" operator="greaterThan">
      <formula>0</formula>
    </cfRule>
  </conditionalFormatting>
  <conditionalFormatting sqref="H24:I24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6D5FF-4453-4399-ADB0-8EF7B94994CD}">
  <dimension ref="B2:Q30"/>
  <sheetViews>
    <sheetView workbookViewId="0">
      <selection activeCell="L28" sqref="L28"/>
    </sheetView>
  </sheetViews>
  <sheetFormatPr baseColWidth="10" defaultRowHeight="15" x14ac:dyDescent="0.25"/>
  <cols>
    <col min="2" max="2" width="23.7109375" bestFit="1" customWidth="1"/>
    <col min="3" max="3" width="17.85546875" bestFit="1" customWidth="1"/>
    <col min="4" max="4" width="6.85546875" customWidth="1"/>
    <col min="5" max="5" width="12.140625" bestFit="1" customWidth="1"/>
    <col min="6" max="6" width="17.85546875" bestFit="1" customWidth="1"/>
    <col min="7" max="7" width="17" bestFit="1" customWidth="1"/>
    <col min="8" max="8" width="16.28515625" bestFit="1" customWidth="1"/>
    <col min="9" max="9" width="12.7109375" bestFit="1" customWidth="1"/>
    <col min="10" max="10" width="12.5703125" bestFit="1" customWidth="1"/>
    <col min="11" max="12" width="18.28515625" bestFit="1" customWidth="1"/>
    <col min="17" max="17" width="19.28515625" bestFit="1" customWidth="1"/>
  </cols>
  <sheetData>
    <row r="2" spans="2:17" x14ac:dyDescent="0.25">
      <c r="B2" s="27" t="s">
        <v>35</v>
      </c>
      <c r="C2" s="26">
        <f ca="1">+TODAY()</f>
        <v>43542</v>
      </c>
    </row>
    <row r="3" spans="2:17" x14ac:dyDescent="0.25">
      <c r="C3" s="3"/>
    </row>
    <row r="4" spans="2:17" x14ac:dyDescent="0.25">
      <c r="B4" t="s">
        <v>29</v>
      </c>
      <c r="C4" t="s">
        <v>30</v>
      </c>
    </row>
    <row r="5" spans="2:17" x14ac:dyDescent="0.25">
      <c r="Q5" s="2"/>
    </row>
    <row r="6" spans="2:17" x14ac:dyDescent="0.25">
      <c r="B6" s="43" t="s">
        <v>36</v>
      </c>
      <c r="C6" s="43"/>
      <c r="Q6" s="2"/>
    </row>
    <row r="7" spans="2:17" x14ac:dyDescent="0.25">
      <c r="B7" t="s">
        <v>31</v>
      </c>
      <c r="C7" s="16">
        <v>43482</v>
      </c>
      <c r="F7" s="10"/>
      <c r="G7" s="7"/>
      <c r="H7" s="10"/>
      <c r="Q7" s="7"/>
    </row>
    <row r="8" spans="2:17" x14ac:dyDescent="0.25">
      <c r="B8" t="s">
        <v>32</v>
      </c>
      <c r="C8" s="3">
        <v>43852</v>
      </c>
    </row>
    <row r="9" spans="2:17" x14ac:dyDescent="0.25">
      <c r="B9" t="s">
        <v>33</v>
      </c>
      <c r="C9" s="3">
        <v>44218</v>
      </c>
      <c r="E9" s="11"/>
      <c r="F9" s="6"/>
      <c r="L9" s="1"/>
      <c r="Q9" s="7"/>
    </row>
    <row r="10" spans="2:17" x14ac:dyDescent="0.25">
      <c r="B10" t="s">
        <v>34</v>
      </c>
      <c r="C10" s="19">
        <v>11000000000</v>
      </c>
      <c r="F10" s="1"/>
      <c r="L10" s="8"/>
      <c r="Q10" s="4"/>
    </row>
    <row r="11" spans="2:17" x14ac:dyDescent="0.25">
      <c r="B11" t="s">
        <v>57</v>
      </c>
      <c r="C11" s="19">
        <v>11234101748</v>
      </c>
      <c r="J11" s="7"/>
      <c r="L11" s="5"/>
      <c r="Q11" s="4"/>
    </row>
    <row r="12" spans="2:17" x14ac:dyDescent="0.25">
      <c r="C12" s="11"/>
      <c r="F12" s="6"/>
    </row>
    <row r="13" spans="2:17" x14ac:dyDescent="0.25">
      <c r="B13" s="43" t="s">
        <v>45</v>
      </c>
      <c r="C13" s="43"/>
      <c r="D13" s="43"/>
      <c r="E13" s="43"/>
      <c r="G13" s="43" t="s">
        <v>0</v>
      </c>
      <c r="H13" s="43"/>
      <c r="I13" s="43"/>
    </row>
    <row r="15" spans="2:17" x14ac:dyDescent="0.25">
      <c r="B15" s="23"/>
      <c r="C15" s="24"/>
      <c r="D15" s="23" t="s">
        <v>49</v>
      </c>
      <c r="E15" s="25" t="s">
        <v>46</v>
      </c>
      <c r="I15" s="23"/>
    </row>
    <row r="16" spans="2:17" x14ac:dyDescent="0.25">
      <c r="B16" t="s">
        <v>37</v>
      </c>
      <c r="C16" s="28">
        <v>3.64</v>
      </c>
      <c r="D16" s="9"/>
      <c r="E16" s="14"/>
      <c r="G16" t="s">
        <v>52</v>
      </c>
      <c r="H16" s="44" t="e">
        <f ca="1">+$C$10*(C24*C21/36000)</f>
        <v>#VALUE!</v>
      </c>
      <c r="I16" s="44"/>
    </row>
    <row r="17" spans="2:13" x14ac:dyDescent="0.25">
      <c r="B17" t="s">
        <v>39</v>
      </c>
      <c r="C17" s="11">
        <f>+C9-C8</f>
        <v>366</v>
      </c>
      <c r="E17" s="14"/>
      <c r="G17" t="s">
        <v>50</v>
      </c>
      <c r="H17" s="42" t="e">
        <f ca="1">+C10*E22</f>
        <v>#VALUE!</v>
      </c>
      <c r="I17" s="42"/>
    </row>
    <row r="18" spans="2:13" x14ac:dyDescent="0.25">
      <c r="B18" t="s">
        <v>38</v>
      </c>
      <c r="C18" s="29">
        <f>+C10*C17/36000*C16</f>
        <v>407073333.33333331</v>
      </c>
      <c r="E18" s="14"/>
      <c r="G18" t="s">
        <v>51</v>
      </c>
      <c r="H18" s="42" t="e">
        <f ca="1">+($C$10+H16)*E23</f>
        <v>#VALUE!</v>
      </c>
      <c r="I18" s="42"/>
    </row>
    <row r="19" spans="2:13" x14ac:dyDescent="0.25">
      <c r="B19" t="s">
        <v>43</v>
      </c>
      <c r="C19" s="11">
        <f ca="1">+C8-$C$2</f>
        <v>310</v>
      </c>
      <c r="E19" s="14"/>
      <c r="G19" t="s">
        <v>53</v>
      </c>
      <c r="H19" s="39" t="e">
        <f ca="1">+IF(ABS(H18-H17)&lt;1,"OK","ERROR")</f>
        <v>#VALUE!</v>
      </c>
      <c r="I19" s="39"/>
    </row>
    <row r="20" spans="2:13" x14ac:dyDescent="0.25">
      <c r="B20" t="s">
        <v>40</v>
      </c>
      <c r="C20" s="11">
        <f ca="1">+C9-$C$2</f>
        <v>676</v>
      </c>
      <c r="E20" s="14"/>
      <c r="F20" s="11"/>
      <c r="J20" s="15"/>
      <c r="K20" s="2"/>
    </row>
    <row r="21" spans="2:13" x14ac:dyDescent="0.25">
      <c r="B21" t="s">
        <v>47</v>
      </c>
      <c r="C21" s="11">
        <f ca="1">+C20-C19</f>
        <v>366</v>
      </c>
      <c r="E21" s="14"/>
      <c r="F21" s="11"/>
      <c r="G21" s="27" t="s">
        <v>54</v>
      </c>
      <c r="H21" s="40" t="e">
        <f ca="1">+IF(C4="Short",$H$17-$C$25,$C$25-$H$17)</f>
        <v>#VALUE!</v>
      </c>
      <c r="I21" s="41"/>
      <c r="J21" s="15"/>
      <c r="K21" s="2"/>
    </row>
    <row r="22" spans="2:13" x14ac:dyDescent="0.25">
      <c r="B22" s="20" t="s">
        <v>42</v>
      </c>
      <c r="C22" s="30" t="e">
        <f ca="1">_xll.RACV("SWAP_CLP_CAM",$C$2,"ACT360",C19)+D22</f>
        <v>#VALUE!</v>
      </c>
      <c r="D22" s="11"/>
      <c r="E22" s="22" t="e">
        <f ca="1">1/(1+C22*C19/36000)</f>
        <v>#VALUE!</v>
      </c>
      <c r="F22" s="11"/>
      <c r="G22" s="27" t="s">
        <v>55</v>
      </c>
      <c r="H22" s="40" t="e">
        <f ca="1">+C10*(C24-C16)*(C21/36000)*E23</f>
        <v>#VALUE!</v>
      </c>
      <c r="I22" s="41"/>
      <c r="J22" s="15"/>
    </row>
    <row r="23" spans="2:13" x14ac:dyDescent="0.25">
      <c r="B23" s="20" t="s">
        <v>41</v>
      </c>
      <c r="C23" s="31" t="e">
        <f ca="1">_xll.RACV("SWAP_CLP_CAM",$C$2,"ACT360",C20)+D23</f>
        <v>#VALUE!</v>
      </c>
      <c r="D23" s="11"/>
      <c r="E23" s="22" t="e">
        <f ca="1">1/(1+C23*C20/36000)</f>
        <v>#VALUE!</v>
      </c>
      <c r="F23" s="11"/>
      <c r="J23" s="18"/>
    </row>
    <row r="24" spans="2:13" x14ac:dyDescent="0.25">
      <c r="B24" s="20" t="s">
        <v>44</v>
      </c>
      <c r="C24" s="21" t="e">
        <f ca="1">(E22/E23-1)*(36000/(C20-C19))+D24</f>
        <v>#VALUE!</v>
      </c>
      <c r="D24" s="11"/>
      <c r="E24" s="22" t="e">
        <f ca="1">1/(1+C24*C22/36000)</f>
        <v>#VALUE!</v>
      </c>
      <c r="G24" s="27" t="s">
        <v>59</v>
      </c>
      <c r="H24" s="36">
        <v>-317122.80333710002</v>
      </c>
      <c r="I24" s="37"/>
    </row>
    <row r="25" spans="2:13" x14ac:dyDescent="0.25">
      <c r="B25" s="20" t="s">
        <v>48</v>
      </c>
      <c r="C25" s="19" t="e">
        <f ca="1">+($C$10+$C$18)*E23</f>
        <v>#VALUE!</v>
      </c>
      <c r="G25" s="33" t="s">
        <v>60</v>
      </c>
      <c r="I25" s="32" t="e">
        <f ca="1">+H22-H24</f>
        <v>#VALUE!</v>
      </c>
    </row>
    <row r="26" spans="2:13" x14ac:dyDescent="0.25">
      <c r="E26" s="12"/>
      <c r="F26" s="12"/>
      <c r="G26" s="11"/>
      <c r="J26" s="11"/>
    </row>
    <row r="27" spans="2:13" x14ac:dyDescent="0.25">
      <c r="C27" s="7"/>
      <c r="D27" s="7"/>
      <c r="E27" s="11"/>
      <c r="J27" s="11"/>
    </row>
    <row r="28" spans="2:13" x14ac:dyDescent="0.25">
      <c r="D28" s="7"/>
      <c r="E28" s="11"/>
      <c r="J28" s="12"/>
    </row>
    <row r="29" spans="2:13" x14ac:dyDescent="0.25">
      <c r="D29" s="7"/>
      <c r="E29" s="11"/>
      <c r="F29" s="10"/>
      <c r="G29" s="7"/>
      <c r="J29" s="11"/>
    </row>
    <row r="30" spans="2:13" x14ac:dyDescent="0.25">
      <c r="M30" s="11"/>
    </row>
  </sheetData>
  <mergeCells count="10">
    <mergeCell ref="H24:I24"/>
    <mergeCell ref="H19:I19"/>
    <mergeCell ref="H21:I21"/>
    <mergeCell ref="H22:I22"/>
    <mergeCell ref="B6:C6"/>
    <mergeCell ref="B13:E13"/>
    <mergeCell ref="G13:I13"/>
    <mergeCell ref="H16:I16"/>
    <mergeCell ref="H17:I17"/>
    <mergeCell ref="H18:I18"/>
  </mergeCells>
  <conditionalFormatting sqref="H21:I21">
    <cfRule type="cellIs" dxfId="11" priority="5" operator="lessThan">
      <formula>0</formula>
    </cfRule>
    <cfRule type="cellIs" dxfId="10" priority="6" operator="greaterThan">
      <formula>0</formula>
    </cfRule>
  </conditionalFormatting>
  <conditionalFormatting sqref="H22:I22">
    <cfRule type="cellIs" dxfId="9" priority="3" operator="lessThan">
      <formula>0</formula>
    </cfRule>
    <cfRule type="cellIs" dxfId="8" priority="4" operator="greaterThan">
      <formula>0</formula>
    </cfRule>
  </conditionalFormatting>
  <conditionalFormatting sqref="H24:I24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35A82-32E6-482A-9B2F-578A8C99C056}">
  <dimension ref="B2:Q30"/>
  <sheetViews>
    <sheetView tabSelected="1" workbookViewId="0">
      <selection activeCell="H21" sqref="H21:I21"/>
    </sheetView>
  </sheetViews>
  <sheetFormatPr baseColWidth="10" defaultRowHeight="15" x14ac:dyDescent="0.25"/>
  <cols>
    <col min="2" max="2" width="23.7109375" bestFit="1" customWidth="1"/>
    <col min="3" max="3" width="17.85546875" bestFit="1" customWidth="1"/>
    <col min="4" max="4" width="6.85546875" customWidth="1"/>
    <col min="5" max="5" width="12.140625" bestFit="1" customWidth="1"/>
    <col min="6" max="6" width="17.85546875" bestFit="1" customWidth="1"/>
    <col min="7" max="7" width="17" bestFit="1" customWidth="1"/>
    <col min="8" max="8" width="16.28515625" bestFit="1" customWidth="1"/>
    <col min="9" max="9" width="12.7109375" bestFit="1" customWidth="1"/>
    <col min="10" max="10" width="12.5703125" bestFit="1" customWidth="1"/>
    <col min="11" max="12" width="18.28515625" bestFit="1" customWidth="1"/>
    <col min="17" max="17" width="19.28515625" bestFit="1" customWidth="1"/>
  </cols>
  <sheetData>
    <row r="2" spans="2:17" x14ac:dyDescent="0.25">
      <c r="B2" s="27" t="s">
        <v>35</v>
      </c>
      <c r="C2" s="26">
        <f ca="1">+TODAY()-3</f>
        <v>43539</v>
      </c>
    </row>
    <row r="3" spans="2:17" x14ac:dyDescent="0.25">
      <c r="C3" s="3"/>
    </row>
    <row r="4" spans="2:17" x14ac:dyDescent="0.25">
      <c r="B4" t="s">
        <v>29</v>
      </c>
      <c r="C4" t="s">
        <v>30</v>
      </c>
    </row>
    <row r="5" spans="2:17" x14ac:dyDescent="0.25">
      <c r="Q5" s="2"/>
    </row>
    <row r="6" spans="2:17" x14ac:dyDescent="0.25">
      <c r="B6" s="43" t="s">
        <v>36</v>
      </c>
      <c r="C6" s="43"/>
      <c r="Q6" s="2"/>
    </row>
    <row r="7" spans="2:17" x14ac:dyDescent="0.25">
      <c r="B7" t="s">
        <v>31</v>
      </c>
      <c r="C7" s="16">
        <v>43482</v>
      </c>
      <c r="F7" s="10"/>
      <c r="G7" s="7"/>
      <c r="H7" s="10"/>
      <c r="Q7" s="7"/>
    </row>
    <row r="8" spans="2:17" x14ac:dyDescent="0.25">
      <c r="B8" t="s">
        <v>32</v>
      </c>
      <c r="C8" s="3">
        <v>43852</v>
      </c>
    </row>
    <row r="9" spans="2:17" x14ac:dyDescent="0.25">
      <c r="B9" t="s">
        <v>33</v>
      </c>
      <c r="C9" s="3">
        <v>44218</v>
      </c>
      <c r="E9" s="11"/>
      <c r="F9" s="6"/>
      <c r="L9" s="1"/>
      <c r="Q9" s="7"/>
    </row>
    <row r="10" spans="2:17" x14ac:dyDescent="0.25">
      <c r="B10" t="s">
        <v>34</v>
      </c>
      <c r="C10" s="19">
        <v>5500000000</v>
      </c>
      <c r="F10" s="1"/>
      <c r="L10" s="8"/>
      <c r="Q10" s="4"/>
    </row>
    <row r="11" spans="2:17" x14ac:dyDescent="0.25">
      <c r="B11" t="s">
        <v>58</v>
      </c>
      <c r="C11" s="19">
        <v>10891882084</v>
      </c>
      <c r="J11" s="7"/>
      <c r="L11" s="5"/>
      <c r="Q11" s="4"/>
    </row>
    <row r="12" spans="2:17" x14ac:dyDescent="0.25">
      <c r="C12" s="11"/>
      <c r="F12" s="6"/>
    </row>
    <row r="13" spans="2:17" x14ac:dyDescent="0.25">
      <c r="B13" s="43" t="s">
        <v>45</v>
      </c>
      <c r="C13" s="43"/>
      <c r="D13" s="43"/>
      <c r="E13" s="43"/>
      <c r="G13" s="43" t="s">
        <v>0</v>
      </c>
      <c r="H13" s="43"/>
      <c r="I13" s="43"/>
    </row>
    <row r="15" spans="2:17" x14ac:dyDescent="0.25">
      <c r="B15" s="23"/>
      <c r="C15" s="24"/>
      <c r="D15" s="23" t="s">
        <v>49</v>
      </c>
      <c r="E15" s="25" t="s">
        <v>46</v>
      </c>
      <c r="I15" s="23"/>
    </row>
    <row r="16" spans="2:17" x14ac:dyDescent="0.25">
      <c r="B16" t="s">
        <v>37</v>
      </c>
      <c r="C16" s="28">
        <v>3.64</v>
      </c>
      <c r="D16" s="9"/>
      <c r="E16" s="14"/>
      <c r="G16" t="s">
        <v>52</v>
      </c>
      <c r="H16" s="44">
        <f ca="1">+$C$10*(C24*C21/36000)</f>
        <v>187277549.12222272</v>
      </c>
      <c r="I16" s="44"/>
    </row>
    <row r="17" spans="2:13" x14ac:dyDescent="0.25">
      <c r="B17" t="s">
        <v>39</v>
      </c>
      <c r="C17" s="11">
        <f>+C9-C8</f>
        <v>366</v>
      </c>
      <c r="E17" s="14"/>
      <c r="G17" t="s">
        <v>50</v>
      </c>
      <c r="H17" s="42">
        <f ca="1">+C10*E22</f>
        <v>5355050011.2040863</v>
      </c>
      <c r="I17" s="42"/>
    </row>
    <row r="18" spans="2:13" x14ac:dyDescent="0.25">
      <c r="B18" t="s">
        <v>38</v>
      </c>
      <c r="C18" s="29">
        <f>+C10*C17/36000*C16</f>
        <v>203536666.66666666</v>
      </c>
      <c r="E18" s="14"/>
      <c r="G18" t="s">
        <v>51</v>
      </c>
      <c r="H18" s="42">
        <f ca="1">+($C$10+H16)*E23</f>
        <v>5355050011.2040873</v>
      </c>
      <c r="I18" s="42"/>
    </row>
    <row r="19" spans="2:13" x14ac:dyDescent="0.25">
      <c r="B19" t="s">
        <v>43</v>
      </c>
      <c r="C19" s="11">
        <f ca="1">+C8-$C$2</f>
        <v>313</v>
      </c>
      <c r="E19" s="14"/>
      <c r="G19" t="s">
        <v>53</v>
      </c>
      <c r="H19" s="39" t="str">
        <f ca="1">+IF(ABS(H18-H17)&lt;1,"OK","ERROR")</f>
        <v>OK</v>
      </c>
      <c r="I19" s="39"/>
    </row>
    <row r="20" spans="2:13" x14ac:dyDescent="0.25">
      <c r="B20" t="s">
        <v>40</v>
      </c>
      <c r="C20" s="11">
        <f ca="1">+C9-$C$2</f>
        <v>679</v>
      </c>
      <c r="E20" s="14"/>
      <c r="F20" s="11"/>
      <c r="J20" s="15"/>
      <c r="K20" s="2"/>
    </row>
    <row r="21" spans="2:13" x14ac:dyDescent="0.25">
      <c r="B21" t="s">
        <v>47</v>
      </c>
      <c r="C21" s="11">
        <f ca="1">+C20-C19</f>
        <v>366</v>
      </c>
      <c r="E21" s="14"/>
      <c r="F21" s="11"/>
      <c r="G21" s="27" t="s">
        <v>54</v>
      </c>
      <c r="H21" s="36">
        <f ca="1">+IF(C4="Short",$H$17-$C$25,$C$25-$H$17)</f>
        <v>-15309326.270174026</v>
      </c>
      <c r="I21" s="37"/>
      <c r="J21" s="15"/>
      <c r="K21" s="2"/>
    </row>
    <row r="22" spans="2:13" x14ac:dyDescent="0.25">
      <c r="B22" s="20" t="s">
        <v>42</v>
      </c>
      <c r="C22" s="21">
        <f ca="1">_xll.RACV("SWAP_CLP_CAM",$C$2,"ACT360",C19)+D22</f>
        <v>3.1132415517460599</v>
      </c>
      <c r="D22" s="11"/>
      <c r="E22" s="22">
        <f ca="1">1/(1+C22*C19/36000)</f>
        <v>0.97364545658256119</v>
      </c>
      <c r="F22" s="11"/>
      <c r="G22" s="27" t="s">
        <v>55</v>
      </c>
      <c r="H22" s="36">
        <f ca="1">+C10*(C24-C16)*(C21/36000)*E23</f>
        <v>-15309326.270173201</v>
      </c>
      <c r="I22" s="37"/>
      <c r="J22" s="15"/>
    </row>
    <row r="23" spans="2:13" x14ac:dyDescent="0.25">
      <c r="B23" s="20" t="s">
        <v>41</v>
      </c>
      <c r="C23" s="21">
        <f ca="1">_xll.RACV("SWAP_CLP_CAM",$C$2,"ACT360",C20)+D23</f>
        <v>3.2893101344868199</v>
      </c>
      <c r="D23" s="11"/>
      <c r="E23" s="22">
        <f ca="1">1/(1+C23*C20/36000)</f>
        <v>0.94158408218191991</v>
      </c>
      <c r="F23" s="11"/>
      <c r="J23" s="18"/>
    </row>
    <row r="24" spans="2:13" x14ac:dyDescent="0.25">
      <c r="B24" s="20" t="s">
        <v>44</v>
      </c>
      <c r="C24" s="21">
        <f ca="1">(E22/E23-1)*(36000/(C20-C19))+D24</f>
        <v>3.3492259157476494</v>
      </c>
      <c r="D24" s="11"/>
      <c r="E24" s="22">
        <f ca="1">1/(1+C24*C22/36000)</f>
        <v>0.99971044638538231</v>
      </c>
      <c r="G24" s="27" t="s">
        <v>59</v>
      </c>
      <c r="H24" s="36">
        <v>-158561.40166855001</v>
      </c>
      <c r="I24" s="37"/>
    </row>
    <row r="25" spans="2:13" x14ac:dyDescent="0.25">
      <c r="B25" s="20" t="s">
        <v>48</v>
      </c>
      <c r="C25" s="19">
        <f ca="1">+($C$10+$C$18)*E23</f>
        <v>5370359337.4742603</v>
      </c>
      <c r="G25" s="33" t="s">
        <v>60</v>
      </c>
      <c r="I25" s="12">
        <f ca="1">+H22-H24</f>
        <v>-15150764.868504651</v>
      </c>
    </row>
    <row r="26" spans="2:13" x14ac:dyDescent="0.25">
      <c r="E26" s="12"/>
      <c r="F26" s="12"/>
      <c r="G26" s="11"/>
      <c r="J26" s="11"/>
    </row>
    <row r="27" spans="2:13" x14ac:dyDescent="0.25">
      <c r="C27" s="7"/>
      <c r="D27" s="7"/>
      <c r="E27" s="11"/>
      <c r="J27" s="11"/>
    </row>
    <row r="28" spans="2:13" x14ac:dyDescent="0.25">
      <c r="D28" s="7"/>
      <c r="E28" s="11"/>
      <c r="J28" s="12"/>
    </row>
    <row r="29" spans="2:13" x14ac:dyDescent="0.25">
      <c r="D29" s="7"/>
      <c r="E29" s="11"/>
      <c r="F29" s="10"/>
      <c r="G29" s="7"/>
      <c r="J29" s="11"/>
    </row>
    <row r="30" spans="2:13" x14ac:dyDescent="0.25">
      <c r="M30" s="11"/>
    </row>
  </sheetData>
  <mergeCells count="10">
    <mergeCell ref="B6:C6"/>
    <mergeCell ref="B13:E13"/>
    <mergeCell ref="G13:I13"/>
    <mergeCell ref="H24:I24"/>
    <mergeCell ref="H22:I22"/>
    <mergeCell ref="H16:I16"/>
    <mergeCell ref="H17:I17"/>
    <mergeCell ref="H18:I18"/>
    <mergeCell ref="H19:I19"/>
    <mergeCell ref="H21:I21"/>
  </mergeCells>
  <conditionalFormatting sqref="H21:I21">
    <cfRule type="cellIs" dxfId="5" priority="8" operator="greaterThan">
      <formula>0</formula>
    </cfRule>
    <cfRule type="cellIs" dxfId="4" priority="7" operator="lessThan">
      <formula>0</formula>
    </cfRule>
  </conditionalFormatting>
  <conditionalFormatting sqref="H22:I22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H24:I2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50A11-A3B3-4736-AFC3-CB3BED9EFE09}">
  <dimension ref="B2:R29"/>
  <sheetViews>
    <sheetView workbookViewId="0">
      <selection activeCell="C20" sqref="C20"/>
    </sheetView>
  </sheetViews>
  <sheetFormatPr baseColWidth="10" defaultRowHeight="15" x14ac:dyDescent="0.25"/>
  <cols>
    <col min="2" max="2" width="12.7109375" bestFit="1" customWidth="1"/>
    <col min="3" max="3" width="17.85546875" bestFit="1" customWidth="1"/>
    <col min="5" max="5" width="12.140625" bestFit="1" customWidth="1"/>
    <col min="6" max="6" width="17.85546875" bestFit="1" customWidth="1"/>
    <col min="9" max="9" width="12.7109375" bestFit="1" customWidth="1"/>
    <col min="10" max="10" width="17.85546875" bestFit="1" customWidth="1"/>
    <col min="11" max="11" width="12.5703125" bestFit="1" customWidth="1"/>
    <col min="12" max="13" width="18.28515625" bestFit="1" customWidth="1"/>
    <col min="18" max="18" width="19.28515625" bestFit="1" customWidth="1"/>
  </cols>
  <sheetData>
    <row r="2" spans="2:18" x14ac:dyDescent="0.25">
      <c r="B2" t="s">
        <v>8</v>
      </c>
      <c r="C2" s="3">
        <v>43482</v>
      </c>
    </row>
    <row r="3" spans="2:18" x14ac:dyDescent="0.25">
      <c r="C3" s="3"/>
    </row>
    <row r="4" spans="2:18" x14ac:dyDescent="0.25">
      <c r="B4" t="s">
        <v>12</v>
      </c>
      <c r="C4" t="s">
        <v>13</v>
      </c>
    </row>
    <row r="5" spans="2:18" x14ac:dyDescent="0.25">
      <c r="B5" s="43" t="s">
        <v>1</v>
      </c>
      <c r="C5" s="43"/>
      <c r="D5" s="43"/>
      <c r="E5" s="43"/>
      <c r="F5" s="43"/>
      <c r="I5" s="43" t="s">
        <v>0</v>
      </c>
      <c r="J5" s="43"/>
      <c r="K5" s="43"/>
      <c r="L5" s="43"/>
      <c r="M5" s="43"/>
      <c r="R5" s="2"/>
    </row>
    <row r="6" spans="2:18" x14ac:dyDescent="0.25">
      <c r="R6" s="2"/>
    </row>
    <row r="7" spans="2:18" x14ac:dyDescent="0.25">
      <c r="B7" t="s">
        <v>6</v>
      </c>
      <c r="C7" s="1">
        <v>6200000000</v>
      </c>
      <c r="E7" t="s">
        <v>9</v>
      </c>
      <c r="F7" s="10">
        <f ca="1">_xll.RACV("SWAP_CLP_CAM",TODAY()-1,"ACT360",F8)/100+G7</f>
        <v>3.3239066943481402E-2</v>
      </c>
      <c r="G7" s="7">
        <v>1E-4</v>
      </c>
      <c r="H7" s="10"/>
      <c r="I7" t="s">
        <v>6</v>
      </c>
      <c r="J7" s="1">
        <f>+C7</f>
        <v>6200000000</v>
      </c>
      <c r="O7" t="s">
        <v>15</v>
      </c>
      <c r="R7" s="7"/>
    </row>
    <row r="8" spans="2:18" x14ac:dyDescent="0.25">
      <c r="B8" t="s">
        <v>17</v>
      </c>
      <c r="C8" s="3">
        <v>44214</v>
      </c>
      <c r="E8" t="s">
        <v>10</v>
      </c>
      <c r="F8">
        <f>+C8-$C$2</f>
        <v>732</v>
      </c>
      <c r="I8" t="s">
        <v>2</v>
      </c>
      <c r="J8" s="3">
        <f>+C9</f>
        <v>43850</v>
      </c>
    </row>
    <row r="9" spans="2:18" x14ac:dyDescent="0.25">
      <c r="B9" t="s">
        <v>18</v>
      </c>
      <c r="C9" s="3">
        <v>43850</v>
      </c>
      <c r="E9" t="s">
        <v>11</v>
      </c>
      <c r="F9" s="6">
        <f ca="1">+(C7+C12)/(1+F7*F8/360)</f>
        <v>6021822902.7833853</v>
      </c>
      <c r="I9" t="s">
        <v>3</v>
      </c>
      <c r="J9" s="3">
        <f>+C8</f>
        <v>44214</v>
      </c>
      <c r="M9" s="1"/>
      <c r="R9" s="7"/>
    </row>
    <row r="10" spans="2:18" x14ac:dyDescent="0.25">
      <c r="F10" s="1"/>
      <c r="I10" t="s">
        <v>4</v>
      </c>
      <c r="J10">
        <f>+J8-C2</f>
        <v>368</v>
      </c>
      <c r="M10" s="8"/>
      <c r="R10" s="4"/>
    </row>
    <row r="11" spans="2:18" x14ac:dyDescent="0.25">
      <c r="B11" t="s">
        <v>5</v>
      </c>
      <c r="C11" s="2">
        <v>3.6499999999999998E-2</v>
      </c>
      <c r="I11" t="s">
        <v>19</v>
      </c>
      <c r="J11" s="7">
        <f ca="1">_xll.RACV("SWAP_CLP_CAM",TODAY()-1,"ACT360",J10)/100+K11</f>
        <v>3.1441610989623302E-2</v>
      </c>
      <c r="K11" s="7">
        <v>1E-4</v>
      </c>
      <c r="M11" s="5"/>
      <c r="R11" s="4"/>
    </row>
    <row r="12" spans="2:18" x14ac:dyDescent="0.25">
      <c r="B12" t="s">
        <v>7</v>
      </c>
      <c r="C12" s="11">
        <f>+C11*(C8-C9)/360*C7</f>
        <v>228814444.44444442</v>
      </c>
      <c r="F12" s="6"/>
      <c r="I12" t="s">
        <v>16</v>
      </c>
      <c r="J12" s="5">
        <f ca="1">+J7/(1+J11*J10/360)</f>
        <v>6006935219.1463919</v>
      </c>
      <c r="M12" s="7"/>
    </row>
    <row r="13" spans="2:18" x14ac:dyDescent="0.25">
      <c r="E13" t="s">
        <v>27</v>
      </c>
      <c r="F13" s="10">
        <f ca="1">+(1+F7*F8/360)/(1+J11*J10/360)-1</f>
        <v>3.4342025853375757E-2</v>
      </c>
      <c r="M13" s="5"/>
    </row>
    <row r="14" spans="2:18" x14ac:dyDescent="0.25">
      <c r="B14" t="s">
        <v>21</v>
      </c>
      <c r="C14" s="11">
        <v>-909717.4556388855</v>
      </c>
    </row>
    <row r="15" spans="2:18" x14ac:dyDescent="0.25">
      <c r="B15" t="s">
        <v>14</v>
      </c>
      <c r="C15" s="11">
        <f ca="1">+J12-F9</f>
        <v>-14887683.636993408</v>
      </c>
      <c r="D15" s="9"/>
    </row>
    <row r="16" spans="2:18" x14ac:dyDescent="0.25">
      <c r="B16" t="s">
        <v>20</v>
      </c>
      <c r="C16" s="11">
        <f ca="1">+C15-C14</f>
        <v>-13977966.181354523</v>
      </c>
    </row>
    <row r="19" spans="2:14" x14ac:dyDescent="0.25">
      <c r="B19" s="14" t="s">
        <v>25</v>
      </c>
      <c r="C19" s="14" t="s">
        <v>26</v>
      </c>
    </row>
    <row r="20" spans="2:14" x14ac:dyDescent="0.25">
      <c r="B20" s="14" t="s">
        <v>22</v>
      </c>
      <c r="C20" s="17">
        <v>11234101748</v>
      </c>
      <c r="D20" s="11">
        <f>+C20*0.0001</f>
        <v>1123410.1748000002</v>
      </c>
      <c r="E20" s="11">
        <f>+D20/670</f>
        <v>1676.7316041791048</v>
      </c>
      <c r="F20" s="11">
        <v>6200</v>
      </c>
      <c r="K20" s="15"/>
      <c r="L20" s="2"/>
    </row>
    <row r="21" spans="2:14" x14ac:dyDescent="0.25">
      <c r="B21" s="14" t="s">
        <v>23</v>
      </c>
      <c r="C21" s="17">
        <v>23716955634</v>
      </c>
      <c r="D21" s="11">
        <f t="shared" ref="D21" si="0">+C21*0.0001</f>
        <v>2371695.5634000003</v>
      </c>
      <c r="E21" s="11">
        <f t="shared" ref="E21:E22" si="1">+D21/670</f>
        <v>3539.8441244776122</v>
      </c>
      <c r="F21" s="11">
        <f>+E21/E20*F20</f>
        <v>13089.175105341941</v>
      </c>
      <c r="K21" s="15"/>
    </row>
    <row r="22" spans="2:14" x14ac:dyDescent="0.25">
      <c r="B22" s="14" t="s">
        <v>24</v>
      </c>
      <c r="C22" s="17">
        <v>10891882084</v>
      </c>
      <c r="D22" s="11">
        <f>+C22*0.0001/2</f>
        <v>544594.10420000006</v>
      </c>
      <c r="E22" s="11">
        <f t="shared" si="1"/>
        <v>812.82702119402995</v>
      </c>
      <c r="F22" s="11">
        <f>+E22/E20*F20</f>
        <v>3005.5660183433115</v>
      </c>
      <c r="K22" s="18"/>
    </row>
    <row r="23" spans="2:14" x14ac:dyDescent="0.25">
      <c r="I23" s="11"/>
      <c r="J23" s="11"/>
    </row>
    <row r="25" spans="2:14" x14ac:dyDescent="0.25">
      <c r="E25" s="12"/>
      <c r="F25" s="12"/>
      <c r="G25" s="11">
        <v>40000</v>
      </c>
      <c r="J25" s="12"/>
      <c r="K25" s="11"/>
    </row>
    <row r="26" spans="2:14" x14ac:dyDescent="0.25">
      <c r="C26" s="7"/>
      <c r="D26" s="7">
        <f>+D20/SUM($D$20:$D$22)</f>
        <v>0.27809248672608755</v>
      </c>
      <c r="E26" s="11" t="s">
        <v>28</v>
      </c>
      <c r="K26" s="11"/>
    </row>
    <row r="27" spans="2:14" x14ac:dyDescent="0.25">
      <c r="D27" s="7">
        <f t="shared" ref="D27:D28" si="2">+D21/SUM($D$20:$D$22)</f>
        <v>0.58709697648995807</v>
      </c>
      <c r="E27" s="11">
        <f t="shared" ref="E27:E28" si="3">+D27*$G$25</f>
        <v>23483.879059598323</v>
      </c>
      <c r="K27" s="12"/>
    </row>
    <row r="28" spans="2:14" x14ac:dyDescent="0.25">
      <c r="D28" s="7">
        <f t="shared" si="2"/>
        <v>0.13481053678395441</v>
      </c>
      <c r="E28" s="11">
        <f t="shared" si="3"/>
        <v>5392.4214713581759</v>
      </c>
      <c r="F28" s="10"/>
      <c r="G28" s="7"/>
      <c r="K28" s="11"/>
    </row>
    <row r="29" spans="2:14" x14ac:dyDescent="0.25">
      <c r="N29" s="11"/>
    </row>
  </sheetData>
  <mergeCells count="2">
    <mergeCell ref="B5:F5"/>
    <mergeCell ref="I5:M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E-plus</vt:lpstr>
      <vt:lpstr>Macro 3</vt:lpstr>
      <vt:lpstr>Macro 1.5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AGF</dc:creator>
  <cp:lastModifiedBy>Diego Posch Ponce</cp:lastModifiedBy>
  <cp:lastPrinted>2018-10-16T12:09:26Z</cp:lastPrinted>
  <dcterms:created xsi:type="dcterms:W3CDTF">2018-10-04T20:00:41Z</dcterms:created>
  <dcterms:modified xsi:type="dcterms:W3CDTF">2019-03-18T17:24:46Z</dcterms:modified>
</cp:coreProperties>
</file>